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NDELIA\Downloads\"/>
    </mc:Choice>
  </mc:AlternateContent>
  <bookViews>
    <workbookView xWindow="480" yWindow="150" windowWidth="27795" windowHeight="120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Sheet1!$A$1:$BO$1861</definedName>
  </definedNames>
  <calcPr calcId="162913"/>
</workbook>
</file>

<file path=xl/calcChain.xml><?xml version="1.0" encoding="utf-8"?>
<calcChain xmlns="http://schemas.openxmlformats.org/spreadsheetml/2006/main">
  <c r="Y1861" i="1" l="1"/>
  <c r="Y1859" i="1"/>
  <c r="Y1856" i="1"/>
  <c r="BO1861" i="1"/>
  <c r="BH1861" i="1"/>
  <c r="BI1861" i="1" s="1"/>
  <c r="BK1861" i="1" s="1"/>
  <c r="BF1861" i="1"/>
  <c r="BG1861" i="1" s="1"/>
  <c r="BO1860" i="1"/>
  <c r="BH1860" i="1"/>
  <c r="BI1860" i="1" s="1"/>
  <c r="BK1860" i="1" s="1"/>
  <c r="BF1860" i="1"/>
  <c r="BG1860" i="1" s="1"/>
  <c r="BO1859" i="1"/>
  <c r="BH1859" i="1"/>
  <c r="BI1859" i="1" s="1"/>
  <c r="BK1859" i="1" s="1"/>
  <c r="BF1859" i="1"/>
  <c r="BG1859" i="1" s="1"/>
  <c r="BO1858" i="1"/>
  <c r="BH1858" i="1"/>
  <c r="BI1858" i="1" s="1"/>
  <c r="BK1858" i="1" s="1"/>
  <c r="BF1858" i="1"/>
  <c r="BG1858" i="1" s="1"/>
  <c r="BO1857" i="1"/>
  <c r="BH1857" i="1"/>
  <c r="BI1857" i="1" s="1"/>
  <c r="BK1857" i="1" s="1"/>
  <c r="BF1857" i="1"/>
  <c r="BG1857" i="1" s="1"/>
  <c r="BO1856" i="1"/>
  <c r="BH1856" i="1"/>
  <c r="BI1856" i="1" s="1"/>
  <c r="BK1856" i="1" s="1"/>
  <c r="BF1856" i="1"/>
  <c r="BG1856" i="1" s="1"/>
  <c r="BO1855" i="1"/>
  <c r="BH1855" i="1"/>
  <c r="BI1855" i="1" s="1"/>
  <c r="BK1855" i="1" s="1"/>
  <c r="BF1855" i="1"/>
  <c r="BG1855" i="1" s="1"/>
  <c r="BO1854" i="1"/>
  <c r="BH1854" i="1"/>
  <c r="BI1854" i="1" s="1"/>
  <c r="BK1854" i="1" s="1"/>
  <c r="BF1854" i="1"/>
  <c r="BG1854" i="1" s="1"/>
  <c r="BO1853" i="1"/>
  <c r="BH1853" i="1"/>
  <c r="BI1853" i="1" s="1"/>
  <c r="BK1853" i="1" s="1"/>
  <c r="BF1853" i="1"/>
  <c r="BG1853" i="1" s="1"/>
  <c r="BO1852" i="1"/>
  <c r="BH1852" i="1"/>
  <c r="BI1852" i="1" s="1"/>
  <c r="BK1852" i="1" s="1"/>
  <c r="BF1852" i="1"/>
  <c r="BG1852" i="1" s="1"/>
  <c r="BO1851" i="1"/>
  <c r="BH1851" i="1"/>
  <c r="BI1851" i="1" s="1"/>
  <c r="BK1851" i="1" s="1"/>
  <c r="BF1851" i="1"/>
  <c r="BG1851" i="1" s="1"/>
  <c r="BO1850" i="1"/>
  <c r="BH1850" i="1"/>
  <c r="BI1850" i="1" s="1"/>
  <c r="BK1850" i="1" s="1"/>
  <c r="BF1850" i="1"/>
  <c r="BG1850" i="1" s="1"/>
  <c r="AZ1861" i="1"/>
  <c r="AW1861" i="1"/>
  <c r="BB1861" i="1" s="1"/>
  <c r="AO1861" i="1"/>
  <c r="AK1861" i="1"/>
  <c r="AZ1860" i="1"/>
  <c r="AW1860" i="1"/>
  <c r="AY1860" i="1" s="1"/>
  <c r="AO1860" i="1"/>
  <c r="AK1860" i="1"/>
  <c r="AZ1859" i="1"/>
  <c r="AW1859" i="1"/>
  <c r="AO1859" i="1" s="1"/>
  <c r="AK1859" i="1"/>
  <c r="AZ1858" i="1"/>
  <c r="AW1858" i="1"/>
  <c r="BB1858" i="1" s="1"/>
  <c r="AK1858" i="1"/>
  <c r="AZ1857" i="1"/>
  <c r="AW1857" i="1"/>
  <c r="BB1857" i="1" s="1"/>
  <c r="AK1857" i="1"/>
  <c r="AZ1856" i="1"/>
  <c r="AW1856" i="1"/>
  <c r="AY1856" i="1" s="1"/>
  <c r="AK1856" i="1"/>
  <c r="AZ1855" i="1"/>
  <c r="AW1855" i="1"/>
  <c r="AO1855" i="1" s="1"/>
  <c r="AK1855" i="1"/>
  <c r="AZ1854" i="1"/>
  <c r="AW1854" i="1"/>
  <c r="BB1854" i="1" s="1"/>
  <c r="AK1854" i="1"/>
  <c r="AZ1853" i="1"/>
  <c r="AW1853" i="1"/>
  <c r="BB1853" i="1" s="1"/>
  <c r="AK1853" i="1"/>
  <c r="AZ1852" i="1"/>
  <c r="AW1852" i="1"/>
  <c r="AY1852" i="1" s="1"/>
  <c r="AK1852" i="1"/>
  <c r="AZ1851" i="1"/>
  <c r="AW1851" i="1"/>
  <c r="AO1851" i="1" s="1"/>
  <c r="AK1851" i="1"/>
  <c r="AZ1850" i="1"/>
  <c r="AW1850" i="1"/>
  <c r="BB1850" i="1" s="1"/>
  <c r="AK1850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BA1852" i="1" l="1"/>
  <c r="AO1853" i="1"/>
  <c r="BM1853" i="1" s="1"/>
  <c r="AO1854" i="1"/>
  <c r="AR1854" i="1" s="1"/>
  <c r="BA1856" i="1"/>
  <c r="BM1860" i="1"/>
  <c r="AO1850" i="1"/>
  <c r="AR1850" i="1" s="1"/>
  <c r="AR1851" i="1"/>
  <c r="AS1851" i="1" s="1"/>
  <c r="AO1858" i="1"/>
  <c r="AR1858" i="1" s="1"/>
  <c r="AO1852" i="1"/>
  <c r="BM1852" i="1" s="1"/>
  <c r="AR1855" i="1"/>
  <c r="AS1855" i="1" s="1"/>
  <c r="AR1859" i="1"/>
  <c r="AS1859" i="1" s="1"/>
  <c r="BB1852" i="1"/>
  <c r="AO1856" i="1"/>
  <c r="AR1856" i="1" s="1"/>
  <c r="AO1857" i="1"/>
  <c r="BM1857" i="1" s="1"/>
  <c r="BA1860" i="1"/>
  <c r="AR1861" i="1"/>
  <c r="AS1861" i="1" s="1"/>
  <c r="BB1856" i="1"/>
  <c r="AR1860" i="1"/>
  <c r="BM1855" i="1"/>
  <c r="BB1860" i="1"/>
  <c r="BM1851" i="1"/>
  <c r="BM1861" i="1"/>
  <c r="BM1854" i="1"/>
  <c r="BM1859" i="1"/>
  <c r="AY1855" i="1"/>
  <c r="BA1855" i="1" s="1"/>
  <c r="BB1851" i="1"/>
  <c r="AY1854" i="1"/>
  <c r="BA1854" i="1" s="1"/>
  <c r="BB1859" i="1"/>
  <c r="AY1857" i="1"/>
  <c r="BA1857" i="1" s="1"/>
  <c r="AY1861" i="1"/>
  <c r="BA1861" i="1" s="1"/>
  <c r="AY1851" i="1"/>
  <c r="BA1851" i="1" s="1"/>
  <c r="AY1859" i="1"/>
  <c r="BA1859" i="1" s="1"/>
  <c r="AY1850" i="1"/>
  <c r="BA1850" i="1" s="1"/>
  <c r="BB1855" i="1"/>
  <c r="AY1858" i="1"/>
  <c r="BA1858" i="1" s="1"/>
  <c r="AY1853" i="1"/>
  <c r="BA1853" i="1" s="1"/>
  <c r="AL1812" i="1"/>
  <c r="AK1804" i="1"/>
  <c r="AR1853" i="1" l="1"/>
  <c r="AS1853" i="1" s="1"/>
  <c r="BM1850" i="1"/>
  <c r="BM1856" i="1"/>
  <c r="BP1853" i="1"/>
  <c r="AS1854" i="1"/>
  <c r="BP1854" i="1"/>
  <c r="BP1859" i="1"/>
  <c r="BP1851" i="1"/>
  <c r="AS1858" i="1"/>
  <c r="BP1858" i="1"/>
  <c r="AS1850" i="1"/>
  <c r="BP1850" i="1"/>
  <c r="BP1855" i="1"/>
  <c r="BM1858" i="1"/>
  <c r="AR1852" i="1"/>
  <c r="AS1852" i="1" s="1"/>
  <c r="AR1857" i="1"/>
  <c r="BP1861" i="1"/>
  <c r="AS1856" i="1"/>
  <c r="BP1856" i="1"/>
  <c r="AS1860" i="1"/>
  <c r="BP1860" i="1"/>
  <c r="AQ1812" i="1"/>
  <c r="BP1852" i="1" l="1"/>
  <c r="AS1857" i="1"/>
  <c r="BP1857" i="1"/>
  <c r="AQ1836" i="1"/>
  <c r="Y1840" i="1" l="1"/>
  <c r="Y1838" i="1"/>
  <c r="Y1837" i="1"/>
  <c r="AM1836" i="1"/>
  <c r="AL1836" i="1"/>
  <c r="Y1835" i="1"/>
  <c r="Y1834" i="1"/>
  <c r="BO1849" i="1"/>
  <c r="BH1849" i="1"/>
  <c r="BI1849" i="1" s="1"/>
  <c r="BK1849" i="1" s="1"/>
  <c r="BF1849" i="1"/>
  <c r="BG1849" i="1" s="1"/>
  <c r="BO1848" i="1"/>
  <c r="BH1848" i="1"/>
  <c r="BI1848" i="1" s="1"/>
  <c r="BK1848" i="1" s="1"/>
  <c r="BF1848" i="1"/>
  <c r="BG1848" i="1" s="1"/>
  <c r="BO1847" i="1"/>
  <c r="BH1847" i="1"/>
  <c r="BI1847" i="1" s="1"/>
  <c r="BK1847" i="1" s="1"/>
  <c r="BF1847" i="1"/>
  <c r="BG1847" i="1" s="1"/>
  <c r="BO1846" i="1"/>
  <c r="BH1846" i="1"/>
  <c r="BI1846" i="1" s="1"/>
  <c r="BK1846" i="1" s="1"/>
  <c r="BF1846" i="1"/>
  <c r="BG1846" i="1" s="1"/>
  <c r="BO1845" i="1"/>
  <c r="BH1845" i="1"/>
  <c r="BI1845" i="1" s="1"/>
  <c r="BK1845" i="1" s="1"/>
  <c r="BF1845" i="1"/>
  <c r="BG1845" i="1" s="1"/>
  <c r="BO1844" i="1"/>
  <c r="BH1844" i="1"/>
  <c r="BI1844" i="1" s="1"/>
  <c r="BK1844" i="1" s="1"/>
  <c r="BF1844" i="1"/>
  <c r="BG1844" i="1" s="1"/>
  <c r="BO1843" i="1"/>
  <c r="BH1843" i="1"/>
  <c r="BI1843" i="1" s="1"/>
  <c r="BK1843" i="1" s="1"/>
  <c r="BF1843" i="1"/>
  <c r="BG1843" i="1" s="1"/>
  <c r="BO1842" i="1"/>
  <c r="BH1842" i="1"/>
  <c r="BI1842" i="1" s="1"/>
  <c r="BK1842" i="1" s="1"/>
  <c r="BF1842" i="1"/>
  <c r="BG1842" i="1" s="1"/>
  <c r="BO1841" i="1"/>
  <c r="BH1841" i="1"/>
  <c r="BI1841" i="1" s="1"/>
  <c r="BK1841" i="1" s="1"/>
  <c r="BF1841" i="1"/>
  <c r="BG1841" i="1" s="1"/>
  <c r="BO1840" i="1"/>
  <c r="BH1840" i="1"/>
  <c r="BI1840" i="1" s="1"/>
  <c r="BK1840" i="1" s="1"/>
  <c r="BF1840" i="1"/>
  <c r="BG1840" i="1" s="1"/>
  <c r="BO1839" i="1"/>
  <c r="BH1839" i="1"/>
  <c r="BI1839" i="1" s="1"/>
  <c r="BK1839" i="1" s="1"/>
  <c r="BF1839" i="1"/>
  <c r="BG1839" i="1" s="1"/>
  <c r="BO1838" i="1"/>
  <c r="BH1838" i="1"/>
  <c r="BI1838" i="1" s="1"/>
  <c r="BK1838" i="1" s="1"/>
  <c r="BF1838" i="1"/>
  <c r="BG1838" i="1" s="1"/>
  <c r="BO1837" i="1"/>
  <c r="BH1837" i="1"/>
  <c r="BI1837" i="1" s="1"/>
  <c r="BK1837" i="1" s="1"/>
  <c r="BF1837" i="1"/>
  <c r="BG1837" i="1" s="1"/>
  <c r="BO1836" i="1"/>
  <c r="BH1836" i="1"/>
  <c r="BI1836" i="1" s="1"/>
  <c r="BK1836" i="1" s="1"/>
  <c r="BF1836" i="1"/>
  <c r="BG1836" i="1" s="1"/>
  <c r="BO1835" i="1"/>
  <c r="BH1835" i="1"/>
  <c r="BI1835" i="1" s="1"/>
  <c r="BK1835" i="1" s="1"/>
  <c r="BF1835" i="1"/>
  <c r="BG1835" i="1" s="1"/>
  <c r="BO1834" i="1"/>
  <c r="BH1834" i="1"/>
  <c r="BI1834" i="1" s="1"/>
  <c r="BK1834" i="1" s="1"/>
  <c r="BF1834" i="1"/>
  <c r="BG1834" i="1" s="1"/>
  <c r="AZ1849" i="1"/>
  <c r="AW1849" i="1"/>
  <c r="BB1849" i="1" s="1"/>
  <c r="AK1849" i="1"/>
  <c r="AZ1848" i="1"/>
  <c r="AW1848" i="1"/>
  <c r="AY1848" i="1" s="1"/>
  <c r="AK1848" i="1"/>
  <c r="AZ1847" i="1"/>
  <c r="AW1847" i="1"/>
  <c r="AO1847" i="1" s="1"/>
  <c r="AK1847" i="1"/>
  <c r="AZ1846" i="1"/>
  <c r="AW1846" i="1"/>
  <c r="BB1846" i="1" s="1"/>
  <c r="AK1846" i="1"/>
  <c r="AZ1845" i="1"/>
  <c r="AW1845" i="1"/>
  <c r="BB1845" i="1" s="1"/>
  <c r="AK1845" i="1"/>
  <c r="AZ1844" i="1"/>
  <c r="AW1844" i="1"/>
  <c r="AY1844" i="1" s="1"/>
  <c r="AK1844" i="1"/>
  <c r="AZ1843" i="1"/>
  <c r="AW1843" i="1"/>
  <c r="AO1843" i="1" s="1"/>
  <c r="AK1843" i="1"/>
  <c r="AZ1842" i="1"/>
  <c r="AW1842" i="1"/>
  <c r="BB1842" i="1" s="1"/>
  <c r="AK1842" i="1"/>
  <c r="AZ1841" i="1"/>
  <c r="AW1841" i="1"/>
  <c r="BB1841" i="1" s="1"/>
  <c r="AK1841" i="1"/>
  <c r="AZ1840" i="1"/>
  <c r="AW1840" i="1"/>
  <c r="AY1840" i="1" s="1"/>
  <c r="AK1840" i="1"/>
  <c r="AZ1839" i="1"/>
  <c r="AW1839" i="1"/>
  <c r="AO1839" i="1" s="1"/>
  <c r="AK1839" i="1"/>
  <c r="AZ1838" i="1"/>
  <c r="AW1838" i="1"/>
  <c r="BB1838" i="1" s="1"/>
  <c r="AK1838" i="1"/>
  <c r="AZ1837" i="1"/>
  <c r="AW1837" i="1"/>
  <c r="BB1837" i="1" s="1"/>
  <c r="AK1837" i="1"/>
  <c r="AZ1836" i="1"/>
  <c r="AW1836" i="1"/>
  <c r="AY1836" i="1" s="1"/>
  <c r="AK1836" i="1"/>
  <c r="CE1836" i="1" s="1"/>
  <c r="AZ1835" i="1"/>
  <c r="AW1835" i="1"/>
  <c r="BB1835" i="1" s="1"/>
  <c r="AK1835" i="1"/>
  <c r="AZ1834" i="1"/>
  <c r="AW1834" i="1"/>
  <c r="BB1834" i="1" s="1"/>
  <c r="AK1834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Q1825" i="1"/>
  <c r="AQ1824" i="1"/>
  <c r="AQ1823" i="1"/>
  <c r="AL1804" i="1"/>
  <c r="BM1847" i="1" l="1"/>
  <c r="AO1846" i="1"/>
  <c r="AR1846" i="1" s="1"/>
  <c r="BA1836" i="1"/>
  <c r="AR1843" i="1"/>
  <c r="AS1843" i="1" s="1"/>
  <c r="AO1836" i="1"/>
  <c r="AO1848" i="1"/>
  <c r="BM1848" i="1" s="1"/>
  <c r="AO1849" i="1"/>
  <c r="AR1849" i="1" s="1"/>
  <c r="AS1849" i="1" s="1"/>
  <c r="AO1840" i="1"/>
  <c r="BM1840" i="1" s="1"/>
  <c r="AO1834" i="1"/>
  <c r="AR1834" i="1" s="1"/>
  <c r="AS1834" i="1" s="1"/>
  <c r="BA1840" i="1"/>
  <c r="AO1844" i="1"/>
  <c r="AR1844" i="1" s="1"/>
  <c r="AO1837" i="1"/>
  <c r="AR1837" i="1" s="1"/>
  <c r="BB1844" i="1"/>
  <c r="BM1843" i="1"/>
  <c r="AO1842" i="1"/>
  <c r="BM1842" i="1" s="1"/>
  <c r="AO1845" i="1"/>
  <c r="BM1845" i="1" s="1"/>
  <c r="BA1848" i="1"/>
  <c r="AR1839" i="1"/>
  <c r="AS1839" i="1" s="1"/>
  <c r="BM1836" i="1"/>
  <c r="BP1843" i="1"/>
  <c r="BB1840" i="1"/>
  <c r="BM1846" i="1"/>
  <c r="AO1838" i="1"/>
  <c r="BM1838" i="1" s="1"/>
  <c r="AO1841" i="1"/>
  <c r="BM1841" i="1" s="1"/>
  <c r="BA1844" i="1"/>
  <c r="BM1839" i="1"/>
  <c r="BB1836" i="1"/>
  <c r="BB1848" i="1"/>
  <c r="AR1836" i="1"/>
  <c r="AR1848" i="1"/>
  <c r="AR1847" i="1"/>
  <c r="AY1834" i="1"/>
  <c r="BA1834" i="1" s="1"/>
  <c r="BB1839" i="1"/>
  <c r="BB1843" i="1"/>
  <c r="BB1847" i="1"/>
  <c r="AY1835" i="1"/>
  <c r="BA1835" i="1" s="1"/>
  <c r="AY1843" i="1"/>
  <c r="BA1843" i="1" s="1"/>
  <c r="AY1842" i="1"/>
  <c r="BA1842" i="1" s="1"/>
  <c r="AY1846" i="1"/>
  <c r="BA1846" i="1" s="1"/>
  <c r="AY1837" i="1"/>
  <c r="BA1837" i="1" s="1"/>
  <c r="AY1841" i="1"/>
  <c r="BA1841" i="1" s="1"/>
  <c r="AY1839" i="1"/>
  <c r="BA1839" i="1" s="1"/>
  <c r="AY1847" i="1"/>
  <c r="BA1847" i="1" s="1"/>
  <c r="AY1838" i="1"/>
  <c r="BA1838" i="1" s="1"/>
  <c r="AY1849" i="1"/>
  <c r="BA1849" i="1" s="1"/>
  <c r="AO1835" i="1"/>
  <c r="BM1835" i="1" s="1"/>
  <c r="AY1845" i="1"/>
  <c r="BA1845" i="1" s="1"/>
  <c r="AQ1804" i="1"/>
  <c r="AS1846" i="1" l="1"/>
  <c r="BP1846" i="1"/>
  <c r="AR1840" i="1"/>
  <c r="AS1840" i="1" s="1"/>
  <c r="BM1849" i="1"/>
  <c r="BM1844" i="1"/>
  <c r="BM1834" i="1"/>
  <c r="BM1837" i="1"/>
  <c r="BP1834" i="1"/>
  <c r="BP1839" i="1"/>
  <c r="AS1837" i="1"/>
  <c r="BP1837" i="1"/>
  <c r="AR1845" i="1"/>
  <c r="AS1845" i="1" s="1"/>
  <c r="AR1842" i="1"/>
  <c r="BP1849" i="1"/>
  <c r="AS1836" i="1"/>
  <c r="CB1836" i="1" s="1"/>
  <c r="CC1836" i="1" s="1"/>
  <c r="BP1836" i="1"/>
  <c r="AR1838" i="1"/>
  <c r="AS1844" i="1"/>
  <c r="BP1844" i="1"/>
  <c r="AR1841" i="1"/>
  <c r="AS1847" i="1"/>
  <c r="BP1847" i="1"/>
  <c r="AR1835" i="1"/>
  <c r="AS1848" i="1"/>
  <c r="BP1848" i="1"/>
  <c r="AK1778" i="1"/>
  <c r="BP1840" i="1" l="1"/>
  <c r="BP1845" i="1"/>
  <c r="AS1842" i="1"/>
  <c r="BP1842" i="1"/>
  <c r="AS1835" i="1"/>
  <c r="BP1835" i="1"/>
  <c r="AS1841" i="1"/>
  <c r="BP1841" i="1"/>
  <c r="AS1838" i="1"/>
  <c r="BP1838" i="1"/>
  <c r="CG1778" i="1"/>
  <c r="AD1833" i="1" l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M1825" i="1"/>
  <c r="AL1825" i="1"/>
  <c r="AN1824" i="1"/>
  <c r="AM1824" i="1"/>
  <c r="AL1824" i="1"/>
  <c r="AN1823" i="1"/>
  <c r="AM1823" i="1"/>
  <c r="AL1823" i="1"/>
  <c r="BO1833" i="1" l="1"/>
  <c r="BH1833" i="1"/>
  <c r="BI1833" i="1" s="1"/>
  <c r="BK1833" i="1" s="1"/>
  <c r="BF1833" i="1"/>
  <c r="BG1833" i="1" s="1"/>
  <c r="BO1832" i="1"/>
  <c r="BH1832" i="1"/>
  <c r="BI1832" i="1" s="1"/>
  <c r="BK1832" i="1" s="1"/>
  <c r="BF1832" i="1"/>
  <c r="BG1832" i="1" s="1"/>
  <c r="BO1831" i="1"/>
  <c r="BH1831" i="1"/>
  <c r="BI1831" i="1" s="1"/>
  <c r="BK1831" i="1" s="1"/>
  <c r="BF1831" i="1"/>
  <c r="BG1831" i="1" s="1"/>
  <c r="BO1830" i="1"/>
  <c r="BH1830" i="1"/>
  <c r="BI1830" i="1" s="1"/>
  <c r="BK1830" i="1" s="1"/>
  <c r="BF1830" i="1"/>
  <c r="BG1830" i="1" s="1"/>
  <c r="BO1829" i="1"/>
  <c r="BH1829" i="1"/>
  <c r="BI1829" i="1" s="1"/>
  <c r="BK1829" i="1" s="1"/>
  <c r="BF1829" i="1"/>
  <c r="BG1829" i="1" s="1"/>
  <c r="BO1828" i="1"/>
  <c r="BH1828" i="1"/>
  <c r="BI1828" i="1" s="1"/>
  <c r="BK1828" i="1" s="1"/>
  <c r="BF1828" i="1"/>
  <c r="BG1828" i="1" s="1"/>
  <c r="BO1827" i="1"/>
  <c r="BH1827" i="1"/>
  <c r="BI1827" i="1" s="1"/>
  <c r="BK1827" i="1" s="1"/>
  <c r="BF1827" i="1"/>
  <c r="BG1827" i="1" s="1"/>
  <c r="BO1826" i="1"/>
  <c r="BH1826" i="1"/>
  <c r="BI1826" i="1" s="1"/>
  <c r="BK1826" i="1" s="1"/>
  <c r="BF1826" i="1"/>
  <c r="BG1826" i="1" s="1"/>
  <c r="BO1825" i="1"/>
  <c r="BH1825" i="1"/>
  <c r="BI1825" i="1" s="1"/>
  <c r="BK1825" i="1" s="1"/>
  <c r="BF1825" i="1"/>
  <c r="BG1825" i="1" s="1"/>
  <c r="AZ1833" i="1"/>
  <c r="AW1833" i="1"/>
  <c r="BB1833" i="1" s="1"/>
  <c r="AK1833" i="1"/>
  <c r="AZ1832" i="1"/>
  <c r="AW1832" i="1"/>
  <c r="AY1832" i="1" s="1"/>
  <c r="AK1832" i="1"/>
  <c r="AZ1831" i="1"/>
  <c r="AW1831" i="1"/>
  <c r="BB1831" i="1" s="1"/>
  <c r="AK1831" i="1"/>
  <c r="AZ1830" i="1"/>
  <c r="AW1830" i="1"/>
  <c r="BB1830" i="1" s="1"/>
  <c r="AK1830" i="1"/>
  <c r="AZ1829" i="1"/>
  <c r="AW1829" i="1"/>
  <c r="BB1829" i="1" s="1"/>
  <c r="AK1829" i="1"/>
  <c r="AZ1828" i="1"/>
  <c r="AW1828" i="1"/>
  <c r="BB1828" i="1" s="1"/>
  <c r="AK1828" i="1"/>
  <c r="AZ1827" i="1"/>
  <c r="AW1827" i="1"/>
  <c r="AO1827" i="1" s="1"/>
  <c r="AK1827" i="1"/>
  <c r="AZ1826" i="1"/>
  <c r="AW1826" i="1"/>
  <c r="BB1826" i="1" s="1"/>
  <c r="AK1826" i="1"/>
  <c r="AZ1825" i="1"/>
  <c r="AW1825" i="1"/>
  <c r="BB1825" i="1" s="1"/>
  <c r="AK1825" i="1"/>
  <c r="AO1826" i="1" l="1"/>
  <c r="AR1826" i="1" s="1"/>
  <c r="AS1826" i="1" s="1"/>
  <c r="BA1832" i="1"/>
  <c r="AO1829" i="1"/>
  <c r="AR1829" i="1" s="1"/>
  <c r="AO1825" i="1"/>
  <c r="BM1825" i="1" s="1"/>
  <c r="BM1827" i="1"/>
  <c r="AO1828" i="1"/>
  <c r="AR1828" i="1" s="1"/>
  <c r="BM1829" i="1"/>
  <c r="AO1832" i="1"/>
  <c r="BM1832" i="1" s="1"/>
  <c r="AR1827" i="1"/>
  <c r="BB1832" i="1"/>
  <c r="AY1828" i="1"/>
  <c r="BA1828" i="1" s="1"/>
  <c r="AO1830" i="1"/>
  <c r="BM1830" i="1" s="1"/>
  <c r="AO1833" i="1"/>
  <c r="AR1833" i="1" s="1"/>
  <c r="AY1831" i="1"/>
  <c r="BA1831" i="1" s="1"/>
  <c r="AY1827" i="1"/>
  <c r="BA1827" i="1" s="1"/>
  <c r="AY1826" i="1"/>
  <c r="BA1826" i="1" s="1"/>
  <c r="BB1827" i="1"/>
  <c r="AY1830" i="1"/>
  <c r="BA1830" i="1" s="1"/>
  <c r="AO1831" i="1"/>
  <c r="AR1831" i="1" s="1"/>
  <c r="AY1825" i="1"/>
  <c r="BA1825" i="1" s="1"/>
  <c r="AY1829" i="1"/>
  <c r="BA1829" i="1" s="1"/>
  <c r="AY1833" i="1"/>
  <c r="BA1833" i="1" s="1"/>
  <c r="AN1812" i="1"/>
  <c r="AM1812" i="1"/>
  <c r="X1806" i="1"/>
  <c r="X1805" i="1"/>
  <c r="AN1804" i="1"/>
  <c r="AM1804" i="1"/>
  <c r="AN1778" i="1"/>
  <c r="AM1778" i="1"/>
  <c r="AL1778" i="1"/>
  <c r="BM1826" i="1" l="1"/>
  <c r="AR1825" i="1"/>
  <c r="AS1825" i="1" s="1"/>
  <c r="AS1829" i="1"/>
  <c r="BP1829" i="1"/>
  <c r="BP1826" i="1"/>
  <c r="BM1828" i="1"/>
  <c r="AS1828" i="1"/>
  <c r="BP1828" i="1"/>
  <c r="AR1832" i="1"/>
  <c r="BM1833" i="1"/>
  <c r="AS1833" i="1"/>
  <c r="BP1833" i="1"/>
  <c r="AS1831" i="1"/>
  <c r="BP1831" i="1"/>
  <c r="AS1827" i="1"/>
  <c r="BP1827" i="1"/>
  <c r="AR1830" i="1"/>
  <c r="BM1831" i="1"/>
  <c r="BO1824" i="1"/>
  <c r="BH1824" i="1"/>
  <c r="BI1824" i="1" s="1"/>
  <c r="BK1824" i="1" s="1"/>
  <c r="BF1824" i="1"/>
  <c r="BG1824" i="1" s="1"/>
  <c r="BO1823" i="1"/>
  <c r="BH1823" i="1"/>
  <c r="BI1823" i="1" s="1"/>
  <c r="BK1823" i="1" s="1"/>
  <c r="BF1823" i="1"/>
  <c r="BG1823" i="1" s="1"/>
  <c r="BO1822" i="1"/>
  <c r="BH1822" i="1"/>
  <c r="BI1822" i="1" s="1"/>
  <c r="BK1822" i="1" s="1"/>
  <c r="BF1822" i="1"/>
  <c r="BG1822" i="1" s="1"/>
  <c r="BO1821" i="1"/>
  <c r="BH1821" i="1"/>
  <c r="BI1821" i="1" s="1"/>
  <c r="BK1821" i="1" s="1"/>
  <c r="BF1821" i="1"/>
  <c r="BG1821" i="1" s="1"/>
  <c r="BO1820" i="1"/>
  <c r="BH1820" i="1"/>
  <c r="BI1820" i="1" s="1"/>
  <c r="BK1820" i="1" s="1"/>
  <c r="BF1820" i="1"/>
  <c r="BG1820" i="1" s="1"/>
  <c r="BO1819" i="1"/>
  <c r="BH1819" i="1"/>
  <c r="BI1819" i="1" s="1"/>
  <c r="BK1819" i="1" s="1"/>
  <c r="BF1819" i="1"/>
  <c r="BG1819" i="1" s="1"/>
  <c r="BO1818" i="1"/>
  <c r="BH1818" i="1"/>
  <c r="BI1818" i="1" s="1"/>
  <c r="BK1818" i="1" s="1"/>
  <c r="BF1818" i="1"/>
  <c r="BG1818" i="1" s="1"/>
  <c r="BO1817" i="1"/>
  <c r="BH1817" i="1"/>
  <c r="BI1817" i="1" s="1"/>
  <c r="BK1817" i="1" s="1"/>
  <c r="BF1817" i="1"/>
  <c r="BG1817" i="1" s="1"/>
  <c r="BO1816" i="1"/>
  <c r="BH1816" i="1"/>
  <c r="BI1816" i="1" s="1"/>
  <c r="BK1816" i="1" s="1"/>
  <c r="BF1816" i="1"/>
  <c r="BG1816" i="1" s="1"/>
  <c r="BO1815" i="1"/>
  <c r="BH1815" i="1"/>
  <c r="BI1815" i="1" s="1"/>
  <c r="BK1815" i="1" s="1"/>
  <c r="BF1815" i="1"/>
  <c r="BG1815" i="1" s="1"/>
  <c r="BO1814" i="1"/>
  <c r="BH1814" i="1"/>
  <c r="BI1814" i="1" s="1"/>
  <c r="BK1814" i="1" s="1"/>
  <c r="BF1814" i="1"/>
  <c r="BG1814" i="1" s="1"/>
  <c r="BO1813" i="1"/>
  <c r="BH1813" i="1"/>
  <c r="BI1813" i="1" s="1"/>
  <c r="BK1813" i="1" s="1"/>
  <c r="BF1813" i="1"/>
  <c r="BG1813" i="1" s="1"/>
  <c r="BO1812" i="1"/>
  <c r="BH1812" i="1"/>
  <c r="BI1812" i="1" s="1"/>
  <c r="BK1812" i="1" s="1"/>
  <c r="BF1812" i="1"/>
  <c r="BG1812" i="1" s="1"/>
  <c r="BO1811" i="1"/>
  <c r="BH1811" i="1"/>
  <c r="BI1811" i="1" s="1"/>
  <c r="BK1811" i="1" s="1"/>
  <c r="BF1811" i="1"/>
  <c r="BG1811" i="1" s="1"/>
  <c r="BO1810" i="1"/>
  <c r="BH1810" i="1"/>
  <c r="BI1810" i="1" s="1"/>
  <c r="BK1810" i="1" s="1"/>
  <c r="BF1810" i="1"/>
  <c r="BG1810" i="1" s="1"/>
  <c r="BO1809" i="1"/>
  <c r="BH1809" i="1"/>
  <c r="BI1809" i="1" s="1"/>
  <c r="BK1809" i="1" s="1"/>
  <c r="BF1809" i="1"/>
  <c r="BG1809" i="1" s="1"/>
  <c r="BO1808" i="1"/>
  <c r="BH1808" i="1"/>
  <c r="BI1808" i="1" s="1"/>
  <c r="BK1808" i="1" s="1"/>
  <c r="BF1808" i="1"/>
  <c r="BG1808" i="1" s="1"/>
  <c r="BO1807" i="1"/>
  <c r="BH1807" i="1"/>
  <c r="BI1807" i="1" s="1"/>
  <c r="BK1807" i="1" s="1"/>
  <c r="BF1807" i="1"/>
  <c r="BG1807" i="1" s="1"/>
  <c r="BO1806" i="1"/>
  <c r="BH1806" i="1"/>
  <c r="BI1806" i="1" s="1"/>
  <c r="BK1806" i="1" s="1"/>
  <c r="BF1806" i="1"/>
  <c r="BG1806" i="1" s="1"/>
  <c r="BO1805" i="1"/>
  <c r="BH1805" i="1"/>
  <c r="BI1805" i="1" s="1"/>
  <c r="BK1805" i="1" s="1"/>
  <c r="BF1805" i="1"/>
  <c r="BG1805" i="1" s="1"/>
  <c r="BO1804" i="1"/>
  <c r="BH1804" i="1"/>
  <c r="BI1804" i="1" s="1"/>
  <c r="BK1804" i="1" s="1"/>
  <c r="BF1804" i="1"/>
  <c r="BG1804" i="1" s="1"/>
  <c r="AZ1824" i="1"/>
  <c r="AW1824" i="1"/>
  <c r="AO1824" i="1" s="1"/>
  <c r="AK1824" i="1"/>
  <c r="AZ1823" i="1"/>
  <c r="AW1823" i="1"/>
  <c r="AK1823" i="1"/>
  <c r="AZ1822" i="1"/>
  <c r="AW1822" i="1"/>
  <c r="AO1822" i="1" s="1"/>
  <c r="AK1822" i="1"/>
  <c r="AZ1821" i="1"/>
  <c r="AW1821" i="1"/>
  <c r="AK1821" i="1"/>
  <c r="AZ1820" i="1"/>
  <c r="AW1820" i="1"/>
  <c r="AY1820" i="1" s="1"/>
  <c r="AK1820" i="1"/>
  <c r="AZ1819" i="1"/>
  <c r="AW1819" i="1"/>
  <c r="AK1819" i="1"/>
  <c r="AZ1818" i="1"/>
  <c r="AW1818" i="1"/>
  <c r="AO1818" i="1" s="1"/>
  <c r="AK1818" i="1"/>
  <c r="AZ1817" i="1"/>
  <c r="AW1817" i="1"/>
  <c r="AY1817" i="1" s="1"/>
  <c r="AK1817" i="1"/>
  <c r="AZ1816" i="1"/>
  <c r="AW1816" i="1"/>
  <c r="BB1816" i="1" s="1"/>
  <c r="AK1816" i="1"/>
  <c r="AZ1815" i="1"/>
  <c r="AW1815" i="1"/>
  <c r="AY1815" i="1" s="1"/>
  <c r="AK1815" i="1"/>
  <c r="AZ1814" i="1"/>
  <c r="AW1814" i="1"/>
  <c r="AK1814" i="1"/>
  <c r="AZ1813" i="1"/>
  <c r="AW1813" i="1"/>
  <c r="AK1813" i="1"/>
  <c r="AZ1812" i="1"/>
  <c r="AW1812" i="1"/>
  <c r="AK1812" i="1"/>
  <c r="AZ1811" i="1"/>
  <c r="AW1811" i="1"/>
  <c r="BB1811" i="1" s="1"/>
  <c r="AK1811" i="1"/>
  <c r="AZ1810" i="1"/>
  <c r="AW1810" i="1"/>
  <c r="AK1810" i="1"/>
  <c r="AZ1809" i="1"/>
  <c r="AW1809" i="1"/>
  <c r="AK1809" i="1"/>
  <c r="AZ1808" i="1"/>
  <c r="AW1808" i="1"/>
  <c r="AK1808" i="1"/>
  <c r="AZ1807" i="1"/>
  <c r="AW1807" i="1"/>
  <c r="AK1807" i="1"/>
  <c r="AZ1806" i="1"/>
  <c r="AW1806" i="1"/>
  <c r="AK1806" i="1"/>
  <c r="AZ1805" i="1"/>
  <c r="AW1805" i="1"/>
  <c r="AK1805" i="1"/>
  <c r="AZ1804" i="1"/>
  <c r="AW1804" i="1"/>
  <c r="CE1804" i="1"/>
  <c r="BP1825" i="1" l="1"/>
  <c r="AS1832" i="1"/>
  <c r="BP1832" i="1"/>
  <c r="AS1830" i="1"/>
  <c r="BP1830" i="1"/>
  <c r="BB1807" i="1"/>
  <c r="AO1807" i="1"/>
  <c r="AR1807" i="1" s="1"/>
  <c r="AY1823" i="1"/>
  <c r="BA1823" i="1" s="1"/>
  <c r="AO1823" i="1"/>
  <c r="BM1823" i="1" s="1"/>
  <c r="AY1808" i="1"/>
  <c r="BA1808" i="1" s="1"/>
  <c r="AO1808" i="1"/>
  <c r="AY1805" i="1"/>
  <c r="BA1805" i="1" s="1"/>
  <c r="AO1805" i="1"/>
  <c r="AR1805" i="1" s="1"/>
  <c r="BB1809" i="1"/>
  <c r="AO1809" i="1"/>
  <c r="AR1809" i="1" s="1"/>
  <c r="BB1813" i="1"/>
  <c r="AO1813" i="1"/>
  <c r="AR1813" i="1" s="1"/>
  <c r="AS1813" i="1" s="1"/>
  <c r="BB1821" i="1"/>
  <c r="AO1821" i="1"/>
  <c r="AR1821" i="1" s="1"/>
  <c r="AY1806" i="1"/>
  <c r="BA1806" i="1" s="1"/>
  <c r="AO1806" i="1"/>
  <c r="BM1806" i="1" s="1"/>
  <c r="BB1814" i="1"/>
  <c r="AO1814" i="1"/>
  <c r="BM1814" i="1" s="1"/>
  <c r="BB1804" i="1"/>
  <c r="AO1804" i="1"/>
  <c r="BM1804" i="1" s="1"/>
  <c r="AY1812" i="1"/>
  <c r="BA1812" i="1" s="1"/>
  <c r="AO1812" i="1"/>
  <c r="BM1812" i="1" s="1"/>
  <c r="BB1824" i="1"/>
  <c r="AR1824" i="1"/>
  <c r="BA1817" i="1"/>
  <c r="BB1815" i="1"/>
  <c r="AR1815" i="1"/>
  <c r="AR1817" i="1"/>
  <c r="BB1806" i="1"/>
  <c r="BM1816" i="1"/>
  <c r="BM1810" i="1"/>
  <c r="BM1818" i="1"/>
  <c r="BM1822" i="1"/>
  <c r="AR1819" i="1"/>
  <c r="AS1819" i="1" s="1"/>
  <c r="BA1820" i="1"/>
  <c r="AY1804" i="1"/>
  <c r="BA1804" i="1" s="1"/>
  <c r="AY1816" i="1"/>
  <c r="BA1816" i="1" s="1"/>
  <c r="BB1817" i="1"/>
  <c r="AR1818" i="1"/>
  <c r="AR1810" i="1"/>
  <c r="BB1818" i="1"/>
  <c r="BA1815" i="1"/>
  <c r="BM1819" i="1"/>
  <c r="AR1822" i="1"/>
  <c r="BB1805" i="1"/>
  <c r="AY1818" i="1"/>
  <c r="BA1818" i="1" s="1"/>
  <c r="AR1816" i="1"/>
  <c r="BB1823" i="1"/>
  <c r="AY1807" i="1"/>
  <c r="BA1807" i="1" s="1"/>
  <c r="AY1819" i="1"/>
  <c r="BA1819" i="1" s="1"/>
  <c r="BB1808" i="1"/>
  <c r="AY1811" i="1"/>
  <c r="BA1811" i="1" s="1"/>
  <c r="AY1824" i="1"/>
  <c r="BA1824" i="1" s="1"/>
  <c r="AY1814" i="1"/>
  <c r="BA1814" i="1" s="1"/>
  <c r="BB1812" i="1"/>
  <c r="AR1820" i="1"/>
  <c r="BB1819" i="1"/>
  <c r="BB1820" i="1"/>
  <c r="AY1813" i="1"/>
  <c r="BA1813" i="1" s="1"/>
  <c r="AY1809" i="1"/>
  <c r="BA1809" i="1" s="1"/>
  <c r="AY1821" i="1"/>
  <c r="BA1821" i="1" s="1"/>
  <c r="AY1810" i="1"/>
  <c r="BA1810" i="1" s="1"/>
  <c r="AY1822" i="1"/>
  <c r="BA1822" i="1" s="1"/>
  <c r="BB1810" i="1"/>
  <c r="BB1822" i="1"/>
  <c r="BO1803" i="1"/>
  <c r="BH1803" i="1"/>
  <c r="BI1803" i="1" s="1"/>
  <c r="BK1803" i="1" s="1"/>
  <c r="BF1803" i="1"/>
  <c r="BG1803" i="1" s="1"/>
  <c r="BO1802" i="1"/>
  <c r="BH1802" i="1"/>
  <c r="BI1802" i="1" s="1"/>
  <c r="BK1802" i="1" s="1"/>
  <c r="BF1802" i="1"/>
  <c r="BG1802" i="1" s="1"/>
  <c r="BO1801" i="1"/>
  <c r="BH1801" i="1"/>
  <c r="BI1801" i="1" s="1"/>
  <c r="BK1801" i="1" s="1"/>
  <c r="BF1801" i="1"/>
  <c r="BG1801" i="1" s="1"/>
  <c r="BO1800" i="1"/>
  <c r="BH1800" i="1"/>
  <c r="BI1800" i="1" s="1"/>
  <c r="BK1800" i="1" s="1"/>
  <c r="BF1800" i="1"/>
  <c r="BG1800" i="1" s="1"/>
  <c r="BO1799" i="1"/>
  <c r="BH1799" i="1"/>
  <c r="BI1799" i="1" s="1"/>
  <c r="BK1799" i="1" s="1"/>
  <c r="BF1799" i="1"/>
  <c r="BG1799" i="1" s="1"/>
  <c r="BO1798" i="1"/>
  <c r="BH1798" i="1"/>
  <c r="BI1798" i="1" s="1"/>
  <c r="BK1798" i="1" s="1"/>
  <c r="BF1798" i="1"/>
  <c r="BG1798" i="1" s="1"/>
  <c r="BO1797" i="1"/>
  <c r="BH1797" i="1"/>
  <c r="BI1797" i="1" s="1"/>
  <c r="BK1797" i="1" s="1"/>
  <c r="BF1797" i="1"/>
  <c r="BG1797" i="1" s="1"/>
  <c r="BO1796" i="1"/>
  <c r="BH1796" i="1"/>
  <c r="BI1796" i="1" s="1"/>
  <c r="BK1796" i="1" s="1"/>
  <c r="BF1796" i="1"/>
  <c r="BG1796" i="1" s="1"/>
  <c r="BO1795" i="1"/>
  <c r="BH1795" i="1"/>
  <c r="BI1795" i="1" s="1"/>
  <c r="BK1795" i="1" s="1"/>
  <c r="BF1795" i="1"/>
  <c r="BG1795" i="1" s="1"/>
  <c r="BO1794" i="1"/>
  <c r="BH1794" i="1"/>
  <c r="BI1794" i="1" s="1"/>
  <c r="BK1794" i="1" s="1"/>
  <c r="BF1794" i="1"/>
  <c r="BG1794" i="1" s="1"/>
  <c r="BO1793" i="1"/>
  <c r="BH1793" i="1"/>
  <c r="BI1793" i="1" s="1"/>
  <c r="BK1793" i="1" s="1"/>
  <c r="BF1793" i="1"/>
  <c r="BG1793" i="1" s="1"/>
  <c r="BO1792" i="1"/>
  <c r="BH1792" i="1"/>
  <c r="BI1792" i="1" s="1"/>
  <c r="BK1792" i="1" s="1"/>
  <c r="BF1792" i="1"/>
  <c r="BG1792" i="1" s="1"/>
  <c r="BO1791" i="1"/>
  <c r="BH1791" i="1"/>
  <c r="BI1791" i="1" s="1"/>
  <c r="BK1791" i="1" s="1"/>
  <c r="BF1791" i="1"/>
  <c r="BG1791" i="1" s="1"/>
  <c r="BO1790" i="1"/>
  <c r="BH1790" i="1"/>
  <c r="BI1790" i="1" s="1"/>
  <c r="BK1790" i="1" s="1"/>
  <c r="BF1790" i="1"/>
  <c r="BG1790" i="1" s="1"/>
  <c r="BO1789" i="1"/>
  <c r="BH1789" i="1"/>
  <c r="BI1789" i="1" s="1"/>
  <c r="BK1789" i="1" s="1"/>
  <c r="BF1789" i="1"/>
  <c r="BG1789" i="1" s="1"/>
  <c r="BO1788" i="1"/>
  <c r="BH1788" i="1"/>
  <c r="BI1788" i="1" s="1"/>
  <c r="BK1788" i="1" s="1"/>
  <c r="BF1788" i="1"/>
  <c r="BG1788" i="1" s="1"/>
  <c r="BO1787" i="1"/>
  <c r="BH1787" i="1"/>
  <c r="BI1787" i="1" s="1"/>
  <c r="BK1787" i="1" s="1"/>
  <c r="BF1787" i="1"/>
  <c r="BG1787" i="1" s="1"/>
  <c r="BO1786" i="1"/>
  <c r="BH1786" i="1"/>
  <c r="BI1786" i="1" s="1"/>
  <c r="BK1786" i="1" s="1"/>
  <c r="BF1786" i="1"/>
  <c r="BG1786" i="1" s="1"/>
  <c r="BO1785" i="1"/>
  <c r="BH1785" i="1"/>
  <c r="BI1785" i="1" s="1"/>
  <c r="BK1785" i="1" s="1"/>
  <c r="BF1785" i="1"/>
  <c r="BG1785" i="1" s="1"/>
  <c r="BO1784" i="1"/>
  <c r="BH1784" i="1"/>
  <c r="BI1784" i="1" s="1"/>
  <c r="BK1784" i="1" s="1"/>
  <c r="BF1784" i="1"/>
  <c r="BG1784" i="1" s="1"/>
  <c r="BO1783" i="1"/>
  <c r="BH1783" i="1"/>
  <c r="BI1783" i="1" s="1"/>
  <c r="BK1783" i="1" s="1"/>
  <c r="BF1783" i="1"/>
  <c r="BG1783" i="1" s="1"/>
  <c r="BO1782" i="1"/>
  <c r="BH1782" i="1"/>
  <c r="BI1782" i="1" s="1"/>
  <c r="BK1782" i="1" s="1"/>
  <c r="BF1782" i="1"/>
  <c r="BG1782" i="1" s="1"/>
  <c r="BO1781" i="1"/>
  <c r="BH1781" i="1"/>
  <c r="BI1781" i="1" s="1"/>
  <c r="BK1781" i="1" s="1"/>
  <c r="BF1781" i="1"/>
  <c r="BG1781" i="1" s="1"/>
  <c r="BO1780" i="1"/>
  <c r="BH1780" i="1"/>
  <c r="BI1780" i="1" s="1"/>
  <c r="BK1780" i="1" s="1"/>
  <c r="BF1780" i="1"/>
  <c r="BG1780" i="1" s="1"/>
  <c r="BO1779" i="1"/>
  <c r="BH1779" i="1"/>
  <c r="BI1779" i="1" s="1"/>
  <c r="BK1779" i="1" s="1"/>
  <c r="BF1779" i="1"/>
  <c r="BG1779" i="1" s="1"/>
  <c r="BO1778" i="1"/>
  <c r="BH1778" i="1"/>
  <c r="BI1778" i="1" s="1"/>
  <c r="BK1778" i="1" s="1"/>
  <c r="BF1778" i="1"/>
  <c r="BG1778" i="1" s="1"/>
  <c r="AZ1803" i="1"/>
  <c r="AW1803" i="1"/>
  <c r="AK1803" i="1"/>
  <c r="AZ1802" i="1"/>
  <c r="AW1802" i="1"/>
  <c r="AY1802" i="1" s="1"/>
  <c r="AK1802" i="1"/>
  <c r="AZ1801" i="1"/>
  <c r="AW1801" i="1"/>
  <c r="AK1801" i="1"/>
  <c r="AZ1800" i="1"/>
  <c r="AW1800" i="1"/>
  <c r="AO1800" i="1" s="1"/>
  <c r="AK1800" i="1"/>
  <c r="AZ1799" i="1"/>
  <c r="AW1799" i="1"/>
  <c r="BB1799" i="1" s="1"/>
  <c r="AK1799" i="1"/>
  <c r="AZ1798" i="1"/>
  <c r="AW1798" i="1"/>
  <c r="AY1798" i="1" s="1"/>
  <c r="AK1798" i="1"/>
  <c r="AZ1797" i="1"/>
  <c r="AW1797" i="1"/>
  <c r="AY1797" i="1" s="1"/>
  <c r="AK1797" i="1"/>
  <c r="AZ1796" i="1"/>
  <c r="AW1796" i="1"/>
  <c r="AK1796" i="1"/>
  <c r="AZ1795" i="1"/>
  <c r="AW1795" i="1"/>
  <c r="AK1795" i="1"/>
  <c r="AZ1794" i="1"/>
  <c r="AW1794" i="1"/>
  <c r="AK1794" i="1"/>
  <c r="AZ1793" i="1"/>
  <c r="AW1793" i="1"/>
  <c r="BB1793" i="1" s="1"/>
  <c r="AK1793" i="1"/>
  <c r="AZ1792" i="1"/>
  <c r="AW1792" i="1"/>
  <c r="AK1792" i="1"/>
  <c r="AZ1791" i="1"/>
  <c r="AW1791" i="1"/>
  <c r="AO1791" i="1" s="1"/>
  <c r="AK1791" i="1"/>
  <c r="AZ1790" i="1"/>
  <c r="AW1790" i="1"/>
  <c r="AK1790" i="1"/>
  <c r="AZ1789" i="1"/>
  <c r="AW1789" i="1"/>
  <c r="AK1789" i="1"/>
  <c r="AZ1788" i="1"/>
  <c r="AW1788" i="1"/>
  <c r="AO1788" i="1" s="1"/>
  <c r="AK1788" i="1"/>
  <c r="AZ1787" i="1"/>
  <c r="AW1787" i="1"/>
  <c r="AY1787" i="1" s="1"/>
  <c r="AK1787" i="1"/>
  <c r="AZ1786" i="1"/>
  <c r="AW1786" i="1"/>
  <c r="AY1786" i="1" s="1"/>
  <c r="AK1786" i="1"/>
  <c r="AZ1785" i="1"/>
  <c r="AW1785" i="1"/>
  <c r="AY1785" i="1" s="1"/>
  <c r="AK1785" i="1"/>
  <c r="AZ1784" i="1"/>
  <c r="AW1784" i="1"/>
  <c r="AK1784" i="1"/>
  <c r="AZ1783" i="1"/>
  <c r="AW1783" i="1"/>
  <c r="AK1783" i="1"/>
  <c r="AZ1782" i="1"/>
  <c r="AW1782" i="1"/>
  <c r="AK1782" i="1"/>
  <c r="AZ1781" i="1"/>
  <c r="AW1781" i="1"/>
  <c r="AK1781" i="1"/>
  <c r="AZ1780" i="1"/>
  <c r="AW1780" i="1"/>
  <c r="AO1780" i="1" s="1"/>
  <c r="AK1780" i="1"/>
  <c r="AZ1779" i="1"/>
  <c r="AW1779" i="1"/>
  <c r="AO1779" i="1" s="1"/>
  <c r="AK1779" i="1"/>
  <c r="AZ1778" i="1"/>
  <c r="AW1778" i="1"/>
  <c r="AD1782" i="1"/>
  <c r="AD1781" i="1"/>
  <c r="AD1780" i="1"/>
  <c r="AD1779" i="1"/>
  <c r="AD1778" i="1"/>
  <c r="BM1805" i="1" l="1"/>
  <c r="AR1823" i="1"/>
  <c r="AS1823" i="1" s="1"/>
  <c r="BM1813" i="1"/>
  <c r="BB1783" i="1"/>
  <c r="AO1783" i="1"/>
  <c r="BM1783" i="1" s="1"/>
  <c r="BB1795" i="1"/>
  <c r="AO1795" i="1"/>
  <c r="AR1795" i="1" s="1"/>
  <c r="AR1814" i="1"/>
  <c r="AS1814" i="1" s="1"/>
  <c r="BM1824" i="1"/>
  <c r="AY1784" i="1"/>
  <c r="BA1784" i="1" s="1"/>
  <c r="AO1784" i="1"/>
  <c r="BM1784" i="1" s="1"/>
  <c r="AY1796" i="1"/>
  <c r="BA1796" i="1" s="1"/>
  <c r="AO1796" i="1"/>
  <c r="AR1796" i="1" s="1"/>
  <c r="BB1781" i="1"/>
  <c r="AO1781" i="1"/>
  <c r="AR1781" i="1" s="1"/>
  <c r="AY1778" i="1"/>
  <c r="BA1778" i="1" s="1"/>
  <c r="AO1778" i="1"/>
  <c r="BB1782" i="1"/>
  <c r="AO1782" i="1"/>
  <c r="BM1782" i="1" s="1"/>
  <c r="BB1794" i="1"/>
  <c r="AO1794" i="1"/>
  <c r="AR1794" i="1" s="1"/>
  <c r="BA1798" i="1"/>
  <c r="BM1817" i="1"/>
  <c r="AR1812" i="1"/>
  <c r="BP1812" i="1" s="1"/>
  <c r="AS1815" i="1"/>
  <c r="BP1815" i="1"/>
  <c r="AR1804" i="1"/>
  <c r="AS1804" i="1" s="1"/>
  <c r="CB1804" i="1" s="1"/>
  <c r="CC1804" i="1" s="1"/>
  <c r="BM1815" i="1"/>
  <c r="AR1806" i="1"/>
  <c r="AS1806" i="1" s="1"/>
  <c r="BP1819" i="1"/>
  <c r="BP1813" i="1"/>
  <c r="BM1800" i="1"/>
  <c r="BM1807" i="1"/>
  <c r="AS1805" i="1"/>
  <c r="BP1805" i="1"/>
  <c r="AS1816" i="1"/>
  <c r="BP1816" i="1"/>
  <c r="AS1817" i="1"/>
  <c r="BP1817" i="1"/>
  <c r="AS1807" i="1"/>
  <c r="BP1807" i="1"/>
  <c r="AS1824" i="1"/>
  <c r="BP1824" i="1"/>
  <c r="AR1811" i="1"/>
  <c r="BM1811" i="1"/>
  <c r="AS1821" i="1"/>
  <c r="BP1821" i="1"/>
  <c r="BM1821" i="1"/>
  <c r="AS1820" i="1"/>
  <c r="BP1820" i="1"/>
  <c r="AR1808" i="1"/>
  <c r="BM1808" i="1"/>
  <c r="AS1809" i="1"/>
  <c r="BP1809" i="1"/>
  <c r="AS1822" i="1"/>
  <c r="BP1822" i="1"/>
  <c r="AS1818" i="1"/>
  <c r="BP1818" i="1"/>
  <c r="BM1809" i="1"/>
  <c r="AS1810" i="1"/>
  <c r="BP1810" i="1"/>
  <c r="BM1820" i="1"/>
  <c r="BA1785" i="1"/>
  <c r="AR1797" i="1"/>
  <c r="BA1787" i="1"/>
  <c r="BB1796" i="1"/>
  <c r="AR1788" i="1"/>
  <c r="BA1797" i="1"/>
  <c r="AR1793" i="1"/>
  <c r="AR1799" i="1"/>
  <c r="BM1780" i="1"/>
  <c r="AY1799" i="1"/>
  <c r="BA1799" i="1" s="1"/>
  <c r="AR1780" i="1"/>
  <c r="AS1780" i="1" s="1"/>
  <c r="BA1802" i="1"/>
  <c r="AR1785" i="1"/>
  <c r="BB1784" i="1"/>
  <c r="AR1798" i="1"/>
  <c r="BA1786" i="1"/>
  <c r="BB1787" i="1"/>
  <c r="BB1786" i="1"/>
  <c r="BB1798" i="1"/>
  <c r="AR1787" i="1"/>
  <c r="BB1797" i="1"/>
  <c r="BB1785" i="1"/>
  <c r="AR1786" i="1"/>
  <c r="BM1788" i="1"/>
  <c r="BB1792" i="1"/>
  <c r="AY1792" i="1"/>
  <c r="BA1792" i="1" s="1"/>
  <c r="AR1791" i="1"/>
  <c r="BB1791" i="1"/>
  <c r="AY1791" i="1"/>
  <c r="BA1791" i="1" s="1"/>
  <c r="AY1800" i="1"/>
  <c r="BA1800" i="1" s="1"/>
  <c r="AR1779" i="1"/>
  <c r="BB1779" i="1"/>
  <c r="AR1789" i="1"/>
  <c r="BB1789" i="1"/>
  <c r="AY1779" i="1"/>
  <c r="BA1779" i="1" s="1"/>
  <c r="AY1789" i="1"/>
  <c r="BA1789" i="1" s="1"/>
  <c r="AR1802" i="1"/>
  <c r="BB1802" i="1"/>
  <c r="BM1801" i="1"/>
  <c r="BB1801" i="1"/>
  <c r="AY1801" i="1"/>
  <c r="BA1801" i="1" s="1"/>
  <c r="BB1780" i="1"/>
  <c r="AY1780" i="1"/>
  <c r="BA1780" i="1" s="1"/>
  <c r="BB1790" i="1"/>
  <c r="AY1790" i="1"/>
  <c r="BA1790" i="1" s="1"/>
  <c r="BB1778" i="1"/>
  <c r="AY1788" i="1"/>
  <c r="BA1788" i="1" s="1"/>
  <c r="BB1800" i="1"/>
  <c r="AR1792" i="1"/>
  <c r="BB1788" i="1"/>
  <c r="AR1800" i="1"/>
  <c r="AR1803" i="1"/>
  <c r="BB1803" i="1"/>
  <c r="AY1803" i="1"/>
  <c r="BA1803" i="1" s="1"/>
  <c r="AY1781" i="1"/>
  <c r="BA1781" i="1" s="1"/>
  <c r="AY1793" i="1"/>
  <c r="BA1793" i="1" s="1"/>
  <c r="AY1782" i="1"/>
  <c r="BA1782" i="1" s="1"/>
  <c r="AY1794" i="1"/>
  <c r="BA1794" i="1" s="1"/>
  <c r="AY1783" i="1"/>
  <c r="BA1783" i="1" s="1"/>
  <c r="AY1795" i="1"/>
  <c r="BA1795" i="1" s="1"/>
  <c r="AQ1777" i="1"/>
  <c r="AN1777" i="1"/>
  <c r="AM1777" i="1"/>
  <c r="AL1777" i="1"/>
  <c r="AQ1776" i="1"/>
  <c r="AN1776" i="1"/>
  <c r="AM1776" i="1"/>
  <c r="AL1776" i="1"/>
  <c r="AN1774" i="1"/>
  <c r="BO1777" i="1"/>
  <c r="BH1777" i="1"/>
  <c r="BI1777" i="1" s="1"/>
  <c r="BK1777" i="1" s="1"/>
  <c r="BF1777" i="1"/>
  <c r="BG1777" i="1" s="1"/>
  <c r="BO1776" i="1"/>
  <c r="BH1776" i="1"/>
  <c r="BI1776" i="1" s="1"/>
  <c r="BK1776" i="1" s="1"/>
  <c r="BF1776" i="1"/>
  <c r="BG1776" i="1" s="1"/>
  <c r="BO1775" i="1"/>
  <c r="BH1775" i="1"/>
  <c r="BI1775" i="1" s="1"/>
  <c r="BK1775" i="1" s="1"/>
  <c r="BF1775" i="1"/>
  <c r="BG1775" i="1" s="1"/>
  <c r="BO1774" i="1"/>
  <c r="BH1774" i="1"/>
  <c r="BI1774" i="1" s="1"/>
  <c r="BK1774" i="1" s="1"/>
  <c r="BF1774" i="1"/>
  <c r="BG1774" i="1" s="1"/>
  <c r="BO1773" i="1"/>
  <c r="BH1773" i="1"/>
  <c r="BI1773" i="1" s="1"/>
  <c r="BK1773" i="1" s="1"/>
  <c r="BF1773" i="1"/>
  <c r="BG1773" i="1" s="1"/>
  <c r="BO1772" i="1"/>
  <c r="BH1772" i="1"/>
  <c r="BI1772" i="1" s="1"/>
  <c r="BK1772" i="1" s="1"/>
  <c r="BF1772" i="1"/>
  <c r="BG1772" i="1" s="1"/>
  <c r="BO1771" i="1"/>
  <c r="BH1771" i="1"/>
  <c r="BI1771" i="1" s="1"/>
  <c r="BK1771" i="1" s="1"/>
  <c r="BF1771" i="1"/>
  <c r="BG1771" i="1" s="1"/>
  <c r="BO1770" i="1"/>
  <c r="BH1770" i="1"/>
  <c r="BI1770" i="1" s="1"/>
  <c r="BK1770" i="1" s="1"/>
  <c r="BF1770" i="1"/>
  <c r="BG1770" i="1" s="1"/>
  <c r="BO1769" i="1"/>
  <c r="BH1769" i="1"/>
  <c r="BI1769" i="1" s="1"/>
  <c r="BK1769" i="1" s="1"/>
  <c r="BF1769" i="1"/>
  <c r="BG1769" i="1" s="1"/>
  <c r="AZ1777" i="1"/>
  <c r="AW1777" i="1"/>
  <c r="AK1777" i="1"/>
  <c r="AZ1776" i="1"/>
  <c r="AW1776" i="1"/>
  <c r="AY1776" i="1" s="1"/>
  <c r="AK1776" i="1"/>
  <c r="AZ1775" i="1"/>
  <c r="AW1775" i="1"/>
  <c r="BB1775" i="1" s="1"/>
  <c r="AK1775" i="1"/>
  <c r="AZ1774" i="1"/>
  <c r="AW1774" i="1"/>
  <c r="AY1774" i="1" s="1"/>
  <c r="AK1774" i="1"/>
  <c r="AZ1773" i="1"/>
  <c r="AW1773" i="1"/>
  <c r="AY1773" i="1" s="1"/>
  <c r="AK1773" i="1"/>
  <c r="AZ1772" i="1"/>
  <c r="AW1772" i="1"/>
  <c r="AY1772" i="1" s="1"/>
  <c r="AK1772" i="1"/>
  <c r="AZ1771" i="1"/>
  <c r="AW1771" i="1"/>
  <c r="BB1771" i="1" s="1"/>
  <c r="AK1771" i="1"/>
  <c r="AZ1770" i="1"/>
  <c r="AW1770" i="1"/>
  <c r="BB1770" i="1" s="1"/>
  <c r="AK1770" i="1"/>
  <c r="AZ1769" i="1"/>
  <c r="AW1769" i="1"/>
  <c r="AY1769" i="1" s="1"/>
  <c r="AK1769" i="1"/>
  <c r="AD1777" i="1"/>
  <c r="AD1776" i="1"/>
  <c r="AD1775" i="1"/>
  <c r="AD1774" i="1"/>
  <c r="AD1773" i="1"/>
  <c r="AD1772" i="1"/>
  <c r="AD1771" i="1"/>
  <c r="AD1770" i="1"/>
  <c r="AD1769" i="1"/>
  <c r="BP1823" i="1" l="1"/>
  <c r="BP1814" i="1"/>
  <c r="AY1777" i="1"/>
  <c r="BA1777" i="1" s="1"/>
  <c r="AO1777" i="1"/>
  <c r="BM1777" i="1" s="1"/>
  <c r="AS1812" i="1"/>
  <c r="BP1804" i="1"/>
  <c r="BP1806" i="1"/>
  <c r="BM1796" i="1"/>
  <c r="BM1795" i="1"/>
  <c r="BM1794" i="1"/>
  <c r="AS1808" i="1"/>
  <c r="BP1808" i="1"/>
  <c r="BM1797" i="1"/>
  <c r="AS1811" i="1"/>
  <c r="BP1811" i="1"/>
  <c r="BM1781" i="1"/>
  <c r="BM1793" i="1"/>
  <c r="BM1799" i="1"/>
  <c r="AS1788" i="1"/>
  <c r="BP1788" i="1"/>
  <c r="AS1796" i="1"/>
  <c r="BP1796" i="1"/>
  <c r="BP1780" i="1"/>
  <c r="AR1782" i="1"/>
  <c r="AS1782" i="1" s="1"/>
  <c r="AR1801" i="1"/>
  <c r="AS1801" i="1" s="1"/>
  <c r="AR1784" i="1"/>
  <c r="AS1784" i="1" s="1"/>
  <c r="BM1798" i="1"/>
  <c r="AS1785" i="1"/>
  <c r="BP1785" i="1"/>
  <c r="BM1803" i="1"/>
  <c r="BM1787" i="1"/>
  <c r="BM1789" i="1"/>
  <c r="BM1785" i="1"/>
  <c r="AO1774" i="1"/>
  <c r="BM1774" i="1" s="1"/>
  <c r="AS1786" i="1"/>
  <c r="BP1786" i="1"/>
  <c r="AS1779" i="1"/>
  <c r="BP1779" i="1"/>
  <c r="AS1795" i="1"/>
  <c r="BP1795" i="1"/>
  <c r="AS1800" i="1"/>
  <c r="BP1800" i="1"/>
  <c r="AS1792" i="1"/>
  <c r="BP1792" i="1"/>
  <c r="AS1791" i="1"/>
  <c r="BP1791" i="1"/>
  <c r="AS1798" i="1"/>
  <c r="BP1798" i="1"/>
  <c r="AS1802" i="1"/>
  <c r="BP1802" i="1"/>
  <c r="BM1792" i="1"/>
  <c r="BM1791" i="1"/>
  <c r="AS1787" i="1"/>
  <c r="BP1787" i="1"/>
  <c r="AR1778" i="1"/>
  <c r="BM1778" i="1"/>
  <c r="AS1794" i="1"/>
  <c r="BP1794" i="1"/>
  <c r="AS1799" i="1"/>
  <c r="BP1799" i="1"/>
  <c r="BM1779" i="1"/>
  <c r="BM1786" i="1"/>
  <c r="AR1790" i="1"/>
  <c r="BM1790" i="1"/>
  <c r="AS1789" i="1"/>
  <c r="BP1789" i="1"/>
  <c r="AR1783" i="1"/>
  <c r="AS1781" i="1"/>
  <c r="BP1781" i="1"/>
  <c r="BA1769" i="1"/>
  <c r="AO1773" i="1"/>
  <c r="BM1773" i="1" s="1"/>
  <c r="AS1803" i="1"/>
  <c r="BP1803" i="1"/>
  <c r="AS1797" i="1"/>
  <c r="BP1797" i="1"/>
  <c r="AS1793" i="1"/>
  <c r="BP1793" i="1"/>
  <c r="BM1802" i="1"/>
  <c r="BA1772" i="1"/>
  <c r="AO1771" i="1"/>
  <c r="BM1771" i="1" s="1"/>
  <c r="BA1774" i="1"/>
  <c r="BB1773" i="1"/>
  <c r="AO1775" i="1"/>
  <c r="AR1775" i="1" s="1"/>
  <c r="AO1769" i="1"/>
  <c r="AR1769" i="1" s="1"/>
  <c r="BB1769" i="1"/>
  <c r="AO1770" i="1"/>
  <c r="AR1770" i="1" s="1"/>
  <c r="BA1773" i="1"/>
  <c r="BA1776" i="1"/>
  <c r="BB1777" i="1"/>
  <c r="AY1771" i="1"/>
  <c r="BA1771" i="1" s="1"/>
  <c r="BB1772" i="1"/>
  <c r="AY1775" i="1"/>
  <c r="BA1775" i="1" s="1"/>
  <c r="BB1776" i="1"/>
  <c r="AY1770" i="1"/>
  <c r="BA1770" i="1" s="1"/>
  <c r="AO1772" i="1"/>
  <c r="AR1772" i="1" s="1"/>
  <c r="AO1776" i="1"/>
  <c r="BB1774" i="1"/>
  <c r="AQ1741" i="1"/>
  <c r="CI1741" i="1" s="1"/>
  <c r="AM1741" i="1"/>
  <c r="AL1741" i="1"/>
  <c r="BO1768" i="1"/>
  <c r="BH1768" i="1"/>
  <c r="BI1768" i="1" s="1"/>
  <c r="BK1768" i="1" s="1"/>
  <c r="BF1768" i="1"/>
  <c r="BG1768" i="1" s="1"/>
  <c r="BO1767" i="1"/>
  <c r="BH1767" i="1"/>
  <c r="BI1767" i="1" s="1"/>
  <c r="BK1767" i="1" s="1"/>
  <c r="BF1767" i="1"/>
  <c r="BG1767" i="1" s="1"/>
  <c r="BO1766" i="1"/>
  <c r="BH1766" i="1"/>
  <c r="BI1766" i="1" s="1"/>
  <c r="BK1766" i="1" s="1"/>
  <c r="BF1766" i="1"/>
  <c r="BG1766" i="1" s="1"/>
  <c r="BO1765" i="1"/>
  <c r="BH1765" i="1"/>
  <c r="BI1765" i="1" s="1"/>
  <c r="BK1765" i="1" s="1"/>
  <c r="BF1765" i="1"/>
  <c r="BG1765" i="1" s="1"/>
  <c r="BO1764" i="1"/>
  <c r="BH1764" i="1"/>
  <c r="BI1764" i="1" s="1"/>
  <c r="BK1764" i="1" s="1"/>
  <c r="BF1764" i="1"/>
  <c r="BG1764" i="1" s="1"/>
  <c r="BO1763" i="1"/>
  <c r="BH1763" i="1"/>
  <c r="BI1763" i="1" s="1"/>
  <c r="BK1763" i="1" s="1"/>
  <c r="BF1763" i="1"/>
  <c r="BG1763" i="1" s="1"/>
  <c r="BO1762" i="1"/>
  <c r="BH1762" i="1"/>
  <c r="BI1762" i="1" s="1"/>
  <c r="BK1762" i="1" s="1"/>
  <c r="BF1762" i="1"/>
  <c r="BG1762" i="1" s="1"/>
  <c r="BO1761" i="1"/>
  <c r="BH1761" i="1"/>
  <c r="BI1761" i="1" s="1"/>
  <c r="BK1761" i="1" s="1"/>
  <c r="BF1761" i="1"/>
  <c r="BG1761" i="1" s="1"/>
  <c r="BO1760" i="1"/>
  <c r="BH1760" i="1"/>
  <c r="BI1760" i="1" s="1"/>
  <c r="BK1760" i="1" s="1"/>
  <c r="BF1760" i="1"/>
  <c r="BG1760" i="1" s="1"/>
  <c r="BO1759" i="1"/>
  <c r="BH1759" i="1"/>
  <c r="BI1759" i="1" s="1"/>
  <c r="BK1759" i="1" s="1"/>
  <c r="BF1759" i="1"/>
  <c r="BG1759" i="1" s="1"/>
  <c r="BO1758" i="1"/>
  <c r="BH1758" i="1"/>
  <c r="BI1758" i="1" s="1"/>
  <c r="BK1758" i="1" s="1"/>
  <c r="BF1758" i="1"/>
  <c r="BG1758" i="1" s="1"/>
  <c r="BO1757" i="1"/>
  <c r="BH1757" i="1"/>
  <c r="BI1757" i="1" s="1"/>
  <c r="BK1757" i="1" s="1"/>
  <c r="BF1757" i="1"/>
  <c r="BG1757" i="1" s="1"/>
  <c r="BO1756" i="1"/>
  <c r="BH1756" i="1"/>
  <c r="BI1756" i="1" s="1"/>
  <c r="BK1756" i="1" s="1"/>
  <c r="BF1756" i="1"/>
  <c r="BG1756" i="1" s="1"/>
  <c r="BO1755" i="1"/>
  <c r="BH1755" i="1"/>
  <c r="BI1755" i="1" s="1"/>
  <c r="BK1755" i="1" s="1"/>
  <c r="BF1755" i="1"/>
  <c r="BG1755" i="1" s="1"/>
  <c r="BO1754" i="1"/>
  <c r="BH1754" i="1"/>
  <c r="BI1754" i="1" s="1"/>
  <c r="BK1754" i="1" s="1"/>
  <c r="BF1754" i="1"/>
  <c r="BG1754" i="1" s="1"/>
  <c r="BO1753" i="1"/>
  <c r="BH1753" i="1"/>
  <c r="BI1753" i="1" s="1"/>
  <c r="BK1753" i="1" s="1"/>
  <c r="BF1753" i="1"/>
  <c r="BG1753" i="1" s="1"/>
  <c r="BO1752" i="1"/>
  <c r="BH1752" i="1"/>
  <c r="BI1752" i="1" s="1"/>
  <c r="BK1752" i="1" s="1"/>
  <c r="BF1752" i="1"/>
  <c r="BG1752" i="1" s="1"/>
  <c r="BO1751" i="1"/>
  <c r="BH1751" i="1"/>
  <c r="BI1751" i="1" s="1"/>
  <c r="BK1751" i="1" s="1"/>
  <c r="BF1751" i="1"/>
  <c r="BG1751" i="1" s="1"/>
  <c r="BO1750" i="1"/>
  <c r="BH1750" i="1"/>
  <c r="BI1750" i="1" s="1"/>
  <c r="BK1750" i="1" s="1"/>
  <c r="BF1750" i="1"/>
  <c r="BG1750" i="1" s="1"/>
  <c r="BO1749" i="1"/>
  <c r="BH1749" i="1"/>
  <c r="BI1749" i="1" s="1"/>
  <c r="BK1749" i="1" s="1"/>
  <c r="BF1749" i="1"/>
  <c r="BG1749" i="1" s="1"/>
  <c r="BO1748" i="1"/>
  <c r="BH1748" i="1"/>
  <c r="BI1748" i="1" s="1"/>
  <c r="BK1748" i="1" s="1"/>
  <c r="BF1748" i="1"/>
  <c r="BG1748" i="1" s="1"/>
  <c r="BO1747" i="1"/>
  <c r="BH1747" i="1"/>
  <c r="BI1747" i="1" s="1"/>
  <c r="BK1747" i="1" s="1"/>
  <c r="BF1747" i="1"/>
  <c r="BG1747" i="1" s="1"/>
  <c r="BO1746" i="1"/>
  <c r="BH1746" i="1"/>
  <c r="BI1746" i="1" s="1"/>
  <c r="BK1746" i="1" s="1"/>
  <c r="BF1746" i="1"/>
  <c r="BG1746" i="1" s="1"/>
  <c r="BO1745" i="1"/>
  <c r="BH1745" i="1"/>
  <c r="BI1745" i="1" s="1"/>
  <c r="BK1745" i="1" s="1"/>
  <c r="BF1745" i="1"/>
  <c r="BG1745" i="1" s="1"/>
  <c r="BO1744" i="1"/>
  <c r="BH1744" i="1"/>
  <c r="BI1744" i="1" s="1"/>
  <c r="BK1744" i="1" s="1"/>
  <c r="BF1744" i="1"/>
  <c r="BG1744" i="1" s="1"/>
  <c r="BO1743" i="1"/>
  <c r="BH1743" i="1"/>
  <c r="BI1743" i="1" s="1"/>
  <c r="BK1743" i="1" s="1"/>
  <c r="BF1743" i="1"/>
  <c r="BG1743" i="1" s="1"/>
  <c r="BO1742" i="1"/>
  <c r="BH1742" i="1"/>
  <c r="BI1742" i="1" s="1"/>
  <c r="BK1742" i="1" s="1"/>
  <c r="BF1742" i="1"/>
  <c r="BG1742" i="1" s="1"/>
  <c r="BO1741" i="1"/>
  <c r="BH1741" i="1"/>
  <c r="BI1741" i="1" s="1"/>
  <c r="BK1741" i="1" s="1"/>
  <c r="BF1741" i="1"/>
  <c r="BG1741" i="1" s="1"/>
  <c r="BO1740" i="1"/>
  <c r="BH1740" i="1"/>
  <c r="BI1740" i="1" s="1"/>
  <c r="BK1740" i="1" s="1"/>
  <c r="BF1740" i="1"/>
  <c r="BG1740" i="1" s="1"/>
  <c r="BO1739" i="1"/>
  <c r="BH1739" i="1"/>
  <c r="BI1739" i="1" s="1"/>
  <c r="BK1739" i="1" s="1"/>
  <c r="BF1739" i="1"/>
  <c r="BG1739" i="1" s="1"/>
  <c r="BO1738" i="1"/>
  <c r="BH1738" i="1"/>
  <c r="BI1738" i="1" s="1"/>
  <c r="BK1738" i="1" s="1"/>
  <c r="BF1738" i="1"/>
  <c r="BG1738" i="1" s="1"/>
  <c r="BO1737" i="1"/>
  <c r="BH1737" i="1"/>
  <c r="BI1737" i="1" s="1"/>
  <c r="BK1737" i="1" s="1"/>
  <c r="BF1737" i="1"/>
  <c r="BG1737" i="1" s="1"/>
  <c r="BO1736" i="1"/>
  <c r="BH1736" i="1"/>
  <c r="BI1736" i="1" s="1"/>
  <c r="BK1736" i="1" s="1"/>
  <c r="BF1736" i="1"/>
  <c r="BG1736" i="1" s="1"/>
  <c r="BO1735" i="1"/>
  <c r="BH1735" i="1"/>
  <c r="BI1735" i="1" s="1"/>
  <c r="BK1735" i="1" s="1"/>
  <c r="BF1735" i="1"/>
  <c r="BG1735" i="1" s="1"/>
  <c r="BO1734" i="1"/>
  <c r="BH1734" i="1"/>
  <c r="BI1734" i="1" s="1"/>
  <c r="BK1734" i="1" s="1"/>
  <c r="BF1734" i="1"/>
  <c r="BG1734" i="1" s="1"/>
  <c r="BO1733" i="1"/>
  <c r="BH1733" i="1"/>
  <c r="BI1733" i="1" s="1"/>
  <c r="BK1733" i="1" s="1"/>
  <c r="BF1733" i="1"/>
  <c r="BG1733" i="1" s="1"/>
  <c r="BO1732" i="1"/>
  <c r="BH1732" i="1"/>
  <c r="BI1732" i="1" s="1"/>
  <c r="BK1732" i="1" s="1"/>
  <c r="BF1732" i="1"/>
  <c r="BG1732" i="1" s="1"/>
  <c r="BO1731" i="1"/>
  <c r="BH1731" i="1"/>
  <c r="BI1731" i="1" s="1"/>
  <c r="BK1731" i="1" s="1"/>
  <c r="BF1731" i="1"/>
  <c r="BG1731" i="1" s="1"/>
  <c r="AZ1768" i="1"/>
  <c r="AW1768" i="1"/>
  <c r="BB1768" i="1" s="1"/>
  <c r="AK1768" i="1"/>
  <c r="AZ1767" i="1"/>
  <c r="AW1767" i="1"/>
  <c r="AY1767" i="1" s="1"/>
  <c r="AK1767" i="1"/>
  <c r="AZ1766" i="1"/>
  <c r="AW1766" i="1"/>
  <c r="AO1766" i="1" s="1"/>
  <c r="AK1766" i="1"/>
  <c r="AZ1765" i="1"/>
  <c r="AW1765" i="1"/>
  <c r="AY1765" i="1" s="1"/>
  <c r="AK1765" i="1"/>
  <c r="AZ1764" i="1"/>
  <c r="AW1764" i="1"/>
  <c r="BB1764" i="1" s="1"/>
  <c r="AK1764" i="1"/>
  <c r="AZ1763" i="1"/>
  <c r="AW1763" i="1"/>
  <c r="AY1763" i="1" s="1"/>
  <c r="AK1763" i="1"/>
  <c r="AZ1762" i="1"/>
  <c r="AW1762" i="1"/>
  <c r="AO1762" i="1" s="1"/>
  <c r="AK1762" i="1"/>
  <c r="AZ1761" i="1"/>
  <c r="AW1761" i="1"/>
  <c r="BB1761" i="1" s="1"/>
  <c r="AK1761" i="1"/>
  <c r="AZ1760" i="1"/>
  <c r="AW1760" i="1"/>
  <c r="BB1760" i="1" s="1"/>
  <c r="AK1760" i="1"/>
  <c r="AZ1759" i="1"/>
  <c r="AW1759" i="1"/>
  <c r="AY1759" i="1" s="1"/>
  <c r="AK1759" i="1"/>
  <c r="AZ1758" i="1"/>
  <c r="AW1758" i="1"/>
  <c r="AO1758" i="1" s="1"/>
  <c r="AK1758" i="1"/>
  <c r="AZ1757" i="1"/>
  <c r="AW1757" i="1"/>
  <c r="BB1757" i="1" s="1"/>
  <c r="AK1757" i="1"/>
  <c r="AZ1756" i="1"/>
  <c r="AW1756" i="1"/>
  <c r="BB1756" i="1" s="1"/>
  <c r="AK1756" i="1"/>
  <c r="AZ1755" i="1"/>
  <c r="AW1755" i="1"/>
  <c r="AY1755" i="1" s="1"/>
  <c r="AK1755" i="1"/>
  <c r="AZ1754" i="1"/>
  <c r="AW1754" i="1"/>
  <c r="AY1754" i="1" s="1"/>
  <c r="AK1754" i="1"/>
  <c r="AZ1753" i="1"/>
  <c r="AW1753" i="1"/>
  <c r="BB1753" i="1" s="1"/>
  <c r="AK1753" i="1"/>
  <c r="AZ1752" i="1"/>
  <c r="AW1752" i="1"/>
  <c r="BB1752" i="1" s="1"/>
  <c r="AK1752" i="1"/>
  <c r="AZ1751" i="1"/>
  <c r="AW1751" i="1"/>
  <c r="AY1751" i="1" s="1"/>
  <c r="AK1751" i="1"/>
  <c r="AZ1750" i="1"/>
  <c r="AW1750" i="1"/>
  <c r="AO1750" i="1" s="1"/>
  <c r="AK1750" i="1"/>
  <c r="AZ1749" i="1"/>
  <c r="AW1749" i="1"/>
  <c r="AY1749" i="1" s="1"/>
  <c r="AK1749" i="1"/>
  <c r="AZ1748" i="1"/>
  <c r="AW1748" i="1"/>
  <c r="BB1748" i="1" s="1"/>
  <c r="AK1748" i="1"/>
  <c r="AZ1747" i="1"/>
  <c r="AW1747" i="1"/>
  <c r="AY1747" i="1" s="1"/>
  <c r="AK1747" i="1"/>
  <c r="AZ1746" i="1"/>
  <c r="AW1746" i="1"/>
  <c r="AO1746" i="1" s="1"/>
  <c r="AK1746" i="1"/>
  <c r="AZ1745" i="1"/>
  <c r="AW1745" i="1"/>
  <c r="AY1745" i="1" s="1"/>
  <c r="AK1745" i="1"/>
  <c r="AZ1744" i="1"/>
  <c r="AW1744" i="1"/>
  <c r="BB1744" i="1" s="1"/>
  <c r="AK1744" i="1"/>
  <c r="AZ1743" i="1"/>
  <c r="AW1743" i="1"/>
  <c r="AY1743" i="1" s="1"/>
  <c r="AK1743" i="1"/>
  <c r="AZ1742" i="1"/>
  <c r="AW1742" i="1"/>
  <c r="AO1742" i="1" s="1"/>
  <c r="AK1742" i="1"/>
  <c r="AZ1741" i="1"/>
  <c r="AW1741" i="1"/>
  <c r="AY1741" i="1" s="1"/>
  <c r="AK1741" i="1"/>
  <c r="AZ1740" i="1"/>
  <c r="AW1740" i="1"/>
  <c r="BB1740" i="1" s="1"/>
  <c r="AK1740" i="1"/>
  <c r="AZ1739" i="1"/>
  <c r="AW1739" i="1"/>
  <c r="AY1739" i="1" s="1"/>
  <c r="AK1739" i="1"/>
  <c r="AZ1738" i="1"/>
  <c r="AW1738" i="1"/>
  <c r="AO1738" i="1" s="1"/>
  <c r="AK1738" i="1"/>
  <c r="AZ1737" i="1"/>
  <c r="AW1737" i="1"/>
  <c r="AY1737" i="1" s="1"/>
  <c r="AK1737" i="1"/>
  <c r="AZ1736" i="1"/>
  <c r="AW1736" i="1"/>
  <c r="BB1736" i="1" s="1"/>
  <c r="AK1736" i="1"/>
  <c r="AZ1735" i="1"/>
  <c r="AW1735" i="1"/>
  <c r="AY1735" i="1" s="1"/>
  <c r="AK1735" i="1"/>
  <c r="AZ1734" i="1"/>
  <c r="AW1734" i="1"/>
  <c r="AO1734" i="1" s="1"/>
  <c r="AK1734" i="1"/>
  <c r="AZ1733" i="1"/>
  <c r="AW1733" i="1"/>
  <c r="AY1733" i="1" s="1"/>
  <c r="AK1733" i="1"/>
  <c r="AZ1732" i="1"/>
  <c r="AW1732" i="1"/>
  <c r="BB1732" i="1" s="1"/>
  <c r="AK1732" i="1"/>
  <c r="AZ1731" i="1"/>
  <c r="AW1731" i="1"/>
  <c r="BB1731" i="1" s="1"/>
  <c r="AK1731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BP1782" i="1" l="1"/>
  <c r="BP1801" i="1"/>
  <c r="BP1784" i="1"/>
  <c r="AR1771" i="1"/>
  <c r="AS1771" i="1" s="1"/>
  <c r="AR1774" i="1"/>
  <c r="AS1774" i="1" s="1"/>
  <c r="BM1770" i="1"/>
  <c r="AR1773" i="1"/>
  <c r="AS1773" i="1" s="1"/>
  <c r="AS1790" i="1"/>
  <c r="BP1790" i="1"/>
  <c r="AS1783" i="1"/>
  <c r="BP1783" i="1"/>
  <c r="AS1778" i="1"/>
  <c r="CC1778" i="1" s="1"/>
  <c r="CD1778" i="1" s="1"/>
  <c r="BP1778" i="1"/>
  <c r="BM1775" i="1"/>
  <c r="BM1769" i="1"/>
  <c r="AR1738" i="1"/>
  <c r="AS1738" i="1" s="1"/>
  <c r="AR1758" i="1"/>
  <c r="AS1758" i="1" s="1"/>
  <c r="AS1769" i="1"/>
  <c r="BP1769" i="1"/>
  <c r="AR1777" i="1"/>
  <c r="AS1777" i="1" s="1"/>
  <c r="CC1777" i="1" s="1"/>
  <c r="CD1777" i="1" s="1"/>
  <c r="AS1770" i="1"/>
  <c r="BP1770" i="1"/>
  <c r="AS1772" i="1"/>
  <c r="BP1772" i="1"/>
  <c r="AR1776" i="1"/>
  <c r="BM1776" i="1"/>
  <c r="BM1772" i="1"/>
  <c r="AS1775" i="1"/>
  <c r="BP1775" i="1"/>
  <c r="AO1731" i="1"/>
  <c r="BM1731" i="1" s="1"/>
  <c r="BA1745" i="1"/>
  <c r="AO1739" i="1"/>
  <c r="AR1739" i="1" s="1"/>
  <c r="BA1754" i="1"/>
  <c r="AR1742" i="1"/>
  <c r="AS1742" i="1" s="1"/>
  <c r="AO1761" i="1"/>
  <c r="BM1761" i="1" s="1"/>
  <c r="BA1743" i="1"/>
  <c r="BA1751" i="1"/>
  <c r="AO1755" i="1"/>
  <c r="AR1755" i="1" s="1"/>
  <c r="AS1755" i="1" s="1"/>
  <c r="BA1767" i="1"/>
  <c r="AO1733" i="1"/>
  <c r="BM1733" i="1" s="1"/>
  <c r="AO1760" i="1"/>
  <c r="BM1760" i="1" s="1"/>
  <c r="BM1750" i="1"/>
  <c r="AO1736" i="1"/>
  <c r="AR1736" i="1" s="1"/>
  <c r="AS1736" i="1" s="1"/>
  <c r="AO1751" i="1"/>
  <c r="AR1751" i="1" s="1"/>
  <c r="AR1766" i="1"/>
  <c r="AS1766" i="1" s="1"/>
  <c r="BA1733" i="1"/>
  <c r="AO1748" i="1"/>
  <c r="AR1748" i="1" s="1"/>
  <c r="BA1755" i="1"/>
  <c r="BA1741" i="1"/>
  <c r="AO1745" i="1"/>
  <c r="AR1745" i="1" s="1"/>
  <c r="AS1745" i="1" s="1"/>
  <c r="AO1767" i="1"/>
  <c r="AR1767" i="1" s="1"/>
  <c r="AS1767" i="1" s="1"/>
  <c r="AO1735" i="1"/>
  <c r="AR1735" i="1" s="1"/>
  <c r="AO1749" i="1"/>
  <c r="BM1749" i="1" s="1"/>
  <c r="BA1763" i="1"/>
  <c r="BA1739" i="1"/>
  <c r="AO1743" i="1"/>
  <c r="BM1743" i="1" s="1"/>
  <c r="AO1757" i="1"/>
  <c r="BM1757" i="1" s="1"/>
  <c r="AO1764" i="1"/>
  <c r="AR1764" i="1" s="1"/>
  <c r="AS1764" i="1" s="1"/>
  <c r="BB1735" i="1"/>
  <c r="AR1746" i="1"/>
  <c r="AS1746" i="1" s="1"/>
  <c r="AO1752" i="1"/>
  <c r="BM1752" i="1" s="1"/>
  <c r="AO1759" i="1"/>
  <c r="BM1759" i="1" s="1"/>
  <c r="AR1762" i="1"/>
  <c r="BA1765" i="1"/>
  <c r="BM1738" i="1"/>
  <c r="BB1747" i="1"/>
  <c r="AR1734" i="1"/>
  <c r="AS1734" i="1" s="1"/>
  <c r="AO1740" i="1"/>
  <c r="BM1740" i="1" s="1"/>
  <c r="BB1759" i="1"/>
  <c r="AO1737" i="1"/>
  <c r="BM1737" i="1" s="1"/>
  <c r="BB1743" i="1"/>
  <c r="AO1747" i="1"/>
  <c r="BM1747" i="1" s="1"/>
  <c r="AR1750" i="1"/>
  <c r="AO1763" i="1"/>
  <c r="AR1763" i="1" s="1"/>
  <c r="AS1763" i="1" s="1"/>
  <c r="BM1762" i="1"/>
  <c r="BM1734" i="1"/>
  <c r="BM1746" i="1"/>
  <c r="BM1758" i="1"/>
  <c r="AY1731" i="1"/>
  <c r="BA1731" i="1" s="1"/>
  <c r="BA1737" i="1"/>
  <c r="BA1749" i="1"/>
  <c r="BB1755" i="1"/>
  <c r="BB1767" i="1"/>
  <c r="BB1751" i="1"/>
  <c r="BB1739" i="1"/>
  <c r="BB1763" i="1"/>
  <c r="AO1732" i="1"/>
  <c r="BM1732" i="1" s="1"/>
  <c r="BA1735" i="1"/>
  <c r="AO1741" i="1"/>
  <c r="BM1741" i="1" s="1"/>
  <c r="AO1744" i="1"/>
  <c r="BM1744" i="1" s="1"/>
  <c r="BA1747" i="1"/>
  <c r="AO1753" i="1"/>
  <c r="BM1753" i="1" s="1"/>
  <c r="AO1756" i="1"/>
  <c r="AR1756" i="1" s="1"/>
  <c r="BA1759" i="1"/>
  <c r="AO1765" i="1"/>
  <c r="BM1765" i="1" s="1"/>
  <c r="AO1768" i="1"/>
  <c r="BM1768" i="1" s="1"/>
  <c r="BM1742" i="1"/>
  <c r="BM1766" i="1"/>
  <c r="AY1762" i="1"/>
  <c r="BA1762" i="1" s="1"/>
  <c r="BB1766" i="1"/>
  <c r="AY1742" i="1"/>
  <c r="BA1742" i="1" s="1"/>
  <c r="AY1746" i="1"/>
  <c r="BA1746" i="1" s="1"/>
  <c r="AY1758" i="1"/>
  <c r="BA1758" i="1" s="1"/>
  <c r="BB1734" i="1"/>
  <c r="BB1742" i="1"/>
  <c r="BB1750" i="1"/>
  <c r="AY1753" i="1"/>
  <c r="BA1753" i="1" s="1"/>
  <c r="AY1757" i="1"/>
  <c r="BA1757" i="1" s="1"/>
  <c r="BB1758" i="1"/>
  <c r="AY1761" i="1"/>
  <c r="BA1761" i="1" s="1"/>
  <c r="BB1762" i="1"/>
  <c r="AY1732" i="1"/>
  <c r="BA1732" i="1" s="1"/>
  <c r="BB1733" i="1"/>
  <c r="AY1736" i="1"/>
  <c r="BA1736" i="1" s="1"/>
  <c r="BB1737" i="1"/>
  <c r="AY1740" i="1"/>
  <c r="BA1740" i="1" s="1"/>
  <c r="BB1741" i="1"/>
  <c r="AY1744" i="1"/>
  <c r="BA1744" i="1" s="1"/>
  <c r="BB1745" i="1"/>
  <c r="AY1748" i="1"/>
  <c r="BA1748" i="1" s="1"/>
  <c r="BB1749" i="1"/>
  <c r="AY1752" i="1"/>
  <c r="BA1752" i="1" s="1"/>
  <c r="AY1756" i="1"/>
  <c r="BA1756" i="1" s="1"/>
  <c r="AY1760" i="1"/>
  <c r="BA1760" i="1" s="1"/>
  <c r="AY1764" i="1"/>
  <c r="BA1764" i="1" s="1"/>
  <c r="BB1765" i="1"/>
  <c r="AY1768" i="1"/>
  <c r="BA1768" i="1" s="1"/>
  <c r="AY1734" i="1"/>
  <c r="BA1734" i="1" s="1"/>
  <c r="AY1738" i="1"/>
  <c r="BA1738" i="1" s="1"/>
  <c r="AY1750" i="1"/>
  <c r="BA1750" i="1" s="1"/>
  <c r="AY1766" i="1"/>
  <c r="BA1766" i="1" s="1"/>
  <c r="BB1738" i="1"/>
  <c r="BB1746" i="1"/>
  <c r="BB1754" i="1"/>
  <c r="AO1754" i="1"/>
  <c r="AR1754" i="1" s="1"/>
  <c r="AQ1712" i="1"/>
  <c r="BP1774" i="1" l="1"/>
  <c r="BP1773" i="1"/>
  <c r="BP1771" i="1"/>
  <c r="BP1758" i="1"/>
  <c r="BP1777" i="1"/>
  <c r="BP1738" i="1"/>
  <c r="BM1751" i="1"/>
  <c r="BM1739" i="1"/>
  <c r="AR1731" i="1"/>
  <c r="AS1731" i="1" s="1"/>
  <c r="AS1776" i="1"/>
  <c r="CC1776" i="1" s="1"/>
  <c r="CD1776" i="1" s="1"/>
  <c r="BP1776" i="1"/>
  <c r="AR1761" i="1"/>
  <c r="AS1761" i="1" s="1"/>
  <c r="AS1739" i="1"/>
  <c r="BP1739" i="1"/>
  <c r="BP1742" i="1"/>
  <c r="AR1768" i="1"/>
  <c r="AS1768" i="1" s="1"/>
  <c r="BM1745" i="1"/>
  <c r="BM1767" i="1"/>
  <c r="BM1736" i="1"/>
  <c r="AR1749" i="1"/>
  <c r="AS1749" i="1" s="1"/>
  <c r="BM1755" i="1"/>
  <c r="AR1760" i="1"/>
  <c r="AS1760" i="1" s="1"/>
  <c r="BM1764" i="1"/>
  <c r="AR1733" i="1"/>
  <c r="BM1735" i="1"/>
  <c r="BM1748" i="1"/>
  <c r="BM1763" i="1"/>
  <c r="BP1745" i="1"/>
  <c r="AS1751" i="1"/>
  <c r="BP1751" i="1"/>
  <c r="AS1748" i="1"/>
  <c r="BP1748" i="1"/>
  <c r="BP1736" i="1"/>
  <c r="BP1766" i="1"/>
  <c r="BP1755" i="1"/>
  <c r="BP1734" i="1"/>
  <c r="BP1767" i="1"/>
  <c r="BP1746" i="1"/>
  <c r="BP1763" i="1"/>
  <c r="AR1759" i="1"/>
  <c r="AS1759" i="1" s="1"/>
  <c r="AR1740" i="1"/>
  <c r="AS1740" i="1" s="1"/>
  <c r="AR1743" i="1"/>
  <c r="AR1757" i="1"/>
  <c r="BP1764" i="1"/>
  <c r="AR1752" i="1"/>
  <c r="AS1752" i="1" s="1"/>
  <c r="AS1762" i="1"/>
  <c r="BP1762" i="1"/>
  <c r="AR1747" i="1"/>
  <c r="BP1747" i="1" s="1"/>
  <c r="AR1737" i="1"/>
  <c r="AS1750" i="1"/>
  <c r="BP1750" i="1"/>
  <c r="AS1756" i="1"/>
  <c r="BP1756" i="1"/>
  <c r="AR1741" i="1"/>
  <c r="AS1754" i="1"/>
  <c r="BP1754" i="1"/>
  <c r="AR1765" i="1"/>
  <c r="BM1756" i="1"/>
  <c r="BM1754" i="1"/>
  <c r="AR1732" i="1"/>
  <c r="AR1753" i="1"/>
  <c r="AR1744" i="1"/>
  <c r="AS1735" i="1"/>
  <c r="BP1735" i="1"/>
  <c r="AQ1713" i="1"/>
  <c r="AQ1721" i="1"/>
  <c r="CI1721" i="1" s="1"/>
  <c r="AQ1711" i="1"/>
  <c r="BP1752" i="1" l="1"/>
  <c r="BP1731" i="1"/>
  <c r="BP1761" i="1"/>
  <c r="BP1768" i="1"/>
  <c r="BP1760" i="1"/>
  <c r="BP1749" i="1"/>
  <c r="AS1733" i="1"/>
  <c r="BP1733" i="1"/>
  <c r="AS1747" i="1"/>
  <c r="BP1740" i="1"/>
  <c r="BP1759" i="1"/>
  <c r="AS1757" i="1"/>
  <c r="BP1757" i="1"/>
  <c r="AS1743" i="1"/>
  <c r="BP1743" i="1"/>
  <c r="AS1737" i="1"/>
  <c r="BP1737" i="1"/>
  <c r="AS1741" i="1"/>
  <c r="CC1741" i="1" s="1"/>
  <c r="CD1741" i="1" s="1"/>
  <c r="BP1741" i="1"/>
  <c r="AS1765" i="1"/>
  <c r="BP1765" i="1"/>
  <c r="AS1744" i="1"/>
  <c r="BP1744" i="1"/>
  <c r="AS1753" i="1"/>
  <c r="BP1753" i="1"/>
  <c r="AS1732" i="1"/>
  <c r="BP1732" i="1"/>
  <c r="AM1721" i="1"/>
  <c r="AL1721" i="1"/>
  <c r="BO1730" i="1"/>
  <c r="BH1730" i="1"/>
  <c r="BI1730" i="1" s="1"/>
  <c r="BK1730" i="1" s="1"/>
  <c r="BF1730" i="1"/>
  <c r="BG1730" i="1" s="1"/>
  <c r="BO1729" i="1"/>
  <c r="BH1729" i="1"/>
  <c r="BI1729" i="1" s="1"/>
  <c r="BK1729" i="1" s="1"/>
  <c r="BF1729" i="1"/>
  <c r="BG1729" i="1" s="1"/>
  <c r="BO1728" i="1"/>
  <c r="BH1728" i="1"/>
  <c r="BI1728" i="1" s="1"/>
  <c r="BK1728" i="1" s="1"/>
  <c r="BF1728" i="1"/>
  <c r="BG1728" i="1" s="1"/>
  <c r="BO1727" i="1"/>
  <c r="BH1727" i="1"/>
  <c r="BI1727" i="1" s="1"/>
  <c r="BK1727" i="1" s="1"/>
  <c r="BF1727" i="1"/>
  <c r="BG1727" i="1" s="1"/>
  <c r="BO1726" i="1"/>
  <c r="BH1726" i="1"/>
  <c r="BI1726" i="1" s="1"/>
  <c r="BK1726" i="1" s="1"/>
  <c r="BF1726" i="1"/>
  <c r="BG1726" i="1" s="1"/>
  <c r="BO1725" i="1"/>
  <c r="BH1725" i="1"/>
  <c r="BI1725" i="1" s="1"/>
  <c r="BK1725" i="1" s="1"/>
  <c r="BF1725" i="1"/>
  <c r="BG1725" i="1" s="1"/>
  <c r="BO1724" i="1"/>
  <c r="BH1724" i="1"/>
  <c r="BI1724" i="1" s="1"/>
  <c r="BK1724" i="1" s="1"/>
  <c r="BF1724" i="1"/>
  <c r="BG1724" i="1" s="1"/>
  <c r="BO1723" i="1"/>
  <c r="BH1723" i="1"/>
  <c r="BI1723" i="1" s="1"/>
  <c r="BK1723" i="1" s="1"/>
  <c r="BF1723" i="1"/>
  <c r="BG1723" i="1" s="1"/>
  <c r="BO1722" i="1"/>
  <c r="BH1722" i="1"/>
  <c r="BI1722" i="1" s="1"/>
  <c r="BK1722" i="1" s="1"/>
  <c r="BF1722" i="1"/>
  <c r="BG1722" i="1" s="1"/>
  <c r="BO1721" i="1"/>
  <c r="BH1721" i="1"/>
  <c r="BI1721" i="1" s="1"/>
  <c r="BK1721" i="1" s="1"/>
  <c r="BF1721" i="1"/>
  <c r="BG1721" i="1" s="1"/>
  <c r="BO1720" i="1"/>
  <c r="BH1720" i="1"/>
  <c r="BI1720" i="1" s="1"/>
  <c r="BK1720" i="1" s="1"/>
  <c r="BF1720" i="1"/>
  <c r="BG1720" i="1" s="1"/>
  <c r="BO1719" i="1"/>
  <c r="BH1719" i="1"/>
  <c r="BI1719" i="1" s="1"/>
  <c r="BK1719" i="1" s="1"/>
  <c r="BF1719" i="1"/>
  <c r="BG1719" i="1" s="1"/>
  <c r="BO1718" i="1"/>
  <c r="BH1718" i="1"/>
  <c r="BI1718" i="1" s="1"/>
  <c r="BK1718" i="1" s="1"/>
  <c r="BF1718" i="1"/>
  <c r="BG1718" i="1" s="1"/>
  <c r="BO1717" i="1"/>
  <c r="BH1717" i="1"/>
  <c r="BI1717" i="1" s="1"/>
  <c r="BK1717" i="1" s="1"/>
  <c r="BF1717" i="1"/>
  <c r="BG1717" i="1" s="1"/>
  <c r="AZ1730" i="1"/>
  <c r="AW1730" i="1"/>
  <c r="BB1730" i="1" s="1"/>
  <c r="AK1730" i="1"/>
  <c r="AZ1729" i="1"/>
  <c r="AW1729" i="1"/>
  <c r="AY1729" i="1" s="1"/>
  <c r="AK1729" i="1"/>
  <c r="AZ1728" i="1"/>
  <c r="AW1728" i="1"/>
  <c r="AO1728" i="1" s="1"/>
  <c r="AK1728" i="1"/>
  <c r="AZ1727" i="1"/>
  <c r="AW1727" i="1"/>
  <c r="BB1727" i="1" s="1"/>
  <c r="AK1727" i="1"/>
  <c r="AZ1726" i="1"/>
  <c r="AW1726" i="1"/>
  <c r="BB1726" i="1" s="1"/>
  <c r="AK1726" i="1"/>
  <c r="AZ1725" i="1"/>
  <c r="AW1725" i="1"/>
  <c r="AY1725" i="1" s="1"/>
  <c r="AK1725" i="1"/>
  <c r="AZ1724" i="1"/>
  <c r="AW1724" i="1"/>
  <c r="AO1724" i="1" s="1"/>
  <c r="AK1724" i="1"/>
  <c r="AZ1723" i="1"/>
  <c r="AW1723" i="1"/>
  <c r="BB1723" i="1" s="1"/>
  <c r="AK1723" i="1"/>
  <c r="AZ1722" i="1"/>
  <c r="AW1722" i="1"/>
  <c r="BB1722" i="1" s="1"/>
  <c r="AK1722" i="1"/>
  <c r="AZ1721" i="1"/>
  <c r="AW1721" i="1"/>
  <c r="AY1721" i="1" s="1"/>
  <c r="AK1721" i="1"/>
  <c r="CG1721" i="1" s="1"/>
  <c r="AZ1720" i="1"/>
  <c r="AW1720" i="1"/>
  <c r="AO1720" i="1" s="1"/>
  <c r="AK1720" i="1"/>
  <c r="AZ1719" i="1"/>
  <c r="AW1719" i="1"/>
  <c r="BB1719" i="1" s="1"/>
  <c r="AK1719" i="1"/>
  <c r="AZ1718" i="1"/>
  <c r="AW1718" i="1"/>
  <c r="BB1718" i="1" s="1"/>
  <c r="AK1718" i="1"/>
  <c r="AZ1717" i="1"/>
  <c r="AW1717" i="1"/>
  <c r="AY1717" i="1" s="1"/>
  <c r="AK1717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O1726" i="1" l="1"/>
  <c r="AR1726" i="1" s="1"/>
  <c r="AS1726" i="1" s="1"/>
  <c r="AO1723" i="1"/>
  <c r="AR1723" i="1" s="1"/>
  <c r="AS1723" i="1" s="1"/>
  <c r="BA1725" i="1"/>
  <c r="AR1720" i="1"/>
  <c r="AS1720" i="1" s="1"/>
  <c r="AR1728" i="1"/>
  <c r="AS1728" i="1" s="1"/>
  <c r="AO1717" i="1"/>
  <c r="AR1717" i="1" s="1"/>
  <c r="BM1724" i="1"/>
  <c r="BA1717" i="1"/>
  <c r="AO1722" i="1"/>
  <c r="AR1722" i="1" s="1"/>
  <c r="AS1722" i="1" s="1"/>
  <c r="AR1724" i="1"/>
  <c r="AS1724" i="1" s="1"/>
  <c r="AO1725" i="1"/>
  <c r="BM1725" i="1" s="1"/>
  <c r="AO1721" i="1"/>
  <c r="AR1721" i="1" s="1"/>
  <c r="AS1721" i="1" s="1"/>
  <c r="CC1721" i="1" s="1"/>
  <c r="CD1721" i="1" s="1"/>
  <c r="AO1719" i="1"/>
  <c r="AR1719" i="1" s="1"/>
  <c r="AO1729" i="1"/>
  <c r="BM1729" i="1" s="1"/>
  <c r="BA1729" i="1"/>
  <c r="BM1720" i="1"/>
  <c r="BB1717" i="1"/>
  <c r="BB1729" i="1"/>
  <c r="AO1718" i="1"/>
  <c r="BM1718" i="1" s="1"/>
  <c r="BA1721" i="1"/>
  <c r="AO1727" i="1"/>
  <c r="BM1727" i="1" s="1"/>
  <c r="AO1730" i="1"/>
  <c r="AR1730" i="1" s="1"/>
  <c r="BB1725" i="1"/>
  <c r="BB1721" i="1"/>
  <c r="BM1728" i="1"/>
  <c r="AY1720" i="1"/>
  <c r="BA1720" i="1" s="1"/>
  <c r="AY1719" i="1"/>
  <c r="BA1719" i="1" s="1"/>
  <c r="AY1723" i="1"/>
  <c r="BA1723" i="1" s="1"/>
  <c r="BB1728" i="1"/>
  <c r="AY1726" i="1"/>
  <c r="BA1726" i="1" s="1"/>
  <c r="AY1730" i="1"/>
  <c r="BA1730" i="1" s="1"/>
  <c r="AY1724" i="1"/>
  <c r="BA1724" i="1" s="1"/>
  <c r="AY1728" i="1"/>
  <c r="BA1728" i="1" s="1"/>
  <c r="BB1720" i="1"/>
  <c r="BB1724" i="1"/>
  <c r="AY1727" i="1"/>
  <c r="BA1727" i="1" s="1"/>
  <c r="AY1718" i="1"/>
  <c r="BA1718" i="1" s="1"/>
  <c r="AY1722" i="1"/>
  <c r="BA1722" i="1" s="1"/>
  <c r="AP1713" i="1"/>
  <c r="AM1713" i="1"/>
  <c r="AL1713" i="1"/>
  <c r="AM1712" i="1"/>
  <c r="AL1712" i="1"/>
  <c r="AM1711" i="1"/>
  <c r="AL1711" i="1"/>
  <c r="AQ1710" i="1"/>
  <c r="AN1710" i="1"/>
  <c r="AM1710" i="1"/>
  <c r="AL1710" i="1"/>
  <c r="CP1716" i="1"/>
  <c r="CO1716" i="1"/>
  <c r="CP1715" i="1"/>
  <c r="CO1715" i="1"/>
  <c r="CP1714" i="1"/>
  <c r="CO1714" i="1"/>
  <c r="CP1713" i="1"/>
  <c r="CO1713" i="1"/>
  <c r="CP1712" i="1"/>
  <c r="CO1712" i="1"/>
  <c r="CP1711" i="1"/>
  <c r="CO1711" i="1"/>
  <c r="CP1710" i="1"/>
  <c r="CO1710" i="1"/>
  <c r="CP1709" i="1"/>
  <c r="CO1709" i="1"/>
  <c r="BO1716" i="1"/>
  <c r="BH1716" i="1"/>
  <c r="BI1716" i="1" s="1"/>
  <c r="BK1716" i="1" s="1"/>
  <c r="BF1716" i="1"/>
  <c r="BG1716" i="1" s="1"/>
  <c r="BO1715" i="1"/>
  <c r="BH1715" i="1"/>
  <c r="BI1715" i="1" s="1"/>
  <c r="BK1715" i="1" s="1"/>
  <c r="BF1715" i="1"/>
  <c r="BG1715" i="1" s="1"/>
  <c r="BO1714" i="1"/>
  <c r="BH1714" i="1"/>
  <c r="BI1714" i="1" s="1"/>
  <c r="BK1714" i="1" s="1"/>
  <c r="BF1714" i="1"/>
  <c r="BG1714" i="1" s="1"/>
  <c r="BO1713" i="1"/>
  <c r="BH1713" i="1"/>
  <c r="BI1713" i="1" s="1"/>
  <c r="BK1713" i="1" s="1"/>
  <c r="BF1713" i="1"/>
  <c r="BG1713" i="1" s="1"/>
  <c r="BO1712" i="1"/>
  <c r="BH1712" i="1"/>
  <c r="BI1712" i="1" s="1"/>
  <c r="BK1712" i="1" s="1"/>
  <c r="BF1712" i="1"/>
  <c r="BG1712" i="1" s="1"/>
  <c r="BO1711" i="1"/>
  <c r="BH1711" i="1"/>
  <c r="BI1711" i="1" s="1"/>
  <c r="BK1711" i="1" s="1"/>
  <c r="BF1711" i="1"/>
  <c r="BG1711" i="1" s="1"/>
  <c r="BO1710" i="1"/>
  <c r="BH1710" i="1"/>
  <c r="BI1710" i="1" s="1"/>
  <c r="BK1710" i="1" s="1"/>
  <c r="BF1710" i="1"/>
  <c r="BG1710" i="1" s="1"/>
  <c r="BO1709" i="1"/>
  <c r="BH1709" i="1"/>
  <c r="BI1709" i="1" s="1"/>
  <c r="BK1709" i="1" s="1"/>
  <c r="BF1709" i="1"/>
  <c r="BG1709" i="1" s="1"/>
  <c r="AZ1716" i="1"/>
  <c r="AW1716" i="1"/>
  <c r="BB1716" i="1" s="1"/>
  <c r="AK1716" i="1"/>
  <c r="AZ1715" i="1"/>
  <c r="AW1715" i="1"/>
  <c r="AY1715" i="1" s="1"/>
  <c r="AK1715" i="1"/>
  <c r="AZ1714" i="1"/>
  <c r="AW1714" i="1"/>
  <c r="AO1714" i="1" s="1"/>
  <c r="AK1714" i="1"/>
  <c r="AZ1713" i="1"/>
  <c r="AW1713" i="1"/>
  <c r="BB1713" i="1" s="1"/>
  <c r="AK1713" i="1"/>
  <c r="AZ1712" i="1"/>
  <c r="AW1712" i="1"/>
  <c r="BB1712" i="1" s="1"/>
  <c r="AK1712" i="1"/>
  <c r="AZ1711" i="1"/>
  <c r="AW1711" i="1"/>
  <c r="AY1711" i="1" s="1"/>
  <c r="AK1711" i="1"/>
  <c r="AZ1710" i="1"/>
  <c r="AW1710" i="1"/>
  <c r="AO1710" i="1" s="1"/>
  <c r="AK1710" i="1"/>
  <c r="AZ1709" i="1"/>
  <c r="AW1709" i="1"/>
  <c r="BB1709" i="1" s="1"/>
  <c r="AK1709" i="1"/>
  <c r="AD1716" i="1"/>
  <c r="AD1715" i="1"/>
  <c r="AD1714" i="1"/>
  <c r="AD1713" i="1"/>
  <c r="AD1712" i="1"/>
  <c r="AD1711" i="1"/>
  <c r="AD1710" i="1"/>
  <c r="AD1709" i="1"/>
  <c r="BM1726" i="1" l="1"/>
  <c r="BM1717" i="1"/>
  <c r="BP1728" i="1"/>
  <c r="BM1723" i="1"/>
  <c r="BM1722" i="1"/>
  <c r="BA1715" i="1"/>
  <c r="BM1730" i="1"/>
  <c r="AS1717" i="1"/>
  <c r="BP1717" i="1"/>
  <c r="AR1725" i="1"/>
  <c r="AS1725" i="1" s="1"/>
  <c r="BP1720" i="1"/>
  <c r="BP1723" i="1"/>
  <c r="BP1724" i="1"/>
  <c r="BM1721" i="1"/>
  <c r="BP1722" i="1"/>
  <c r="AR1729" i="1"/>
  <c r="AS1729" i="1" s="1"/>
  <c r="BM1719" i="1"/>
  <c r="BP1721" i="1"/>
  <c r="AS1719" i="1"/>
  <c r="BP1719" i="1"/>
  <c r="BP1726" i="1"/>
  <c r="AS1730" i="1"/>
  <c r="BP1730" i="1"/>
  <c r="AR1727" i="1"/>
  <c r="AR1718" i="1"/>
  <c r="AO1713" i="1"/>
  <c r="BM1713" i="1" s="1"/>
  <c r="AR1714" i="1"/>
  <c r="AS1714" i="1" s="1"/>
  <c r="CC1714" i="1" s="1"/>
  <c r="CD1714" i="1" s="1"/>
  <c r="AR1710" i="1"/>
  <c r="AS1710" i="1" s="1"/>
  <c r="CC1710" i="1" s="1"/>
  <c r="CD1710" i="1" s="1"/>
  <c r="AO1711" i="1"/>
  <c r="AR1711" i="1" s="1"/>
  <c r="AO1712" i="1"/>
  <c r="BM1712" i="1" s="1"/>
  <c r="AO1716" i="1"/>
  <c r="AR1716" i="1" s="1"/>
  <c r="AS1716" i="1" s="1"/>
  <c r="CC1716" i="1" s="1"/>
  <c r="CD1716" i="1" s="1"/>
  <c r="BA1711" i="1"/>
  <c r="AO1715" i="1"/>
  <c r="BM1715" i="1" s="1"/>
  <c r="BM1710" i="1"/>
  <c r="AO1709" i="1"/>
  <c r="BM1709" i="1" s="1"/>
  <c r="BB1715" i="1"/>
  <c r="BB1711" i="1"/>
  <c r="BM1714" i="1"/>
  <c r="AY1710" i="1"/>
  <c r="BA1710" i="1" s="1"/>
  <c r="AY1714" i="1"/>
  <c r="BA1714" i="1" s="1"/>
  <c r="AY1709" i="1"/>
  <c r="BA1709" i="1" s="1"/>
  <c r="AY1713" i="1"/>
  <c r="BA1713" i="1" s="1"/>
  <c r="AY1716" i="1"/>
  <c r="BA1716" i="1" s="1"/>
  <c r="BB1710" i="1"/>
  <c r="BB1714" i="1"/>
  <c r="AY1712" i="1"/>
  <c r="BA1712" i="1" s="1"/>
  <c r="BP1725" i="1" l="1"/>
  <c r="BP1729" i="1"/>
  <c r="AS1718" i="1"/>
  <c r="BP1718" i="1"/>
  <c r="BP1714" i="1"/>
  <c r="AS1727" i="1"/>
  <c r="BP1727" i="1"/>
  <c r="AR1712" i="1"/>
  <c r="AS1712" i="1" s="1"/>
  <c r="CC1712" i="1" s="1"/>
  <c r="CD1712" i="1" s="1"/>
  <c r="BM1716" i="1"/>
  <c r="AR1713" i="1"/>
  <c r="AR1715" i="1"/>
  <c r="BP1715" i="1" s="1"/>
  <c r="BP1710" i="1"/>
  <c r="AS1711" i="1"/>
  <c r="CC1711" i="1" s="1"/>
  <c r="CD1711" i="1" s="1"/>
  <c r="BP1711" i="1"/>
  <c r="BM1711" i="1"/>
  <c r="BP1716" i="1"/>
  <c r="AR1709" i="1"/>
  <c r="Y1708" i="1"/>
  <c r="Y1706" i="1"/>
  <c r="Y1705" i="1"/>
  <c r="BP1712" i="1" l="1"/>
  <c r="AS1715" i="1"/>
  <c r="CC1715" i="1" s="1"/>
  <c r="CD1715" i="1" s="1"/>
  <c r="AS1713" i="1"/>
  <c r="CC1713" i="1" s="1"/>
  <c r="CD1713" i="1" s="1"/>
  <c r="BP1713" i="1"/>
  <c r="AS1709" i="1"/>
  <c r="CC1709" i="1" s="1"/>
  <c r="CD1709" i="1" s="1"/>
  <c r="BP1709" i="1"/>
  <c r="Y1691" i="1"/>
  <c r="AQ1691" i="1" s="1"/>
  <c r="AN1691" i="1" l="1"/>
  <c r="AM1691" i="1"/>
  <c r="AL1691" i="1"/>
  <c r="Y1689" i="1"/>
  <c r="Y1687" i="1"/>
  <c r="Y1685" i="1"/>
  <c r="Y1684" i="1"/>
  <c r="Y1683" i="1"/>
  <c r="Y1682" i="1"/>
  <c r="CP1708" i="1" l="1"/>
  <c r="CO1708" i="1"/>
  <c r="CP1707" i="1"/>
  <c r="CO1707" i="1"/>
  <c r="CP1706" i="1"/>
  <c r="CO1706" i="1"/>
  <c r="CP1705" i="1"/>
  <c r="CO1705" i="1"/>
  <c r="CP1704" i="1"/>
  <c r="CO1704" i="1"/>
  <c r="CP1703" i="1"/>
  <c r="CO1703" i="1"/>
  <c r="CP1702" i="1"/>
  <c r="CO1702" i="1"/>
  <c r="CP1701" i="1"/>
  <c r="CO1701" i="1"/>
  <c r="CP1700" i="1"/>
  <c r="CO1700" i="1"/>
  <c r="CP1699" i="1"/>
  <c r="CO1699" i="1"/>
  <c r="CP1698" i="1"/>
  <c r="CO1698" i="1"/>
  <c r="CP1697" i="1"/>
  <c r="CO1697" i="1"/>
  <c r="CP1696" i="1"/>
  <c r="CO1696" i="1"/>
  <c r="CP1695" i="1"/>
  <c r="CO1695" i="1"/>
  <c r="CP1694" i="1"/>
  <c r="CO1694" i="1"/>
  <c r="CP1693" i="1"/>
  <c r="CO1693" i="1"/>
  <c r="CP1692" i="1"/>
  <c r="CO1692" i="1"/>
  <c r="CP1691" i="1"/>
  <c r="CO1691" i="1"/>
  <c r="CP1690" i="1"/>
  <c r="CO1690" i="1"/>
  <c r="CP1689" i="1"/>
  <c r="CO1689" i="1"/>
  <c r="CP1688" i="1"/>
  <c r="CO1688" i="1"/>
  <c r="CP1687" i="1"/>
  <c r="CO1687" i="1"/>
  <c r="CP1686" i="1"/>
  <c r="CO1686" i="1"/>
  <c r="CP1685" i="1"/>
  <c r="CO1685" i="1"/>
  <c r="CP1684" i="1"/>
  <c r="CO1684" i="1"/>
  <c r="CP1683" i="1"/>
  <c r="CO1683" i="1"/>
  <c r="CP1682" i="1"/>
  <c r="CO1682" i="1"/>
  <c r="BO1708" i="1"/>
  <c r="BH1708" i="1"/>
  <c r="BI1708" i="1" s="1"/>
  <c r="BK1708" i="1" s="1"/>
  <c r="BF1708" i="1"/>
  <c r="BG1708" i="1" s="1"/>
  <c r="BO1707" i="1"/>
  <c r="BH1707" i="1"/>
  <c r="BI1707" i="1" s="1"/>
  <c r="BK1707" i="1" s="1"/>
  <c r="BF1707" i="1"/>
  <c r="BG1707" i="1" s="1"/>
  <c r="BO1706" i="1"/>
  <c r="BH1706" i="1"/>
  <c r="BI1706" i="1" s="1"/>
  <c r="BK1706" i="1" s="1"/>
  <c r="BF1706" i="1"/>
  <c r="BG1706" i="1" s="1"/>
  <c r="BO1705" i="1"/>
  <c r="BH1705" i="1"/>
  <c r="BI1705" i="1" s="1"/>
  <c r="BK1705" i="1" s="1"/>
  <c r="BF1705" i="1"/>
  <c r="BG1705" i="1" s="1"/>
  <c r="BO1704" i="1"/>
  <c r="BH1704" i="1"/>
  <c r="BI1704" i="1" s="1"/>
  <c r="BK1704" i="1" s="1"/>
  <c r="BF1704" i="1"/>
  <c r="BG1704" i="1" s="1"/>
  <c r="BO1703" i="1"/>
  <c r="BH1703" i="1"/>
  <c r="BI1703" i="1" s="1"/>
  <c r="BK1703" i="1" s="1"/>
  <c r="BF1703" i="1"/>
  <c r="BG1703" i="1" s="1"/>
  <c r="BO1702" i="1"/>
  <c r="BH1702" i="1"/>
  <c r="BI1702" i="1" s="1"/>
  <c r="BK1702" i="1" s="1"/>
  <c r="BF1702" i="1"/>
  <c r="BG1702" i="1" s="1"/>
  <c r="BO1701" i="1"/>
  <c r="BH1701" i="1"/>
  <c r="BI1701" i="1" s="1"/>
  <c r="BK1701" i="1" s="1"/>
  <c r="BF1701" i="1"/>
  <c r="BG1701" i="1" s="1"/>
  <c r="BO1700" i="1"/>
  <c r="BH1700" i="1"/>
  <c r="BI1700" i="1" s="1"/>
  <c r="BK1700" i="1" s="1"/>
  <c r="BF1700" i="1"/>
  <c r="BG1700" i="1" s="1"/>
  <c r="AZ1708" i="1"/>
  <c r="AW1708" i="1"/>
  <c r="BB1708" i="1" s="1"/>
  <c r="AK1708" i="1"/>
  <c r="AZ1707" i="1"/>
  <c r="AW1707" i="1"/>
  <c r="AY1707" i="1" s="1"/>
  <c r="AK1707" i="1"/>
  <c r="AZ1706" i="1"/>
  <c r="AW1706" i="1"/>
  <c r="AO1706" i="1" s="1"/>
  <c r="AK1706" i="1"/>
  <c r="AZ1705" i="1"/>
  <c r="AW1705" i="1"/>
  <c r="BB1705" i="1" s="1"/>
  <c r="AK1705" i="1"/>
  <c r="AZ1704" i="1"/>
  <c r="AW1704" i="1"/>
  <c r="BB1704" i="1" s="1"/>
  <c r="AK1704" i="1"/>
  <c r="AZ1703" i="1"/>
  <c r="AW1703" i="1"/>
  <c r="AY1703" i="1" s="1"/>
  <c r="AK1703" i="1"/>
  <c r="AZ1702" i="1"/>
  <c r="AW1702" i="1"/>
  <c r="AO1702" i="1" s="1"/>
  <c r="AK1702" i="1"/>
  <c r="AZ1701" i="1"/>
  <c r="AW1701" i="1"/>
  <c r="BB1701" i="1" s="1"/>
  <c r="AK1701" i="1"/>
  <c r="AZ1700" i="1"/>
  <c r="AW1700" i="1"/>
  <c r="BB1700" i="1" s="1"/>
  <c r="AK1700" i="1"/>
  <c r="AD1708" i="1"/>
  <c r="AD1707" i="1"/>
  <c r="AD1706" i="1"/>
  <c r="AD1705" i="1"/>
  <c r="AD1704" i="1"/>
  <c r="AD1703" i="1"/>
  <c r="AD1702" i="1"/>
  <c r="AD1701" i="1"/>
  <c r="AD1700" i="1"/>
  <c r="AO1703" i="1" l="1"/>
  <c r="BM1703" i="1" s="1"/>
  <c r="AR1706" i="1"/>
  <c r="AS1706" i="1" s="1"/>
  <c r="CC1706" i="1" s="1"/>
  <c r="CD1706" i="1" s="1"/>
  <c r="BA1703" i="1"/>
  <c r="AO1705" i="1"/>
  <c r="AR1705" i="1" s="1"/>
  <c r="AO1707" i="1"/>
  <c r="BM1707" i="1" s="1"/>
  <c r="AO1708" i="1"/>
  <c r="BM1708" i="1" s="1"/>
  <c r="BB1707" i="1"/>
  <c r="AO1700" i="1"/>
  <c r="AR1700" i="1" s="1"/>
  <c r="BM1702" i="1"/>
  <c r="AO1701" i="1"/>
  <c r="AR1701" i="1" s="1"/>
  <c r="AO1704" i="1"/>
  <c r="BM1704" i="1" s="1"/>
  <c r="BA1707" i="1"/>
  <c r="BB1703" i="1"/>
  <c r="AR1702" i="1"/>
  <c r="BM1706" i="1"/>
  <c r="AY1702" i="1"/>
  <c r="BA1702" i="1" s="1"/>
  <c r="BB1702" i="1"/>
  <c r="AY1705" i="1"/>
  <c r="BA1705" i="1" s="1"/>
  <c r="AY1706" i="1"/>
  <c r="BA1706" i="1" s="1"/>
  <c r="AY1701" i="1"/>
  <c r="BA1701" i="1" s="1"/>
  <c r="BB1706" i="1"/>
  <c r="AY1700" i="1"/>
  <c r="BA1700" i="1" s="1"/>
  <c r="AY1704" i="1"/>
  <c r="BA1704" i="1" s="1"/>
  <c r="AY1708" i="1"/>
  <c r="BA1708" i="1" s="1"/>
  <c r="Y1681" i="1"/>
  <c r="AR1707" i="1" l="1"/>
  <c r="AS1707" i="1" s="1"/>
  <c r="CC1707" i="1" s="1"/>
  <c r="CD1707" i="1" s="1"/>
  <c r="BM1705" i="1"/>
  <c r="BP1706" i="1"/>
  <c r="AR1703" i="1"/>
  <c r="AS1703" i="1" s="1"/>
  <c r="CC1703" i="1" s="1"/>
  <c r="CD1703" i="1" s="1"/>
  <c r="AR1708" i="1"/>
  <c r="BP1708" i="1" s="1"/>
  <c r="BM1700" i="1"/>
  <c r="BM1701" i="1"/>
  <c r="AS1700" i="1"/>
  <c r="CC1700" i="1" s="1"/>
  <c r="CD1700" i="1" s="1"/>
  <c r="BP1700" i="1"/>
  <c r="AS1701" i="1"/>
  <c r="CC1701" i="1" s="1"/>
  <c r="CD1701" i="1" s="1"/>
  <c r="BP1701" i="1"/>
  <c r="AR1704" i="1"/>
  <c r="AS1705" i="1"/>
  <c r="CC1705" i="1" s="1"/>
  <c r="CD1705" i="1" s="1"/>
  <c r="BP1705" i="1"/>
  <c r="AS1702" i="1"/>
  <c r="CC1702" i="1" s="1"/>
  <c r="CD1702" i="1" s="1"/>
  <c r="BP1702" i="1"/>
  <c r="CP1681" i="1"/>
  <c r="CO1681" i="1"/>
  <c r="CP1680" i="1"/>
  <c r="CO1680" i="1"/>
  <c r="CP1679" i="1"/>
  <c r="CO1679" i="1"/>
  <c r="CP1678" i="1"/>
  <c r="CO1678" i="1"/>
  <c r="CP1677" i="1"/>
  <c r="CO1677" i="1"/>
  <c r="CP1676" i="1"/>
  <c r="CO1676" i="1"/>
  <c r="CP1675" i="1"/>
  <c r="CO1675" i="1"/>
  <c r="CP1674" i="1"/>
  <c r="CO1674" i="1"/>
  <c r="CP1673" i="1"/>
  <c r="CO1673" i="1"/>
  <c r="CP1672" i="1"/>
  <c r="CO1672" i="1"/>
  <c r="CP1671" i="1"/>
  <c r="CO1671" i="1"/>
  <c r="CP1670" i="1"/>
  <c r="CO1670" i="1"/>
  <c r="CP1669" i="1"/>
  <c r="CO1669" i="1"/>
  <c r="BP1707" i="1" l="1"/>
  <c r="BP1703" i="1"/>
  <c r="AS1708" i="1"/>
  <c r="CC1708" i="1" s="1"/>
  <c r="CD1708" i="1" s="1"/>
  <c r="AS1704" i="1"/>
  <c r="CC1704" i="1" s="1"/>
  <c r="CD1704" i="1" s="1"/>
  <c r="BP1704" i="1"/>
  <c r="AQ1681" i="1"/>
  <c r="AQ1676" i="1"/>
  <c r="AQ1672" i="1"/>
  <c r="AM1681" i="1"/>
  <c r="AM1676" i="1"/>
  <c r="AM1673" i="1"/>
  <c r="AM1672" i="1"/>
  <c r="AL1681" i="1"/>
  <c r="AL1676" i="1"/>
  <c r="AL1673" i="1"/>
  <c r="AL1672" i="1"/>
  <c r="Y1671" i="1"/>
  <c r="Y1669" i="1"/>
  <c r="BO1699" i="1" l="1"/>
  <c r="BH1699" i="1"/>
  <c r="BI1699" i="1" s="1"/>
  <c r="BK1699" i="1" s="1"/>
  <c r="BF1699" i="1"/>
  <c r="BG1699" i="1" s="1"/>
  <c r="BO1698" i="1"/>
  <c r="BH1698" i="1"/>
  <c r="BI1698" i="1" s="1"/>
  <c r="BK1698" i="1" s="1"/>
  <c r="BF1698" i="1"/>
  <c r="BG1698" i="1" s="1"/>
  <c r="BO1697" i="1"/>
  <c r="BH1697" i="1"/>
  <c r="BI1697" i="1" s="1"/>
  <c r="BK1697" i="1" s="1"/>
  <c r="BF1697" i="1"/>
  <c r="BG1697" i="1" s="1"/>
  <c r="BO1696" i="1"/>
  <c r="BH1696" i="1"/>
  <c r="BI1696" i="1" s="1"/>
  <c r="BK1696" i="1" s="1"/>
  <c r="BF1696" i="1"/>
  <c r="BG1696" i="1" s="1"/>
  <c r="BO1695" i="1"/>
  <c r="BH1695" i="1"/>
  <c r="BI1695" i="1" s="1"/>
  <c r="BK1695" i="1" s="1"/>
  <c r="BF1695" i="1"/>
  <c r="BG1695" i="1" s="1"/>
  <c r="BO1694" i="1"/>
  <c r="BH1694" i="1"/>
  <c r="BI1694" i="1" s="1"/>
  <c r="BK1694" i="1" s="1"/>
  <c r="BF1694" i="1"/>
  <c r="BG1694" i="1" s="1"/>
  <c r="BO1693" i="1"/>
  <c r="BH1693" i="1"/>
  <c r="BI1693" i="1" s="1"/>
  <c r="BK1693" i="1" s="1"/>
  <c r="BF1693" i="1"/>
  <c r="BG1693" i="1" s="1"/>
  <c r="BO1692" i="1"/>
  <c r="BH1692" i="1"/>
  <c r="BI1692" i="1" s="1"/>
  <c r="BK1692" i="1" s="1"/>
  <c r="BF1692" i="1"/>
  <c r="BG1692" i="1" s="1"/>
  <c r="BO1691" i="1"/>
  <c r="BH1691" i="1"/>
  <c r="BI1691" i="1" s="1"/>
  <c r="BK1691" i="1" s="1"/>
  <c r="BF1691" i="1"/>
  <c r="BG1691" i="1" s="1"/>
  <c r="BO1690" i="1"/>
  <c r="BH1690" i="1"/>
  <c r="BI1690" i="1" s="1"/>
  <c r="BK1690" i="1" s="1"/>
  <c r="BF1690" i="1"/>
  <c r="BG1690" i="1" s="1"/>
  <c r="BO1689" i="1"/>
  <c r="BH1689" i="1"/>
  <c r="BI1689" i="1" s="1"/>
  <c r="BK1689" i="1" s="1"/>
  <c r="BF1689" i="1"/>
  <c r="BG1689" i="1" s="1"/>
  <c r="BO1688" i="1"/>
  <c r="BH1688" i="1"/>
  <c r="BI1688" i="1" s="1"/>
  <c r="BK1688" i="1" s="1"/>
  <c r="BF1688" i="1"/>
  <c r="BG1688" i="1" s="1"/>
  <c r="BO1687" i="1"/>
  <c r="BH1687" i="1"/>
  <c r="BI1687" i="1" s="1"/>
  <c r="BK1687" i="1" s="1"/>
  <c r="BF1687" i="1"/>
  <c r="BG1687" i="1" s="1"/>
  <c r="BO1686" i="1"/>
  <c r="BH1686" i="1"/>
  <c r="BI1686" i="1" s="1"/>
  <c r="BK1686" i="1" s="1"/>
  <c r="BF1686" i="1"/>
  <c r="BG1686" i="1" s="1"/>
  <c r="BO1685" i="1"/>
  <c r="BH1685" i="1"/>
  <c r="BI1685" i="1" s="1"/>
  <c r="BK1685" i="1" s="1"/>
  <c r="BF1685" i="1"/>
  <c r="BG1685" i="1" s="1"/>
  <c r="BO1684" i="1"/>
  <c r="BH1684" i="1"/>
  <c r="BI1684" i="1" s="1"/>
  <c r="BK1684" i="1" s="1"/>
  <c r="BF1684" i="1"/>
  <c r="BG1684" i="1" s="1"/>
  <c r="BO1683" i="1"/>
  <c r="BH1683" i="1"/>
  <c r="BI1683" i="1" s="1"/>
  <c r="BK1683" i="1" s="1"/>
  <c r="BF1683" i="1"/>
  <c r="BG1683" i="1" s="1"/>
  <c r="BO1682" i="1"/>
  <c r="BH1682" i="1"/>
  <c r="BI1682" i="1" s="1"/>
  <c r="BK1682" i="1" s="1"/>
  <c r="BF1682" i="1"/>
  <c r="BG1682" i="1" s="1"/>
  <c r="BO1681" i="1"/>
  <c r="BH1681" i="1"/>
  <c r="BI1681" i="1" s="1"/>
  <c r="BK1681" i="1" s="1"/>
  <c r="BF1681" i="1"/>
  <c r="BG1681" i="1" s="1"/>
  <c r="BO1680" i="1"/>
  <c r="BH1680" i="1"/>
  <c r="BI1680" i="1" s="1"/>
  <c r="BK1680" i="1" s="1"/>
  <c r="BF1680" i="1"/>
  <c r="BG1680" i="1" s="1"/>
  <c r="BO1679" i="1"/>
  <c r="BH1679" i="1"/>
  <c r="BI1679" i="1" s="1"/>
  <c r="BK1679" i="1" s="1"/>
  <c r="BF1679" i="1"/>
  <c r="BG1679" i="1" s="1"/>
  <c r="BO1678" i="1"/>
  <c r="BH1678" i="1"/>
  <c r="BI1678" i="1" s="1"/>
  <c r="BK1678" i="1" s="1"/>
  <c r="BF1678" i="1"/>
  <c r="BG1678" i="1" s="1"/>
  <c r="BO1677" i="1"/>
  <c r="BH1677" i="1"/>
  <c r="BI1677" i="1" s="1"/>
  <c r="BK1677" i="1" s="1"/>
  <c r="BF1677" i="1"/>
  <c r="BG1677" i="1" s="1"/>
  <c r="BO1676" i="1"/>
  <c r="BH1676" i="1"/>
  <c r="BI1676" i="1" s="1"/>
  <c r="BK1676" i="1" s="1"/>
  <c r="BF1676" i="1"/>
  <c r="BG1676" i="1" s="1"/>
  <c r="BO1675" i="1"/>
  <c r="BH1675" i="1"/>
  <c r="BI1675" i="1" s="1"/>
  <c r="BK1675" i="1" s="1"/>
  <c r="BF1675" i="1"/>
  <c r="BG1675" i="1" s="1"/>
  <c r="BO1674" i="1"/>
  <c r="BH1674" i="1"/>
  <c r="BI1674" i="1" s="1"/>
  <c r="BK1674" i="1" s="1"/>
  <c r="BF1674" i="1"/>
  <c r="BG1674" i="1" s="1"/>
  <c r="BO1673" i="1"/>
  <c r="BH1673" i="1"/>
  <c r="BI1673" i="1" s="1"/>
  <c r="BK1673" i="1" s="1"/>
  <c r="BF1673" i="1"/>
  <c r="BG1673" i="1" s="1"/>
  <c r="BO1672" i="1"/>
  <c r="BH1672" i="1"/>
  <c r="BI1672" i="1" s="1"/>
  <c r="BK1672" i="1" s="1"/>
  <c r="BF1672" i="1"/>
  <c r="BG1672" i="1" s="1"/>
  <c r="BO1671" i="1"/>
  <c r="BH1671" i="1"/>
  <c r="BI1671" i="1" s="1"/>
  <c r="BK1671" i="1" s="1"/>
  <c r="BF1671" i="1"/>
  <c r="BG1671" i="1" s="1"/>
  <c r="BO1670" i="1"/>
  <c r="BH1670" i="1"/>
  <c r="BI1670" i="1" s="1"/>
  <c r="BK1670" i="1" s="1"/>
  <c r="BF1670" i="1"/>
  <c r="BG1670" i="1" s="1"/>
  <c r="BO1669" i="1"/>
  <c r="BH1669" i="1"/>
  <c r="BI1669" i="1" s="1"/>
  <c r="BK1669" i="1" s="1"/>
  <c r="BF1669" i="1"/>
  <c r="BG1669" i="1" s="1"/>
  <c r="AZ1699" i="1"/>
  <c r="AW1699" i="1"/>
  <c r="BB1699" i="1" s="1"/>
  <c r="AK1699" i="1"/>
  <c r="AZ1698" i="1"/>
  <c r="AW1698" i="1"/>
  <c r="AY1698" i="1" s="1"/>
  <c r="AK1698" i="1"/>
  <c r="AZ1697" i="1"/>
  <c r="AW1697" i="1"/>
  <c r="AY1697" i="1" s="1"/>
  <c r="AK1697" i="1"/>
  <c r="AZ1696" i="1"/>
  <c r="AW1696" i="1"/>
  <c r="BB1696" i="1" s="1"/>
  <c r="AK1696" i="1"/>
  <c r="AZ1695" i="1"/>
  <c r="AW1695" i="1"/>
  <c r="BB1695" i="1" s="1"/>
  <c r="AK1695" i="1"/>
  <c r="AZ1694" i="1"/>
  <c r="AW1694" i="1"/>
  <c r="BB1694" i="1" s="1"/>
  <c r="AK1694" i="1"/>
  <c r="AZ1693" i="1"/>
  <c r="AW1693" i="1"/>
  <c r="AY1693" i="1" s="1"/>
  <c r="AK1693" i="1"/>
  <c r="AZ1692" i="1"/>
  <c r="AW1692" i="1"/>
  <c r="BB1692" i="1" s="1"/>
  <c r="AK1692" i="1"/>
  <c r="AZ1691" i="1"/>
  <c r="AW1691" i="1"/>
  <c r="AY1691" i="1" s="1"/>
  <c r="AK1691" i="1"/>
  <c r="CI1691" i="1" s="1"/>
  <c r="AZ1690" i="1"/>
  <c r="AW1690" i="1"/>
  <c r="BB1690" i="1" s="1"/>
  <c r="AK1690" i="1"/>
  <c r="AZ1689" i="1"/>
  <c r="AW1689" i="1"/>
  <c r="AY1689" i="1" s="1"/>
  <c r="AK1689" i="1"/>
  <c r="AZ1688" i="1"/>
  <c r="AW1688" i="1"/>
  <c r="AO1688" i="1" s="1"/>
  <c r="AK1688" i="1"/>
  <c r="AZ1687" i="1"/>
  <c r="AW1687" i="1"/>
  <c r="BB1687" i="1" s="1"/>
  <c r="AK1687" i="1"/>
  <c r="AZ1686" i="1"/>
  <c r="AW1686" i="1"/>
  <c r="BB1686" i="1" s="1"/>
  <c r="AK1686" i="1"/>
  <c r="AZ1685" i="1"/>
  <c r="AW1685" i="1"/>
  <c r="AY1685" i="1" s="1"/>
  <c r="AK1685" i="1"/>
  <c r="AZ1684" i="1"/>
  <c r="AW1684" i="1"/>
  <c r="AY1684" i="1" s="1"/>
  <c r="AK1684" i="1"/>
  <c r="AZ1683" i="1"/>
  <c r="AW1683" i="1"/>
  <c r="AY1683" i="1" s="1"/>
  <c r="AK1683" i="1"/>
  <c r="AZ1682" i="1"/>
  <c r="AW1682" i="1"/>
  <c r="BB1682" i="1" s="1"/>
  <c r="AK1682" i="1"/>
  <c r="AZ1681" i="1"/>
  <c r="AW1681" i="1"/>
  <c r="AY1681" i="1" s="1"/>
  <c r="AK1681" i="1"/>
  <c r="AZ1680" i="1"/>
  <c r="AW1680" i="1"/>
  <c r="BB1680" i="1" s="1"/>
  <c r="AK1680" i="1"/>
  <c r="AZ1679" i="1"/>
  <c r="AW1679" i="1"/>
  <c r="AY1679" i="1" s="1"/>
  <c r="AK1679" i="1"/>
  <c r="AZ1678" i="1"/>
  <c r="AW1678" i="1"/>
  <c r="BB1678" i="1" s="1"/>
  <c r="AK1678" i="1"/>
  <c r="AZ1677" i="1"/>
  <c r="AW1677" i="1"/>
  <c r="AY1677" i="1" s="1"/>
  <c r="AK1677" i="1"/>
  <c r="AZ1676" i="1"/>
  <c r="AW1676" i="1"/>
  <c r="BB1676" i="1" s="1"/>
  <c r="AK1676" i="1"/>
  <c r="AZ1675" i="1"/>
  <c r="AW1675" i="1"/>
  <c r="AY1675" i="1" s="1"/>
  <c r="AK1675" i="1"/>
  <c r="AZ1674" i="1"/>
  <c r="AW1674" i="1"/>
  <c r="BB1674" i="1" s="1"/>
  <c r="AK1674" i="1"/>
  <c r="AZ1673" i="1"/>
  <c r="AW1673" i="1"/>
  <c r="AY1673" i="1" s="1"/>
  <c r="AK1673" i="1"/>
  <c r="CG1673" i="1" s="1"/>
  <c r="AZ1672" i="1"/>
  <c r="AW1672" i="1"/>
  <c r="BB1672" i="1" s="1"/>
  <c r="AK1672" i="1"/>
  <c r="AZ1671" i="1"/>
  <c r="AW1671" i="1"/>
  <c r="AY1671" i="1" s="1"/>
  <c r="AK1671" i="1"/>
  <c r="AZ1670" i="1"/>
  <c r="AW1670" i="1"/>
  <c r="BB1670" i="1" s="1"/>
  <c r="AK1670" i="1"/>
  <c r="AZ1669" i="1"/>
  <c r="AW1669" i="1"/>
  <c r="AY1669" i="1" s="1"/>
  <c r="AK1669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BA1669" i="1" l="1"/>
  <c r="AO1673" i="1"/>
  <c r="AR1673" i="1" s="1"/>
  <c r="AO1680" i="1"/>
  <c r="AR1680" i="1" s="1"/>
  <c r="AO1692" i="1"/>
  <c r="AR1692" i="1" s="1"/>
  <c r="AS1692" i="1" s="1"/>
  <c r="CC1692" i="1" s="1"/>
  <c r="CD1692" i="1" s="1"/>
  <c r="AO1674" i="1"/>
  <c r="AR1674" i="1" s="1"/>
  <c r="AS1674" i="1" s="1"/>
  <c r="AO1678" i="1"/>
  <c r="AR1678" i="1" s="1"/>
  <c r="BA1693" i="1"/>
  <c r="AO1694" i="1"/>
  <c r="BM1694" i="1" s="1"/>
  <c r="BA1691" i="1"/>
  <c r="BB1688" i="1"/>
  <c r="BB1685" i="1"/>
  <c r="BA1684" i="1"/>
  <c r="AO1686" i="1"/>
  <c r="AR1686" i="1" s="1"/>
  <c r="AO1689" i="1"/>
  <c r="BM1689" i="1" s="1"/>
  <c r="AY1670" i="1"/>
  <c r="BA1670" i="1" s="1"/>
  <c r="AO1677" i="1"/>
  <c r="AR1677" i="1" s="1"/>
  <c r="BA1697" i="1"/>
  <c r="BA1677" i="1"/>
  <c r="AO1681" i="1"/>
  <c r="BM1681" i="1" s="1"/>
  <c r="BM1688" i="1"/>
  <c r="AY1688" i="1"/>
  <c r="BA1688" i="1" s="1"/>
  <c r="AO1672" i="1"/>
  <c r="BM1672" i="1" s="1"/>
  <c r="BB1681" i="1"/>
  <c r="AY1680" i="1"/>
  <c r="BA1680" i="1" s="1"/>
  <c r="BA1683" i="1"/>
  <c r="AY1686" i="1"/>
  <c r="BA1686" i="1" s="1"/>
  <c r="BA1689" i="1"/>
  <c r="AO1696" i="1"/>
  <c r="BM1696" i="1" s="1"/>
  <c r="AO1669" i="1"/>
  <c r="BM1669" i="1" s="1"/>
  <c r="AY1690" i="1"/>
  <c r="BA1690" i="1" s="1"/>
  <c r="AO1697" i="1"/>
  <c r="BM1697" i="1" s="1"/>
  <c r="AO1676" i="1"/>
  <c r="AR1676" i="1" s="1"/>
  <c r="BA1679" i="1"/>
  <c r="BA1673" i="1"/>
  <c r="AO1682" i="1"/>
  <c r="AR1682" i="1" s="1"/>
  <c r="BA1698" i="1"/>
  <c r="AY1678" i="1"/>
  <c r="BA1678" i="1" s="1"/>
  <c r="BB1693" i="1"/>
  <c r="AY1696" i="1"/>
  <c r="BA1696" i="1" s="1"/>
  <c r="BA1671" i="1"/>
  <c r="BB1673" i="1"/>
  <c r="AY1676" i="1"/>
  <c r="BA1676" i="1" s="1"/>
  <c r="BA1681" i="1"/>
  <c r="AO1684" i="1"/>
  <c r="BM1684" i="1" s="1"/>
  <c r="BB1689" i="1"/>
  <c r="AY1692" i="1"/>
  <c r="BA1692" i="1" s="1"/>
  <c r="AY1694" i="1"/>
  <c r="BA1694" i="1" s="1"/>
  <c r="AY1674" i="1"/>
  <c r="BA1674" i="1" s="1"/>
  <c r="AY1672" i="1"/>
  <c r="BA1672" i="1" s="1"/>
  <c r="BB1669" i="1"/>
  <c r="AY1682" i="1"/>
  <c r="BA1682" i="1" s="1"/>
  <c r="AO1685" i="1"/>
  <c r="BM1685" i="1" s="1"/>
  <c r="AR1688" i="1"/>
  <c r="AO1690" i="1"/>
  <c r="BM1690" i="1" s="1"/>
  <c r="BB1697" i="1"/>
  <c r="BB1684" i="1"/>
  <c r="AO1670" i="1"/>
  <c r="BM1670" i="1" s="1"/>
  <c r="BA1675" i="1"/>
  <c r="BB1677" i="1"/>
  <c r="BA1685" i="1"/>
  <c r="AO1693" i="1"/>
  <c r="AR1693" i="1" s="1"/>
  <c r="AO1698" i="1"/>
  <c r="BM1698" i="1" s="1"/>
  <c r="BB1679" i="1"/>
  <c r="BB1683" i="1"/>
  <c r="BB1671" i="1"/>
  <c r="BB1675" i="1"/>
  <c r="BB1691" i="1"/>
  <c r="BB1698" i="1"/>
  <c r="AO1671" i="1"/>
  <c r="AR1671" i="1" s="1"/>
  <c r="AO1675" i="1"/>
  <c r="AO1679" i="1"/>
  <c r="AR1679" i="1" s="1"/>
  <c r="AO1683" i="1"/>
  <c r="AR1683" i="1" s="1"/>
  <c r="AO1687" i="1"/>
  <c r="AO1691" i="1"/>
  <c r="AO1695" i="1"/>
  <c r="AR1695" i="1" s="1"/>
  <c r="AO1699" i="1"/>
  <c r="AR1699" i="1" s="1"/>
  <c r="AY1687" i="1"/>
  <c r="BA1687" i="1" s="1"/>
  <c r="AY1695" i="1"/>
  <c r="BA1695" i="1" s="1"/>
  <c r="AY1699" i="1"/>
  <c r="BA1699" i="1" s="1"/>
  <c r="Y1665" i="1"/>
  <c r="Y1664" i="1"/>
  <c r="Y1662" i="1"/>
  <c r="Y1661" i="1"/>
  <c r="Y1660" i="1"/>
  <c r="Y1655" i="1"/>
  <c r="BM1673" i="1" l="1"/>
  <c r="BM1680" i="1"/>
  <c r="BM1692" i="1"/>
  <c r="BM1678" i="1"/>
  <c r="BM1674" i="1"/>
  <c r="AR1681" i="1"/>
  <c r="AS1681" i="1" s="1"/>
  <c r="CC1681" i="1" s="1"/>
  <c r="CD1681" i="1" s="1"/>
  <c r="BM1676" i="1"/>
  <c r="AR1689" i="1"/>
  <c r="BP1689" i="1" s="1"/>
  <c r="AR1694" i="1"/>
  <c r="AS1694" i="1" s="1"/>
  <c r="CC1694" i="1" s="1"/>
  <c r="CD1694" i="1" s="1"/>
  <c r="BM1686" i="1"/>
  <c r="AR1669" i="1"/>
  <c r="AS1669" i="1" s="1"/>
  <c r="BM1677" i="1"/>
  <c r="BP1692" i="1"/>
  <c r="AS1686" i="1"/>
  <c r="CC1686" i="1" s="1"/>
  <c r="CD1686" i="1" s="1"/>
  <c r="BP1686" i="1"/>
  <c r="AR1672" i="1"/>
  <c r="AS1672" i="1" s="1"/>
  <c r="CC1672" i="1" s="1"/>
  <c r="CD1672" i="1" s="1"/>
  <c r="BM1682" i="1"/>
  <c r="AS1677" i="1"/>
  <c r="CC1677" i="1" s="1"/>
  <c r="CD1677" i="1" s="1"/>
  <c r="BP1677" i="1"/>
  <c r="BP1674" i="1"/>
  <c r="AR1696" i="1"/>
  <c r="AS1696" i="1" s="1"/>
  <c r="CC1696" i="1" s="1"/>
  <c r="CD1696" i="1" s="1"/>
  <c r="AR1684" i="1"/>
  <c r="BP1684" i="1" s="1"/>
  <c r="AR1670" i="1"/>
  <c r="BP1670" i="1" s="1"/>
  <c r="AS1682" i="1"/>
  <c r="CC1682" i="1" s="1"/>
  <c r="CD1682" i="1" s="1"/>
  <c r="BP1682" i="1"/>
  <c r="AS1676" i="1"/>
  <c r="CC1676" i="1" s="1"/>
  <c r="CD1676" i="1" s="1"/>
  <c r="BP1676" i="1"/>
  <c r="AR1697" i="1"/>
  <c r="AS1680" i="1"/>
  <c r="CC1680" i="1" s="1"/>
  <c r="CD1680" i="1" s="1"/>
  <c r="BP1680" i="1"/>
  <c r="AS1693" i="1"/>
  <c r="CC1693" i="1" s="1"/>
  <c r="CD1693" i="1" s="1"/>
  <c r="BP1693" i="1"/>
  <c r="AR1675" i="1"/>
  <c r="BM1675" i="1"/>
  <c r="AR1690" i="1"/>
  <c r="BM1695" i="1"/>
  <c r="AS1679" i="1"/>
  <c r="CC1679" i="1" s="1"/>
  <c r="CD1679" i="1" s="1"/>
  <c r="BP1679" i="1"/>
  <c r="AS1671" i="1"/>
  <c r="BP1671" i="1"/>
  <c r="BM1679" i="1"/>
  <c r="AS1673" i="1"/>
  <c r="CC1673" i="1" s="1"/>
  <c r="CD1673" i="1" s="1"/>
  <c r="BP1673" i="1"/>
  <c r="AS1699" i="1"/>
  <c r="CC1699" i="1" s="1"/>
  <c r="CD1699" i="1" s="1"/>
  <c r="BP1699" i="1"/>
  <c r="AS1695" i="1"/>
  <c r="CC1695" i="1" s="1"/>
  <c r="CD1695" i="1" s="1"/>
  <c r="BP1695" i="1"/>
  <c r="AR1685" i="1"/>
  <c r="AR1691" i="1"/>
  <c r="BM1691" i="1"/>
  <c r="BM1693" i="1"/>
  <c r="BM1683" i="1"/>
  <c r="AR1687" i="1"/>
  <c r="BM1687" i="1"/>
  <c r="AR1698" i="1"/>
  <c r="AS1678" i="1"/>
  <c r="CC1678" i="1" s="1"/>
  <c r="CD1678" i="1" s="1"/>
  <c r="BP1678" i="1"/>
  <c r="BM1699" i="1"/>
  <c r="AS1683" i="1"/>
  <c r="CC1683" i="1" s="1"/>
  <c r="CD1683" i="1" s="1"/>
  <c r="BP1683" i="1"/>
  <c r="AS1688" i="1"/>
  <c r="CC1688" i="1" s="1"/>
  <c r="CD1688" i="1" s="1"/>
  <c r="BP1688" i="1"/>
  <c r="BM1671" i="1"/>
  <c r="CP1668" i="1"/>
  <c r="CO1668" i="1"/>
  <c r="CP1667" i="1"/>
  <c r="CO1667" i="1"/>
  <c r="CP1666" i="1"/>
  <c r="CO1666" i="1"/>
  <c r="CP1665" i="1"/>
  <c r="CO1665" i="1"/>
  <c r="CP1664" i="1"/>
  <c r="CO1664" i="1"/>
  <c r="CP1663" i="1"/>
  <c r="CO1663" i="1"/>
  <c r="CP1662" i="1"/>
  <c r="CO1662" i="1"/>
  <c r="CP1661" i="1"/>
  <c r="CO1661" i="1"/>
  <c r="CP1660" i="1"/>
  <c r="CO1660" i="1"/>
  <c r="CP1659" i="1"/>
  <c r="CO1659" i="1"/>
  <c r="CP1658" i="1"/>
  <c r="CO1658" i="1"/>
  <c r="CP1657" i="1"/>
  <c r="CO1657" i="1"/>
  <c r="CP1656" i="1"/>
  <c r="CO1656" i="1"/>
  <c r="CP1655" i="1"/>
  <c r="CO1655" i="1"/>
  <c r="CP1654" i="1"/>
  <c r="CO1654" i="1"/>
  <c r="CP1653" i="1"/>
  <c r="CO1653" i="1"/>
  <c r="CP1652" i="1"/>
  <c r="CO1652" i="1"/>
  <c r="CP1651" i="1"/>
  <c r="CO1651" i="1"/>
  <c r="CP1650" i="1"/>
  <c r="CO1650" i="1"/>
  <c r="BO1668" i="1"/>
  <c r="BH1668" i="1"/>
  <c r="BI1668" i="1" s="1"/>
  <c r="BK1668" i="1" s="1"/>
  <c r="BF1668" i="1"/>
  <c r="BG1668" i="1" s="1"/>
  <c r="BO1667" i="1"/>
  <c r="BH1667" i="1"/>
  <c r="BI1667" i="1" s="1"/>
  <c r="BK1667" i="1" s="1"/>
  <c r="BF1667" i="1"/>
  <c r="BG1667" i="1" s="1"/>
  <c r="BO1666" i="1"/>
  <c r="BH1666" i="1"/>
  <c r="BI1666" i="1" s="1"/>
  <c r="BK1666" i="1" s="1"/>
  <c r="BF1666" i="1"/>
  <c r="BG1666" i="1" s="1"/>
  <c r="BO1665" i="1"/>
  <c r="BH1665" i="1"/>
  <c r="BI1665" i="1" s="1"/>
  <c r="BK1665" i="1" s="1"/>
  <c r="BF1665" i="1"/>
  <c r="BG1665" i="1" s="1"/>
  <c r="BO1664" i="1"/>
  <c r="BH1664" i="1"/>
  <c r="BI1664" i="1" s="1"/>
  <c r="BK1664" i="1" s="1"/>
  <c r="BF1664" i="1"/>
  <c r="BG1664" i="1" s="1"/>
  <c r="BO1663" i="1"/>
  <c r="BH1663" i="1"/>
  <c r="BI1663" i="1" s="1"/>
  <c r="BK1663" i="1" s="1"/>
  <c r="BF1663" i="1"/>
  <c r="BG1663" i="1" s="1"/>
  <c r="BO1662" i="1"/>
  <c r="BH1662" i="1"/>
  <c r="BI1662" i="1" s="1"/>
  <c r="BK1662" i="1" s="1"/>
  <c r="BF1662" i="1"/>
  <c r="BG1662" i="1" s="1"/>
  <c r="BO1661" i="1"/>
  <c r="BH1661" i="1"/>
  <c r="BI1661" i="1" s="1"/>
  <c r="BK1661" i="1" s="1"/>
  <c r="BF1661" i="1"/>
  <c r="BG1661" i="1" s="1"/>
  <c r="BO1660" i="1"/>
  <c r="BH1660" i="1"/>
  <c r="BI1660" i="1" s="1"/>
  <c r="BK1660" i="1" s="1"/>
  <c r="BF1660" i="1"/>
  <c r="BG1660" i="1" s="1"/>
  <c r="BO1659" i="1"/>
  <c r="BH1659" i="1"/>
  <c r="BI1659" i="1" s="1"/>
  <c r="BK1659" i="1" s="1"/>
  <c r="BF1659" i="1"/>
  <c r="BG1659" i="1" s="1"/>
  <c r="BO1658" i="1"/>
  <c r="BH1658" i="1"/>
  <c r="BI1658" i="1" s="1"/>
  <c r="BK1658" i="1" s="1"/>
  <c r="BF1658" i="1"/>
  <c r="BG1658" i="1" s="1"/>
  <c r="BO1657" i="1"/>
  <c r="BH1657" i="1"/>
  <c r="BI1657" i="1" s="1"/>
  <c r="BK1657" i="1" s="1"/>
  <c r="BF1657" i="1"/>
  <c r="BG1657" i="1" s="1"/>
  <c r="BO1656" i="1"/>
  <c r="BH1656" i="1"/>
  <c r="BI1656" i="1" s="1"/>
  <c r="BK1656" i="1" s="1"/>
  <c r="BF1656" i="1"/>
  <c r="BG1656" i="1" s="1"/>
  <c r="BO1655" i="1"/>
  <c r="BH1655" i="1"/>
  <c r="BI1655" i="1" s="1"/>
  <c r="BK1655" i="1" s="1"/>
  <c r="BF1655" i="1"/>
  <c r="BG1655" i="1" s="1"/>
  <c r="BO1654" i="1"/>
  <c r="BH1654" i="1"/>
  <c r="BI1654" i="1" s="1"/>
  <c r="BK1654" i="1" s="1"/>
  <c r="BF1654" i="1"/>
  <c r="BG1654" i="1" s="1"/>
  <c r="BO1653" i="1"/>
  <c r="BH1653" i="1"/>
  <c r="BI1653" i="1" s="1"/>
  <c r="BK1653" i="1" s="1"/>
  <c r="BF1653" i="1"/>
  <c r="BG1653" i="1" s="1"/>
  <c r="BO1652" i="1"/>
  <c r="BH1652" i="1"/>
  <c r="BI1652" i="1" s="1"/>
  <c r="BK1652" i="1" s="1"/>
  <c r="BF1652" i="1"/>
  <c r="BG1652" i="1" s="1"/>
  <c r="BO1651" i="1"/>
  <c r="BH1651" i="1"/>
  <c r="BI1651" i="1" s="1"/>
  <c r="BK1651" i="1" s="1"/>
  <c r="BF1651" i="1"/>
  <c r="BG1651" i="1" s="1"/>
  <c r="BO1650" i="1"/>
  <c r="BH1650" i="1"/>
  <c r="BI1650" i="1" s="1"/>
  <c r="BK1650" i="1" s="1"/>
  <c r="BF1650" i="1"/>
  <c r="BG1650" i="1" s="1"/>
  <c r="AZ1668" i="1"/>
  <c r="AW1668" i="1"/>
  <c r="BB1668" i="1" s="1"/>
  <c r="AK1668" i="1"/>
  <c r="AZ1667" i="1"/>
  <c r="AW1667" i="1"/>
  <c r="BB1667" i="1" s="1"/>
  <c r="AK1667" i="1"/>
  <c r="AZ1666" i="1"/>
  <c r="AW1666" i="1"/>
  <c r="AY1666" i="1" s="1"/>
  <c r="AK1666" i="1"/>
  <c r="AZ1665" i="1"/>
  <c r="AW1665" i="1"/>
  <c r="AY1665" i="1" s="1"/>
  <c r="AK1665" i="1"/>
  <c r="AZ1664" i="1"/>
  <c r="AW1664" i="1"/>
  <c r="BB1664" i="1" s="1"/>
  <c r="AK1664" i="1"/>
  <c r="AZ1663" i="1"/>
  <c r="AW1663" i="1"/>
  <c r="BB1663" i="1" s="1"/>
  <c r="AK1663" i="1"/>
  <c r="AZ1662" i="1"/>
  <c r="AW1662" i="1"/>
  <c r="AY1662" i="1" s="1"/>
  <c r="AK1662" i="1"/>
  <c r="AZ1661" i="1"/>
  <c r="AW1661" i="1"/>
  <c r="AY1661" i="1" s="1"/>
  <c r="AK1661" i="1"/>
  <c r="AZ1660" i="1"/>
  <c r="AW1660" i="1"/>
  <c r="BB1660" i="1" s="1"/>
  <c r="AK1660" i="1"/>
  <c r="AZ1659" i="1"/>
  <c r="AW1659" i="1"/>
  <c r="BB1659" i="1" s="1"/>
  <c r="AK1659" i="1"/>
  <c r="AZ1658" i="1"/>
  <c r="AW1658" i="1"/>
  <c r="AY1658" i="1" s="1"/>
  <c r="AK1658" i="1"/>
  <c r="AZ1657" i="1"/>
  <c r="AW1657" i="1"/>
  <c r="AY1657" i="1" s="1"/>
  <c r="AK1657" i="1"/>
  <c r="AZ1656" i="1"/>
  <c r="AW1656" i="1"/>
  <c r="BB1656" i="1" s="1"/>
  <c r="AK1656" i="1"/>
  <c r="AZ1655" i="1"/>
  <c r="AW1655" i="1"/>
  <c r="BB1655" i="1" s="1"/>
  <c r="AK1655" i="1"/>
  <c r="AZ1654" i="1"/>
  <c r="AW1654" i="1"/>
  <c r="AY1654" i="1" s="1"/>
  <c r="AK1654" i="1"/>
  <c r="AZ1653" i="1"/>
  <c r="AW1653" i="1"/>
  <c r="AY1653" i="1" s="1"/>
  <c r="AK1653" i="1"/>
  <c r="AZ1652" i="1"/>
  <c r="AW1652" i="1"/>
  <c r="BB1652" i="1" s="1"/>
  <c r="AK1652" i="1"/>
  <c r="AZ1651" i="1"/>
  <c r="AW1651" i="1"/>
  <c r="BB1651" i="1" s="1"/>
  <c r="AK1651" i="1"/>
  <c r="AZ1650" i="1"/>
  <c r="AW1650" i="1"/>
  <c r="AY1650" i="1" s="1"/>
  <c r="AK1650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BP1681" i="1" l="1"/>
  <c r="AS1689" i="1"/>
  <c r="CC1689" i="1" s="1"/>
  <c r="CD1689" i="1" s="1"/>
  <c r="AS1684" i="1"/>
  <c r="CC1684" i="1" s="1"/>
  <c r="CD1684" i="1" s="1"/>
  <c r="BP1694" i="1"/>
  <c r="BP1669" i="1"/>
  <c r="BP1672" i="1"/>
  <c r="AS1670" i="1"/>
  <c r="AO1650" i="1"/>
  <c r="AR1650" i="1" s="1"/>
  <c r="BP1696" i="1"/>
  <c r="AO1663" i="1"/>
  <c r="BM1663" i="1" s="1"/>
  <c r="AO1667" i="1"/>
  <c r="BM1667" i="1" s="1"/>
  <c r="AO1664" i="1"/>
  <c r="AR1664" i="1" s="1"/>
  <c r="AS1697" i="1"/>
  <c r="CC1697" i="1" s="1"/>
  <c r="CD1697" i="1" s="1"/>
  <c r="BP1697" i="1"/>
  <c r="AS1698" i="1"/>
  <c r="CC1698" i="1" s="1"/>
  <c r="CD1698" i="1" s="1"/>
  <c r="BP1698" i="1"/>
  <c r="AS1687" i="1"/>
  <c r="CC1687" i="1" s="1"/>
  <c r="CD1687" i="1" s="1"/>
  <c r="BP1687" i="1"/>
  <c r="AS1675" i="1"/>
  <c r="BP1675" i="1"/>
  <c r="AS1690" i="1"/>
  <c r="CC1690" i="1" s="1"/>
  <c r="CD1690" i="1" s="1"/>
  <c r="BP1690" i="1"/>
  <c r="BA1666" i="1"/>
  <c r="AS1691" i="1"/>
  <c r="CC1691" i="1" s="1"/>
  <c r="CD1691" i="1" s="1"/>
  <c r="BP1691" i="1"/>
  <c r="AS1685" i="1"/>
  <c r="CC1685" i="1" s="1"/>
  <c r="CD1685" i="1" s="1"/>
  <c r="BP1685" i="1"/>
  <c r="AO1655" i="1"/>
  <c r="AR1655" i="1" s="1"/>
  <c r="AO1666" i="1"/>
  <c r="AR1666" i="1" s="1"/>
  <c r="AS1666" i="1" s="1"/>
  <c r="AO1660" i="1"/>
  <c r="BM1660" i="1" s="1"/>
  <c r="AO1668" i="1"/>
  <c r="BM1668" i="1" s="1"/>
  <c r="BA1658" i="1"/>
  <c r="AO1658" i="1"/>
  <c r="AR1658" i="1" s="1"/>
  <c r="BA1661" i="1"/>
  <c r="AO1662" i="1"/>
  <c r="BM1662" i="1" s="1"/>
  <c r="BA1665" i="1"/>
  <c r="AO1652" i="1"/>
  <c r="AR1652" i="1" s="1"/>
  <c r="AO1659" i="1"/>
  <c r="BM1659" i="1" s="1"/>
  <c r="BA1662" i="1"/>
  <c r="BB1650" i="1"/>
  <c r="AO1656" i="1"/>
  <c r="BM1656" i="1" s="1"/>
  <c r="BA1650" i="1"/>
  <c r="BA1653" i="1"/>
  <c r="BB1662" i="1"/>
  <c r="AO1654" i="1"/>
  <c r="AR1654" i="1" s="1"/>
  <c r="BA1657" i="1"/>
  <c r="AO1651" i="1"/>
  <c r="BM1651" i="1" s="1"/>
  <c r="BA1654" i="1"/>
  <c r="BB1666" i="1"/>
  <c r="BB1658" i="1"/>
  <c r="BB1654" i="1"/>
  <c r="AY1652" i="1"/>
  <c r="BA1652" i="1" s="1"/>
  <c r="BB1653" i="1"/>
  <c r="AY1656" i="1"/>
  <c r="BA1656" i="1" s="1"/>
  <c r="BB1657" i="1"/>
  <c r="AY1660" i="1"/>
  <c r="BA1660" i="1" s="1"/>
  <c r="BB1661" i="1"/>
  <c r="AY1664" i="1"/>
  <c r="BA1664" i="1" s="1"/>
  <c r="BB1665" i="1"/>
  <c r="AY1668" i="1"/>
  <c r="BA1668" i="1" s="1"/>
  <c r="AY1651" i="1"/>
  <c r="BA1651" i="1" s="1"/>
  <c r="AY1655" i="1"/>
  <c r="BA1655" i="1" s="1"/>
  <c r="AY1659" i="1"/>
  <c r="BA1659" i="1" s="1"/>
  <c r="AY1663" i="1"/>
  <c r="BA1663" i="1" s="1"/>
  <c r="AY1667" i="1"/>
  <c r="BA1667" i="1" s="1"/>
  <c r="AO1653" i="1"/>
  <c r="AR1653" i="1" s="1"/>
  <c r="AO1657" i="1"/>
  <c r="AR1657" i="1" s="1"/>
  <c r="AO1661" i="1"/>
  <c r="AR1661" i="1" s="1"/>
  <c r="AO1665" i="1"/>
  <c r="AR1665" i="1" s="1"/>
  <c r="Y1649" i="1"/>
  <c r="Y1648" i="1"/>
  <c r="BM1650" i="1" l="1"/>
  <c r="AR1663" i="1"/>
  <c r="AS1663" i="1" s="1"/>
  <c r="AR1667" i="1"/>
  <c r="AS1667" i="1" s="1"/>
  <c r="BM1655" i="1"/>
  <c r="BM1664" i="1"/>
  <c r="AR1660" i="1"/>
  <c r="AS1660" i="1" s="1"/>
  <c r="AR1662" i="1"/>
  <c r="BP1662" i="1" s="1"/>
  <c r="AS1655" i="1"/>
  <c r="BP1655" i="1"/>
  <c r="BM1666" i="1"/>
  <c r="AR1668" i="1"/>
  <c r="AS1668" i="1" s="1"/>
  <c r="BM1652" i="1"/>
  <c r="AR1656" i="1"/>
  <c r="BP1656" i="1" s="1"/>
  <c r="AS1658" i="1"/>
  <c r="BP1658" i="1"/>
  <c r="BM1658" i="1"/>
  <c r="AR1659" i="1"/>
  <c r="BM1654" i="1"/>
  <c r="AS1654" i="1"/>
  <c r="BP1654" i="1"/>
  <c r="AR1651" i="1"/>
  <c r="BP1666" i="1"/>
  <c r="BM1657" i="1"/>
  <c r="AS1661" i="1"/>
  <c r="BP1661" i="1"/>
  <c r="AS1664" i="1"/>
  <c r="BP1664" i="1"/>
  <c r="AS1652" i="1"/>
  <c r="BP1652" i="1"/>
  <c r="AS1665" i="1"/>
  <c r="BP1665" i="1"/>
  <c r="AS1657" i="1"/>
  <c r="BP1657" i="1"/>
  <c r="AS1653" i="1"/>
  <c r="BP1653" i="1"/>
  <c r="BM1665" i="1"/>
  <c r="BM1661" i="1"/>
  <c r="AS1650" i="1"/>
  <c r="BP1650" i="1"/>
  <c r="BM1653" i="1"/>
  <c r="Y1646" i="1"/>
  <c r="Y1645" i="1"/>
  <c r="Y1644" i="1"/>
  <c r="Y1640" i="1"/>
  <c r="Y1639" i="1"/>
  <c r="Y1638" i="1"/>
  <c r="Y1637" i="1"/>
  <c r="Y1635" i="1"/>
  <c r="BP1663" i="1" l="1"/>
  <c r="BP1660" i="1"/>
  <c r="BP1667" i="1"/>
  <c r="AS1662" i="1"/>
  <c r="BP1668" i="1"/>
  <c r="AS1656" i="1"/>
  <c r="AS1659" i="1"/>
  <c r="BP1659" i="1"/>
  <c r="AS1651" i="1"/>
  <c r="BP1651" i="1"/>
  <c r="Y1634" i="1"/>
  <c r="Y1633" i="1"/>
  <c r="CP1649" i="1" l="1"/>
  <c r="CO1649" i="1"/>
  <c r="CP1648" i="1"/>
  <c r="CO1648" i="1"/>
  <c r="CP1647" i="1"/>
  <c r="CO1647" i="1"/>
  <c r="CP1646" i="1"/>
  <c r="CO1646" i="1"/>
  <c r="CP1645" i="1"/>
  <c r="CO1645" i="1"/>
  <c r="CP1644" i="1"/>
  <c r="CO1644" i="1"/>
  <c r="CP1643" i="1"/>
  <c r="CO1643" i="1"/>
  <c r="CP1642" i="1"/>
  <c r="CO1642" i="1"/>
  <c r="CP1641" i="1"/>
  <c r="CO1641" i="1"/>
  <c r="CP1640" i="1"/>
  <c r="CO1640" i="1"/>
  <c r="CP1639" i="1"/>
  <c r="CO1639" i="1"/>
  <c r="CP1638" i="1"/>
  <c r="CO1638" i="1"/>
  <c r="CP1637" i="1"/>
  <c r="CO1637" i="1"/>
  <c r="CP1636" i="1"/>
  <c r="CO1636" i="1"/>
  <c r="CP1635" i="1"/>
  <c r="CO1635" i="1"/>
  <c r="CP1634" i="1"/>
  <c r="CO1634" i="1"/>
  <c r="CP1633" i="1"/>
  <c r="CO1633" i="1"/>
  <c r="BO1649" i="1"/>
  <c r="BH1649" i="1"/>
  <c r="BI1649" i="1" s="1"/>
  <c r="BK1649" i="1" s="1"/>
  <c r="BF1649" i="1"/>
  <c r="BG1649" i="1" s="1"/>
  <c r="BO1648" i="1"/>
  <c r="BH1648" i="1"/>
  <c r="BI1648" i="1" s="1"/>
  <c r="BK1648" i="1" s="1"/>
  <c r="BF1648" i="1"/>
  <c r="BG1648" i="1" s="1"/>
  <c r="BO1647" i="1"/>
  <c r="BH1647" i="1"/>
  <c r="BI1647" i="1" s="1"/>
  <c r="BK1647" i="1" s="1"/>
  <c r="BF1647" i="1"/>
  <c r="BG1647" i="1" s="1"/>
  <c r="BO1646" i="1"/>
  <c r="BH1646" i="1"/>
  <c r="BI1646" i="1" s="1"/>
  <c r="BK1646" i="1" s="1"/>
  <c r="BF1646" i="1"/>
  <c r="BG1646" i="1" s="1"/>
  <c r="BO1645" i="1"/>
  <c r="BH1645" i="1"/>
  <c r="BI1645" i="1" s="1"/>
  <c r="BK1645" i="1" s="1"/>
  <c r="BF1645" i="1"/>
  <c r="BG1645" i="1" s="1"/>
  <c r="BO1644" i="1"/>
  <c r="BH1644" i="1"/>
  <c r="BI1644" i="1" s="1"/>
  <c r="BK1644" i="1" s="1"/>
  <c r="BF1644" i="1"/>
  <c r="BG1644" i="1" s="1"/>
  <c r="BO1643" i="1"/>
  <c r="BH1643" i="1"/>
  <c r="BI1643" i="1" s="1"/>
  <c r="BK1643" i="1" s="1"/>
  <c r="BF1643" i="1"/>
  <c r="BG1643" i="1" s="1"/>
  <c r="BO1642" i="1"/>
  <c r="BH1642" i="1"/>
  <c r="BI1642" i="1" s="1"/>
  <c r="BK1642" i="1" s="1"/>
  <c r="BF1642" i="1"/>
  <c r="BG1642" i="1" s="1"/>
  <c r="BO1641" i="1"/>
  <c r="BH1641" i="1"/>
  <c r="BI1641" i="1" s="1"/>
  <c r="BK1641" i="1" s="1"/>
  <c r="BF1641" i="1"/>
  <c r="BG1641" i="1" s="1"/>
  <c r="BO1640" i="1"/>
  <c r="BH1640" i="1"/>
  <c r="BI1640" i="1" s="1"/>
  <c r="BK1640" i="1" s="1"/>
  <c r="BF1640" i="1"/>
  <c r="BG1640" i="1" s="1"/>
  <c r="BO1639" i="1"/>
  <c r="BH1639" i="1"/>
  <c r="BI1639" i="1" s="1"/>
  <c r="BK1639" i="1" s="1"/>
  <c r="BF1639" i="1"/>
  <c r="BG1639" i="1" s="1"/>
  <c r="BO1638" i="1"/>
  <c r="BH1638" i="1"/>
  <c r="BI1638" i="1" s="1"/>
  <c r="BK1638" i="1" s="1"/>
  <c r="BF1638" i="1"/>
  <c r="BG1638" i="1" s="1"/>
  <c r="BO1637" i="1"/>
  <c r="BH1637" i="1"/>
  <c r="BI1637" i="1" s="1"/>
  <c r="BK1637" i="1" s="1"/>
  <c r="BF1637" i="1"/>
  <c r="BG1637" i="1" s="1"/>
  <c r="BO1636" i="1"/>
  <c r="BH1636" i="1"/>
  <c r="BI1636" i="1" s="1"/>
  <c r="BK1636" i="1" s="1"/>
  <c r="BF1636" i="1"/>
  <c r="BG1636" i="1" s="1"/>
  <c r="BO1635" i="1"/>
  <c r="BH1635" i="1"/>
  <c r="BI1635" i="1" s="1"/>
  <c r="BK1635" i="1" s="1"/>
  <c r="BF1635" i="1"/>
  <c r="BG1635" i="1" s="1"/>
  <c r="BO1634" i="1"/>
  <c r="BH1634" i="1"/>
  <c r="BI1634" i="1" s="1"/>
  <c r="BK1634" i="1" s="1"/>
  <c r="BF1634" i="1"/>
  <c r="BG1634" i="1" s="1"/>
  <c r="BO1633" i="1"/>
  <c r="BH1633" i="1"/>
  <c r="BI1633" i="1" s="1"/>
  <c r="BK1633" i="1" s="1"/>
  <c r="BF1633" i="1"/>
  <c r="BG1633" i="1" s="1"/>
  <c r="AZ1649" i="1"/>
  <c r="AW1649" i="1"/>
  <c r="BB1649" i="1" s="1"/>
  <c r="AK1649" i="1"/>
  <c r="AZ1648" i="1"/>
  <c r="AW1648" i="1"/>
  <c r="AY1648" i="1" s="1"/>
  <c r="AK1648" i="1"/>
  <c r="AZ1647" i="1"/>
  <c r="AW1647" i="1"/>
  <c r="AO1647" i="1" s="1"/>
  <c r="AK1647" i="1"/>
  <c r="AZ1646" i="1"/>
  <c r="AW1646" i="1"/>
  <c r="BB1646" i="1" s="1"/>
  <c r="AK1646" i="1"/>
  <c r="AZ1645" i="1"/>
  <c r="AW1645" i="1"/>
  <c r="BB1645" i="1" s="1"/>
  <c r="AK1645" i="1"/>
  <c r="AZ1644" i="1"/>
  <c r="AW1644" i="1"/>
  <c r="AY1644" i="1" s="1"/>
  <c r="AK1644" i="1"/>
  <c r="AZ1643" i="1"/>
  <c r="AW1643" i="1"/>
  <c r="AO1643" i="1" s="1"/>
  <c r="AK1643" i="1"/>
  <c r="AZ1642" i="1"/>
  <c r="AW1642" i="1"/>
  <c r="BB1642" i="1" s="1"/>
  <c r="AK1642" i="1"/>
  <c r="AZ1641" i="1"/>
  <c r="AW1641" i="1"/>
  <c r="BB1641" i="1" s="1"/>
  <c r="AK1641" i="1"/>
  <c r="AZ1640" i="1"/>
  <c r="AW1640" i="1"/>
  <c r="AY1640" i="1" s="1"/>
  <c r="AK1640" i="1"/>
  <c r="AZ1639" i="1"/>
  <c r="AW1639" i="1"/>
  <c r="AO1639" i="1" s="1"/>
  <c r="AK1639" i="1"/>
  <c r="AZ1638" i="1"/>
  <c r="AW1638" i="1"/>
  <c r="BB1638" i="1" s="1"/>
  <c r="AK1638" i="1"/>
  <c r="AZ1637" i="1"/>
  <c r="AW1637" i="1"/>
  <c r="BB1637" i="1" s="1"/>
  <c r="AK1637" i="1"/>
  <c r="AZ1636" i="1"/>
  <c r="AW1636" i="1"/>
  <c r="AY1636" i="1" s="1"/>
  <c r="AK1636" i="1"/>
  <c r="AZ1635" i="1"/>
  <c r="AW1635" i="1"/>
  <c r="AO1635" i="1" s="1"/>
  <c r="AK1635" i="1"/>
  <c r="AZ1634" i="1"/>
  <c r="AW1634" i="1"/>
  <c r="BB1634" i="1" s="1"/>
  <c r="AK1634" i="1"/>
  <c r="AZ1633" i="1"/>
  <c r="AW1633" i="1"/>
  <c r="BB1633" i="1" s="1"/>
  <c r="AK1633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O1633" i="1" l="1"/>
  <c r="AR1633" i="1" s="1"/>
  <c r="AS1633" i="1" s="1"/>
  <c r="BM1643" i="1"/>
  <c r="AO1636" i="1"/>
  <c r="AR1636" i="1" s="1"/>
  <c r="AS1636" i="1" s="1"/>
  <c r="BA1636" i="1"/>
  <c r="BA1644" i="1"/>
  <c r="AO1645" i="1"/>
  <c r="AR1645" i="1" s="1"/>
  <c r="AO1642" i="1"/>
  <c r="AR1642" i="1" s="1"/>
  <c r="AS1642" i="1" s="1"/>
  <c r="AO1638" i="1"/>
  <c r="AR1638" i="1" s="1"/>
  <c r="AO1634" i="1"/>
  <c r="AR1634" i="1" s="1"/>
  <c r="AO1641" i="1"/>
  <c r="AR1641" i="1" s="1"/>
  <c r="BA1648" i="1"/>
  <c r="BM1639" i="1"/>
  <c r="BM1635" i="1"/>
  <c r="AO1648" i="1"/>
  <c r="BM1648" i="1" s="1"/>
  <c r="BA1640" i="1"/>
  <c r="BM1647" i="1"/>
  <c r="AO1644" i="1"/>
  <c r="AR1644" i="1" s="1"/>
  <c r="AY1635" i="1"/>
  <c r="BA1635" i="1" s="1"/>
  <c r="BB1644" i="1"/>
  <c r="AO1637" i="1"/>
  <c r="BM1637" i="1" s="1"/>
  <c r="AO1640" i="1"/>
  <c r="BM1640" i="1" s="1"/>
  <c r="BB1648" i="1"/>
  <c r="BB1636" i="1"/>
  <c r="AY1639" i="1"/>
  <c r="BA1639" i="1" s="1"/>
  <c r="AY1643" i="1"/>
  <c r="BA1643" i="1" s="1"/>
  <c r="AO1646" i="1"/>
  <c r="BM1646" i="1" s="1"/>
  <c r="AO1649" i="1"/>
  <c r="AR1649" i="1" s="1"/>
  <c r="BB1640" i="1"/>
  <c r="AR1647" i="1"/>
  <c r="AR1639" i="1"/>
  <c r="AR1643" i="1"/>
  <c r="AR1635" i="1"/>
  <c r="AY1647" i="1"/>
  <c r="BA1647" i="1" s="1"/>
  <c r="AY1634" i="1"/>
  <c r="BA1634" i="1" s="1"/>
  <c r="BB1635" i="1"/>
  <c r="AY1638" i="1"/>
  <c r="BA1638" i="1" s="1"/>
  <c r="BB1639" i="1"/>
  <c r="AY1642" i="1"/>
  <c r="BA1642" i="1" s="1"/>
  <c r="BB1643" i="1"/>
  <c r="AY1646" i="1"/>
  <c r="BA1646" i="1" s="1"/>
  <c r="BB1647" i="1"/>
  <c r="AY1633" i="1"/>
  <c r="BA1633" i="1" s="1"/>
  <c r="AY1637" i="1"/>
  <c r="BA1637" i="1" s="1"/>
  <c r="AY1641" i="1"/>
  <c r="BA1641" i="1" s="1"/>
  <c r="AY1645" i="1"/>
  <c r="BA1645" i="1" s="1"/>
  <c r="AY1649" i="1"/>
  <c r="BA1649" i="1" s="1"/>
  <c r="CP1632" i="1"/>
  <c r="CO1632" i="1"/>
  <c r="CP1631" i="1"/>
  <c r="CO1631" i="1"/>
  <c r="CP1630" i="1"/>
  <c r="CO1630" i="1"/>
  <c r="CP1629" i="1"/>
  <c r="CO1629" i="1"/>
  <c r="CP1628" i="1"/>
  <c r="CO1628" i="1"/>
  <c r="CP1627" i="1"/>
  <c r="CO1627" i="1"/>
  <c r="CP1626" i="1"/>
  <c r="CO1626" i="1"/>
  <c r="CP1625" i="1"/>
  <c r="CO1625" i="1"/>
  <c r="CP1624" i="1"/>
  <c r="CO1624" i="1"/>
  <c r="CP1623" i="1"/>
  <c r="CO1623" i="1"/>
  <c r="CP1622" i="1"/>
  <c r="CO1622" i="1"/>
  <c r="CP1621" i="1"/>
  <c r="CO1621" i="1"/>
  <c r="CP1620" i="1"/>
  <c r="CO1620" i="1"/>
  <c r="CP1619" i="1"/>
  <c r="CO1619" i="1"/>
  <c r="BM1633" i="1" l="1"/>
  <c r="BP1633" i="1"/>
  <c r="BM1638" i="1"/>
  <c r="BM1636" i="1"/>
  <c r="BM1645" i="1"/>
  <c r="AS1645" i="1"/>
  <c r="BP1645" i="1"/>
  <c r="BM1641" i="1"/>
  <c r="BM1642" i="1"/>
  <c r="BM1634" i="1"/>
  <c r="AS1641" i="1"/>
  <c r="BP1641" i="1"/>
  <c r="AS1634" i="1"/>
  <c r="BP1634" i="1"/>
  <c r="BP1636" i="1"/>
  <c r="BP1642" i="1"/>
  <c r="BM1644" i="1"/>
  <c r="AS1644" i="1"/>
  <c r="BP1644" i="1"/>
  <c r="AR1648" i="1"/>
  <c r="AS1649" i="1"/>
  <c r="BP1649" i="1"/>
  <c r="AR1637" i="1"/>
  <c r="BM1649" i="1"/>
  <c r="AS1635" i="1"/>
  <c r="BP1635" i="1"/>
  <c r="AR1646" i="1"/>
  <c r="AS1643" i="1"/>
  <c r="BP1643" i="1"/>
  <c r="AS1647" i="1"/>
  <c r="BP1647" i="1"/>
  <c r="AS1639" i="1"/>
  <c r="BP1639" i="1"/>
  <c r="AR1640" i="1"/>
  <c r="AS1638" i="1"/>
  <c r="BP1638" i="1"/>
  <c r="CP1618" i="1"/>
  <c r="CO1618" i="1"/>
  <c r="CP1617" i="1"/>
  <c r="CO1617" i="1"/>
  <c r="CP1616" i="1"/>
  <c r="CO1616" i="1"/>
  <c r="AS1648" i="1" l="1"/>
  <c r="BP1648" i="1"/>
  <c r="AS1646" i="1"/>
  <c r="BP1646" i="1"/>
  <c r="AS1637" i="1"/>
  <c r="BP1637" i="1"/>
  <c r="AS1640" i="1"/>
  <c r="BP1640" i="1"/>
  <c r="CP1615" i="1"/>
  <c r="CO1615" i="1"/>
  <c r="CP1614" i="1"/>
  <c r="CO1614" i="1"/>
  <c r="CP1613" i="1"/>
  <c r="CO1613" i="1"/>
  <c r="Y1626" i="1" l="1"/>
  <c r="Y1625" i="1"/>
  <c r="Y1624" i="1"/>
  <c r="Y1623" i="1"/>
  <c r="Y1622" i="1"/>
  <c r="Y1621" i="1"/>
  <c r="Y1620" i="1"/>
  <c r="Y1618" i="1"/>
  <c r="Y1617" i="1"/>
  <c r="Y1616" i="1"/>
  <c r="BO1632" i="1" l="1"/>
  <c r="BH1632" i="1"/>
  <c r="BI1632" i="1" s="1"/>
  <c r="BK1632" i="1" s="1"/>
  <c r="BF1632" i="1"/>
  <c r="BG1632" i="1" s="1"/>
  <c r="BO1631" i="1"/>
  <c r="BH1631" i="1"/>
  <c r="BI1631" i="1" s="1"/>
  <c r="BK1631" i="1" s="1"/>
  <c r="BF1631" i="1"/>
  <c r="BG1631" i="1" s="1"/>
  <c r="BO1630" i="1"/>
  <c r="BH1630" i="1"/>
  <c r="BI1630" i="1" s="1"/>
  <c r="BK1630" i="1" s="1"/>
  <c r="BF1630" i="1"/>
  <c r="BG1630" i="1" s="1"/>
  <c r="BO1629" i="1"/>
  <c r="BH1629" i="1"/>
  <c r="BI1629" i="1" s="1"/>
  <c r="BK1629" i="1" s="1"/>
  <c r="BF1629" i="1"/>
  <c r="BG1629" i="1" s="1"/>
  <c r="BO1628" i="1"/>
  <c r="BH1628" i="1"/>
  <c r="BI1628" i="1" s="1"/>
  <c r="BK1628" i="1" s="1"/>
  <c r="BF1628" i="1"/>
  <c r="BG1628" i="1" s="1"/>
  <c r="BO1627" i="1"/>
  <c r="BH1627" i="1"/>
  <c r="BI1627" i="1" s="1"/>
  <c r="BK1627" i="1" s="1"/>
  <c r="BF1627" i="1"/>
  <c r="BG1627" i="1" s="1"/>
  <c r="BO1626" i="1"/>
  <c r="BH1626" i="1"/>
  <c r="BI1626" i="1" s="1"/>
  <c r="BK1626" i="1" s="1"/>
  <c r="BF1626" i="1"/>
  <c r="BG1626" i="1" s="1"/>
  <c r="BO1625" i="1"/>
  <c r="BH1625" i="1"/>
  <c r="BI1625" i="1" s="1"/>
  <c r="BK1625" i="1" s="1"/>
  <c r="BF1625" i="1"/>
  <c r="BG1625" i="1" s="1"/>
  <c r="BO1624" i="1"/>
  <c r="BH1624" i="1"/>
  <c r="BI1624" i="1" s="1"/>
  <c r="BK1624" i="1" s="1"/>
  <c r="BF1624" i="1"/>
  <c r="BG1624" i="1" s="1"/>
  <c r="BO1623" i="1"/>
  <c r="BH1623" i="1"/>
  <c r="BI1623" i="1" s="1"/>
  <c r="BK1623" i="1" s="1"/>
  <c r="BF1623" i="1"/>
  <c r="BG1623" i="1" s="1"/>
  <c r="BO1622" i="1"/>
  <c r="BH1622" i="1"/>
  <c r="BI1622" i="1" s="1"/>
  <c r="BK1622" i="1" s="1"/>
  <c r="BF1622" i="1"/>
  <c r="BG1622" i="1" s="1"/>
  <c r="BO1621" i="1"/>
  <c r="BH1621" i="1"/>
  <c r="BI1621" i="1" s="1"/>
  <c r="BK1621" i="1" s="1"/>
  <c r="BF1621" i="1"/>
  <c r="BG1621" i="1" s="1"/>
  <c r="BO1620" i="1"/>
  <c r="BH1620" i="1"/>
  <c r="BI1620" i="1" s="1"/>
  <c r="BK1620" i="1" s="1"/>
  <c r="BF1620" i="1"/>
  <c r="BG1620" i="1" s="1"/>
  <c r="BO1619" i="1"/>
  <c r="BH1619" i="1"/>
  <c r="BI1619" i="1" s="1"/>
  <c r="BK1619" i="1" s="1"/>
  <c r="BF1619" i="1"/>
  <c r="BG1619" i="1" s="1"/>
  <c r="BO1618" i="1"/>
  <c r="BH1618" i="1"/>
  <c r="BI1618" i="1" s="1"/>
  <c r="BK1618" i="1" s="1"/>
  <c r="BF1618" i="1"/>
  <c r="BG1618" i="1" s="1"/>
  <c r="BO1617" i="1"/>
  <c r="BH1617" i="1"/>
  <c r="BI1617" i="1" s="1"/>
  <c r="BK1617" i="1" s="1"/>
  <c r="BF1617" i="1"/>
  <c r="BG1617" i="1" s="1"/>
  <c r="BO1616" i="1"/>
  <c r="BH1616" i="1"/>
  <c r="BI1616" i="1" s="1"/>
  <c r="BK1616" i="1" s="1"/>
  <c r="BF1616" i="1"/>
  <c r="BG1616" i="1" s="1"/>
  <c r="BO1615" i="1"/>
  <c r="BH1615" i="1"/>
  <c r="BI1615" i="1" s="1"/>
  <c r="BK1615" i="1" s="1"/>
  <c r="BF1615" i="1"/>
  <c r="BG1615" i="1" s="1"/>
  <c r="BO1614" i="1"/>
  <c r="BH1614" i="1"/>
  <c r="BI1614" i="1" s="1"/>
  <c r="BK1614" i="1" s="1"/>
  <c r="BF1614" i="1"/>
  <c r="BG1614" i="1" s="1"/>
  <c r="BO1613" i="1"/>
  <c r="BH1613" i="1"/>
  <c r="BI1613" i="1" s="1"/>
  <c r="BK1613" i="1" s="1"/>
  <c r="BF1613" i="1"/>
  <c r="BG1613" i="1" s="1"/>
  <c r="AZ1632" i="1"/>
  <c r="AW1632" i="1"/>
  <c r="AY1632" i="1" s="1"/>
  <c r="AZ1631" i="1"/>
  <c r="AW1631" i="1"/>
  <c r="BB1631" i="1" s="1"/>
  <c r="AZ1630" i="1"/>
  <c r="AW1630" i="1"/>
  <c r="AY1630" i="1" s="1"/>
  <c r="AZ1629" i="1"/>
  <c r="AW1629" i="1"/>
  <c r="BB1629" i="1" s="1"/>
  <c r="AZ1628" i="1"/>
  <c r="AW1628" i="1"/>
  <c r="BB1628" i="1" s="1"/>
  <c r="AZ1627" i="1"/>
  <c r="AW1627" i="1"/>
  <c r="BB1627" i="1" s="1"/>
  <c r="AZ1626" i="1"/>
  <c r="AW1626" i="1"/>
  <c r="AO1626" i="1" s="1"/>
  <c r="AZ1625" i="1"/>
  <c r="AW1625" i="1"/>
  <c r="AY1625" i="1" s="1"/>
  <c r="AZ1624" i="1"/>
  <c r="AW1624" i="1"/>
  <c r="BB1624" i="1" s="1"/>
  <c r="AZ1623" i="1"/>
  <c r="AW1623" i="1"/>
  <c r="AO1623" i="1" s="1"/>
  <c r="AZ1622" i="1"/>
  <c r="AW1622" i="1"/>
  <c r="BB1622" i="1" s="1"/>
  <c r="AZ1621" i="1"/>
  <c r="AW1621" i="1"/>
  <c r="AO1621" i="1" s="1"/>
  <c r="AZ1620" i="1"/>
  <c r="AW1620" i="1"/>
  <c r="AY1620" i="1" s="1"/>
  <c r="AZ1619" i="1"/>
  <c r="AW1619" i="1"/>
  <c r="BB1619" i="1" s="1"/>
  <c r="AZ1618" i="1"/>
  <c r="AW1618" i="1"/>
  <c r="AY1618" i="1" s="1"/>
  <c r="AZ1617" i="1"/>
  <c r="AW1617" i="1"/>
  <c r="BB1617" i="1" s="1"/>
  <c r="AZ1616" i="1"/>
  <c r="AW1616" i="1"/>
  <c r="BB1616" i="1" s="1"/>
  <c r="AZ1615" i="1"/>
  <c r="AW1615" i="1"/>
  <c r="BB1615" i="1" s="1"/>
  <c r="AZ1614" i="1"/>
  <c r="AW1614" i="1"/>
  <c r="AO1614" i="1" s="1"/>
  <c r="AZ1613" i="1"/>
  <c r="AW1613" i="1"/>
  <c r="AY1613" i="1" s="1"/>
  <c r="AK1632" i="1"/>
  <c r="AK1631" i="1"/>
  <c r="AK1630" i="1"/>
  <c r="AK1629" i="1"/>
  <c r="AK1628" i="1"/>
  <c r="AK1627" i="1"/>
  <c r="AK1626" i="1"/>
  <c r="AK1625" i="1"/>
  <c r="AK1624" i="1"/>
  <c r="AK1623" i="1"/>
  <c r="AK1622" i="1"/>
  <c r="AK1621" i="1"/>
  <c r="AK1620" i="1"/>
  <c r="AK1619" i="1"/>
  <c r="AK1618" i="1"/>
  <c r="AK1617" i="1"/>
  <c r="AK1616" i="1"/>
  <c r="AK1615" i="1"/>
  <c r="AK1614" i="1"/>
  <c r="AK161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BM1614" i="1" l="1"/>
  <c r="BA1630" i="1"/>
  <c r="BA1620" i="1"/>
  <c r="BB1625" i="1"/>
  <c r="AO1624" i="1"/>
  <c r="AR1624" i="1" s="1"/>
  <c r="AS1624" i="1" s="1"/>
  <c r="BA1632" i="1"/>
  <c r="AO1625" i="1"/>
  <c r="AR1625" i="1" s="1"/>
  <c r="AO1616" i="1"/>
  <c r="AR1616" i="1" s="1"/>
  <c r="BM1626" i="1"/>
  <c r="AO1620" i="1"/>
  <c r="AR1620" i="1" s="1"/>
  <c r="BM1623" i="1"/>
  <c r="BM1621" i="1"/>
  <c r="AO1630" i="1"/>
  <c r="BM1630" i="1" s="1"/>
  <c r="BA1618" i="1"/>
  <c r="BA1613" i="1"/>
  <c r="AO1613" i="1"/>
  <c r="AR1613" i="1" s="1"/>
  <c r="BA1625" i="1"/>
  <c r="BB1613" i="1"/>
  <c r="BB1623" i="1"/>
  <c r="AO1617" i="1"/>
  <c r="AR1617" i="1" s="1"/>
  <c r="BB1632" i="1"/>
  <c r="AO1618" i="1"/>
  <c r="AR1618" i="1" s="1"/>
  <c r="BB1618" i="1"/>
  <c r="AO1628" i="1"/>
  <c r="AR1628" i="1" s="1"/>
  <c r="AO1622" i="1"/>
  <c r="BM1622" i="1" s="1"/>
  <c r="AO1629" i="1"/>
  <c r="BM1629" i="1" s="1"/>
  <c r="BB1620" i="1"/>
  <c r="BB1630" i="1"/>
  <c r="AR1623" i="1"/>
  <c r="AO1632" i="1"/>
  <c r="BM1632" i="1" s="1"/>
  <c r="AY1623" i="1"/>
  <c r="BA1623" i="1" s="1"/>
  <c r="AY1628" i="1"/>
  <c r="BA1628" i="1" s="1"/>
  <c r="BB1621" i="1"/>
  <c r="AO1631" i="1"/>
  <c r="BM1631" i="1" s="1"/>
  <c r="AY1617" i="1"/>
  <c r="BA1617" i="1" s="1"/>
  <c r="BB1626" i="1"/>
  <c r="AR1626" i="1"/>
  <c r="AY1622" i="1"/>
  <c r="BA1622" i="1" s="1"/>
  <c r="AR1621" i="1"/>
  <c r="AY1616" i="1"/>
  <c r="BA1616" i="1" s="1"/>
  <c r="AY1621" i="1"/>
  <c r="BA1621" i="1" s="1"/>
  <c r="AY1614" i="1"/>
  <c r="BA1614" i="1" s="1"/>
  <c r="AY1626" i="1"/>
  <c r="BA1626" i="1" s="1"/>
  <c r="AY1619" i="1"/>
  <c r="BA1619" i="1" s="1"/>
  <c r="AY1631" i="1"/>
  <c r="BA1631" i="1" s="1"/>
  <c r="AY1624" i="1"/>
  <c r="BA1624" i="1" s="1"/>
  <c r="AO1619" i="1"/>
  <c r="BB1614" i="1"/>
  <c r="AY1629" i="1"/>
  <c r="BA1629" i="1" s="1"/>
  <c r="AR1614" i="1"/>
  <c r="AY1615" i="1"/>
  <c r="BA1615" i="1" s="1"/>
  <c r="AY1627" i="1"/>
  <c r="BA1627" i="1" s="1"/>
  <c r="AO1615" i="1"/>
  <c r="BM1615" i="1" s="1"/>
  <c r="AO1627" i="1"/>
  <c r="BM1627" i="1" s="1"/>
  <c r="CP1612" i="1"/>
  <c r="CO1612" i="1"/>
  <c r="CP1611" i="1"/>
  <c r="CO1611" i="1"/>
  <c r="CP1610" i="1"/>
  <c r="CO1610" i="1"/>
  <c r="CP1609" i="1"/>
  <c r="CO1609" i="1"/>
  <c r="CP1608" i="1"/>
  <c r="CO1608" i="1"/>
  <c r="CP1607" i="1"/>
  <c r="CO1607" i="1"/>
  <c r="CP1606" i="1"/>
  <c r="CO1606" i="1"/>
  <c r="CP1605" i="1"/>
  <c r="CO1605" i="1"/>
  <c r="CP1604" i="1"/>
  <c r="CO1604" i="1"/>
  <c r="CP1603" i="1"/>
  <c r="CO1603" i="1"/>
  <c r="CP1602" i="1"/>
  <c r="CO1602" i="1"/>
  <c r="CP1601" i="1"/>
  <c r="CO1601" i="1"/>
  <c r="CP1600" i="1"/>
  <c r="CO1600" i="1"/>
  <c r="CP1599" i="1"/>
  <c r="CO1599" i="1"/>
  <c r="CP1598" i="1"/>
  <c r="CO1598" i="1"/>
  <c r="CP1597" i="1"/>
  <c r="CO1597" i="1"/>
  <c r="CP1596" i="1"/>
  <c r="CO1596" i="1"/>
  <c r="CP1595" i="1"/>
  <c r="CO1595" i="1"/>
  <c r="CP1594" i="1"/>
  <c r="CO1594" i="1"/>
  <c r="CP1593" i="1"/>
  <c r="CO1593" i="1"/>
  <c r="BM1624" i="1" l="1"/>
  <c r="BM1616" i="1"/>
  <c r="AR1631" i="1"/>
  <c r="AS1631" i="1" s="1"/>
  <c r="BM1625" i="1"/>
  <c r="BM1618" i="1"/>
  <c r="BM1617" i="1"/>
  <c r="BM1620" i="1"/>
  <c r="AR1622" i="1"/>
  <c r="AS1622" i="1" s="1"/>
  <c r="AS1620" i="1"/>
  <c r="BP1620" i="1"/>
  <c r="AS1625" i="1"/>
  <c r="BP1625" i="1"/>
  <c r="BM1613" i="1"/>
  <c r="AR1630" i="1"/>
  <c r="AS1630" i="1" s="1"/>
  <c r="BP1624" i="1"/>
  <c r="AS1613" i="1"/>
  <c r="BP1613" i="1"/>
  <c r="AS1628" i="1"/>
  <c r="BP1628" i="1"/>
  <c r="AR1629" i="1"/>
  <c r="AR1615" i="1"/>
  <c r="AS1621" i="1"/>
  <c r="BP1621" i="1"/>
  <c r="AR1627" i="1"/>
  <c r="AS1618" i="1"/>
  <c r="BP1618" i="1"/>
  <c r="AS1614" i="1"/>
  <c r="BP1614" i="1"/>
  <c r="AR1632" i="1"/>
  <c r="AS1626" i="1"/>
  <c r="BP1626" i="1"/>
  <c r="AS1623" i="1"/>
  <c r="BP1623" i="1"/>
  <c r="BM1628" i="1"/>
  <c r="AR1619" i="1"/>
  <c r="BM1619" i="1"/>
  <c r="AS1617" i="1"/>
  <c r="BP1617" i="1"/>
  <c r="AS1616" i="1"/>
  <c r="BP1616" i="1"/>
  <c r="BO1612" i="1"/>
  <c r="BH1612" i="1"/>
  <c r="BI1612" i="1" s="1"/>
  <c r="BK1612" i="1" s="1"/>
  <c r="BF1612" i="1"/>
  <c r="BG1612" i="1" s="1"/>
  <c r="BO1611" i="1"/>
  <c r="BH1611" i="1"/>
  <c r="BI1611" i="1" s="1"/>
  <c r="BK1611" i="1" s="1"/>
  <c r="BF1611" i="1"/>
  <c r="BG1611" i="1" s="1"/>
  <c r="BO1610" i="1"/>
  <c r="BH1610" i="1"/>
  <c r="BI1610" i="1" s="1"/>
  <c r="BK1610" i="1" s="1"/>
  <c r="BF1610" i="1"/>
  <c r="BG1610" i="1" s="1"/>
  <c r="BO1609" i="1"/>
  <c r="BH1609" i="1"/>
  <c r="BI1609" i="1" s="1"/>
  <c r="BK1609" i="1" s="1"/>
  <c r="BF1609" i="1"/>
  <c r="BG1609" i="1" s="1"/>
  <c r="BO1608" i="1"/>
  <c r="BH1608" i="1"/>
  <c r="BI1608" i="1" s="1"/>
  <c r="BK1608" i="1" s="1"/>
  <c r="BF1608" i="1"/>
  <c r="BG1608" i="1" s="1"/>
  <c r="BO1607" i="1"/>
  <c r="BH1607" i="1"/>
  <c r="BI1607" i="1" s="1"/>
  <c r="BK1607" i="1" s="1"/>
  <c r="BF1607" i="1"/>
  <c r="BG1607" i="1" s="1"/>
  <c r="BO1606" i="1"/>
  <c r="BH1606" i="1"/>
  <c r="BI1606" i="1" s="1"/>
  <c r="BK1606" i="1" s="1"/>
  <c r="BF1606" i="1"/>
  <c r="BG1606" i="1" s="1"/>
  <c r="BO1605" i="1"/>
  <c r="BH1605" i="1"/>
  <c r="BI1605" i="1" s="1"/>
  <c r="BK1605" i="1" s="1"/>
  <c r="BF1605" i="1"/>
  <c r="BG1605" i="1" s="1"/>
  <c r="BO1604" i="1"/>
  <c r="BH1604" i="1"/>
  <c r="BI1604" i="1" s="1"/>
  <c r="BK1604" i="1" s="1"/>
  <c r="BF1604" i="1"/>
  <c r="BG1604" i="1" s="1"/>
  <c r="BO1603" i="1"/>
  <c r="BH1603" i="1"/>
  <c r="BI1603" i="1" s="1"/>
  <c r="BK1603" i="1" s="1"/>
  <c r="BF1603" i="1"/>
  <c r="BG1603" i="1" s="1"/>
  <c r="BO1602" i="1"/>
  <c r="BH1602" i="1"/>
  <c r="BI1602" i="1" s="1"/>
  <c r="BK1602" i="1" s="1"/>
  <c r="BF1602" i="1"/>
  <c r="BG1602" i="1" s="1"/>
  <c r="BO1601" i="1"/>
  <c r="BH1601" i="1"/>
  <c r="BI1601" i="1" s="1"/>
  <c r="BK1601" i="1" s="1"/>
  <c r="BF1601" i="1"/>
  <c r="BG1601" i="1" s="1"/>
  <c r="BO1600" i="1"/>
  <c r="BH1600" i="1"/>
  <c r="BI1600" i="1" s="1"/>
  <c r="BK1600" i="1" s="1"/>
  <c r="BF1600" i="1"/>
  <c r="BG1600" i="1" s="1"/>
  <c r="BO1599" i="1"/>
  <c r="BH1599" i="1"/>
  <c r="BI1599" i="1" s="1"/>
  <c r="BK1599" i="1" s="1"/>
  <c r="BF1599" i="1"/>
  <c r="BG1599" i="1" s="1"/>
  <c r="BO1598" i="1"/>
  <c r="BH1598" i="1"/>
  <c r="BI1598" i="1" s="1"/>
  <c r="BK1598" i="1" s="1"/>
  <c r="BF1598" i="1"/>
  <c r="BG1598" i="1" s="1"/>
  <c r="BO1597" i="1"/>
  <c r="BH1597" i="1"/>
  <c r="BI1597" i="1" s="1"/>
  <c r="BK1597" i="1" s="1"/>
  <c r="BF1597" i="1"/>
  <c r="BG1597" i="1" s="1"/>
  <c r="BO1596" i="1"/>
  <c r="BH1596" i="1"/>
  <c r="BI1596" i="1" s="1"/>
  <c r="BK1596" i="1" s="1"/>
  <c r="BF1596" i="1"/>
  <c r="BG1596" i="1" s="1"/>
  <c r="BO1595" i="1"/>
  <c r="BH1595" i="1"/>
  <c r="BI1595" i="1" s="1"/>
  <c r="BK1595" i="1" s="1"/>
  <c r="BF1595" i="1"/>
  <c r="BG1595" i="1" s="1"/>
  <c r="BO1594" i="1"/>
  <c r="BH1594" i="1"/>
  <c r="BI1594" i="1" s="1"/>
  <c r="BK1594" i="1" s="1"/>
  <c r="BF1594" i="1"/>
  <c r="BG1594" i="1" s="1"/>
  <c r="BO1593" i="1"/>
  <c r="BH1593" i="1"/>
  <c r="BI1593" i="1" s="1"/>
  <c r="BK1593" i="1" s="1"/>
  <c r="BF1593" i="1"/>
  <c r="BG1593" i="1" s="1"/>
  <c r="AZ1612" i="1"/>
  <c r="AW1612" i="1"/>
  <c r="BB1612" i="1" s="1"/>
  <c r="AK1612" i="1"/>
  <c r="AZ1611" i="1"/>
  <c r="AW1611" i="1"/>
  <c r="AY1611" i="1" s="1"/>
  <c r="AK1611" i="1"/>
  <c r="AZ1610" i="1"/>
  <c r="AW1610" i="1"/>
  <c r="AO1610" i="1" s="1"/>
  <c r="AK1610" i="1"/>
  <c r="AZ1609" i="1"/>
  <c r="AW1609" i="1"/>
  <c r="AY1609" i="1" s="1"/>
  <c r="AK1609" i="1"/>
  <c r="AZ1608" i="1"/>
  <c r="AW1608" i="1"/>
  <c r="BB1608" i="1" s="1"/>
  <c r="AK1608" i="1"/>
  <c r="AZ1607" i="1"/>
  <c r="AW1607" i="1"/>
  <c r="AY1607" i="1" s="1"/>
  <c r="AK1607" i="1"/>
  <c r="AZ1606" i="1"/>
  <c r="AW1606" i="1"/>
  <c r="AO1606" i="1" s="1"/>
  <c r="AK1606" i="1"/>
  <c r="AZ1605" i="1"/>
  <c r="AW1605" i="1"/>
  <c r="AY1605" i="1" s="1"/>
  <c r="AK1605" i="1"/>
  <c r="AZ1604" i="1"/>
  <c r="AW1604" i="1"/>
  <c r="BB1604" i="1" s="1"/>
  <c r="AK1604" i="1"/>
  <c r="AZ1603" i="1"/>
  <c r="AW1603" i="1"/>
  <c r="AY1603" i="1" s="1"/>
  <c r="AK1603" i="1"/>
  <c r="AZ1602" i="1"/>
  <c r="AW1602" i="1"/>
  <c r="AO1602" i="1" s="1"/>
  <c r="AK1602" i="1"/>
  <c r="AZ1601" i="1"/>
  <c r="AW1601" i="1"/>
  <c r="AY1601" i="1" s="1"/>
  <c r="AK1601" i="1"/>
  <c r="AZ1600" i="1"/>
  <c r="AW1600" i="1"/>
  <c r="BB1600" i="1" s="1"/>
  <c r="AK1600" i="1"/>
  <c r="AZ1599" i="1"/>
  <c r="AW1599" i="1"/>
  <c r="AY1599" i="1" s="1"/>
  <c r="AK1599" i="1"/>
  <c r="AZ1598" i="1"/>
  <c r="AW1598" i="1"/>
  <c r="AO1598" i="1" s="1"/>
  <c r="AK1598" i="1"/>
  <c r="AZ1597" i="1"/>
  <c r="AW1597" i="1"/>
  <c r="BB1597" i="1" s="1"/>
  <c r="AK1597" i="1"/>
  <c r="AZ1596" i="1"/>
  <c r="AW1596" i="1"/>
  <c r="BB1596" i="1" s="1"/>
  <c r="AK1596" i="1"/>
  <c r="AZ1595" i="1"/>
  <c r="AW1595" i="1"/>
  <c r="AY1595" i="1" s="1"/>
  <c r="AK1595" i="1"/>
  <c r="AZ1594" i="1"/>
  <c r="AW1594" i="1"/>
  <c r="AO1594" i="1" s="1"/>
  <c r="AK1594" i="1"/>
  <c r="AZ1593" i="1"/>
  <c r="AW1593" i="1"/>
  <c r="AY1593" i="1" s="1"/>
  <c r="AK159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BP1631" i="1" l="1"/>
  <c r="BP1622" i="1"/>
  <c r="AO1609" i="1"/>
  <c r="AR1609" i="1" s="1"/>
  <c r="AS1609" i="1" s="1"/>
  <c r="BP1630" i="1"/>
  <c r="AS1615" i="1"/>
  <c r="BP1615" i="1"/>
  <c r="AS1629" i="1"/>
  <c r="BP1629" i="1"/>
  <c r="AS1632" i="1"/>
  <c r="BP1632" i="1"/>
  <c r="AS1619" i="1"/>
  <c r="BP1619" i="1"/>
  <c r="AS1627" i="1"/>
  <c r="BP1627" i="1"/>
  <c r="BA1603" i="1"/>
  <c r="AO1607" i="1"/>
  <c r="AR1607" i="1" s="1"/>
  <c r="AS1607" i="1" s="1"/>
  <c r="AR1606" i="1"/>
  <c r="AS1606" i="1" s="1"/>
  <c r="BA1609" i="1"/>
  <c r="AO1595" i="1"/>
  <c r="AR1595" i="1" s="1"/>
  <c r="BA1595" i="1"/>
  <c r="AO1597" i="1"/>
  <c r="BM1597" i="1" s="1"/>
  <c r="AO1600" i="1"/>
  <c r="AR1600" i="1" s="1"/>
  <c r="AS1600" i="1" s="1"/>
  <c r="BA1607" i="1"/>
  <c r="AR1594" i="1"/>
  <c r="AS1594" i="1" s="1"/>
  <c r="AO1601" i="1"/>
  <c r="BM1601" i="1" s="1"/>
  <c r="AR1598" i="1"/>
  <c r="AS1598" i="1" s="1"/>
  <c r="AO1604" i="1"/>
  <c r="AR1604" i="1" s="1"/>
  <c r="AS1604" i="1" s="1"/>
  <c r="AO1611" i="1"/>
  <c r="BM1611" i="1" s="1"/>
  <c r="AO1599" i="1"/>
  <c r="BM1599" i="1" s="1"/>
  <c r="AO1612" i="1"/>
  <c r="AR1612" i="1" s="1"/>
  <c r="BB1599" i="1"/>
  <c r="BA1593" i="1"/>
  <c r="AO1603" i="1"/>
  <c r="AR1603" i="1" s="1"/>
  <c r="AS1603" i="1" s="1"/>
  <c r="AR1610" i="1"/>
  <c r="AS1610" i="1" s="1"/>
  <c r="BB1607" i="1"/>
  <c r="BM1594" i="1"/>
  <c r="BB1595" i="1"/>
  <c r="AR1602" i="1"/>
  <c r="AS1602" i="1" s="1"/>
  <c r="BA1605" i="1"/>
  <c r="BB1611" i="1"/>
  <c r="BM1606" i="1"/>
  <c r="BM1602" i="1"/>
  <c r="BA1601" i="1"/>
  <c r="BM1598" i="1"/>
  <c r="BB1603" i="1"/>
  <c r="AO1593" i="1"/>
  <c r="BM1593" i="1" s="1"/>
  <c r="AO1596" i="1"/>
  <c r="AR1596" i="1" s="1"/>
  <c r="BA1599" i="1"/>
  <c r="AO1605" i="1"/>
  <c r="BM1605" i="1" s="1"/>
  <c r="AO1608" i="1"/>
  <c r="BM1608" i="1" s="1"/>
  <c r="BA1611" i="1"/>
  <c r="BM1610" i="1"/>
  <c r="AY1594" i="1"/>
  <c r="BA1594" i="1" s="1"/>
  <c r="AY1598" i="1"/>
  <c r="BA1598" i="1" s="1"/>
  <c r="AY1602" i="1"/>
  <c r="BA1602" i="1" s="1"/>
  <c r="AY1606" i="1"/>
  <c r="BA1606" i="1" s="1"/>
  <c r="BB1594" i="1"/>
  <c r="AY1597" i="1"/>
  <c r="BA1597" i="1" s="1"/>
  <c r="BB1610" i="1"/>
  <c r="BB1593" i="1"/>
  <c r="AY1596" i="1"/>
  <c r="BA1596" i="1" s="1"/>
  <c r="BB1601" i="1"/>
  <c r="AY1604" i="1"/>
  <c r="BA1604" i="1" s="1"/>
  <c r="BB1605" i="1"/>
  <c r="AY1608" i="1"/>
  <c r="BA1608" i="1" s="1"/>
  <c r="BB1609" i="1"/>
  <c r="AY1612" i="1"/>
  <c r="BA1612" i="1" s="1"/>
  <c r="AY1610" i="1"/>
  <c r="BA1610" i="1" s="1"/>
  <c r="BB1598" i="1"/>
  <c r="BB1602" i="1"/>
  <c r="BB1606" i="1"/>
  <c r="AY1600" i="1"/>
  <c r="BA1600" i="1" s="1"/>
  <c r="CP1592" i="1"/>
  <c r="CO1592" i="1"/>
  <c r="CP1591" i="1"/>
  <c r="CO1591" i="1"/>
  <c r="CP1590" i="1"/>
  <c r="CO1590" i="1"/>
  <c r="CP1589" i="1"/>
  <c r="CO1589" i="1"/>
  <c r="CP1588" i="1"/>
  <c r="CO1588" i="1"/>
  <c r="CP1587" i="1"/>
  <c r="CO1587" i="1"/>
  <c r="CP1586" i="1"/>
  <c r="CO1586" i="1"/>
  <c r="CP1585" i="1"/>
  <c r="CO1585" i="1"/>
  <c r="CP1584" i="1"/>
  <c r="CO1584" i="1"/>
  <c r="CP1583" i="1"/>
  <c r="CO1583" i="1"/>
  <c r="CP1582" i="1"/>
  <c r="CO1582" i="1"/>
  <c r="CP1581" i="1"/>
  <c r="CO1581" i="1"/>
  <c r="CP1580" i="1"/>
  <c r="CO1580" i="1"/>
  <c r="CP1579" i="1"/>
  <c r="CO1579" i="1"/>
  <c r="CP1578" i="1"/>
  <c r="CO1578" i="1"/>
  <c r="CP1577" i="1"/>
  <c r="CO1577" i="1"/>
  <c r="CP1576" i="1"/>
  <c r="CO1576" i="1"/>
  <c r="CP1575" i="1"/>
  <c r="CO1575" i="1"/>
  <c r="CP1574" i="1"/>
  <c r="CO1574" i="1"/>
  <c r="CP1573" i="1"/>
  <c r="CO1573" i="1"/>
  <c r="CP1572" i="1"/>
  <c r="CO1572" i="1"/>
  <c r="CP1571" i="1"/>
  <c r="CO1571" i="1"/>
  <c r="CP1570" i="1"/>
  <c r="CO1570" i="1"/>
  <c r="CP1569" i="1"/>
  <c r="CO1569" i="1"/>
  <c r="CP1568" i="1"/>
  <c r="CO1568" i="1"/>
  <c r="CP1567" i="1"/>
  <c r="CO1567" i="1"/>
  <c r="CP1566" i="1"/>
  <c r="CO1566" i="1"/>
  <c r="CP1565" i="1"/>
  <c r="CO1565" i="1"/>
  <c r="CP1564" i="1"/>
  <c r="CO1564" i="1"/>
  <c r="CP1563" i="1"/>
  <c r="CO1563" i="1"/>
  <c r="CP1562" i="1"/>
  <c r="CO1562" i="1"/>
  <c r="CP1561" i="1"/>
  <c r="CO1561" i="1"/>
  <c r="CP1560" i="1"/>
  <c r="CO1560" i="1"/>
  <c r="CP1559" i="1"/>
  <c r="CO1559" i="1"/>
  <c r="CP1558" i="1"/>
  <c r="CO1558" i="1"/>
  <c r="CP1557" i="1"/>
  <c r="CO1557" i="1"/>
  <c r="CP1556" i="1"/>
  <c r="CO1556" i="1"/>
  <c r="CP1555" i="1"/>
  <c r="CO1555" i="1"/>
  <c r="CP1554" i="1"/>
  <c r="CO1554" i="1"/>
  <c r="CP1553" i="1"/>
  <c r="CO1553" i="1"/>
  <c r="CP1552" i="1"/>
  <c r="CO1552" i="1"/>
  <c r="CP1551" i="1"/>
  <c r="CO1551" i="1"/>
  <c r="CP1550" i="1"/>
  <c r="CO1550" i="1"/>
  <c r="CP1549" i="1"/>
  <c r="CO1549" i="1"/>
  <c r="CP1548" i="1"/>
  <c r="CO1548" i="1"/>
  <c r="CP1547" i="1"/>
  <c r="CO1547" i="1"/>
  <c r="CP1546" i="1"/>
  <c r="CO1546" i="1"/>
  <c r="CP1545" i="1"/>
  <c r="CO1545" i="1"/>
  <c r="CP1544" i="1"/>
  <c r="CO1544" i="1"/>
  <c r="CP1543" i="1"/>
  <c r="CO1543" i="1"/>
  <c r="CP1542" i="1"/>
  <c r="CO1542" i="1"/>
  <c r="CP1541" i="1"/>
  <c r="CO1541" i="1"/>
  <c r="CP1540" i="1"/>
  <c r="CO1540" i="1"/>
  <c r="CP1539" i="1"/>
  <c r="CO1539" i="1"/>
  <c r="CP1538" i="1"/>
  <c r="CO1538" i="1"/>
  <c r="CP1537" i="1"/>
  <c r="CO1537" i="1"/>
  <c r="CP1535" i="1"/>
  <c r="CO1535" i="1"/>
  <c r="CP1534" i="1"/>
  <c r="CO1534" i="1"/>
  <c r="CP1533" i="1"/>
  <c r="CO1533" i="1"/>
  <c r="CP1532" i="1"/>
  <c r="CO1532" i="1"/>
  <c r="CP1531" i="1"/>
  <c r="CO1531" i="1"/>
  <c r="CP1530" i="1"/>
  <c r="CO1530" i="1"/>
  <c r="CP1529" i="1"/>
  <c r="CO1529" i="1"/>
  <c r="CP1528" i="1"/>
  <c r="CO1528" i="1"/>
  <c r="CP1527" i="1"/>
  <c r="CO1527" i="1"/>
  <c r="CP1526" i="1"/>
  <c r="CO1526" i="1"/>
  <c r="CP1525" i="1"/>
  <c r="CO1525" i="1"/>
  <c r="CP1524" i="1"/>
  <c r="CO1524" i="1"/>
  <c r="CP1523" i="1"/>
  <c r="CO1523" i="1"/>
  <c r="CP1522" i="1"/>
  <c r="CO1522" i="1"/>
  <c r="CP1521" i="1"/>
  <c r="CO1521" i="1"/>
  <c r="CP1520" i="1"/>
  <c r="CO1520" i="1"/>
  <c r="CP1519" i="1"/>
  <c r="CO1519" i="1"/>
  <c r="CP1518" i="1"/>
  <c r="CO1518" i="1"/>
  <c r="CP1517" i="1"/>
  <c r="CO1517" i="1"/>
  <c r="CP1515" i="1"/>
  <c r="CO1515" i="1"/>
  <c r="CP1513" i="1"/>
  <c r="CO1513" i="1"/>
  <c r="BM1595" i="1" l="1"/>
  <c r="BM1609" i="1"/>
  <c r="BP1606" i="1"/>
  <c r="BM1607" i="1"/>
  <c r="AS1595" i="1"/>
  <c r="BP1595" i="1"/>
  <c r="BM1600" i="1"/>
  <c r="AR1597" i="1"/>
  <c r="AS1597" i="1" s="1"/>
  <c r="BP1607" i="1"/>
  <c r="BM1604" i="1"/>
  <c r="AR1601" i="1"/>
  <c r="BP1598" i="1"/>
  <c r="BM1596" i="1"/>
  <c r="BM1612" i="1"/>
  <c r="AR1599" i="1"/>
  <c r="AS1599" i="1" s="1"/>
  <c r="AR1611" i="1"/>
  <c r="AS1611" i="1" s="1"/>
  <c r="BM1603" i="1"/>
  <c r="BP1610" i="1"/>
  <c r="BP1594" i="1"/>
  <c r="AS1612" i="1"/>
  <c r="BP1612" i="1"/>
  <c r="BP1603" i="1"/>
  <c r="BP1604" i="1"/>
  <c r="BP1600" i="1"/>
  <c r="AR1608" i="1"/>
  <c r="BP1608" i="1" s="1"/>
  <c r="BP1602" i="1"/>
  <c r="AR1593" i="1"/>
  <c r="AS1593" i="1" s="1"/>
  <c r="BP1609" i="1"/>
  <c r="AS1596" i="1"/>
  <c r="BP1596" i="1"/>
  <c r="AR1605" i="1"/>
  <c r="Y1563" i="1"/>
  <c r="BP1597" i="1" l="1"/>
  <c r="BP1611" i="1"/>
  <c r="BP1599" i="1"/>
  <c r="AS1601" i="1"/>
  <c r="BP1601" i="1"/>
  <c r="BP1593" i="1"/>
  <c r="AS1608" i="1"/>
  <c r="AS1605" i="1"/>
  <c r="BP1605" i="1"/>
  <c r="BO1592" i="1"/>
  <c r="BH1592" i="1"/>
  <c r="BI1592" i="1" s="1"/>
  <c r="BK1592" i="1" s="1"/>
  <c r="BF1592" i="1"/>
  <c r="BG1592" i="1" s="1"/>
  <c r="BO1591" i="1"/>
  <c r="BH1591" i="1"/>
  <c r="BI1591" i="1" s="1"/>
  <c r="BK1591" i="1" s="1"/>
  <c r="BF1591" i="1"/>
  <c r="BG1591" i="1" s="1"/>
  <c r="BO1590" i="1"/>
  <c r="BH1590" i="1"/>
  <c r="BI1590" i="1" s="1"/>
  <c r="BK1590" i="1" s="1"/>
  <c r="BF1590" i="1"/>
  <c r="BG1590" i="1" s="1"/>
  <c r="BO1589" i="1"/>
  <c r="BH1589" i="1"/>
  <c r="BI1589" i="1" s="1"/>
  <c r="BK1589" i="1" s="1"/>
  <c r="BF1589" i="1"/>
  <c r="BG1589" i="1" s="1"/>
  <c r="BO1588" i="1"/>
  <c r="BH1588" i="1"/>
  <c r="BI1588" i="1" s="1"/>
  <c r="BK1588" i="1" s="1"/>
  <c r="BF1588" i="1"/>
  <c r="BG1588" i="1" s="1"/>
  <c r="BO1587" i="1"/>
  <c r="BH1587" i="1"/>
  <c r="BI1587" i="1" s="1"/>
  <c r="BK1587" i="1" s="1"/>
  <c r="BF1587" i="1"/>
  <c r="BG1587" i="1" s="1"/>
  <c r="BO1586" i="1"/>
  <c r="BH1586" i="1"/>
  <c r="BI1586" i="1" s="1"/>
  <c r="BK1586" i="1" s="1"/>
  <c r="BF1586" i="1"/>
  <c r="BG1586" i="1" s="1"/>
  <c r="BO1585" i="1"/>
  <c r="BH1585" i="1"/>
  <c r="BI1585" i="1" s="1"/>
  <c r="BK1585" i="1" s="1"/>
  <c r="BF1585" i="1"/>
  <c r="BG1585" i="1" s="1"/>
  <c r="BO1584" i="1"/>
  <c r="BH1584" i="1"/>
  <c r="BI1584" i="1" s="1"/>
  <c r="BK1584" i="1" s="1"/>
  <c r="BF1584" i="1"/>
  <c r="BG1584" i="1" s="1"/>
  <c r="BO1583" i="1"/>
  <c r="BH1583" i="1"/>
  <c r="BI1583" i="1" s="1"/>
  <c r="BK1583" i="1" s="1"/>
  <c r="BF1583" i="1"/>
  <c r="BG1583" i="1" s="1"/>
  <c r="BO1582" i="1"/>
  <c r="BH1582" i="1"/>
  <c r="BI1582" i="1" s="1"/>
  <c r="BK1582" i="1" s="1"/>
  <c r="BF1582" i="1"/>
  <c r="BG1582" i="1" s="1"/>
  <c r="BO1581" i="1"/>
  <c r="BH1581" i="1"/>
  <c r="BI1581" i="1" s="1"/>
  <c r="BK1581" i="1" s="1"/>
  <c r="BF1581" i="1"/>
  <c r="BG1581" i="1" s="1"/>
  <c r="BO1580" i="1"/>
  <c r="BH1580" i="1"/>
  <c r="BI1580" i="1" s="1"/>
  <c r="BK1580" i="1" s="1"/>
  <c r="BF1580" i="1"/>
  <c r="BG1580" i="1" s="1"/>
  <c r="BO1579" i="1"/>
  <c r="BH1579" i="1"/>
  <c r="BI1579" i="1" s="1"/>
  <c r="BK1579" i="1" s="1"/>
  <c r="BF1579" i="1"/>
  <c r="BG1579" i="1" s="1"/>
  <c r="BO1578" i="1"/>
  <c r="BH1578" i="1"/>
  <c r="BI1578" i="1" s="1"/>
  <c r="BK1578" i="1" s="1"/>
  <c r="BF1578" i="1"/>
  <c r="BG1578" i="1" s="1"/>
  <c r="BO1577" i="1"/>
  <c r="BH1577" i="1"/>
  <c r="BI1577" i="1" s="1"/>
  <c r="BK1577" i="1" s="1"/>
  <c r="BF1577" i="1"/>
  <c r="BG1577" i="1" s="1"/>
  <c r="BO1576" i="1"/>
  <c r="BH1576" i="1"/>
  <c r="BI1576" i="1" s="1"/>
  <c r="BK1576" i="1" s="1"/>
  <c r="BF1576" i="1"/>
  <c r="BG1576" i="1" s="1"/>
  <c r="BO1575" i="1"/>
  <c r="BH1575" i="1"/>
  <c r="BI1575" i="1" s="1"/>
  <c r="BK1575" i="1" s="1"/>
  <c r="BF1575" i="1"/>
  <c r="BG1575" i="1" s="1"/>
  <c r="BO1574" i="1"/>
  <c r="BH1574" i="1"/>
  <c r="BI1574" i="1" s="1"/>
  <c r="BK1574" i="1" s="1"/>
  <c r="BF1574" i="1"/>
  <c r="BG1574" i="1" s="1"/>
  <c r="BO1573" i="1"/>
  <c r="BH1573" i="1"/>
  <c r="BI1573" i="1" s="1"/>
  <c r="BK1573" i="1" s="1"/>
  <c r="BF1573" i="1"/>
  <c r="BG1573" i="1" s="1"/>
  <c r="BO1572" i="1"/>
  <c r="BH1572" i="1"/>
  <c r="BI1572" i="1" s="1"/>
  <c r="BK1572" i="1" s="1"/>
  <c r="BF1572" i="1"/>
  <c r="BG1572" i="1" s="1"/>
  <c r="BO1571" i="1"/>
  <c r="BH1571" i="1"/>
  <c r="BI1571" i="1" s="1"/>
  <c r="BK1571" i="1" s="1"/>
  <c r="BF1571" i="1"/>
  <c r="BG1571" i="1" s="1"/>
  <c r="BO1570" i="1"/>
  <c r="BH1570" i="1"/>
  <c r="BI1570" i="1" s="1"/>
  <c r="BK1570" i="1" s="1"/>
  <c r="BF1570" i="1"/>
  <c r="BG1570" i="1" s="1"/>
  <c r="BO1569" i="1"/>
  <c r="BH1569" i="1"/>
  <c r="BI1569" i="1" s="1"/>
  <c r="BK1569" i="1" s="1"/>
  <c r="BF1569" i="1"/>
  <c r="BG1569" i="1" s="1"/>
  <c r="BO1568" i="1"/>
  <c r="BH1568" i="1"/>
  <c r="BI1568" i="1" s="1"/>
  <c r="BK1568" i="1" s="1"/>
  <c r="BF1568" i="1"/>
  <c r="BG1568" i="1" s="1"/>
  <c r="BO1567" i="1"/>
  <c r="BH1567" i="1"/>
  <c r="BI1567" i="1" s="1"/>
  <c r="BK1567" i="1" s="1"/>
  <c r="BF1567" i="1"/>
  <c r="BG1567" i="1" s="1"/>
  <c r="BO1566" i="1"/>
  <c r="BH1566" i="1"/>
  <c r="BI1566" i="1" s="1"/>
  <c r="BK1566" i="1" s="1"/>
  <c r="BF1566" i="1"/>
  <c r="BG1566" i="1" s="1"/>
  <c r="BO1565" i="1"/>
  <c r="BH1565" i="1"/>
  <c r="BI1565" i="1" s="1"/>
  <c r="BK1565" i="1" s="1"/>
  <c r="BF1565" i="1"/>
  <c r="BG1565" i="1" s="1"/>
  <c r="BO1564" i="1"/>
  <c r="BH1564" i="1"/>
  <c r="BI1564" i="1" s="1"/>
  <c r="BK1564" i="1" s="1"/>
  <c r="BF1564" i="1"/>
  <c r="BG1564" i="1" s="1"/>
  <c r="BO1563" i="1"/>
  <c r="BH1563" i="1"/>
  <c r="BI1563" i="1" s="1"/>
  <c r="BK1563" i="1" s="1"/>
  <c r="BF1563" i="1"/>
  <c r="BG1563" i="1" s="1"/>
  <c r="BO1562" i="1"/>
  <c r="BH1562" i="1"/>
  <c r="BI1562" i="1" s="1"/>
  <c r="BK1562" i="1" s="1"/>
  <c r="BF1562" i="1"/>
  <c r="BG1562" i="1" s="1"/>
  <c r="BO1561" i="1"/>
  <c r="BH1561" i="1"/>
  <c r="BI1561" i="1" s="1"/>
  <c r="BK1561" i="1" s="1"/>
  <c r="BF1561" i="1"/>
  <c r="BG1561" i="1" s="1"/>
  <c r="BO1560" i="1"/>
  <c r="BH1560" i="1"/>
  <c r="BI1560" i="1" s="1"/>
  <c r="BK1560" i="1" s="1"/>
  <c r="BF1560" i="1"/>
  <c r="BG1560" i="1" s="1"/>
  <c r="BO1559" i="1"/>
  <c r="BH1559" i="1"/>
  <c r="BI1559" i="1" s="1"/>
  <c r="BK1559" i="1" s="1"/>
  <c r="BF1559" i="1"/>
  <c r="BG1559" i="1" s="1"/>
  <c r="BO1558" i="1"/>
  <c r="BH1558" i="1"/>
  <c r="BI1558" i="1" s="1"/>
  <c r="BK1558" i="1" s="1"/>
  <c r="BF1558" i="1"/>
  <c r="BG1558" i="1" s="1"/>
  <c r="AZ1592" i="1"/>
  <c r="AW1592" i="1"/>
  <c r="BB1592" i="1" s="1"/>
  <c r="AK1592" i="1"/>
  <c r="AZ1591" i="1"/>
  <c r="AW1591" i="1"/>
  <c r="AY1591" i="1" s="1"/>
  <c r="AK1591" i="1"/>
  <c r="AZ1590" i="1"/>
  <c r="AW1590" i="1"/>
  <c r="AK1590" i="1"/>
  <c r="AZ1589" i="1"/>
  <c r="AW1589" i="1"/>
  <c r="AY1589" i="1" s="1"/>
  <c r="AK1589" i="1"/>
  <c r="AZ1588" i="1"/>
  <c r="AW1588" i="1"/>
  <c r="BB1588" i="1" s="1"/>
  <c r="AK1588" i="1"/>
  <c r="AZ1587" i="1"/>
  <c r="AW1587" i="1"/>
  <c r="AY1587" i="1" s="1"/>
  <c r="AK1587" i="1"/>
  <c r="AZ1586" i="1"/>
  <c r="AW1586" i="1"/>
  <c r="AK1586" i="1"/>
  <c r="AZ1585" i="1"/>
  <c r="AW1585" i="1"/>
  <c r="AY1585" i="1" s="1"/>
  <c r="AK1585" i="1"/>
  <c r="AZ1584" i="1"/>
  <c r="AW1584" i="1"/>
  <c r="BB1584" i="1" s="1"/>
  <c r="AK1584" i="1"/>
  <c r="AZ1583" i="1"/>
  <c r="AW1583" i="1"/>
  <c r="AY1583" i="1" s="1"/>
  <c r="AK1583" i="1"/>
  <c r="AZ1582" i="1"/>
  <c r="AW1582" i="1"/>
  <c r="AK1582" i="1"/>
  <c r="AZ1581" i="1"/>
  <c r="AW1581" i="1"/>
  <c r="BB1581" i="1" s="1"/>
  <c r="AK1581" i="1"/>
  <c r="AZ1580" i="1"/>
  <c r="AW1580" i="1"/>
  <c r="BB1580" i="1" s="1"/>
  <c r="AK1580" i="1"/>
  <c r="AZ1579" i="1"/>
  <c r="AW1579" i="1"/>
  <c r="AY1579" i="1" s="1"/>
  <c r="AK1579" i="1"/>
  <c r="AZ1578" i="1"/>
  <c r="AW1578" i="1"/>
  <c r="AK1578" i="1"/>
  <c r="AZ1577" i="1"/>
  <c r="AW1577" i="1"/>
  <c r="AY1577" i="1" s="1"/>
  <c r="AK1577" i="1"/>
  <c r="AZ1576" i="1"/>
  <c r="AW1576" i="1"/>
  <c r="BB1576" i="1" s="1"/>
  <c r="AK1576" i="1"/>
  <c r="AZ1575" i="1"/>
  <c r="AW1575" i="1"/>
  <c r="AY1575" i="1" s="1"/>
  <c r="AK1575" i="1"/>
  <c r="AZ1574" i="1"/>
  <c r="AW1574" i="1"/>
  <c r="AK1574" i="1"/>
  <c r="AZ1573" i="1"/>
  <c r="AW1573" i="1"/>
  <c r="AY1573" i="1" s="1"/>
  <c r="AK1573" i="1"/>
  <c r="AZ1572" i="1"/>
  <c r="AW1572" i="1"/>
  <c r="BB1572" i="1" s="1"/>
  <c r="AK1572" i="1"/>
  <c r="AZ1571" i="1"/>
  <c r="AW1571" i="1"/>
  <c r="AY1571" i="1" s="1"/>
  <c r="AK1571" i="1"/>
  <c r="AZ1570" i="1"/>
  <c r="AW1570" i="1"/>
  <c r="AK1570" i="1"/>
  <c r="AZ1569" i="1"/>
  <c r="AW1569" i="1"/>
  <c r="BB1569" i="1" s="1"/>
  <c r="AK1569" i="1"/>
  <c r="AZ1568" i="1"/>
  <c r="AW1568" i="1"/>
  <c r="BB1568" i="1" s="1"/>
  <c r="AK1568" i="1"/>
  <c r="AZ1567" i="1"/>
  <c r="AW1567" i="1"/>
  <c r="AY1567" i="1" s="1"/>
  <c r="AK1567" i="1"/>
  <c r="AZ1566" i="1"/>
  <c r="AW1566" i="1"/>
  <c r="AK1566" i="1"/>
  <c r="AZ1565" i="1"/>
  <c r="AW1565" i="1"/>
  <c r="AY1565" i="1" s="1"/>
  <c r="AK1565" i="1"/>
  <c r="AZ1564" i="1"/>
  <c r="AW1564" i="1"/>
  <c r="BB1564" i="1" s="1"/>
  <c r="AK1564" i="1"/>
  <c r="AZ1563" i="1"/>
  <c r="AW1563" i="1"/>
  <c r="AY1563" i="1" s="1"/>
  <c r="AK1563" i="1"/>
  <c r="AZ1562" i="1"/>
  <c r="AW1562" i="1"/>
  <c r="AK1562" i="1"/>
  <c r="AZ1561" i="1"/>
  <c r="AW1561" i="1"/>
  <c r="BB1561" i="1" s="1"/>
  <c r="AK1561" i="1"/>
  <c r="AZ1560" i="1"/>
  <c r="AW1560" i="1"/>
  <c r="BB1560" i="1" s="1"/>
  <c r="AK1560" i="1"/>
  <c r="AZ1559" i="1"/>
  <c r="AW1559" i="1"/>
  <c r="AY1559" i="1" s="1"/>
  <c r="AK1559" i="1"/>
  <c r="AZ1558" i="1"/>
  <c r="AW1558" i="1"/>
  <c r="AY1558" i="1" s="1"/>
  <c r="AK1558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BA1589" i="1" l="1"/>
  <c r="AO1567" i="1"/>
  <c r="BM1567" i="1" s="1"/>
  <c r="BA1567" i="1"/>
  <c r="BA1583" i="1"/>
  <c r="AO1587" i="1"/>
  <c r="AR1587" i="1" s="1"/>
  <c r="AO1564" i="1"/>
  <c r="BM1564" i="1" s="1"/>
  <c r="AO1589" i="1"/>
  <c r="BM1589" i="1" s="1"/>
  <c r="AO1561" i="1"/>
  <c r="AR1561" i="1" s="1"/>
  <c r="AO1576" i="1"/>
  <c r="AR1576" i="1" s="1"/>
  <c r="AO1565" i="1"/>
  <c r="AR1565" i="1" s="1"/>
  <c r="AS1565" i="1" s="1"/>
  <c r="AO1580" i="1"/>
  <c r="BM1580" i="1" s="1"/>
  <c r="BA1558" i="1"/>
  <c r="BA1591" i="1"/>
  <c r="AO1588" i="1"/>
  <c r="AR1588" i="1" s="1"/>
  <c r="AS1588" i="1" s="1"/>
  <c r="BA1579" i="1"/>
  <c r="AO1573" i="1"/>
  <c r="AR1573" i="1" s="1"/>
  <c r="BA1573" i="1"/>
  <c r="AO1591" i="1"/>
  <c r="AR1591" i="1" s="1"/>
  <c r="AO1581" i="1"/>
  <c r="BM1581" i="1" s="1"/>
  <c r="AO1571" i="1"/>
  <c r="AR1571" i="1" s="1"/>
  <c r="BA1577" i="1"/>
  <c r="AO1584" i="1"/>
  <c r="AR1584" i="1" s="1"/>
  <c r="BA1587" i="1"/>
  <c r="AO1559" i="1"/>
  <c r="AR1559" i="1" s="1"/>
  <c r="AO1575" i="1"/>
  <c r="BM1575" i="1" s="1"/>
  <c r="AO1585" i="1"/>
  <c r="AR1585" i="1" s="1"/>
  <c r="BA1563" i="1"/>
  <c r="BB1563" i="1"/>
  <c r="BA1559" i="1"/>
  <c r="AO1569" i="1"/>
  <c r="AR1569" i="1" s="1"/>
  <c r="AO1572" i="1"/>
  <c r="AR1572" i="1" s="1"/>
  <c r="AS1572" i="1" s="1"/>
  <c r="BA1575" i="1"/>
  <c r="BA1585" i="1"/>
  <c r="BA1571" i="1"/>
  <c r="BB1571" i="1"/>
  <c r="AO1563" i="1"/>
  <c r="AR1563" i="1" s="1"/>
  <c r="AO1579" i="1"/>
  <c r="BM1579" i="1" s="1"/>
  <c r="AO1592" i="1"/>
  <c r="AR1592" i="1" s="1"/>
  <c r="AS1592" i="1" s="1"/>
  <c r="BB1575" i="1"/>
  <c r="BB1567" i="1"/>
  <c r="BB1559" i="1"/>
  <c r="BA1565" i="1"/>
  <c r="AO1568" i="1"/>
  <c r="BM1568" i="1" s="1"/>
  <c r="BB1587" i="1"/>
  <c r="BB1579" i="1"/>
  <c r="BB1583" i="1"/>
  <c r="AO1560" i="1"/>
  <c r="BM1560" i="1" s="1"/>
  <c r="AO1577" i="1"/>
  <c r="BM1577" i="1" s="1"/>
  <c r="AO1583" i="1"/>
  <c r="AR1583" i="1" s="1"/>
  <c r="BB1591" i="1"/>
  <c r="AO1590" i="1"/>
  <c r="BM1590" i="1" s="1"/>
  <c r="BB1590" i="1"/>
  <c r="AY1590" i="1"/>
  <c r="BA1590" i="1" s="1"/>
  <c r="AO1570" i="1"/>
  <c r="BM1570" i="1" s="1"/>
  <c r="BB1570" i="1"/>
  <c r="AY1570" i="1"/>
  <c r="BA1570" i="1" s="1"/>
  <c r="AO1566" i="1"/>
  <c r="AR1566" i="1" s="1"/>
  <c r="BB1566" i="1"/>
  <c r="AY1566" i="1"/>
  <c r="BA1566" i="1" s="1"/>
  <c r="AO1574" i="1"/>
  <c r="BB1574" i="1"/>
  <c r="AY1574" i="1"/>
  <c r="BA1574" i="1" s="1"/>
  <c r="AO1582" i="1"/>
  <c r="BM1582" i="1" s="1"/>
  <c r="BB1582" i="1"/>
  <c r="AY1582" i="1"/>
  <c r="BA1582" i="1" s="1"/>
  <c r="AO1586" i="1"/>
  <c r="BB1586" i="1"/>
  <c r="AY1586" i="1"/>
  <c r="BA1586" i="1" s="1"/>
  <c r="AO1562" i="1"/>
  <c r="BB1562" i="1"/>
  <c r="AY1562" i="1"/>
  <c r="BA1562" i="1" s="1"/>
  <c r="AO1578" i="1"/>
  <c r="BM1578" i="1" s="1"/>
  <c r="AY1578" i="1"/>
  <c r="BA1578" i="1" s="1"/>
  <c r="BB1578" i="1"/>
  <c r="AO1558" i="1"/>
  <c r="AR1558" i="1" s="1"/>
  <c r="BB1558" i="1"/>
  <c r="AY1561" i="1"/>
  <c r="BA1561" i="1" s="1"/>
  <c r="AY1569" i="1"/>
  <c r="BA1569" i="1" s="1"/>
  <c r="AY1581" i="1"/>
  <c r="BA1581" i="1" s="1"/>
  <c r="AY1560" i="1"/>
  <c r="BA1560" i="1" s="1"/>
  <c r="AY1564" i="1"/>
  <c r="BA1564" i="1" s="1"/>
  <c r="BB1565" i="1"/>
  <c r="AY1568" i="1"/>
  <c r="BA1568" i="1" s="1"/>
  <c r="AY1572" i="1"/>
  <c r="BA1572" i="1" s="1"/>
  <c r="BB1573" i="1"/>
  <c r="AY1576" i="1"/>
  <c r="BA1576" i="1" s="1"/>
  <c r="BB1577" i="1"/>
  <c r="AY1580" i="1"/>
  <c r="BA1580" i="1" s="1"/>
  <c r="AY1584" i="1"/>
  <c r="BA1584" i="1" s="1"/>
  <c r="BB1585" i="1"/>
  <c r="AY1588" i="1"/>
  <c r="BA1588" i="1" s="1"/>
  <c r="BB1589" i="1"/>
  <c r="AY1592" i="1"/>
  <c r="BA1592" i="1" s="1"/>
  <c r="AQ1536" i="1"/>
  <c r="AQ1516" i="1"/>
  <c r="AQ1514" i="1"/>
  <c r="BM1587" i="1" l="1"/>
  <c r="BM1561" i="1"/>
  <c r="BM1576" i="1"/>
  <c r="BM1565" i="1"/>
  <c r="AR1567" i="1"/>
  <c r="AS1567" i="1" s="1"/>
  <c r="AR1570" i="1"/>
  <c r="BP1570" i="1" s="1"/>
  <c r="AS1587" i="1"/>
  <c r="BP1587" i="1"/>
  <c r="AR1589" i="1"/>
  <c r="AS1589" i="1" s="1"/>
  <c r="AR1580" i="1"/>
  <c r="AS1580" i="1" s="1"/>
  <c r="BM1573" i="1"/>
  <c r="BM1563" i="1"/>
  <c r="AR1564" i="1"/>
  <c r="BM1584" i="1"/>
  <c r="BM1585" i="1"/>
  <c r="AS1585" i="1"/>
  <c r="BP1585" i="1"/>
  <c r="AS1561" i="1"/>
  <c r="BP1561" i="1"/>
  <c r="AS1576" i="1"/>
  <c r="BP1576" i="1"/>
  <c r="BM1588" i="1"/>
  <c r="BM1592" i="1"/>
  <c r="BM1572" i="1"/>
  <c r="BM1591" i="1"/>
  <c r="AR1577" i="1"/>
  <c r="AS1577" i="1" s="1"/>
  <c r="BP1565" i="1"/>
  <c r="BM1571" i="1"/>
  <c r="AS1573" i="1"/>
  <c r="BP1573" i="1"/>
  <c r="AS1591" i="1"/>
  <c r="BP1591" i="1"/>
  <c r="BM1559" i="1"/>
  <c r="AR1575" i="1"/>
  <c r="AS1575" i="1" s="1"/>
  <c r="BP1588" i="1"/>
  <c r="BP1592" i="1"/>
  <c r="AR1581" i="1"/>
  <c r="AR1560" i="1"/>
  <c r="BP1560" i="1" s="1"/>
  <c r="BM1569" i="1"/>
  <c r="AS1569" i="1"/>
  <c r="BP1569" i="1"/>
  <c r="AS1584" i="1"/>
  <c r="BP1584" i="1"/>
  <c r="AS1571" i="1"/>
  <c r="BP1571" i="1"/>
  <c r="AS1559" i="1"/>
  <c r="BP1559" i="1"/>
  <c r="AR1568" i="1"/>
  <c r="BP1568" i="1" s="1"/>
  <c r="BP1572" i="1"/>
  <c r="AR1578" i="1"/>
  <c r="AS1578" i="1" s="1"/>
  <c r="AR1590" i="1"/>
  <c r="BP1590" i="1" s="1"/>
  <c r="AR1582" i="1"/>
  <c r="BP1582" i="1" s="1"/>
  <c r="AR1579" i="1"/>
  <c r="AS1583" i="1"/>
  <c r="BP1583" i="1"/>
  <c r="AS1566" i="1"/>
  <c r="CC1566" i="1" s="1"/>
  <c r="CE1566" i="1" s="1"/>
  <c r="BP1566" i="1"/>
  <c r="AS1563" i="1"/>
  <c r="BP1563" i="1"/>
  <c r="BM1566" i="1"/>
  <c r="BM1583" i="1"/>
  <c r="AS1558" i="1"/>
  <c r="BP1558" i="1"/>
  <c r="AR1574" i="1"/>
  <c r="BM1574" i="1"/>
  <c r="BM1558" i="1"/>
  <c r="AR1586" i="1"/>
  <c r="BM1586" i="1"/>
  <c r="AR1562" i="1"/>
  <c r="BM1562" i="1"/>
  <c r="AM1536" i="1"/>
  <c r="AL1536" i="1"/>
  <c r="AM1516" i="1"/>
  <c r="AL1516" i="1"/>
  <c r="AM1514" i="1"/>
  <c r="AL1514" i="1"/>
  <c r="BP1589" i="1" l="1"/>
  <c r="BP1567" i="1"/>
  <c r="AS1570" i="1"/>
  <c r="BP1580" i="1"/>
  <c r="AS1582" i="1"/>
  <c r="AS1564" i="1"/>
  <c r="BP1564" i="1"/>
  <c r="BP1575" i="1"/>
  <c r="BP1577" i="1"/>
  <c r="AS1590" i="1"/>
  <c r="AS1568" i="1"/>
  <c r="AS1560" i="1"/>
  <c r="AS1581" i="1"/>
  <c r="BP1581" i="1"/>
  <c r="BP1578" i="1"/>
  <c r="AS1579" i="1"/>
  <c r="BP1579" i="1"/>
  <c r="AS1562" i="1"/>
  <c r="BP1562" i="1"/>
  <c r="AS1586" i="1"/>
  <c r="BP1586" i="1"/>
  <c r="AS1574" i="1"/>
  <c r="BP1574" i="1"/>
  <c r="BO1557" i="1"/>
  <c r="BH1557" i="1"/>
  <c r="BI1557" i="1" s="1"/>
  <c r="BK1557" i="1" s="1"/>
  <c r="BF1557" i="1"/>
  <c r="BG1557" i="1" s="1"/>
  <c r="BO1556" i="1"/>
  <c r="BH1556" i="1"/>
  <c r="BI1556" i="1" s="1"/>
  <c r="BK1556" i="1" s="1"/>
  <c r="BF1556" i="1"/>
  <c r="BG1556" i="1" s="1"/>
  <c r="BO1555" i="1"/>
  <c r="BH1555" i="1"/>
  <c r="BI1555" i="1" s="1"/>
  <c r="BK1555" i="1" s="1"/>
  <c r="BF1555" i="1"/>
  <c r="BG1555" i="1" s="1"/>
  <c r="BO1554" i="1"/>
  <c r="BH1554" i="1"/>
  <c r="BI1554" i="1" s="1"/>
  <c r="BK1554" i="1" s="1"/>
  <c r="BF1554" i="1"/>
  <c r="BG1554" i="1" s="1"/>
  <c r="BO1553" i="1"/>
  <c r="BH1553" i="1"/>
  <c r="BI1553" i="1" s="1"/>
  <c r="BK1553" i="1" s="1"/>
  <c r="BF1553" i="1"/>
  <c r="BG1553" i="1" s="1"/>
  <c r="BO1552" i="1"/>
  <c r="BH1552" i="1"/>
  <c r="BI1552" i="1" s="1"/>
  <c r="BK1552" i="1" s="1"/>
  <c r="BF1552" i="1"/>
  <c r="BG1552" i="1" s="1"/>
  <c r="BO1551" i="1"/>
  <c r="BH1551" i="1"/>
  <c r="BI1551" i="1" s="1"/>
  <c r="BK1551" i="1" s="1"/>
  <c r="BF1551" i="1"/>
  <c r="BG1551" i="1" s="1"/>
  <c r="BO1550" i="1"/>
  <c r="BH1550" i="1"/>
  <c r="BI1550" i="1" s="1"/>
  <c r="BK1550" i="1" s="1"/>
  <c r="BF1550" i="1"/>
  <c r="BG1550" i="1" s="1"/>
  <c r="BO1549" i="1"/>
  <c r="BH1549" i="1"/>
  <c r="BI1549" i="1" s="1"/>
  <c r="BK1549" i="1" s="1"/>
  <c r="BF1549" i="1"/>
  <c r="BG1549" i="1" s="1"/>
  <c r="BO1548" i="1"/>
  <c r="BH1548" i="1"/>
  <c r="BI1548" i="1" s="1"/>
  <c r="BK1548" i="1" s="1"/>
  <c r="BF1548" i="1"/>
  <c r="BG1548" i="1" s="1"/>
  <c r="BO1547" i="1"/>
  <c r="BH1547" i="1"/>
  <c r="BI1547" i="1" s="1"/>
  <c r="BK1547" i="1" s="1"/>
  <c r="BF1547" i="1"/>
  <c r="BG1547" i="1" s="1"/>
  <c r="BO1546" i="1"/>
  <c r="BH1546" i="1"/>
  <c r="BI1546" i="1" s="1"/>
  <c r="BK1546" i="1" s="1"/>
  <c r="BF1546" i="1"/>
  <c r="BG1546" i="1" s="1"/>
  <c r="BO1545" i="1"/>
  <c r="BH1545" i="1"/>
  <c r="BI1545" i="1" s="1"/>
  <c r="BK1545" i="1" s="1"/>
  <c r="BF1545" i="1"/>
  <c r="BG1545" i="1" s="1"/>
  <c r="BO1544" i="1"/>
  <c r="BH1544" i="1"/>
  <c r="BI1544" i="1" s="1"/>
  <c r="BK1544" i="1" s="1"/>
  <c r="BF1544" i="1"/>
  <c r="BG1544" i="1" s="1"/>
  <c r="BO1543" i="1"/>
  <c r="BH1543" i="1"/>
  <c r="BI1543" i="1" s="1"/>
  <c r="BK1543" i="1" s="1"/>
  <c r="BF1543" i="1"/>
  <c r="BG1543" i="1" s="1"/>
  <c r="BO1542" i="1"/>
  <c r="BH1542" i="1"/>
  <c r="BI1542" i="1" s="1"/>
  <c r="BK1542" i="1" s="1"/>
  <c r="BF1542" i="1"/>
  <c r="BG1542" i="1" s="1"/>
  <c r="BO1541" i="1"/>
  <c r="BH1541" i="1"/>
  <c r="BI1541" i="1" s="1"/>
  <c r="BK1541" i="1" s="1"/>
  <c r="BF1541" i="1"/>
  <c r="BG1541" i="1" s="1"/>
  <c r="BO1540" i="1"/>
  <c r="BH1540" i="1"/>
  <c r="BI1540" i="1" s="1"/>
  <c r="BK1540" i="1" s="1"/>
  <c r="BF1540" i="1"/>
  <c r="BG1540" i="1" s="1"/>
  <c r="BO1539" i="1"/>
  <c r="BH1539" i="1"/>
  <c r="BI1539" i="1" s="1"/>
  <c r="BK1539" i="1" s="1"/>
  <c r="BF1539" i="1"/>
  <c r="BG1539" i="1" s="1"/>
  <c r="BO1538" i="1"/>
  <c r="BH1538" i="1"/>
  <c r="BI1538" i="1" s="1"/>
  <c r="BK1538" i="1" s="1"/>
  <c r="BF1538" i="1"/>
  <c r="BG1538" i="1" s="1"/>
  <c r="BO1537" i="1"/>
  <c r="BH1537" i="1"/>
  <c r="BI1537" i="1" s="1"/>
  <c r="BK1537" i="1" s="1"/>
  <c r="BF1537" i="1"/>
  <c r="BG1537" i="1" s="1"/>
  <c r="BO1536" i="1"/>
  <c r="BH1536" i="1"/>
  <c r="BI1536" i="1" s="1"/>
  <c r="BK1536" i="1" s="1"/>
  <c r="BF1536" i="1"/>
  <c r="BG1536" i="1" s="1"/>
  <c r="BO1535" i="1"/>
  <c r="BH1535" i="1"/>
  <c r="BI1535" i="1" s="1"/>
  <c r="BK1535" i="1" s="1"/>
  <c r="BF1535" i="1"/>
  <c r="BG1535" i="1" s="1"/>
  <c r="BO1534" i="1"/>
  <c r="BH1534" i="1"/>
  <c r="BI1534" i="1" s="1"/>
  <c r="BK1534" i="1" s="1"/>
  <c r="BF1534" i="1"/>
  <c r="BG1534" i="1" s="1"/>
  <c r="BO1533" i="1"/>
  <c r="BH1533" i="1"/>
  <c r="BI1533" i="1" s="1"/>
  <c r="BK1533" i="1" s="1"/>
  <c r="BF1533" i="1"/>
  <c r="BG1533" i="1" s="1"/>
  <c r="BO1532" i="1"/>
  <c r="BH1532" i="1"/>
  <c r="BI1532" i="1" s="1"/>
  <c r="BK1532" i="1" s="1"/>
  <c r="BF1532" i="1"/>
  <c r="BG1532" i="1" s="1"/>
  <c r="BO1531" i="1"/>
  <c r="BH1531" i="1"/>
  <c r="BI1531" i="1" s="1"/>
  <c r="BK1531" i="1" s="1"/>
  <c r="BF1531" i="1"/>
  <c r="BG1531" i="1" s="1"/>
  <c r="BO1530" i="1"/>
  <c r="BH1530" i="1"/>
  <c r="BI1530" i="1" s="1"/>
  <c r="BK1530" i="1" s="1"/>
  <c r="BF1530" i="1"/>
  <c r="BG1530" i="1" s="1"/>
  <c r="BO1529" i="1"/>
  <c r="BH1529" i="1"/>
  <c r="BI1529" i="1" s="1"/>
  <c r="BK1529" i="1" s="1"/>
  <c r="BF1529" i="1"/>
  <c r="BG1529" i="1" s="1"/>
  <c r="BO1528" i="1"/>
  <c r="BH1528" i="1"/>
  <c r="BI1528" i="1" s="1"/>
  <c r="BK1528" i="1" s="1"/>
  <c r="BF1528" i="1"/>
  <c r="BG1528" i="1" s="1"/>
  <c r="BO1527" i="1"/>
  <c r="BH1527" i="1"/>
  <c r="BI1527" i="1" s="1"/>
  <c r="BK1527" i="1" s="1"/>
  <c r="BF1527" i="1"/>
  <c r="BG1527" i="1" s="1"/>
  <c r="BO1526" i="1"/>
  <c r="BH1526" i="1"/>
  <c r="BI1526" i="1" s="1"/>
  <c r="BK1526" i="1" s="1"/>
  <c r="BF1526" i="1"/>
  <c r="BG1526" i="1" s="1"/>
  <c r="BO1525" i="1"/>
  <c r="BH1525" i="1"/>
  <c r="BI1525" i="1" s="1"/>
  <c r="BK1525" i="1" s="1"/>
  <c r="BF1525" i="1"/>
  <c r="BG1525" i="1" s="1"/>
  <c r="BO1524" i="1"/>
  <c r="BH1524" i="1"/>
  <c r="BI1524" i="1" s="1"/>
  <c r="BK1524" i="1" s="1"/>
  <c r="BF1524" i="1"/>
  <c r="BG1524" i="1" s="1"/>
  <c r="BO1523" i="1"/>
  <c r="BH1523" i="1"/>
  <c r="BI1523" i="1" s="1"/>
  <c r="BK1523" i="1" s="1"/>
  <c r="BF1523" i="1"/>
  <c r="BG1523" i="1" s="1"/>
  <c r="BO1522" i="1"/>
  <c r="BH1522" i="1"/>
  <c r="BI1522" i="1" s="1"/>
  <c r="BK1522" i="1" s="1"/>
  <c r="BF1522" i="1"/>
  <c r="BG1522" i="1" s="1"/>
  <c r="BO1521" i="1"/>
  <c r="BH1521" i="1"/>
  <c r="BI1521" i="1" s="1"/>
  <c r="BK1521" i="1" s="1"/>
  <c r="BF1521" i="1"/>
  <c r="BG1521" i="1" s="1"/>
  <c r="BO1520" i="1"/>
  <c r="BH1520" i="1"/>
  <c r="BI1520" i="1" s="1"/>
  <c r="BK1520" i="1" s="1"/>
  <c r="BF1520" i="1"/>
  <c r="BG1520" i="1" s="1"/>
  <c r="BO1519" i="1"/>
  <c r="BH1519" i="1"/>
  <c r="BI1519" i="1" s="1"/>
  <c r="BK1519" i="1" s="1"/>
  <c r="BF1519" i="1"/>
  <c r="BG1519" i="1" s="1"/>
  <c r="BO1518" i="1"/>
  <c r="BH1518" i="1"/>
  <c r="BI1518" i="1" s="1"/>
  <c r="BK1518" i="1" s="1"/>
  <c r="BF1518" i="1"/>
  <c r="BG1518" i="1" s="1"/>
  <c r="BO1517" i="1"/>
  <c r="BH1517" i="1"/>
  <c r="BI1517" i="1" s="1"/>
  <c r="BK1517" i="1" s="1"/>
  <c r="BF1517" i="1"/>
  <c r="BG1517" i="1" s="1"/>
  <c r="BO1516" i="1"/>
  <c r="BH1516" i="1"/>
  <c r="BI1516" i="1" s="1"/>
  <c r="BK1516" i="1" s="1"/>
  <c r="BF1516" i="1"/>
  <c r="BG1516" i="1" s="1"/>
  <c r="BO1515" i="1"/>
  <c r="BH1515" i="1"/>
  <c r="BI1515" i="1" s="1"/>
  <c r="BK1515" i="1" s="1"/>
  <c r="BF1515" i="1"/>
  <c r="BG1515" i="1" s="1"/>
  <c r="BO1514" i="1"/>
  <c r="BH1514" i="1"/>
  <c r="BI1514" i="1" s="1"/>
  <c r="BK1514" i="1" s="1"/>
  <c r="BF1514" i="1"/>
  <c r="BG1514" i="1" s="1"/>
  <c r="BO1513" i="1"/>
  <c r="BH1513" i="1"/>
  <c r="BI1513" i="1" s="1"/>
  <c r="BK1513" i="1" s="1"/>
  <c r="BF1513" i="1"/>
  <c r="BG1513" i="1" s="1"/>
  <c r="AZ1557" i="1"/>
  <c r="AW1557" i="1"/>
  <c r="BB1557" i="1" s="1"/>
  <c r="AK1557" i="1"/>
  <c r="AZ1556" i="1"/>
  <c r="AW1556" i="1"/>
  <c r="BB1556" i="1" s="1"/>
  <c r="AK1556" i="1"/>
  <c r="AZ1555" i="1"/>
  <c r="AW1555" i="1"/>
  <c r="AK1555" i="1"/>
  <c r="AZ1554" i="1"/>
  <c r="AW1554" i="1"/>
  <c r="AY1554" i="1" s="1"/>
  <c r="AK1554" i="1"/>
  <c r="AZ1553" i="1"/>
  <c r="AW1553" i="1"/>
  <c r="BB1553" i="1" s="1"/>
  <c r="AK1553" i="1"/>
  <c r="AZ1552" i="1"/>
  <c r="AW1552" i="1"/>
  <c r="AO1552" i="1" s="1"/>
  <c r="AK1552" i="1"/>
  <c r="AZ1551" i="1"/>
  <c r="AW1551" i="1"/>
  <c r="AK1551" i="1"/>
  <c r="AZ1550" i="1"/>
  <c r="AW1550" i="1"/>
  <c r="AY1550" i="1" s="1"/>
  <c r="AK1550" i="1"/>
  <c r="AZ1549" i="1"/>
  <c r="AW1549" i="1"/>
  <c r="BB1549" i="1" s="1"/>
  <c r="AK1549" i="1"/>
  <c r="AZ1548" i="1"/>
  <c r="AW1548" i="1"/>
  <c r="BB1548" i="1" s="1"/>
  <c r="AK1548" i="1"/>
  <c r="AZ1547" i="1"/>
  <c r="AW1547" i="1"/>
  <c r="AK1547" i="1"/>
  <c r="AZ1546" i="1"/>
  <c r="AW1546" i="1"/>
  <c r="AY1546" i="1" s="1"/>
  <c r="AK1546" i="1"/>
  <c r="AZ1545" i="1"/>
  <c r="AW1545" i="1"/>
  <c r="AK1545" i="1"/>
  <c r="AZ1544" i="1"/>
  <c r="AW1544" i="1"/>
  <c r="BB1544" i="1" s="1"/>
  <c r="AK1544" i="1"/>
  <c r="AZ1543" i="1"/>
  <c r="AW1543" i="1"/>
  <c r="AK1543" i="1"/>
  <c r="AZ1542" i="1"/>
  <c r="AW1542" i="1"/>
  <c r="AY1542" i="1" s="1"/>
  <c r="AK1542" i="1"/>
  <c r="AZ1541" i="1"/>
  <c r="AW1541" i="1"/>
  <c r="AK1541" i="1"/>
  <c r="AZ1540" i="1"/>
  <c r="AW1540" i="1"/>
  <c r="AY1540" i="1" s="1"/>
  <c r="AK1540" i="1"/>
  <c r="AZ1539" i="1"/>
  <c r="AW1539" i="1"/>
  <c r="AK1539" i="1"/>
  <c r="AZ1538" i="1"/>
  <c r="AW1538" i="1"/>
  <c r="AY1538" i="1" s="1"/>
  <c r="AK1538" i="1"/>
  <c r="AZ1537" i="1"/>
  <c r="AW1537" i="1"/>
  <c r="BB1537" i="1" s="1"/>
  <c r="AK1537" i="1"/>
  <c r="AZ1536" i="1"/>
  <c r="AW1536" i="1"/>
  <c r="BB1536" i="1" s="1"/>
  <c r="AK1536" i="1"/>
  <c r="AZ1535" i="1"/>
  <c r="AW1535" i="1"/>
  <c r="AK1535" i="1"/>
  <c r="AZ1534" i="1"/>
  <c r="AW1534" i="1"/>
  <c r="AY1534" i="1" s="1"/>
  <c r="AK1534" i="1"/>
  <c r="AZ1533" i="1"/>
  <c r="AW1533" i="1"/>
  <c r="AK1533" i="1"/>
  <c r="AZ1532" i="1"/>
  <c r="AW1532" i="1"/>
  <c r="AY1532" i="1" s="1"/>
  <c r="AK1532" i="1"/>
  <c r="AZ1531" i="1"/>
  <c r="AW1531" i="1"/>
  <c r="AK1531" i="1"/>
  <c r="AZ1530" i="1"/>
  <c r="AW1530" i="1"/>
  <c r="AY1530" i="1" s="1"/>
  <c r="AK1530" i="1"/>
  <c r="AZ1529" i="1"/>
  <c r="AW1529" i="1"/>
  <c r="AK1529" i="1"/>
  <c r="AZ1528" i="1"/>
  <c r="AW1528" i="1"/>
  <c r="BB1528" i="1" s="1"/>
  <c r="AK1528" i="1"/>
  <c r="AZ1527" i="1"/>
  <c r="AW1527" i="1"/>
  <c r="AK1527" i="1"/>
  <c r="AZ1526" i="1"/>
  <c r="AW1526" i="1"/>
  <c r="AY1526" i="1" s="1"/>
  <c r="AK1526" i="1"/>
  <c r="AZ1525" i="1"/>
  <c r="AW1525" i="1"/>
  <c r="AK1525" i="1"/>
  <c r="AZ1524" i="1"/>
  <c r="AW1524" i="1"/>
  <c r="AY1524" i="1" s="1"/>
  <c r="AK1524" i="1"/>
  <c r="AZ1523" i="1"/>
  <c r="AW1523" i="1"/>
  <c r="AK1523" i="1"/>
  <c r="AZ1522" i="1"/>
  <c r="AW1522" i="1"/>
  <c r="AY1522" i="1" s="1"/>
  <c r="AK1522" i="1"/>
  <c r="AZ1521" i="1"/>
  <c r="AW1521" i="1"/>
  <c r="BB1521" i="1" s="1"/>
  <c r="AK1521" i="1"/>
  <c r="AZ1520" i="1"/>
  <c r="AW1520" i="1"/>
  <c r="AY1520" i="1" s="1"/>
  <c r="AK1520" i="1"/>
  <c r="AZ1519" i="1"/>
  <c r="AW1519" i="1"/>
  <c r="AK1519" i="1"/>
  <c r="AZ1518" i="1"/>
  <c r="AW1518" i="1"/>
  <c r="AY1518" i="1" s="1"/>
  <c r="AK1518" i="1"/>
  <c r="AZ1517" i="1"/>
  <c r="AW1517" i="1"/>
  <c r="AO1517" i="1" s="1"/>
  <c r="AK1517" i="1"/>
  <c r="AZ1516" i="1"/>
  <c r="AW1516" i="1"/>
  <c r="AO1516" i="1" s="1"/>
  <c r="AK1516" i="1"/>
  <c r="AZ1515" i="1"/>
  <c r="AW1515" i="1"/>
  <c r="AY1515" i="1" s="1"/>
  <c r="AK1515" i="1"/>
  <c r="AZ1514" i="1"/>
  <c r="AW1514" i="1"/>
  <c r="AY1514" i="1" s="1"/>
  <c r="AK1514" i="1"/>
  <c r="AZ1513" i="1"/>
  <c r="AW1513" i="1"/>
  <c r="AO1513" i="1" s="1"/>
  <c r="AK1513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O1548" i="1" l="1"/>
  <c r="BM1548" i="1" s="1"/>
  <c r="AO1550" i="1"/>
  <c r="BM1550" i="1" s="1"/>
  <c r="AO1526" i="1"/>
  <c r="BM1526" i="1" s="1"/>
  <c r="AO1530" i="1"/>
  <c r="BM1530" i="1" s="1"/>
  <c r="AO1556" i="1"/>
  <c r="AR1556" i="1" s="1"/>
  <c r="AS1556" i="1" s="1"/>
  <c r="BA1534" i="1"/>
  <c r="BA1538" i="1"/>
  <c r="BA1520" i="1"/>
  <c r="AO1524" i="1"/>
  <c r="AR1524" i="1" s="1"/>
  <c r="AS1524" i="1" s="1"/>
  <c r="AO1546" i="1"/>
  <c r="AR1546" i="1" s="1"/>
  <c r="AS1546" i="1" s="1"/>
  <c r="BA1524" i="1"/>
  <c r="BA1515" i="1"/>
  <c r="AO1534" i="1"/>
  <c r="AR1534" i="1" s="1"/>
  <c r="AS1534" i="1" s="1"/>
  <c r="AR1517" i="1"/>
  <c r="AS1517" i="1" s="1"/>
  <c r="AO1536" i="1"/>
  <c r="BM1536" i="1" s="1"/>
  <c r="AO1514" i="1"/>
  <c r="AR1514" i="1" s="1"/>
  <c r="BA1554" i="1"/>
  <c r="BM1516" i="1"/>
  <c r="AY1516" i="1"/>
  <c r="BA1516" i="1" s="1"/>
  <c r="BB1516" i="1"/>
  <c r="AO1540" i="1"/>
  <c r="BM1540" i="1" s="1"/>
  <c r="AO1518" i="1"/>
  <c r="AR1518" i="1" s="1"/>
  <c r="AO1532" i="1"/>
  <c r="AR1532" i="1" s="1"/>
  <c r="AS1532" i="1" s="1"/>
  <c r="BB1532" i="1"/>
  <c r="BA1526" i="1"/>
  <c r="BA1550" i="1"/>
  <c r="AO1554" i="1"/>
  <c r="AR1554" i="1" s="1"/>
  <c r="BA1530" i="1"/>
  <c r="BA1540" i="1"/>
  <c r="AO1544" i="1"/>
  <c r="AR1544" i="1" s="1"/>
  <c r="AO1520" i="1"/>
  <c r="AR1520" i="1" s="1"/>
  <c r="BA1514" i="1"/>
  <c r="AO1528" i="1"/>
  <c r="AR1528" i="1" s="1"/>
  <c r="AO1538" i="1"/>
  <c r="BM1538" i="1" s="1"/>
  <c r="BA1542" i="1"/>
  <c r="BB1540" i="1"/>
  <c r="BB1554" i="1"/>
  <c r="BB1524" i="1"/>
  <c r="BB1546" i="1"/>
  <c r="AR1516" i="1"/>
  <c r="AO1522" i="1"/>
  <c r="BM1522" i="1" s="1"/>
  <c r="BM1513" i="1"/>
  <c r="BA1522" i="1"/>
  <c r="BA1532" i="1"/>
  <c r="AO1542" i="1"/>
  <c r="AR1542" i="1" s="1"/>
  <c r="BM1552" i="1"/>
  <c r="BB1514" i="1"/>
  <c r="AY1556" i="1"/>
  <c r="BA1556" i="1" s="1"/>
  <c r="BB1542" i="1"/>
  <c r="AY1548" i="1"/>
  <c r="BA1548" i="1" s="1"/>
  <c r="AY1528" i="1"/>
  <c r="BA1528" i="1" s="1"/>
  <c r="BB1526" i="1"/>
  <c r="BB1522" i="1"/>
  <c r="BB1530" i="1"/>
  <c r="BB1520" i="1"/>
  <c r="BA1518" i="1"/>
  <c r="BB1518" i="1"/>
  <c r="BB1534" i="1"/>
  <c r="AR1552" i="1"/>
  <c r="BM1517" i="1"/>
  <c r="AY1552" i="1"/>
  <c r="BA1552" i="1" s="1"/>
  <c r="BB1538" i="1"/>
  <c r="AY1544" i="1"/>
  <c r="BA1544" i="1" s="1"/>
  <c r="BB1552" i="1"/>
  <c r="AY1536" i="1"/>
  <c r="BA1536" i="1" s="1"/>
  <c r="BB1550" i="1"/>
  <c r="BA1546" i="1"/>
  <c r="CI1514" i="1"/>
  <c r="AO1547" i="1"/>
  <c r="AR1547" i="1" s="1"/>
  <c r="BB1547" i="1"/>
  <c r="AY1547" i="1"/>
  <c r="BA1547" i="1" s="1"/>
  <c r="AY1513" i="1"/>
  <c r="BA1513" i="1" s="1"/>
  <c r="AO1543" i="1"/>
  <c r="AR1543" i="1" s="1"/>
  <c r="BB1543" i="1"/>
  <c r="AY1543" i="1"/>
  <c r="BA1543" i="1" s="1"/>
  <c r="AO1539" i="1"/>
  <c r="AR1539" i="1" s="1"/>
  <c r="BB1539" i="1"/>
  <c r="AY1539" i="1"/>
  <c r="BA1539" i="1" s="1"/>
  <c r="BB1513" i="1"/>
  <c r="AY1533" i="1"/>
  <c r="BA1533" i="1" s="1"/>
  <c r="AO1533" i="1"/>
  <c r="BM1533" i="1" s="1"/>
  <c r="AY1517" i="1"/>
  <c r="BA1517" i="1" s="1"/>
  <c r="AO1531" i="1"/>
  <c r="AR1531" i="1" s="1"/>
  <c r="BB1531" i="1"/>
  <c r="AY1531" i="1"/>
  <c r="BA1531" i="1" s="1"/>
  <c r="AO1519" i="1"/>
  <c r="BB1519" i="1"/>
  <c r="AY1525" i="1"/>
  <c r="BA1525" i="1" s="1"/>
  <c r="AO1525" i="1"/>
  <c r="BM1525" i="1" s="1"/>
  <c r="AY1519" i="1"/>
  <c r="BA1519" i="1" s="1"/>
  <c r="AY1545" i="1"/>
  <c r="BA1545" i="1" s="1"/>
  <c r="AO1545" i="1"/>
  <c r="AR1545" i="1" s="1"/>
  <c r="AY1541" i="1"/>
  <c r="BA1541" i="1" s="1"/>
  <c r="AO1541" i="1"/>
  <c r="BM1541" i="1" s="1"/>
  <c r="AO1515" i="1"/>
  <c r="BB1515" i="1"/>
  <c r="AY1537" i="1"/>
  <c r="BA1537" i="1" s="1"/>
  <c r="AO1537" i="1"/>
  <c r="BM1537" i="1" s="1"/>
  <c r="BB1545" i="1"/>
  <c r="AO1535" i="1"/>
  <c r="BB1535" i="1"/>
  <c r="AY1535" i="1"/>
  <c r="BA1535" i="1" s="1"/>
  <c r="BB1541" i="1"/>
  <c r="AY1529" i="1"/>
  <c r="BA1529" i="1" s="1"/>
  <c r="AO1529" i="1"/>
  <c r="BM1529" i="1" s="1"/>
  <c r="AY1521" i="1"/>
  <c r="BA1521" i="1" s="1"/>
  <c r="AO1521" i="1"/>
  <c r="BM1521" i="1" s="1"/>
  <c r="AO1527" i="1"/>
  <c r="BB1527" i="1"/>
  <c r="AY1527" i="1"/>
  <c r="BA1527" i="1" s="1"/>
  <c r="BB1533" i="1"/>
  <c r="BB1517" i="1"/>
  <c r="AO1523" i="1"/>
  <c r="AR1523" i="1" s="1"/>
  <c r="BB1523" i="1"/>
  <c r="AY1523" i="1"/>
  <c r="BA1523" i="1" s="1"/>
  <c r="BB1529" i="1"/>
  <c r="BB1525" i="1"/>
  <c r="AY1557" i="1"/>
  <c r="BA1557" i="1" s="1"/>
  <c r="AO1557" i="1"/>
  <c r="AR1557" i="1" s="1"/>
  <c r="AR1513" i="1"/>
  <c r="AY1553" i="1"/>
  <c r="BA1553" i="1" s="1"/>
  <c r="AO1553" i="1"/>
  <c r="AR1553" i="1" s="1"/>
  <c r="AO1555" i="1"/>
  <c r="AR1555" i="1" s="1"/>
  <c r="BB1555" i="1"/>
  <c r="AY1555" i="1"/>
  <c r="BA1555" i="1" s="1"/>
  <c r="AY1549" i="1"/>
  <c r="BA1549" i="1" s="1"/>
  <c r="AO1549" i="1"/>
  <c r="AO1551" i="1"/>
  <c r="AR1551" i="1" s="1"/>
  <c r="BB1551" i="1"/>
  <c r="AY1551" i="1"/>
  <c r="BA1551" i="1" s="1"/>
  <c r="AQ1497" i="1"/>
  <c r="AQ1496" i="1"/>
  <c r="AR1530" i="1" l="1"/>
  <c r="AS1530" i="1" s="1"/>
  <c r="AR1533" i="1"/>
  <c r="BP1533" i="1" s="1"/>
  <c r="AR1548" i="1"/>
  <c r="AS1548" i="1" s="1"/>
  <c r="AR1526" i="1"/>
  <c r="BP1526" i="1" s="1"/>
  <c r="AR1550" i="1"/>
  <c r="BM1514" i="1"/>
  <c r="BM1524" i="1"/>
  <c r="BM1556" i="1"/>
  <c r="BM1546" i="1"/>
  <c r="BM1534" i="1"/>
  <c r="BP1517" i="1"/>
  <c r="AR1536" i="1"/>
  <c r="AS1536" i="1" s="1"/>
  <c r="CC1536" i="1" s="1"/>
  <c r="CE1536" i="1" s="1"/>
  <c r="BM1520" i="1"/>
  <c r="BP1524" i="1"/>
  <c r="AR1540" i="1"/>
  <c r="AS1540" i="1" s="1"/>
  <c r="BM1542" i="1"/>
  <c r="BM1532" i="1"/>
  <c r="BP1532" i="1"/>
  <c r="BM1528" i="1"/>
  <c r="BP1534" i="1"/>
  <c r="AS1520" i="1"/>
  <c r="BP1520" i="1"/>
  <c r="AS1514" i="1"/>
  <c r="CC1514" i="1" s="1"/>
  <c r="CE1514" i="1" s="1"/>
  <c r="BP1514" i="1"/>
  <c r="AR1521" i="1"/>
  <c r="BP1521" i="1" s="1"/>
  <c r="BM1554" i="1"/>
  <c r="BM1518" i="1"/>
  <c r="AS1544" i="1"/>
  <c r="BP1544" i="1"/>
  <c r="AS1554" i="1"/>
  <c r="BP1554" i="1"/>
  <c r="AS1528" i="1"/>
  <c r="BP1528" i="1"/>
  <c r="AS1518" i="1"/>
  <c r="BP1518" i="1"/>
  <c r="BM1544" i="1"/>
  <c r="AR1538" i="1"/>
  <c r="AS1538" i="1" s="1"/>
  <c r="AR1541" i="1"/>
  <c r="AS1541" i="1" s="1"/>
  <c r="AR1525" i="1"/>
  <c r="AS1525" i="1" s="1"/>
  <c r="AR1537" i="1"/>
  <c r="AS1537" i="1" s="1"/>
  <c r="AS1542" i="1"/>
  <c r="BP1542" i="1"/>
  <c r="BP1556" i="1"/>
  <c r="BP1546" i="1"/>
  <c r="BM1553" i="1"/>
  <c r="AS1516" i="1"/>
  <c r="CC1516" i="1" s="1"/>
  <c r="CE1516" i="1" s="1"/>
  <c r="BP1516" i="1"/>
  <c r="AR1522" i="1"/>
  <c r="BP1522" i="1" s="1"/>
  <c r="AR1549" i="1"/>
  <c r="BM1549" i="1"/>
  <c r="AR1515" i="1"/>
  <c r="BM1515" i="1"/>
  <c r="BM1551" i="1"/>
  <c r="AS1531" i="1"/>
  <c r="BP1531" i="1"/>
  <c r="BM1531" i="1"/>
  <c r="AS1551" i="1"/>
  <c r="BP1551" i="1"/>
  <c r="BM1543" i="1"/>
  <c r="AS1553" i="1"/>
  <c r="BP1553" i="1"/>
  <c r="AS1543" i="1"/>
  <c r="BP1543" i="1"/>
  <c r="AS1523" i="1"/>
  <c r="BP1523" i="1"/>
  <c r="AS1513" i="1"/>
  <c r="BP1513" i="1"/>
  <c r="BM1547" i="1"/>
  <c r="AS1547" i="1"/>
  <c r="BP1547" i="1"/>
  <c r="BM1539" i="1"/>
  <c r="BM1523" i="1"/>
  <c r="AS1545" i="1"/>
  <c r="BP1545" i="1"/>
  <c r="AS1555" i="1"/>
  <c r="BP1555" i="1"/>
  <c r="AR1535" i="1"/>
  <c r="BM1535" i="1"/>
  <c r="BM1545" i="1"/>
  <c r="AS1557" i="1"/>
  <c r="BP1557" i="1"/>
  <c r="AR1527" i="1"/>
  <c r="BM1527" i="1"/>
  <c r="AS1539" i="1"/>
  <c r="BP1539" i="1"/>
  <c r="AS1552" i="1"/>
  <c r="BP1552" i="1"/>
  <c r="AR1529" i="1"/>
  <c r="AR1519" i="1"/>
  <c r="BM1519" i="1"/>
  <c r="BM1555" i="1"/>
  <c r="BM1557" i="1"/>
  <c r="AL1497" i="1"/>
  <c r="AL1496" i="1"/>
  <c r="AM1497" i="1"/>
  <c r="AM1496" i="1"/>
  <c r="AN1483" i="1"/>
  <c r="AQ1482" i="1"/>
  <c r="AM1482" i="1"/>
  <c r="AL1482" i="1"/>
  <c r="AS1533" i="1" l="1"/>
  <c r="BP1530" i="1"/>
  <c r="AS1526" i="1"/>
  <c r="BP1548" i="1"/>
  <c r="AS1550" i="1"/>
  <c r="BP1550" i="1"/>
  <c r="BP1536" i="1"/>
  <c r="BP1540" i="1"/>
  <c r="AS1521" i="1"/>
  <c r="BP1537" i="1"/>
  <c r="BP1541" i="1"/>
  <c r="AS1522" i="1"/>
  <c r="BP1538" i="1"/>
  <c r="BP1525" i="1"/>
  <c r="AS1519" i="1"/>
  <c r="BP1519" i="1"/>
  <c r="AS1529" i="1"/>
  <c r="BP1529" i="1"/>
  <c r="AS1515" i="1"/>
  <c r="BP1515" i="1"/>
  <c r="AS1535" i="1"/>
  <c r="BP1535" i="1"/>
  <c r="AS1527" i="1"/>
  <c r="BP1527" i="1"/>
  <c r="AS1549" i="1"/>
  <c r="BP1549" i="1"/>
  <c r="BO1512" i="1"/>
  <c r="BH1512" i="1"/>
  <c r="BI1512" i="1" s="1"/>
  <c r="BK1512" i="1" s="1"/>
  <c r="BF1512" i="1"/>
  <c r="BG1512" i="1" s="1"/>
  <c r="BO1511" i="1"/>
  <c r="BH1511" i="1"/>
  <c r="BI1511" i="1" s="1"/>
  <c r="BK1511" i="1" s="1"/>
  <c r="BF1511" i="1"/>
  <c r="BG1511" i="1" s="1"/>
  <c r="BO1510" i="1"/>
  <c r="BH1510" i="1"/>
  <c r="BI1510" i="1" s="1"/>
  <c r="BK1510" i="1" s="1"/>
  <c r="BF1510" i="1"/>
  <c r="BG1510" i="1" s="1"/>
  <c r="BO1509" i="1"/>
  <c r="BH1509" i="1"/>
  <c r="BI1509" i="1" s="1"/>
  <c r="BK1509" i="1" s="1"/>
  <c r="BF1509" i="1"/>
  <c r="BG1509" i="1" s="1"/>
  <c r="BO1508" i="1"/>
  <c r="BH1508" i="1"/>
  <c r="BI1508" i="1" s="1"/>
  <c r="BK1508" i="1" s="1"/>
  <c r="BF1508" i="1"/>
  <c r="BG1508" i="1" s="1"/>
  <c r="BO1507" i="1"/>
  <c r="BH1507" i="1"/>
  <c r="BI1507" i="1" s="1"/>
  <c r="BK1507" i="1" s="1"/>
  <c r="BF1507" i="1"/>
  <c r="BG1507" i="1" s="1"/>
  <c r="BO1506" i="1"/>
  <c r="BH1506" i="1"/>
  <c r="BI1506" i="1" s="1"/>
  <c r="BK1506" i="1" s="1"/>
  <c r="BF1506" i="1"/>
  <c r="BG1506" i="1" s="1"/>
  <c r="BO1505" i="1"/>
  <c r="BH1505" i="1"/>
  <c r="BI1505" i="1" s="1"/>
  <c r="BK1505" i="1" s="1"/>
  <c r="BF1505" i="1"/>
  <c r="BG1505" i="1" s="1"/>
  <c r="BO1504" i="1"/>
  <c r="BH1504" i="1"/>
  <c r="BI1504" i="1" s="1"/>
  <c r="BK1504" i="1" s="1"/>
  <c r="BF1504" i="1"/>
  <c r="BG1504" i="1" s="1"/>
  <c r="BO1503" i="1"/>
  <c r="BH1503" i="1"/>
  <c r="BI1503" i="1" s="1"/>
  <c r="BK1503" i="1" s="1"/>
  <c r="BF1503" i="1"/>
  <c r="BG1503" i="1" s="1"/>
  <c r="BO1502" i="1"/>
  <c r="BH1502" i="1"/>
  <c r="BI1502" i="1" s="1"/>
  <c r="BK1502" i="1" s="1"/>
  <c r="BF1502" i="1"/>
  <c r="BG1502" i="1" s="1"/>
  <c r="BO1501" i="1"/>
  <c r="BH1501" i="1"/>
  <c r="BI1501" i="1" s="1"/>
  <c r="BK1501" i="1" s="1"/>
  <c r="BF1501" i="1"/>
  <c r="BG1501" i="1" s="1"/>
  <c r="BO1500" i="1"/>
  <c r="BH1500" i="1"/>
  <c r="BI1500" i="1" s="1"/>
  <c r="BK1500" i="1" s="1"/>
  <c r="BF1500" i="1"/>
  <c r="BG1500" i="1" s="1"/>
  <c r="BO1499" i="1"/>
  <c r="BH1499" i="1"/>
  <c r="BI1499" i="1" s="1"/>
  <c r="BK1499" i="1" s="1"/>
  <c r="BF1499" i="1"/>
  <c r="BG1499" i="1" s="1"/>
  <c r="BO1498" i="1"/>
  <c r="BH1498" i="1"/>
  <c r="BI1498" i="1" s="1"/>
  <c r="BK1498" i="1" s="1"/>
  <c r="BF1498" i="1"/>
  <c r="BG1498" i="1" s="1"/>
  <c r="BO1497" i="1"/>
  <c r="BH1497" i="1"/>
  <c r="BI1497" i="1" s="1"/>
  <c r="BK1497" i="1" s="1"/>
  <c r="BF1497" i="1"/>
  <c r="BG1497" i="1" s="1"/>
  <c r="BO1496" i="1"/>
  <c r="BH1496" i="1"/>
  <c r="BI1496" i="1" s="1"/>
  <c r="BK1496" i="1" s="1"/>
  <c r="BF1496" i="1"/>
  <c r="BG1496" i="1" s="1"/>
  <c r="BO1495" i="1"/>
  <c r="BH1495" i="1"/>
  <c r="BI1495" i="1" s="1"/>
  <c r="BK1495" i="1" s="1"/>
  <c r="BF1495" i="1"/>
  <c r="BG1495" i="1" s="1"/>
  <c r="BO1494" i="1"/>
  <c r="BH1494" i="1"/>
  <c r="BI1494" i="1" s="1"/>
  <c r="BK1494" i="1" s="1"/>
  <c r="BF1494" i="1"/>
  <c r="BG1494" i="1" s="1"/>
  <c r="BO1493" i="1"/>
  <c r="BH1493" i="1"/>
  <c r="BI1493" i="1" s="1"/>
  <c r="BK1493" i="1" s="1"/>
  <c r="BF1493" i="1"/>
  <c r="BG1493" i="1" s="1"/>
  <c r="BO1492" i="1"/>
  <c r="BH1492" i="1"/>
  <c r="BI1492" i="1" s="1"/>
  <c r="BK1492" i="1" s="1"/>
  <c r="BF1492" i="1"/>
  <c r="BG1492" i="1" s="1"/>
  <c r="BO1491" i="1"/>
  <c r="BH1491" i="1"/>
  <c r="BI1491" i="1" s="1"/>
  <c r="BK1491" i="1" s="1"/>
  <c r="BF1491" i="1"/>
  <c r="BG1491" i="1" s="1"/>
  <c r="BO1490" i="1"/>
  <c r="BH1490" i="1"/>
  <c r="BI1490" i="1" s="1"/>
  <c r="BK1490" i="1" s="1"/>
  <c r="BF1490" i="1"/>
  <c r="BG1490" i="1" s="1"/>
  <c r="BO1489" i="1"/>
  <c r="BH1489" i="1"/>
  <c r="BI1489" i="1" s="1"/>
  <c r="BK1489" i="1" s="1"/>
  <c r="BF1489" i="1"/>
  <c r="BG1489" i="1" s="1"/>
  <c r="BO1488" i="1"/>
  <c r="BH1488" i="1"/>
  <c r="BI1488" i="1" s="1"/>
  <c r="BK1488" i="1" s="1"/>
  <c r="BF1488" i="1"/>
  <c r="BG1488" i="1" s="1"/>
  <c r="BO1487" i="1"/>
  <c r="BH1487" i="1"/>
  <c r="BI1487" i="1" s="1"/>
  <c r="BK1487" i="1" s="1"/>
  <c r="BF1487" i="1"/>
  <c r="BG1487" i="1" s="1"/>
  <c r="BO1486" i="1"/>
  <c r="BH1486" i="1"/>
  <c r="BI1486" i="1" s="1"/>
  <c r="BK1486" i="1" s="1"/>
  <c r="BF1486" i="1"/>
  <c r="BG1486" i="1" s="1"/>
  <c r="BO1485" i="1"/>
  <c r="BH1485" i="1"/>
  <c r="BI1485" i="1" s="1"/>
  <c r="BK1485" i="1" s="1"/>
  <c r="BF1485" i="1"/>
  <c r="BG1485" i="1" s="1"/>
  <c r="BO1484" i="1"/>
  <c r="BH1484" i="1"/>
  <c r="BI1484" i="1" s="1"/>
  <c r="BK1484" i="1" s="1"/>
  <c r="BF1484" i="1"/>
  <c r="BG1484" i="1" s="1"/>
  <c r="BO1483" i="1"/>
  <c r="BH1483" i="1"/>
  <c r="BI1483" i="1" s="1"/>
  <c r="BK1483" i="1" s="1"/>
  <c r="BF1483" i="1"/>
  <c r="BG1483" i="1" s="1"/>
  <c r="BO1482" i="1"/>
  <c r="BH1482" i="1"/>
  <c r="BI1482" i="1" s="1"/>
  <c r="BK1482" i="1" s="1"/>
  <c r="BF1482" i="1"/>
  <c r="BG1482" i="1" s="1"/>
  <c r="AZ1512" i="1"/>
  <c r="AW1512" i="1"/>
  <c r="BB1512" i="1" s="1"/>
  <c r="AZ1511" i="1"/>
  <c r="AW1511" i="1"/>
  <c r="AO1511" i="1" s="1"/>
  <c r="AZ1510" i="1"/>
  <c r="AW1510" i="1"/>
  <c r="AY1510" i="1" s="1"/>
  <c r="AZ1509" i="1"/>
  <c r="AW1509" i="1"/>
  <c r="BB1509" i="1" s="1"/>
  <c r="AZ1508" i="1"/>
  <c r="AW1508" i="1"/>
  <c r="BB1508" i="1" s="1"/>
  <c r="AZ1507" i="1"/>
  <c r="AW1507" i="1"/>
  <c r="AY1507" i="1" s="1"/>
  <c r="AZ1506" i="1"/>
  <c r="AW1506" i="1"/>
  <c r="BB1506" i="1" s="1"/>
  <c r="AZ1505" i="1"/>
  <c r="AW1505" i="1"/>
  <c r="AO1505" i="1" s="1"/>
  <c r="AZ1504" i="1"/>
  <c r="AW1504" i="1"/>
  <c r="AO1504" i="1" s="1"/>
  <c r="AZ1503" i="1"/>
  <c r="AW1503" i="1"/>
  <c r="AY1503" i="1" s="1"/>
  <c r="AZ1502" i="1"/>
  <c r="AW1502" i="1"/>
  <c r="BB1502" i="1" s="1"/>
  <c r="AZ1501" i="1"/>
  <c r="AW1501" i="1"/>
  <c r="BB1501" i="1" s="1"/>
  <c r="AZ1500" i="1"/>
  <c r="AW1500" i="1"/>
  <c r="BB1500" i="1" s="1"/>
  <c r="AZ1499" i="1"/>
  <c r="AW1499" i="1"/>
  <c r="AY1499" i="1" s="1"/>
  <c r="AZ1498" i="1"/>
  <c r="AW1498" i="1"/>
  <c r="AY1498" i="1" s="1"/>
  <c r="AZ1497" i="1"/>
  <c r="AW1497" i="1"/>
  <c r="BB1497" i="1" s="1"/>
  <c r="AZ1496" i="1"/>
  <c r="AW1496" i="1"/>
  <c r="BB1496" i="1" s="1"/>
  <c r="AZ1495" i="1"/>
  <c r="AW1495" i="1"/>
  <c r="BB1495" i="1" s="1"/>
  <c r="AZ1494" i="1"/>
  <c r="AW1494" i="1"/>
  <c r="AY1494" i="1" s="1"/>
  <c r="AZ1493" i="1"/>
  <c r="AW1493" i="1"/>
  <c r="AO1493" i="1" s="1"/>
  <c r="AZ1492" i="1"/>
  <c r="AW1492" i="1"/>
  <c r="AO1492" i="1" s="1"/>
  <c r="AZ1491" i="1"/>
  <c r="AW1491" i="1"/>
  <c r="AY1491" i="1" s="1"/>
  <c r="AZ1490" i="1"/>
  <c r="AW1490" i="1"/>
  <c r="AY1490" i="1" s="1"/>
  <c r="AZ1489" i="1"/>
  <c r="AW1489" i="1"/>
  <c r="AO1489" i="1" s="1"/>
  <c r="AZ1488" i="1"/>
  <c r="AW1488" i="1"/>
  <c r="BB1488" i="1" s="1"/>
  <c r="AZ1487" i="1"/>
  <c r="AW1487" i="1"/>
  <c r="AO1487" i="1" s="1"/>
  <c r="AZ1486" i="1"/>
  <c r="AW1486" i="1"/>
  <c r="AY1486" i="1" s="1"/>
  <c r="AZ1485" i="1"/>
  <c r="AW1485" i="1"/>
  <c r="BB1485" i="1" s="1"/>
  <c r="AZ1484" i="1"/>
  <c r="AW1484" i="1"/>
  <c r="BB1484" i="1" s="1"/>
  <c r="AZ1483" i="1"/>
  <c r="AW1483" i="1"/>
  <c r="BB1483" i="1" s="1"/>
  <c r="AZ1482" i="1"/>
  <c r="AW1482" i="1"/>
  <c r="BB1482" i="1" s="1"/>
  <c r="AK1512" i="1"/>
  <c r="AK1511" i="1"/>
  <c r="BM1511" i="1" s="1"/>
  <c r="AK1510" i="1"/>
  <c r="AK1509" i="1"/>
  <c r="AK1508" i="1"/>
  <c r="AK1507" i="1"/>
  <c r="AK1506" i="1"/>
  <c r="AK1505" i="1"/>
  <c r="AK1504" i="1"/>
  <c r="AK1503" i="1"/>
  <c r="AK1502" i="1"/>
  <c r="AK1501" i="1"/>
  <c r="AK1500" i="1"/>
  <c r="AK1499" i="1"/>
  <c r="AK1498" i="1"/>
  <c r="AK1497" i="1"/>
  <c r="CI1497" i="1" s="1"/>
  <c r="AK1496" i="1"/>
  <c r="AK1495" i="1"/>
  <c r="AK1494" i="1"/>
  <c r="AK1493" i="1"/>
  <c r="AK1492" i="1"/>
  <c r="AK1491" i="1"/>
  <c r="AK1490" i="1"/>
  <c r="AK1489" i="1"/>
  <c r="AK1488" i="1"/>
  <c r="AK1487" i="1"/>
  <c r="BM1487" i="1" s="1"/>
  <c r="AK1486" i="1"/>
  <c r="AK1485" i="1"/>
  <c r="AK1484" i="1"/>
  <c r="AK1483" i="1"/>
  <c r="AK1482" i="1"/>
  <c r="CI1482" i="1" s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BM1492" i="1" l="1"/>
  <c r="BM1505" i="1"/>
  <c r="BM1493" i="1"/>
  <c r="BA1491" i="1"/>
  <c r="AO1482" i="1"/>
  <c r="AR1482" i="1" s="1"/>
  <c r="AO1507" i="1"/>
  <c r="BM1507" i="1" s="1"/>
  <c r="BM1504" i="1"/>
  <c r="BM1489" i="1"/>
  <c r="AO1510" i="1"/>
  <c r="AR1510" i="1" s="1"/>
  <c r="AO1490" i="1"/>
  <c r="AR1490" i="1" s="1"/>
  <c r="AO1491" i="1"/>
  <c r="BM1491" i="1" s="1"/>
  <c r="BA1494" i="1"/>
  <c r="AO1508" i="1"/>
  <c r="AR1508" i="1" s="1"/>
  <c r="AS1508" i="1" s="1"/>
  <c r="BA1490" i="1"/>
  <c r="BA1507" i="1"/>
  <c r="AY1508" i="1"/>
  <c r="BA1508" i="1" s="1"/>
  <c r="AO1503" i="1"/>
  <c r="AR1503" i="1" s="1"/>
  <c r="AO1484" i="1"/>
  <c r="BM1484" i="1" s="1"/>
  <c r="BB1486" i="1"/>
  <c r="BA1498" i="1"/>
  <c r="BB1503" i="1"/>
  <c r="AO1500" i="1"/>
  <c r="AR1500" i="1" s="1"/>
  <c r="AO1512" i="1"/>
  <c r="AR1512" i="1" s="1"/>
  <c r="BA1499" i="1"/>
  <c r="AO1483" i="1"/>
  <c r="AR1483" i="1" s="1"/>
  <c r="AO1502" i="1"/>
  <c r="AR1502" i="1" s="1"/>
  <c r="AO1486" i="1"/>
  <c r="AR1486" i="1" s="1"/>
  <c r="AO1506" i="1"/>
  <c r="BM1506" i="1" s="1"/>
  <c r="BB1493" i="1"/>
  <c r="BA1510" i="1"/>
  <c r="AO1494" i="1"/>
  <c r="BM1494" i="1" s="1"/>
  <c r="AO1488" i="1"/>
  <c r="BM1488" i="1" s="1"/>
  <c r="BB1505" i="1"/>
  <c r="AO1496" i="1"/>
  <c r="BM1496" i="1" s="1"/>
  <c r="BA1486" i="1"/>
  <c r="AY1496" i="1"/>
  <c r="BA1496" i="1" s="1"/>
  <c r="BB1510" i="1"/>
  <c r="AY1484" i="1"/>
  <c r="BA1484" i="1" s="1"/>
  <c r="BB1498" i="1"/>
  <c r="AO1495" i="1"/>
  <c r="BM1495" i="1" s="1"/>
  <c r="BB1491" i="1"/>
  <c r="AO1498" i="1"/>
  <c r="AR1498" i="1" s="1"/>
  <c r="BM1486" i="1"/>
  <c r="BA1503" i="1"/>
  <c r="AR1489" i="1"/>
  <c r="AY1489" i="1"/>
  <c r="BA1489" i="1" s="1"/>
  <c r="AO1501" i="1"/>
  <c r="AY1487" i="1"/>
  <c r="BA1487" i="1" s="1"/>
  <c r="AY1511" i="1"/>
  <c r="BA1511" i="1" s="1"/>
  <c r="AY1485" i="1"/>
  <c r="BA1485" i="1" s="1"/>
  <c r="AY1497" i="1"/>
  <c r="BA1497" i="1" s="1"/>
  <c r="AO1509" i="1"/>
  <c r="AR1509" i="1" s="1"/>
  <c r="BB1487" i="1"/>
  <c r="BB1499" i="1"/>
  <c r="AY1495" i="1"/>
  <c r="BA1495" i="1" s="1"/>
  <c r="BB1504" i="1"/>
  <c r="AR1505" i="1"/>
  <c r="BB1490" i="1"/>
  <c r="AY1493" i="1"/>
  <c r="BA1493" i="1" s="1"/>
  <c r="AY1505" i="1"/>
  <c r="BA1505" i="1" s="1"/>
  <c r="AY1501" i="1"/>
  <c r="BA1501" i="1" s="1"/>
  <c r="AY1482" i="1"/>
  <c r="BA1482" i="1" s="1"/>
  <c r="AY1506" i="1"/>
  <c r="BA1506" i="1" s="1"/>
  <c r="BB1489" i="1"/>
  <c r="AY1492" i="1"/>
  <c r="BA1492" i="1" s="1"/>
  <c r="BB1494" i="1"/>
  <c r="AY1509" i="1"/>
  <c r="BA1509" i="1" s="1"/>
  <c r="AO1497" i="1"/>
  <c r="BM1497" i="1" s="1"/>
  <c r="AY1502" i="1"/>
  <c r="BA1502" i="1" s="1"/>
  <c r="BB1511" i="1"/>
  <c r="AR1492" i="1"/>
  <c r="AR1504" i="1"/>
  <c r="AY1483" i="1"/>
  <c r="BA1483" i="1" s="1"/>
  <c r="BB1492" i="1"/>
  <c r="AY1488" i="1"/>
  <c r="BA1488" i="1" s="1"/>
  <c r="AR1511" i="1"/>
  <c r="AO1499" i="1"/>
  <c r="AR1499" i="1" s="1"/>
  <c r="BB1507" i="1"/>
  <c r="AY1504" i="1"/>
  <c r="BA1504" i="1" s="1"/>
  <c r="AO1485" i="1"/>
  <c r="AR1485" i="1" s="1"/>
  <c r="AY1500" i="1"/>
  <c r="BA1500" i="1" s="1"/>
  <c r="AY1512" i="1"/>
  <c r="BA1512" i="1" s="1"/>
  <c r="AR1487" i="1"/>
  <c r="AR1493" i="1"/>
  <c r="AQ1465" i="1"/>
  <c r="AQ1463" i="1"/>
  <c r="BM1482" i="1" l="1"/>
  <c r="BM1498" i="1"/>
  <c r="BM1510" i="1"/>
  <c r="BM1490" i="1"/>
  <c r="BM1500" i="1"/>
  <c r="AR1497" i="1"/>
  <c r="BP1497" i="1" s="1"/>
  <c r="AR1494" i="1"/>
  <c r="BP1494" i="1" s="1"/>
  <c r="AR1491" i="1"/>
  <c r="AS1491" i="1" s="1"/>
  <c r="AS1510" i="1"/>
  <c r="BP1510" i="1"/>
  <c r="BM1508" i="1"/>
  <c r="BM1512" i="1"/>
  <c r="BM1483" i="1"/>
  <c r="AR1507" i="1"/>
  <c r="AS1507" i="1" s="1"/>
  <c r="AS1503" i="1"/>
  <c r="BP1503" i="1"/>
  <c r="AS1486" i="1"/>
  <c r="BP1486" i="1"/>
  <c r="AS1483" i="1"/>
  <c r="BP1483" i="1"/>
  <c r="AS1502" i="1"/>
  <c r="BP1502" i="1"/>
  <c r="BM1502" i="1"/>
  <c r="BP1508" i="1"/>
  <c r="BM1503" i="1"/>
  <c r="AR1506" i="1"/>
  <c r="AS1506" i="1" s="1"/>
  <c r="AR1484" i="1"/>
  <c r="AS1484" i="1" s="1"/>
  <c r="AS1498" i="1"/>
  <c r="BP1498" i="1"/>
  <c r="AS1490" i="1"/>
  <c r="BP1490" i="1"/>
  <c r="AS1511" i="1"/>
  <c r="BP1511" i="1"/>
  <c r="AR1488" i="1"/>
  <c r="BM1509" i="1"/>
  <c r="AS1500" i="1"/>
  <c r="BP1500" i="1"/>
  <c r="AR1496" i="1"/>
  <c r="AR1501" i="1"/>
  <c r="BM1501" i="1"/>
  <c r="BM1499" i="1"/>
  <c r="AS1499" i="1"/>
  <c r="BP1499" i="1"/>
  <c r="AR1495" i="1"/>
  <c r="AS1482" i="1"/>
  <c r="CC1482" i="1" s="1"/>
  <c r="CE1482" i="1" s="1"/>
  <c r="BP1482" i="1"/>
  <c r="AS1504" i="1"/>
  <c r="BP1504" i="1"/>
  <c r="AS1492" i="1"/>
  <c r="BP1492" i="1"/>
  <c r="AS1512" i="1"/>
  <c r="BP1512" i="1"/>
  <c r="AS1509" i="1"/>
  <c r="BP1509" i="1"/>
  <c r="AS1493" i="1"/>
  <c r="BP1493" i="1"/>
  <c r="AS1487" i="1"/>
  <c r="BP1487" i="1"/>
  <c r="AS1485" i="1"/>
  <c r="BP1485" i="1"/>
  <c r="AS1505" i="1"/>
  <c r="BP1505" i="1"/>
  <c r="AS1489" i="1"/>
  <c r="BP1489" i="1"/>
  <c r="BM1485" i="1"/>
  <c r="AN1481" i="1"/>
  <c r="AM1465" i="1"/>
  <c r="AL1465" i="1"/>
  <c r="AM1463" i="1"/>
  <c r="AL1463" i="1"/>
  <c r="AS1494" i="1" l="1"/>
  <c r="AS1497" i="1"/>
  <c r="CC1497" i="1" s="1"/>
  <c r="CE1497" i="1" s="1"/>
  <c r="BP1491" i="1"/>
  <c r="BP1507" i="1"/>
  <c r="BP1506" i="1"/>
  <c r="BP1484" i="1"/>
  <c r="AS1496" i="1"/>
  <c r="CC1496" i="1" s="1"/>
  <c r="CE1496" i="1" s="1"/>
  <c r="BP1496" i="1"/>
  <c r="AS1488" i="1"/>
  <c r="BP1488" i="1"/>
  <c r="AS1501" i="1"/>
  <c r="BP1501" i="1"/>
  <c r="AS1495" i="1"/>
  <c r="BP1495" i="1"/>
  <c r="BO1481" i="1"/>
  <c r="BH1481" i="1"/>
  <c r="BI1481" i="1" s="1"/>
  <c r="BK1481" i="1" s="1"/>
  <c r="BF1481" i="1"/>
  <c r="BG1481" i="1" s="1"/>
  <c r="BO1480" i="1"/>
  <c r="BH1480" i="1"/>
  <c r="BI1480" i="1" s="1"/>
  <c r="BK1480" i="1" s="1"/>
  <c r="BF1480" i="1"/>
  <c r="BG1480" i="1" s="1"/>
  <c r="BO1479" i="1"/>
  <c r="BH1479" i="1"/>
  <c r="BI1479" i="1" s="1"/>
  <c r="BK1479" i="1" s="1"/>
  <c r="BF1479" i="1"/>
  <c r="BG1479" i="1" s="1"/>
  <c r="BO1478" i="1"/>
  <c r="BH1478" i="1"/>
  <c r="BI1478" i="1" s="1"/>
  <c r="BK1478" i="1" s="1"/>
  <c r="BF1478" i="1"/>
  <c r="BG1478" i="1" s="1"/>
  <c r="BO1477" i="1"/>
  <c r="BH1477" i="1"/>
  <c r="BI1477" i="1" s="1"/>
  <c r="BK1477" i="1" s="1"/>
  <c r="BF1477" i="1"/>
  <c r="BG1477" i="1" s="1"/>
  <c r="BO1476" i="1"/>
  <c r="BH1476" i="1"/>
  <c r="BI1476" i="1" s="1"/>
  <c r="BK1476" i="1" s="1"/>
  <c r="BF1476" i="1"/>
  <c r="BG1476" i="1" s="1"/>
  <c r="BO1475" i="1"/>
  <c r="BH1475" i="1"/>
  <c r="BI1475" i="1" s="1"/>
  <c r="BK1475" i="1" s="1"/>
  <c r="BF1475" i="1"/>
  <c r="BG1475" i="1" s="1"/>
  <c r="BO1474" i="1"/>
  <c r="BH1474" i="1"/>
  <c r="BI1474" i="1" s="1"/>
  <c r="BK1474" i="1" s="1"/>
  <c r="BF1474" i="1"/>
  <c r="BG1474" i="1" s="1"/>
  <c r="BO1473" i="1"/>
  <c r="BH1473" i="1"/>
  <c r="BI1473" i="1" s="1"/>
  <c r="BK1473" i="1" s="1"/>
  <c r="BF1473" i="1"/>
  <c r="BG1473" i="1" s="1"/>
  <c r="BO1472" i="1"/>
  <c r="BH1472" i="1"/>
  <c r="BI1472" i="1" s="1"/>
  <c r="BK1472" i="1" s="1"/>
  <c r="BF1472" i="1"/>
  <c r="BG1472" i="1" s="1"/>
  <c r="BO1471" i="1"/>
  <c r="BH1471" i="1"/>
  <c r="BI1471" i="1" s="1"/>
  <c r="BK1471" i="1" s="1"/>
  <c r="BF1471" i="1"/>
  <c r="BG1471" i="1" s="1"/>
  <c r="BO1470" i="1"/>
  <c r="BH1470" i="1"/>
  <c r="BI1470" i="1" s="1"/>
  <c r="BK1470" i="1" s="1"/>
  <c r="BF1470" i="1"/>
  <c r="BG1470" i="1" s="1"/>
  <c r="BO1469" i="1"/>
  <c r="BH1469" i="1"/>
  <c r="BI1469" i="1" s="1"/>
  <c r="BK1469" i="1" s="1"/>
  <c r="BF1469" i="1"/>
  <c r="BG1469" i="1" s="1"/>
  <c r="BO1468" i="1"/>
  <c r="BH1468" i="1"/>
  <c r="BI1468" i="1" s="1"/>
  <c r="BK1468" i="1" s="1"/>
  <c r="BF1468" i="1"/>
  <c r="BG1468" i="1" s="1"/>
  <c r="BO1467" i="1"/>
  <c r="BH1467" i="1"/>
  <c r="BI1467" i="1" s="1"/>
  <c r="BK1467" i="1" s="1"/>
  <c r="BF1467" i="1"/>
  <c r="BG1467" i="1" s="1"/>
  <c r="BO1466" i="1"/>
  <c r="BH1466" i="1"/>
  <c r="BI1466" i="1" s="1"/>
  <c r="BK1466" i="1" s="1"/>
  <c r="BF1466" i="1"/>
  <c r="BG1466" i="1" s="1"/>
  <c r="BO1465" i="1"/>
  <c r="BH1465" i="1"/>
  <c r="BI1465" i="1" s="1"/>
  <c r="BK1465" i="1" s="1"/>
  <c r="BF1465" i="1"/>
  <c r="BG1465" i="1" s="1"/>
  <c r="BO1464" i="1"/>
  <c r="BH1464" i="1"/>
  <c r="BI1464" i="1" s="1"/>
  <c r="BK1464" i="1" s="1"/>
  <c r="BF1464" i="1"/>
  <c r="BG1464" i="1" s="1"/>
  <c r="BO1463" i="1"/>
  <c r="BH1463" i="1"/>
  <c r="BI1463" i="1" s="1"/>
  <c r="BK1463" i="1" s="1"/>
  <c r="BF1463" i="1"/>
  <c r="BG1463" i="1" s="1"/>
  <c r="BO1462" i="1"/>
  <c r="BH1462" i="1"/>
  <c r="BI1462" i="1" s="1"/>
  <c r="BK1462" i="1" s="1"/>
  <c r="BF1462" i="1"/>
  <c r="BG1462" i="1" s="1"/>
  <c r="BO1461" i="1"/>
  <c r="BH1461" i="1"/>
  <c r="BI1461" i="1" s="1"/>
  <c r="BK1461" i="1" s="1"/>
  <c r="BF1461" i="1"/>
  <c r="BG1461" i="1" s="1"/>
  <c r="BO1460" i="1"/>
  <c r="BH1460" i="1"/>
  <c r="BI1460" i="1" s="1"/>
  <c r="BK1460" i="1" s="1"/>
  <c r="BF1460" i="1"/>
  <c r="BG1460" i="1" s="1"/>
  <c r="BO1459" i="1"/>
  <c r="BH1459" i="1"/>
  <c r="BI1459" i="1" s="1"/>
  <c r="BK1459" i="1" s="1"/>
  <c r="BF1459" i="1"/>
  <c r="BG1459" i="1" s="1"/>
  <c r="BO1458" i="1"/>
  <c r="BH1458" i="1"/>
  <c r="BI1458" i="1" s="1"/>
  <c r="BK1458" i="1" s="1"/>
  <c r="BF1458" i="1"/>
  <c r="BG1458" i="1" s="1"/>
  <c r="BO1457" i="1"/>
  <c r="BH1457" i="1"/>
  <c r="BI1457" i="1" s="1"/>
  <c r="BK1457" i="1" s="1"/>
  <c r="BF1457" i="1"/>
  <c r="BG1457" i="1" s="1"/>
  <c r="AZ1481" i="1"/>
  <c r="AW1481" i="1"/>
  <c r="BB1481" i="1" s="1"/>
  <c r="AK1481" i="1"/>
  <c r="AZ1480" i="1"/>
  <c r="AW1480" i="1"/>
  <c r="AY1480" i="1" s="1"/>
  <c r="AK1480" i="1"/>
  <c r="AZ1479" i="1"/>
  <c r="AW1479" i="1"/>
  <c r="AO1479" i="1" s="1"/>
  <c r="AK1479" i="1"/>
  <c r="AZ1478" i="1"/>
  <c r="AW1478" i="1"/>
  <c r="BB1478" i="1" s="1"/>
  <c r="AK1478" i="1"/>
  <c r="AZ1477" i="1"/>
  <c r="AW1477" i="1"/>
  <c r="BB1477" i="1" s="1"/>
  <c r="AK1477" i="1"/>
  <c r="AZ1476" i="1"/>
  <c r="AW1476" i="1"/>
  <c r="AY1476" i="1" s="1"/>
  <c r="AK1476" i="1"/>
  <c r="AZ1475" i="1"/>
  <c r="AW1475" i="1"/>
  <c r="AO1475" i="1" s="1"/>
  <c r="AK1475" i="1"/>
  <c r="AZ1474" i="1"/>
  <c r="AW1474" i="1"/>
  <c r="BB1474" i="1" s="1"/>
  <c r="AK1474" i="1"/>
  <c r="AZ1473" i="1"/>
  <c r="AW1473" i="1"/>
  <c r="BB1473" i="1" s="1"/>
  <c r="AK1473" i="1"/>
  <c r="AZ1472" i="1"/>
  <c r="AW1472" i="1"/>
  <c r="AY1472" i="1" s="1"/>
  <c r="AK1472" i="1"/>
  <c r="AZ1471" i="1"/>
  <c r="AW1471" i="1"/>
  <c r="AO1471" i="1" s="1"/>
  <c r="AK1471" i="1"/>
  <c r="AZ1470" i="1"/>
  <c r="AW1470" i="1"/>
  <c r="AY1470" i="1" s="1"/>
  <c r="AK1470" i="1"/>
  <c r="AZ1469" i="1"/>
  <c r="AW1469" i="1"/>
  <c r="BB1469" i="1" s="1"/>
  <c r="AK1469" i="1"/>
  <c r="AZ1468" i="1"/>
  <c r="AW1468" i="1"/>
  <c r="AY1468" i="1" s="1"/>
  <c r="AK1468" i="1"/>
  <c r="AZ1467" i="1"/>
  <c r="AW1467" i="1"/>
  <c r="AO1467" i="1" s="1"/>
  <c r="AK1467" i="1"/>
  <c r="AZ1466" i="1"/>
  <c r="AW1466" i="1"/>
  <c r="AY1466" i="1" s="1"/>
  <c r="AK1466" i="1"/>
  <c r="AZ1465" i="1"/>
  <c r="AW1465" i="1"/>
  <c r="BB1465" i="1" s="1"/>
  <c r="AK1465" i="1"/>
  <c r="AZ1464" i="1"/>
  <c r="AW1464" i="1"/>
  <c r="AY1464" i="1" s="1"/>
  <c r="AK1464" i="1"/>
  <c r="AZ1463" i="1"/>
  <c r="AW1463" i="1"/>
  <c r="AO1463" i="1" s="1"/>
  <c r="AK1463" i="1"/>
  <c r="AZ1462" i="1"/>
  <c r="AW1462" i="1"/>
  <c r="BB1462" i="1" s="1"/>
  <c r="AK1462" i="1"/>
  <c r="AZ1461" i="1"/>
  <c r="AW1461" i="1"/>
  <c r="BB1461" i="1" s="1"/>
  <c r="AK1461" i="1"/>
  <c r="AZ1460" i="1"/>
  <c r="AW1460" i="1"/>
  <c r="AY1460" i="1" s="1"/>
  <c r="AK1460" i="1"/>
  <c r="AZ1459" i="1"/>
  <c r="AW1459" i="1"/>
  <c r="AO1459" i="1" s="1"/>
  <c r="AK1459" i="1"/>
  <c r="AZ1458" i="1"/>
  <c r="AW1458" i="1"/>
  <c r="AY1458" i="1" s="1"/>
  <c r="AK1458" i="1"/>
  <c r="AZ1457" i="1"/>
  <c r="AW1457" i="1"/>
  <c r="BB1457" i="1" s="1"/>
  <c r="AK1457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O1478" i="1" l="1"/>
  <c r="BM1478" i="1" s="1"/>
  <c r="BA1468" i="1"/>
  <c r="BA1472" i="1"/>
  <c r="AO1481" i="1"/>
  <c r="AR1481" i="1" s="1"/>
  <c r="AO1466" i="1"/>
  <c r="BM1466" i="1" s="1"/>
  <c r="AR1463" i="1"/>
  <c r="AS1463" i="1" s="1"/>
  <c r="CC1463" i="1" s="1"/>
  <c r="CE1463" i="1" s="1"/>
  <c r="AR1479" i="1"/>
  <c r="AS1479" i="1" s="1"/>
  <c r="AO1474" i="1"/>
  <c r="BM1474" i="1" s="1"/>
  <c r="AO1457" i="1"/>
  <c r="AR1457" i="1" s="1"/>
  <c r="AR1475" i="1"/>
  <c r="AS1475" i="1" s="1"/>
  <c r="AO1460" i="1"/>
  <c r="AR1460" i="1" s="1"/>
  <c r="AS1460" i="1" s="1"/>
  <c r="AO1477" i="1"/>
  <c r="BM1477" i="1" s="1"/>
  <c r="AO1465" i="1"/>
  <c r="AR1465" i="1" s="1"/>
  <c r="AO1472" i="1"/>
  <c r="BM1472" i="1" s="1"/>
  <c r="AO1462" i="1"/>
  <c r="BM1462" i="1" s="1"/>
  <c r="AO1469" i="1"/>
  <c r="BM1469" i="1" s="1"/>
  <c r="AO1476" i="1"/>
  <c r="BM1476" i="1" s="1"/>
  <c r="BB1460" i="1"/>
  <c r="BM1459" i="1"/>
  <c r="BA1460" i="1"/>
  <c r="BM1471" i="1"/>
  <c r="BB1464" i="1"/>
  <c r="BB1472" i="1"/>
  <c r="BB1476" i="1"/>
  <c r="AO1464" i="1"/>
  <c r="AR1464" i="1" s="1"/>
  <c r="AR1467" i="1"/>
  <c r="BA1480" i="1"/>
  <c r="BM1463" i="1"/>
  <c r="BM1475" i="1"/>
  <c r="BA1466" i="1"/>
  <c r="AO1458" i="1"/>
  <c r="BM1458" i="1" s="1"/>
  <c r="AO1461" i="1"/>
  <c r="BM1461" i="1" s="1"/>
  <c r="BA1464" i="1"/>
  <c r="AO1470" i="1"/>
  <c r="BM1470" i="1" s="1"/>
  <c r="AO1473" i="1"/>
  <c r="BM1473" i="1" s="1"/>
  <c r="BA1476" i="1"/>
  <c r="BB1480" i="1"/>
  <c r="BA1458" i="1"/>
  <c r="BA1470" i="1"/>
  <c r="BM1481" i="1"/>
  <c r="BB1468" i="1"/>
  <c r="AR1459" i="1"/>
  <c r="AO1468" i="1"/>
  <c r="BM1468" i="1" s="1"/>
  <c r="AR1471" i="1"/>
  <c r="AO1480" i="1"/>
  <c r="AR1480" i="1" s="1"/>
  <c r="BM1467" i="1"/>
  <c r="BM1479" i="1"/>
  <c r="AY1463" i="1"/>
  <c r="BA1463" i="1" s="1"/>
  <c r="AY1467" i="1"/>
  <c r="BA1467" i="1" s="1"/>
  <c r="AY1471" i="1"/>
  <c r="BA1471" i="1" s="1"/>
  <c r="BB1459" i="1"/>
  <c r="AY1462" i="1"/>
  <c r="BA1462" i="1" s="1"/>
  <c r="BB1471" i="1"/>
  <c r="AY1474" i="1"/>
  <c r="BA1474" i="1" s="1"/>
  <c r="AY1478" i="1"/>
  <c r="BA1478" i="1" s="1"/>
  <c r="AY1457" i="1"/>
  <c r="BA1457" i="1" s="1"/>
  <c r="BB1458" i="1"/>
  <c r="AY1461" i="1"/>
  <c r="BA1461" i="1" s="1"/>
  <c r="AY1465" i="1"/>
  <c r="BA1465" i="1" s="1"/>
  <c r="BB1466" i="1"/>
  <c r="AY1469" i="1"/>
  <c r="BA1469" i="1" s="1"/>
  <c r="BB1470" i="1"/>
  <c r="AY1473" i="1"/>
  <c r="BA1473" i="1" s="1"/>
  <c r="AY1477" i="1"/>
  <c r="BA1477" i="1" s="1"/>
  <c r="AY1481" i="1"/>
  <c r="BA1481" i="1" s="1"/>
  <c r="AY1459" i="1"/>
  <c r="BA1459" i="1" s="1"/>
  <c r="AY1475" i="1"/>
  <c r="BA1475" i="1" s="1"/>
  <c r="AY1479" i="1"/>
  <c r="BA1479" i="1" s="1"/>
  <c r="BB1463" i="1"/>
  <c r="BB1467" i="1"/>
  <c r="BB1475" i="1"/>
  <c r="BB1479" i="1"/>
  <c r="AQ1432" i="1"/>
  <c r="AQ1431" i="1"/>
  <c r="AQ1430" i="1"/>
  <c r="AR1466" i="1" l="1"/>
  <c r="AS1466" i="1" s="1"/>
  <c r="BP1463" i="1"/>
  <c r="AR1478" i="1"/>
  <c r="AS1478" i="1" s="1"/>
  <c r="AR1474" i="1"/>
  <c r="AS1474" i="1" s="1"/>
  <c r="AS1481" i="1"/>
  <c r="CC1481" i="1" s="1"/>
  <c r="CE1481" i="1" s="1"/>
  <c r="BP1481" i="1"/>
  <c r="BM1457" i="1"/>
  <c r="AR1472" i="1"/>
  <c r="AS1472" i="1" s="1"/>
  <c r="BP1479" i="1"/>
  <c r="BM1460" i="1"/>
  <c r="BM1465" i="1"/>
  <c r="AR1477" i="1"/>
  <c r="AS1477" i="1" s="1"/>
  <c r="AR1470" i="1"/>
  <c r="BP1470" i="1" s="1"/>
  <c r="BP1475" i="1"/>
  <c r="AS1457" i="1"/>
  <c r="BP1457" i="1"/>
  <c r="AR1458" i="1"/>
  <c r="AS1458" i="1" s="1"/>
  <c r="AR1462" i="1"/>
  <c r="AS1462" i="1" s="1"/>
  <c r="AR1468" i="1"/>
  <c r="BP1468" i="1" s="1"/>
  <c r="AR1461" i="1"/>
  <c r="AS1461" i="1" s="1"/>
  <c r="AR1469" i="1"/>
  <c r="BP1460" i="1"/>
  <c r="AR1476" i="1"/>
  <c r="AS1464" i="1"/>
  <c r="BP1464" i="1"/>
  <c r="BM1464" i="1"/>
  <c r="AR1473" i="1"/>
  <c r="BP1473" i="1" s="1"/>
  <c r="AS1467" i="1"/>
  <c r="BP1467" i="1"/>
  <c r="AS1480" i="1"/>
  <c r="BP1480" i="1"/>
  <c r="AS1465" i="1"/>
  <c r="CC1465" i="1" s="1"/>
  <c r="CE1465" i="1" s="1"/>
  <c r="BP1465" i="1"/>
  <c r="AS1471" i="1"/>
  <c r="BP1471" i="1"/>
  <c r="BM1480" i="1"/>
  <c r="AS1459" i="1"/>
  <c r="BP1459" i="1"/>
  <c r="Y1445" i="1"/>
  <c r="AL1445" i="1"/>
  <c r="AL1432" i="1"/>
  <c r="AL1431" i="1"/>
  <c r="AM1432" i="1"/>
  <c r="AM1431" i="1"/>
  <c r="AM1430" i="1"/>
  <c r="AL1430" i="1"/>
  <c r="BP1466" i="1" l="1"/>
  <c r="BP1478" i="1"/>
  <c r="BP1474" i="1"/>
  <c r="AS1470" i="1"/>
  <c r="AM1445" i="1"/>
  <c r="AQ1445" i="1"/>
  <c r="BP1472" i="1"/>
  <c r="BP1477" i="1"/>
  <c r="BP1462" i="1"/>
  <c r="AS1468" i="1"/>
  <c r="BP1458" i="1"/>
  <c r="BP1461" i="1"/>
  <c r="AS1469" i="1"/>
  <c r="BP1469" i="1"/>
  <c r="AS1476" i="1"/>
  <c r="BP1476" i="1"/>
  <c r="AS1473" i="1"/>
  <c r="BO1456" i="1"/>
  <c r="BH1456" i="1"/>
  <c r="BI1456" i="1" s="1"/>
  <c r="BK1456" i="1" s="1"/>
  <c r="BF1456" i="1"/>
  <c r="BG1456" i="1" s="1"/>
  <c r="BO1455" i="1"/>
  <c r="BH1455" i="1"/>
  <c r="BI1455" i="1" s="1"/>
  <c r="BK1455" i="1" s="1"/>
  <c r="BF1455" i="1"/>
  <c r="BG1455" i="1" s="1"/>
  <c r="BO1454" i="1"/>
  <c r="BH1454" i="1"/>
  <c r="BI1454" i="1" s="1"/>
  <c r="BK1454" i="1" s="1"/>
  <c r="BF1454" i="1"/>
  <c r="BG1454" i="1" s="1"/>
  <c r="BO1453" i="1"/>
  <c r="BH1453" i="1"/>
  <c r="BI1453" i="1" s="1"/>
  <c r="BK1453" i="1" s="1"/>
  <c r="BF1453" i="1"/>
  <c r="BG1453" i="1" s="1"/>
  <c r="BO1452" i="1"/>
  <c r="BH1452" i="1"/>
  <c r="BI1452" i="1" s="1"/>
  <c r="BK1452" i="1" s="1"/>
  <c r="BF1452" i="1"/>
  <c r="BG1452" i="1" s="1"/>
  <c r="BO1451" i="1"/>
  <c r="BH1451" i="1"/>
  <c r="BI1451" i="1" s="1"/>
  <c r="BK1451" i="1" s="1"/>
  <c r="BF1451" i="1"/>
  <c r="BG1451" i="1" s="1"/>
  <c r="BO1450" i="1"/>
  <c r="BH1450" i="1"/>
  <c r="BI1450" i="1" s="1"/>
  <c r="BK1450" i="1" s="1"/>
  <c r="BF1450" i="1"/>
  <c r="BG1450" i="1" s="1"/>
  <c r="BO1449" i="1"/>
  <c r="BH1449" i="1"/>
  <c r="BI1449" i="1" s="1"/>
  <c r="BK1449" i="1" s="1"/>
  <c r="BF1449" i="1"/>
  <c r="BG1449" i="1" s="1"/>
  <c r="BO1448" i="1"/>
  <c r="BH1448" i="1"/>
  <c r="BI1448" i="1" s="1"/>
  <c r="BK1448" i="1" s="1"/>
  <c r="BF1448" i="1"/>
  <c r="BG1448" i="1" s="1"/>
  <c r="BO1447" i="1"/>
  <c r="BH1447" i="1"/>
  <c r="BI1447" i="1" s="1"/>
  <c r="BK1447" i="1" s="1"/>
  <c r="BF1447" i="1"/>
  <c r="BG1447" i="1" s="1"/>
  <c r="BO1446" i="1"/>
  <c r="BH1446" i="1"/>
  <c r="BI1446" i="1" s="1"/>
  <c r="BK1446" i="1" s="1"/>
  <c r="BF1446" i="1"/>
  <c r="BG1446" i="1" s="1"/>
  <c r="BO1445" i="1"/>
  <c r="BH1445" i="1"/>
  <c r="BI1445" i="1" s="1"/>
  <c r="BK1445" i="1" s="1"/>
  <c r="BF1445" i="1"/>
  <c r="BG1445" i="1" s="1"/>
  <c r="BO1444" i="1"/>
  <c r="BH1444" i="1"/>
  <c r="BI1444" i="1" s="1"/>
  <c r="BK1444" i="1" s="1"/>
  <c r="BF1444" i="1"/>
  <c r="BG1444" i="1" s="1"/>
  <c r="BO1443" i="1"/>
  <c r="BH1443" i="1"/>
  <c r="BI1443" i="1" s="1"/>
  <c r="BK1443" i="1" s="1"/>
  <c r="BF1443" i="1"/>
  <c r="BG1443" i="1" s="1"/>
  <c r="BO1442" i="1"/>
  <c r="BH1442" i="1"/>
  <c r="BI1442" i="1" s="1"/>
  <c r="BK1442" i="1" s="1"/>
  <c r="BF1442" i="1"/>
  <c r="BG1442" i="1" s="1"/>
  <c r="BO1441" i="1"/>
  <c r="BH1441" i="1"/>
  <c r="BI1441" i="1" s="1"/>
  <c r="BK1441" i="1" s="1"/>
  <c r="BF1441" i="1"/>
  <c r="BG1441" i="1" s="1"/>
  <c r="BO1440" i="1"/>
  <c r="BH1440" i="1"/>
  <c r="BI1440" i="1" s="1"/>
  <c r="BK1440" i="1" s="1"/>
  <c r="BF1440" i="1"/>
  <c r="BG1440" i="1" s="1"/>
  <c r="BO1439" i="1"/>
  <c r="BH1439" i="1"/>
  <c r="BI1439" i="1" s="1"/>
  <c r="BK1439" i="1" s="1"/>
  <c r="BF1439" i="1"/>
  <c r="BG1439" i="1" s="1"/>
  <c r="BO1438" i="1"/>
  <c r="BH1438" i="1"/>
  <c r="BI1438" i="1" s="1"/>
  <c r="BK1438" i="1" s="1"/>
  <c r="BF1438" i="1"/>
  <c r="BG1438" i="1" s="1"/>
  <c r="BO1437" i="1"/>
  <c r="BH1437" i="1"/>
  <c r="BI1437" i="1" s="1"/>
  <c r="BK1437" i="1" s="1"/>
  <c r="BF1437" i="1"/>
  <c r="BG1437" i="1" s="1"/>
  <c r="BO1436" i="1"/>
  <c r="BH1436" i="1"/>
  <c r="BI1436" i="1" s="1"/>
  <c r="BK1436" i="1" s="1"/>
  <c r="BF1436" i="1"/>
  <c r="BG1436" i="1" s="1"/>
  <c r="BO1435" i="1"/>
  <c r="BH1435" i="1"/>
  <c r="BI1435" i="1" s="1"/>
  <c r="BK1435" i="1" s="1"/>
  <c r="BF1435" i="1"/>
  <c r="BG1435" i="1" s="1"/>
  <c r="BO1434" i="1"/>
  <c r="BH1434" i="1"/>
  <c r="BI1434" i="1" s="1"/>
  <c r="BK1434" i="1" s="1"/>
  <c r="BF1434" i="1"/>
  <c r="BG1434" i="1" s="1"/>
  <c r="BO1433" i="1"/>
  <c r="BH1433" i="1"/>
  <c r="BI1433" i="1" s="1"/>
  <c r="BK1433" i="1" s="1"/>
  <c r="BF1433" i="1"/>
  <c r="BG1433" i="1" s="1"/>
  <c r="BO1432" i="1"/>
  <c r="BH1432" i="1"/>
  <c r="BI1432" i="1" s="1"/>
  <c r="BK1432" i="1" s="1"/>
  <c r="BF1432" i="1"/>
  <c r="BG1432" i="1" s="1"/>
  <c r="BO1431" i="1"/>
  <c r="BH1431" i="1"/>
  <c r="BI1431" i="1" s="1"/>
  <c r="BK1431" i="1" s="1"/>
  <c r="BF1431" i="1"/>
  <c r="BG1431" i="1" s="1"/>
  <c r="BO1430" i="1"/>
  <c r="BH1430" i="1"/>
  <c r="BI1430" i="1" s="1"/>
  <c r="BK1430" i="1" s="1"/>
  <c r="BF1430" i="1"/>
  <c r="BG1430" i="1" s="1"/>
  <c r="BO1429" i="1"/>
  <c r="BH1429" i="1"/>
  <c r="BI1429" i="1" s="1"/>
  <c r="BK1429" i="1" s="1"/>
  <c r="BF1429" i="1"/>
  <c r="BG1429" i="1" s="1"/>
  <c r="BO1428" i="1"/>
  <c r="BH1428" i="1"/>
  <c r="BI1428" i="1" s="1"/>
  <c r="BK1428" i="1" s="1"/>
  <c r="BF1428" i="1"/>
  <c r="BG1428" i="1" s="1"/>
  <c r="AZ1456" i="1"/>
  <c r="AW1456" i="1"/>
  <c r="AY1456" i="1" s="1"/>
  <c r="AK1456" i="1"/>
  <c r="AZ1455" i="1"/>
  <c r="AW1455" i="1"/>
  <c r="AO1455" i="1" s="1"/>
  <c r="AK1455" i="1"/>
  <c r="AZ1454" i="1"/>
  <c r="AW1454" i="1"/>
  <c r="AO1454" i="1" s="1"/>
  <c r="AK1454" i="1"/>
  <c r="AZ1453" i="1"/>
  <c r="AW1453" i="1"/>
  <c r="BB1453" i="1" s="1"/>
  <c r="AK1453" i="1"/>
  <c r="AZ1452" i="1"/>
  <c r="AW1452" i="1"/>
  <c r="AY1452" i="1" s="1"/>
  <c r="AK1452" i="1"/>
  <c r="AZ1451" i="1"/>
  <c r="AW1451" i="1"/>
  <c r="BB1451" i="1" s="1"/>
  <c r="AK1451" i="1"/>
  <c r="AZ1450" i="1"/>
  <c r="AW1450" i="1"/>
  <c r="AO1450" i="1" s="1"/>
  <c r="AK1450" i="1"/>
  <c r="AZ1449" i="1"/>
  <c r="AW1449" i="1"/>
  <c r="AY1449" i="1" s="1"/>
  <c r="AK1449" i="1"/>
  <c r="AZ1448" i="1"/>
  <c r="AW1448" i="1"/>
  <c r="AY1448" i="1" s="1"/>
  <c r="AK1448" i="1"/>
  <c r="AZ1447" i="1"/>
  <c r="AW1447" i="1"/>
  <c r="AY1447" i="1" s="1"/>
  <c r="AK1447" i="1"/>
  <c r="AZ1446" i="1"/>
  <c r="AW1446" i="1"/>
  <c r="AO1446" i="1" s="1"/>
  <c r="AK1446" i="1"/>
  <c r="AZ1445" i="1"/>
  <c r="AW1445" i="1"/>
  <c r="BB1445" i="1" s="1"/>
  <c r="AK1445" i="1"/>
  <c r="AZ1444" i="1"/>
  <c r="AW1444" i="1"/>
  <c r="AY1444" i="1" s="1"/>
  <c r="AK1444" i="1"/>
  <c r="AZ1443" i="1"/>
  <c r="AW1443" i="1"/>
  <c r="BB1443" i="1" s="1"/>
  <c r="AK1443" i="1"/>
  <c r="AZ1442" i="1"/>
  <c r="AW1442" i="1"/>
  <c r="AO1442" i="1" s="1"/>
  <c r="AK1442" i="1"/>
  <c r="AZ1441" i="1"/>
  <c r="AW1441" i="1"/>
  <c r="BB1441" i="1" s="1"/>
  <c r="AK1441" i="1"/>
  <c r="AZ1440" i="1"/>
  <c r="AW1440" i="1"/>
  <c r="AY1440" i="1" s="1"/>
  <c r="AK1440" i="1"/>
  <c r="AZ1439" i="1"/>
  <c r="AW1439" i="1"/>
  <c r="AO1439" i="1" s="1"/>
  <c r="AK1439" i="1"/>
  <c r="AZ1438" i="1"/>
  <c r="AW1438" i="1"/>
  <c r="AO1438" i="1" s="1"/>
  <c r="AK1438" i="1"/>
  <c r="AZ1437" i="1"/>
  <c r="AW1437" i="1"/>
  <c r="AY1437" i="1" s="1"/>
  <c r="AK1437" i="1"/>
  <c r="AZ1436" i="1"/>
  <c r="AW1436" i="1"/>
  <c r="AY1436" i="1" s="1"/>
  <c r="AK1436" i="1"/>
  <c r="AZ1435" i="1"/>
  <c r="AW1435" i="1"/>
  <c r="BB1435" i="1" s="1"/>
  <c r="AK1435" i="1"/>
  <c r="AZ1434" i="1"/>
  <c r="AW1434" i="1"/>
  <c r="AO1434" i="1" s="1"/>
  <c r="AK1434" i="1"/>
  <c r="AZ1433" i="1"/>
  <c r="AW1433" i="1"/>
  <c r="BB1433" i="1" s="1"/>
  <c r="AK1433" i="1"/>
  <c r="AZ1432" i="1"/>
  <c r="AW1432" i="1"/>
  <c r="AY1432" i="1" s="1"/>
  <c r="AK1432" i="1"/>
  <c r="AZ1431" i="1"/>
  <c r="AW1431" i="1"/>
  <c r="AY1431" i="1" s="1"/>
  <c r="AK1431" i="1"/>
  <c r="AZ1430" i="1"/>
  <c r="AW1430" i="1"/>
  <c r="AO1430" i="1" s="1"/>
  <c r="AK1430" i="1"/>
  <c r="AZ1429" i="1"/>
  <c r="AW1429" i="1"/>
  <c r="BB1429" i="1" s="1"/>
  <c r="AK1429" i="1"/>
  <c r="AZ1428" i="1"/>
  <c r="AW1428" i="1"/>
  <c r="AY1428" i="1" s="1"/>
  <c r="AK1428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BA1432" i="1" l="1"/>
  <c r="AO1440" i="1"/>
  <c r="AR1440" i="1" s="1"/>
  <c r="AS1440" i="1" s="1"/>
  <c r="BA1437" i="1"/>
  <c r="BA1440" i="1"/>
  <c r="BA1448" i="1"/>
  <c r="AO1452" i="1"/>
  <c r="AR1452" i="1" s="1"/>
  <c r="AS1452" i="1" s="1"/>
  <c r="BM1438" i="1"/>
  <c r="AO1441" i="1"/>
  <c r="BM1441" i="1" s="1"/>
  <c r="AO1453" i="1"/>
  <c r="AR1453" i="1" s="1"/>
  <c r="BM1446" i="1"/>
  <c r="BM1439" i="1"/>
  <c r="AO1445" i="1"/>
  <c r="BM1445" i="1" s="1"/>
  <c r="AO1456" i="1"/>
  <c r="AR1456" i="1" s="1"/>
  <c r="AO1428" i="1"/>
  <c r="BM1428" i="1" s="1"/>
  <c r="AO1443" i="1"/>
  <c r="AR1443" i="1" s="1"/>
  <c r="BM1454" i="1"/>
  <c r="AO1433" i="1"/>
  <c r="AR1433" i="1" s="1"/>
  <c r="AO1451" i="1"/>
  <c r="AR1451" i="1" s="1"/>
  <c r="AO1431" i="1"/>
  <c r="AR1431" i="1" s="1"/>
  <c r="AS1431" i="1" s="1"/>
  <c r="CC1431" i="1" s="1"/>
  <c r="CE1431" i="1" s="1"/>
  <c r="AO1449" i="1"/>
  <c r="BM1449" i="1" s="1"/>
  <c r="BM1430" i="1"/>
  <c r="AO1437" i="1"/>
  <c r="BM1437" i="1" s="1"/>
  <c r="BB1447" i="1"/>
  <c r="AO1448" i="1"/>
  <c r="AR1448" i="1" s="1"/>
  <c r="BM1442" i="1"/>
  <c r="BB1431" i="1"/>
  <c r="AY1455" i="1"/>
  <c r="BA1455" i="1" s="1"/>
  <c r="BB1439" i="1"/>
  <c r="AO1429" i="1"/>
  <c r="AR1429" i="1" s="1"/>
  <c r="AO1435" i="1"/>
  <c r="AR1435" i="1" s="1"/>
  <c r="BA1449" i="1"/>
  <c r="AO1432" i="1"/>
  <c r="AR1432" i="1" s="1"/>
  <c r="AO1444" i="1"/>
  <c r="BM1444" i="1" s="1"/>
  <c r="AO1447" i="1"/>
  <c r="BM1447" i="1" s="1"/>
  <c r="BB1452" i="1"/>
  <c r="BB1455" i="1"/>
  <c r="AY1439" i="1"/>
  <c r="BA1439" i="1" s="1"/>
  <c r="BB1436" i="1"/>
  <c r="BM1455" i="1"/>
  <c r="BB1428" i="1"/>
  <c r="AR1450" i="1"/>
  <c r="AS1450" i="1" s="1"/>
  <c r="AR1442" i="1"/>
  <c r="AS1442" i="1" s="1"/>
  <c r="AR1434" i="1"/>
  <c r="AS1434" i="1" s="1"/>
  <c r="AR1439" i="1"/>
  <c r="AO1436" i="1"/>
  <c r="BM1436" i="1" s="1"/>
  <c r="BB1444" i="1"/>
  <c r="BA1456" i="1"/>
  <c r="BM1450" i="1"/>
  <c r="BA1431" i="1"/>
  <c r="BA1447" i="1"/>
  <c r="BM1434" i="1"/>
  <c r="AY1435" i="1"/>
  <c r="BA1435" i="1" s="1"/>
  <c r="AY1443" i="1"/>
  <c r="BA1443" i="1" s="1"/>
  <c r="AY1451" i="1"/>
  <c r="BA1451" i="1" s="1"/>
  <c r="AR1430" i="1"/>
  <c r="AR1438" i="1"/>
  <c r="BB1440" i="1"/>
  <c r="BB1448" i="1"/>
  <c r="BB1456" i="1"/>
  <c r="AR1455" i="1"/>
  <c r="BB1432" i="1"/>
  <c r="AR1446" i="1"/>
  <c r="AR1454" i="1"/>
  <c r="BA1428" i="1"/>
  <c r="BA1436" i="1"/>
  <c r="BA1444" i="1"/>
  <c r="BA1452" i="1"/>
  <c r="AY1430" i="1"/>
  <c r="BA1430" i="1" s="1"/>
  <c r="AY1438" i="1"/>
  <c r="BA1438" i="1" s="1"/>
  <c r="AY1442" i="1"/>
  <c r="BA1442" i="1" s="1"/>
  <c r="AY1446" i="1"/>
  <c r="BA1446" i="1" s="1"/>
  <c r="AY1429" i="1"/>
  <c r="BA1429" i="1" s="1"/>
  <c r="BB1430" i="1"/>
  <c r="AY1433" i="1"/>
  <c r="BA1433" i="1" s="1"/>
  <c r="BB1438" i="1"/>
  <c r="AY1441" i="1"/>
  <c r="BA1441" i="1" s="1"/>
  <c r="BB1442" i="1"/>
  <c r="AY1445" i="1"/>
  <c r="BA1445" i="1" s="1"/>
  <c r="BB1450" i="1"/>
  <c r="AY1453" i="1"/>
  <c r="BA1453" i="1" s="1"/>
  <c r="BB1454" i="1"/>
  <c r="BB1437" i="1"/>
  <c r="BB1449" i="1"/>
  <c r="AY1434" i="1"/>
  <c r="BA1434" i="1" s="1"/>
  <c r="AY1450" i="1"/>
  <c r="BA1450" i="1" s="1"/>
  <c r="AY1454" i="1"/>
  <c r="BA1454" i="1" s="1"/>
  <c r="BB1434" i="1"/>
  <c r="BB1446" i="1"/>
  <c r="AP1412" i="1"/>
  <c r="AQ1412" i="1"/>
  <c r="AQ1407" i="1"/>
  <c r="BM1440" i="1" l="1"/>
  <c r="AR1441" i="1"/>
  <c r="AS1441" i="1" s="1"/>
  <c r="BM1452" i="1"/>
  <c r="BM1432" i="1"/>
  <c r="AR1445" i="1"/>
  <c r="AS1445" i="1" s="1"/>
  <c r="CC1445" i="1" s="1"/>
  <c r="CE1445" i="1" s="1"/>
  <c r="AR1437" i="1"/>
  <c r="AS1437" i="1" s="1"/>
  <c r="BM1453" i="1"/>
  <c r="BM1456" i="1"/>
  <c r="AR1428" i="1"/>
  <c r="AS1428" i="1" s="1"/>
  <c r="AS1453" i="1"/>
  <c r="BP1453" i="1"/>
  <c r="BM1443" i="1"/>
  <c r="BM1448" i="1"/>
  <c r="AS1456" i="1"/>
  <c r="BP1456" i="1"/>
  <c r="AS1443" i="1"/>
  <c r="BP1443" i="1"/>
  <c r="BM1433" i="1"/>
  <c r="AR1449" i="1"/>
  <c r="BP1440" i="1"/>
  <c r="BM1431" i="1"/>
  <c r="BM1451" i="1"/>
  <c r="AS1451" i="1"/>
  <c r="BP1451" i="1"/>
  <c r="BP1452" i="1"/>
  <c r="AR1447" i="1"/>
  <c r="BP1447" i="1" s="1"/>
  <c r="BP1442" i="1"/>
  <c r="AR1444" i="1"/>
  <c r="AS1448" i="1"/>
  <c r="BP1448" i="1"/>
  <c r="BP1431" i="1"/>
  <c r="AS1435" i="1"/>
  <c r="BP1435" i="1"/>
  <c r="AS1432" i="1"/>
  <c r="CC1432" i="1" s="1"/>
  <c r="CE1432" i="1" s="1"/>
  <c r="BP1432" i="1"/>
  <c r="AS1429" i="1"/>
  <c r="BP1429" i="1"/>
  <c r="BM1435" i="1"/>
  <c r="AS1439" i="1"/>
  <c r="BP1439" i="1"/>
  <c r="AS1433" i="1"/>
  <c r="BP1433" i="1"/>
  <c r="BP1434" i="1"/>
  <c r="BM1429" i="1"/>
  <c r="BP1450" i="1"/>
  <c r="AR1436" i="1"/>
  <c r="AS1438" i="1"/>
  <c r="BP1438" i="1"/>
  <c r="AS1454" i="1"/>
  <c r="BP1454" i="1"/>
  <c r="AS1430" i="1"/>
  <c r="CC1430" i="1" s="1"/>
  <c r="CE1430" i="1" s="1"/>
  <c r="BP1430" i="1"/>
  <c r="AS1455" i="1"/>
  <c r="BP1455" i="1"/>
  <c r="AS1446" i="1"/>
  <c r="BP1446" i="1"/>
  <c r="AM1412" i="1"/>
  <c r="AL1412" i="1"/>
  <c r="AM1407" i="1"/>
  <c r="AL1407" i="1"/>
  <c r="AM1383" i="1"/>
  <c r="AL1383" i="1"/>
  <c r="BP1441" i="1" l="1"/>
  <c r="BP1437" i="1"/>
  <c r="BP1445" i="1"/>
  <c r="AS1447" i="1"/>
  <c r="BP1428" i="1"/>
  <c r="AS1449" i="1"/>
  <c r="BP1449" i="1"/>
  <c r="AS1444" i="1"/>
  <c r="BP1444" i="1"/>
  <c r="AS1436" i="1"/>
  <c r="BP1436" i="1"/>
  <c r="Y1384" i="1"/>
  <c r="BO1427" i="1" l="1"/>
  <c r="BH1427" i="1"/>
  <c r="BI1427" i="1" s="1"/>
  <c r="BK1427" i="1" s="1"/>
  <c r="BF1427" i="1"/>
  <c r="BG1427" i="1" s="1"/>
  <c r="BO1426" i="1"/>
  <c r="BH1426" i="1"/>
  <c r="BI1426" i="1" s="1"/>
  <c r="BK1426" i="1" s="1"/>
  <c r="BF1426" i="1"/>
  <c r="BG1426" i="1" s="1"/>
  <c r="BO1425" i="1"/>
  <c r="BH1425" i="1"/>
  <c r="BI1425" i="1" s="1"/>
  <c r="BK1425" i="1" s="1"/>
  <c r="BF1425" i="1"/>
  <c r="BG1425" i="1" s="1"/>
  <c r="BO1424" i="1"/>
  <c r="BH1424" i="1"/>
  <c r="BI1424" i="1" s="1"/>
  <c r="BK1424" i="1" s="1"/>
  <c r="BF1424" i="1"/>
  <c r="BG1424" i="1" s="1"/>
  <c r="BO1423" i="1"/>
  <c r="BH1423" i="1"/>
  <c r="BI1423" i="1" s="1"/>
  <c r="BK1423" i="1" s="1"/>
  <c r="BF1423" i="1"/>
  <c r="BG1423" i="1" s="1"/>
  <c r="BO1422" i="1"/>
  <c r="BH1422" i="1"/>
  <c r="BI1422" i="1" s="1"/>
  <c r="BK1422" i="1" s="1"/>
  <c r="BF1422" i="1"/>
  <c r="BG1422" i="1" s="1"/>
  <c r="BO1421" i="1"/>
  <c r="BH1421" i="1"/>
  <c r="BI1421" i="1" s="1"/>
  <c r="BK1421" i="1" s="1"/>
  <c r="BF1421" i="1"/>
  <c r="BG1421" i="1" s="1"/>
  <c r="BO1420" i="1"/>
  <c r="BH1420" i="1"/>
  <c r="BI1420" i="1" s="1"/>
  <c r="BK1420" i="1" s="1"/>
  <c r="BF1420" i="1"/>
  <c r="BG1420" i="1" s="1"/>
  <c r="BO1419" i="1"/>
  <c r="BH1419" i="1"/>
  <c r="BI1419" i="1" s="1"/>
  <c r="BK1419" i="1" s="1"/>
  <c r="BF1419" i="1"/>
  <c r="BG1419" i="1" s="1"/>
  <c r="BO1418" i="1"/>
  <c r="BH1418" i="1"/>
  <c r="BI1418" i="1" s="1"/>
  <c r="BK1418" i="1" s="1"/>
  <c r="BF1418" i="1"/>
  <c r="BG1418" i="1" s="1"/>
  <c r="BO1417" i="1"/>
  <c r="BH1417" i="1"/>
  <c r="BI1417" i="1" s="1"/>
  <c r="BK1417" i="1" s="1"/>
  <c r="BF1417" i="1"/>
  <c r="BG1417" i="1" s="1"/>
  <c r="BO1416" i="1"/>
  <c r="BH1416" i="1"/>
  <c r="BI1416" i="1" s="1"/>
  <c r="BK1416" i="1" s="1"/>
  <c r="BF1416" i="1"/>
  <c r="BG1416" i="1" s="1"/>
  <c r="BO1415" i="1"/>
  <c r="BH1415" i="1"/>
  <c r="BI1415" i="1" s="1"/>
  <c r="BK1415" i="1" s="1"/>
  <c r="BF1415" i="1"/>
  <c r="BG1415" i="1" s="1"/>
  <c r="BO1414" i="1"/>
  <c r="BH1414" i="1"/>
  <c r="BI1414" i="1" s="1"/>
  <c r="BK1414" i="1" s="1"/>
  <c r="BF1414" i="1"/>
  <c r="BG1414" i="1" s="1"/>
  <c r="BO1413" i="1"/>
  <c r="BH1413" i="1"/>
  <c r="BI1413" i="1" s="1"/>
  <c r="BK1413" i="1" s="1"/>
  <c r="BF1413" i="1"/>
  <c r="BG1413" i="1" s="1"/>
  <c r="BO1412" i="1"/>
  <c r="BH1412" i="1"/>
  <c r="BI1412" i="1" s="1"/>
  <c r="BK1412" i="1" s="1"/>
  <c r="BF1412" i="1"/>
  <c r="BG1412" i="1" s="1"/>
  <c r="BO1411" i="1"/>
  <c r="BH1411" i="1"/>
  <c r="BI1411" i="1" s="1"/>
  <c r="BK1411" i="1" s="1"/>
  <c r="BF1411" i="1"/>
  <c r="BG1411" i="1" s="1"/>
  <c r="BO1410" i="1"/>
  <c r="BH1410" i="1"/>
  <c r="BI1410" i="1" s="1"/>
  <c r="BK1410" i="1" s="1"/>
  <c r="BF1410" i="1"/>
  <c r="BG1410" i="1" s="1"/>
  <c r="BO1409" i="1"/>
  <c r="BH1409" i="1"/>
  <c r="BI1409" i="1" s="1"/>
  <c r="BK1409" i="1" s="1"/>
  <c r="BF1409" i="1"/>
  <c r="BG1409" i="1" s="1"/>
  <c r="BO1408" i="1"/>
  <c r="BH1408" i="1"/>
  <c r="BI1408" i="1" s="1"/>
  <c r="BK1408" i="1" s="1"/>
  <c r="BF1408" i="1"/>
  <c r="BG1408" i="1" s="1"/>
  <c r="BO1407" i="1"/>
  <c r="BH1407" i="1"/>
  <c r="BI1407" i="1" s="1"/>
  <c r="BK1407" i="1" s="1"/>
  <c r="BF1407" i="1"/>
  <c r="BG1407" i="1" s="1"/>
  <c r="BO1406" i="1"/>
  <c r="BH1406" i="1"/>
  <c r="BI1406" i="1" s="1"/>
  <c r="BK1406" i="1" s="1"/>
  <c r="BF1406" i="1"/>
  <c r="BG1406" i="1" s="1"/>
  <c r="BO1405" i="1"/>
  <c r="BH1405" i="1"/>
  <c r="BI1405" i="1" s="1"/>
  <c r="BK1405" i="1" s="1"/>
  <c r="BF1405" i="1"/>
  <c r="BG1405" i="1" s="1"/>
  <c r="BO1404" i="1"/>
  <c r="BH1404" i="1"/>
  <c r="BI1404" i="1" s="1"/>
  <c r="BK1404" i="1" s="1"/>
  <c r="BF1404" i="1"/>
  <c r="BG1404" i="1" s="1"/>
  <c r="BO1403" i="1"/>
  <c r="BH1403" i="1"/>
  <c r="BI1403" i="1" s="1"/>
  <c r="BK1403" i="1" s="1"/>
  <c r="BF1403" i="1"/>
  <c r="BG1403" i="1" s="1"/>
  <c r="BO1402" i="1"/>
  <c r="BH1402" i="1"/>
  <c r="BI1402" i="1" s="1"/>
  <c r="BK1402" i="1" s="1"/>
  <c r="BF1402" i="1"/>
  <c r="BG1402" i="1" s="1"/>
  <c r="BO1401" i="1"/>
  <c r="BH1401" i="1"/>
  <c r="BI1401" i="1" s="1"/>
  <c r="BK1401" i="1" s="1"/>
  <c r="BF1401" i="1"/>
  <c r="BG1401" i="1" s="1"/>
  <c r="BO1400" i="1"/>
  <c r="BH1400" i="1"/>
  <c r="BI1400" i="1" s="1"/>
  <c r="BK1400" i="1" s="1"/>
  <c r="BF1400" i="1"/>
  <c r="BG1400" i="1" s="1"/>
  <c r="BO1399" i="1"/>
  <c r="BH1399" i="1"/>
  <c r="BI1399" i="1" s="1"/>
  <c r="BK1399" i="1" s="1"/>
  <c r="BF1399" i="1"/>
  <c r="BG1399" i="1" s="1"/>
  <c r="BO1398" i="1"/>
  <c r="BH1398" i="1"/>
  <c r="BI1398" i="1" s="1"/>
  <c r="BK1398" i="1" s="1"/>
  <c r="BF1398" i="1"/>
  <c r="BG1398" i="1" s="1"/>
  <c r="BO1397" i="1"/>
  <c r="BH1397" i="1"/>
  <c r="BI1397" i="1" s="1"/>
  <c r="BK1397" i="1" s="1"/>
  <c r="BF1397" i="1"/>
  <c r="BG1397" i="1" s="1"/>
  <c r="BO1396" i="1"/>
  <c r="BH1396" i="1"/>
  <c r="BI1396" i="1" s="1"/>
  <c r="BK1396" i="1" s="1"/>
  <c r="BF1396" i="1"/>
  <c r="BG1396" i="1" s="1"/>
  <c r="BO1395" i="1"/>
  <c r="BH1395" i="1"/>
  <c r="BI1395" i="1" s="1"/>
  <c r="BK1395" i="1" s="1"/>
  <c r="BF1395" i="1"/>
  <c r="BG1395" i="1" s="1"/>
  <c r="BO1394" i="1"/>
  <c r="BH1394" i="1"/>
  <c r="BI1394" i="1" s="1"/>
  <c r="BK1394" i="1" s="1"/>
  <c r="BF1394" i="1"/>
  <c r="BG1394" i="1" s="1"/>
  <c r="BO1393" i="1"/>
  <c r="BH1393" i="1"/>
  <c r="BI1393" i="1" s="1"/>
  <c r="BK1393" i="1" s="1"/>
  <c r="BF1393" i="1"/>
  <c r="BG1393" i="1" s="1"/>
  <c r="BO1392" i="1"/>
  <c r="BH1392" i="1"/>
  <c r="BI1392" i="1" s="1"/>
  <c r="BK1392" i="1" s="1"/>
  <c r="BF1392" i="1"/>
  <c r="BG1392" i="1" s="1"/>
  <c r="BO1391" i="1"/>
  <c r="BH1391" i="1"/>
  <c r="BI1391" i="1" s="1"/>
  <c r="BK1391" i="1" s="1"/>
  <c r="BF1391" i="1"/>
  <c r="BG1391" i="1" s="1"/>
  <c r="BO1390" i="1"/>
  <c r="BH1390" i="1"/>
  <c r="BI1390" i="1" s="1"/>
  <c r="BK1390" i="1" s="1"/>
  <c r="BF1390" i="1"/>
  <c r="BG1390" i="1" s="1"/>
  <c r="BO1389" i="1"/>
  <c r="BH1389" i="1"/>
  <c r="BI1389" i="1" s="1"/>
  <c r="BK1389" i="1" s="1"/>
  <c r="BF1389" i="1"/>
  <c r="BG1389" i="1" s="1"/>
  <c r="BO1388" i="1"/>
  <c r="BH1388" i="1"/>
  <c r="BI1388" i="1" s="1"/>
  <c r="BK1388" i="1" s="1"/>
  <c r="BF1388" i="1"/>
  <c r="BG1388" i="1" s="1"/>
  <c r="BO1387" i="1"/>
  <c r="BH1387" i="1"/>
  <c r="BI1387" i="1" s="1"/>
  <c r="BK1387" i="1" s="1"/>
  <c r="BF1387" i="1"/>
  <c r="BG1387" i="1" s="1"/>
  <c r="BO1386" i="1"/>
  <c r="BH1386" i="1"/>
  <c r="BI1386" i="1" s="1"/>
  <c r="BK1386" i="1" s="1"/>
  <c r="BF1386" i="1"/>
  <c r="BG1386" i="1" s="1"/>
  <c r="BO1385" i="1"/>
  <c r="BH1385" i="1"/>
  <c r="BI1385" i="1" s="1"/>
  <c r="BK1385" i="1" s="1"/>
  <c r="BF1385" i="1"/>
  <c r="BG1385" i="1" s="1"/>
  <c r="BO1384" i="1"/>
  <c r="BH1384" i="1"/>
  <c r="BI1384" i="1" s="1"/>
  <c r="BK1384" i="1" s="1"/>
  <c r="BF1384" i="1"/>
  <c r="BG1384" i="1" s="1"/>
  <c r="BO1383" i="1"/>
  <c r="BH1383" i="1"/>
  <c r="BI1383" i="1" s="1"/>
  <c r="BK1383" i="1" s="1"/>
  <c r="BF1383" i="1"/>
  <c r="BG1383" i="1" s="1"/>
  <c r="BO1382" i="1"/>
  <c r="BH1382" i="1"/>
  <c r="BI1382" i="1" s="1"/>
  <c r="BK1382" i="1" s="1"/>
  <c r="BF1382" i="1"/>
  <c r="BG1382" i="1" s="1"/>
  <c r="BO1381" i="1"/>
  <c r="BH1381" i="1"/>
  <c r="BI1381" i="1" s="1"/>
  <c r="BK1381" i="1" s="1"/>
  <c r="BF1381" i="1"/>
  <c r="BG1381" i="1" s="1"/>
  <c r="AZ1427" i="1"/>
  <c r="AW1427" i="1"/>
  <c r="BB1427" i="1" s="1"/>
  <c r="AZ1426" i="1"/>
  <c r="AW1426" i="1"/>
  <c r="BB1426" i="1" s="1"/>
  <c r="AZ1425" i="1"/>
  <c r="AW1425" i="1"/>
  <c r="AY1425" i="1" s="1"/>
  <c r="AZ1424" i="1"/>
  <c r="AW1424" i="1"/>
  <c r="AO1424" i="1" s="1"/>
  <c r="AZ1423" i="1"/>
  <c r="AW1423" i="1"/>
  <c r="AY1423" i="1" s="1"/>
  <c r="AZ1422" i="1"/>
  <c r="AW1422" i="1"/>
  <c r="BB1422" i="1" s="1"/>
  <c r="AZ1421" i="1"/>
  <c r="AW1421" i="1"/>
  <c r="AY1421" i="1" s="1"/>
  <c r="AZ1420" i="1"/>
  <c r="AW1420" i="1"/>
  <c r="AY1420" i="1" s="1"/>
  <c r="AZ1419" i="1"/>
  <c r="AW1419" i="1"/>
  <c r="BB1419" i="1" s="1"/>
  <c r="AZ1418" i="1"/>
  <c r="AW1418" i="1"/>
  <c r="AY1418" i="1" s="1"/>
  <c r="AZ1417" i="1"/>
  <c r="AW1417" i="1"/>
  <c r="BB1417" i="1" s="1"/>
  <c r="AZ1416" i="1"/>
  <c r="AW1416" i="1"/>
  <c r="AO1416" i="1" s="1"/>
  <c r="AZ1415" i="1"/>
  <c r="AW1415" i="1"/>
  <c r="BB1415" i="1" s="1"/>
  <c r="AZ1414" i="1"/>
  <c r="AW1414" i="1"/>
  <c r="BB1414" i="1" s="1"/>
  <c r="AZ1413" i="1"/>
  <c r="AW1413" i="1"/>
  <c r="AY1413" i="1" s="1"/>
  <c r="AZ1412" i="1"/>
  <c r="AW1412" i="1"/>
  <c r="AO1412" i="1" s="1"/>
  <c r="AZ1411" i="1"/>
  <c r="AW1411" i="1"/>
  <c r="AO1411" i="1" s="1"/>
  <c r="AZ1410" i="1"/>
  <c r="AW1410" i="1"/>
  <c r="BB1410" i="1" s="1"/>
  <c r="AZ1409" i="1"/>
  <c r="AW1409" i="1"/>
  <c r="BB1409" i="1" s="1"/>
  <c r="AZ1408" i="1"/>
  <c r="AW1408" i="1"/>
  <c r="AY1408" i="1" s="1"/>
  <c r="AZ1407" i="1"/>
  <c r="AW1407" i="1"/>
  <c r="BB1407" i="1" s="1"/>
  <c r="AZ1406" i="1"/>
  <c r="AW1406" i="1"/>
  <c r="AY1406" i="1" s="1"/>
  <c r="AZ1405" i="1"/>
  <c r="AW1405" i="1"/>
  <c r="AY1405" i="1" s="1"/>
  <c r="AZ1404" i="1"/>
  <c r="AW1404" i="1"/>
  <c r="AO1404" i="1" s="1"/>
  <c r="AZ1403" i="1"/>
  <c r="AW1403" i="1"/>
  <c r="BB1403" i="1" s="1"/>
  <c r="AZ1402" i="1"/>
  <c r="AW1402" i="1"/>
  <c r="BB1402" i="1" s="1"/>
  <c r="AZ1401" i="1"/>
  <c r="AW1401" i="1"/>
  <c r="AY1401" i="1" s="1"/>
  <c r="AZ1400" i="1"/>
  <c r="AW1400" i="1"/>
  <c r="AO1400" i="1" s="1"/>
  <c r="AZ1399" i="1"/>
  <c r="AW1399" i="1"/>
  <c r="BB1399" i="1" s="1"/>
  <c r="AZ1398" i="1"/>
  <c r="AW1398" i="1"/>
  <c r="BB1398" i="1" s="1"/>
  <c r="AZ1397" i="1"/>
  <c r="AW1397" i="1"/>
  <c r="AY1397" i="1" s="1"/>
  <c r="AZ1396" i="1"/>
  <c r="AW1396" i="1"/>
  <c r="AY1396" i="1" s="1"/>
  <c r="AZ1395" i="1"/>
  <c r="AW1395" i="1"/>
  <c r="BB1395" i="1" s="1"/>
  <c r="AZ1394" i="1"/>
  <c r="AW1394" i="1"/>
  <c r="AY1394" i="1" s="1"/>
  <c r="AZ1393" i="1"/>
  <c r="AW1393" i="1"/>
  <c r="BB1393" i="1" s="1"/>
  <c r="AZ1392" i="1"/>
  <c r="AW1392" i="1"/>
  <c r="AO1392" i="1" s="1"/>
  <c r="AZ1391" i="1"/>
  <c r="AW1391" i="1"/>
  <c r="BB1391" i="1" s="1"/>
  <c r="AZ1390" i="1"/>
  <c r="AW1390" i="1"/>
  <c r="BB1390" i="1" s="1"/>
  <c r="AZ1389" i="1"/>
  <c r="AW1389" i="1"/>
  <c r="AY1389" i="1" s="1"/>
  <c r="AZ1388" i="1"/>
  <c r="AW1388" i="1"/>
  <c r="AO1388" i="1" s="1"/>
  <c r="AZ1387" i="1"/>
  <c r="AW1387" i="1"/>
  <c r="AO1387" i="1" s="1"/>
  <c r="AZ1386" i="1"/>
  <c r="AW1386" i="1"/>
  <c r="BB1386" i="1" s="1"/>
  <c r="AZ1385" i="1"/>
  <c r="AW1385" i="1"/>
  <c r="BB1385" i="1" s="1"/>
  <c r="AZ1384" i="1"/>
  <c r="AW1384" i="1"/>
  <c r="AY1384" i="1" s="1"/>
  <c r="AZ1383" i="1"/>
  <c r="AW1383" i="1"/>
  <c r="BB1383" i="1" s="1"/>
  <c r="AZ1382" i="1"/>
  <c r="AW1382" i="1"/>
  <c r="AY1382" i="1" s="1"/>
  <c r="AZ1381" i="1"/>
  <c r="AW1381" i="1"/>
  <c r="AO1381" i="1" s="1"/>
  <c r="AK1427" i="1"/>
  <c r="AK1426" i="1"/>
  <c r="AK1425" i="1"/>
  <c r="AK1424" i="1"/>
  <c r="AK1423" i="1"/>
  <c r="AK1422" i="1"/>
  <c r="AK1421" i="1"/>
  <c r="AK1420" i="1"/>
  <c r="AK1419" i="1"/>
  <c r="AK1418" i="1"/>
  <c r="AK1417" i="1"/>
  <c r="AK1416" i="1"/>
  <c r="AK1415" i="1"/>
  <c r="AK1414" i="1"/>
  <c r="AK1413" i="1"/>
  <c r="AK1412" i="1"/>
  <c r="AK1411" i="1"/>
  <c r="AK1410" i="1"/>
  <c r="AK1409" i="1"/>
  <c r="AK1408" i="1"/>
  <c r="AK1407" i="1"/>
  <c r="AK1406" i="1"/>
  <c r="AK1405" i="1"/>
  <c r="AK1404" i="1"/>
  <c r="AK1403" i="1"/>
  <c r="AK1402" i="1"/>
  <c r="AK1401" i="1"/>
  <c r="AK1400" i="1"/>
  <c r="AK1399" i="1"/>
  <c r="AK1398" i="1"/>
  <c r="AK1397" i="1"/>
  <c r="AK1396" i="1"/>
  <c r="AK1395" i="1"/>
  <c r="AK1394" i="1"/>
  <c r="AK1393" i="1"/>
  <c r="AK1392" i="1"/>
  <c r="AK1391" i="1"/>
  <c r="AK1390" i="1"/>
  <c r="AK1389" i="1"/>
  <c r="AK1388" i="1"/>
  <c r="AK1387" i="1"/>
  <c r="AK1386" i="1"/>
  <c r="AK1385" i="1"/>
  <c r="AK1384" i="1"/>
  <c r="AK1383" i="1"/>
  <c r="CI1383" i="1" s="1"/>
  <c r="AK1382" i="1"/>
  <c r="AK1381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O1425" i="1" l="1"/>
  <c r="AO1389" i="1"/>
  <c r="AR1389" i="1" s="1"/>
  <c r="AO1395" i="1"/>
  <c r="AR1395" i="1" s="1"/>
  <c r="BA1421" i="1"/>
  <c r="BA1394" i="1"/>
  <c r="AO1415" i="1"/>
  <c r="AR1415" i="1" s="1"/>
  <c r="BM1416" i="1"/>
  <c r="BM1412" i="1"/>
  <c r="BA1408" i="1"/>
  <c r="AO1410" i="1"/>
  <c r="AR1410" i="1" s="1"/>
  <c r="AS1410" i="1" s="1"/>
  <c r="BM1381" i="1"/>
  <c r="AO1401" i="1"/>
  <c r="BM1401" i="1" s="1"/>
  <c r="AO1382" i="1"/>
  <c r="AR1382" i="1" s="1"/>
  <c r="AO1423" i="1"/>
  <c r="AR1423" i="1" s="1"/>
  <c r="AS1423" i="1" s="1"/>
  <c r="BB1401" i="1"/>
  <c r="BA1413" i="1"/>
  <c r="AO1399" i="1"/>
  <c r="BM1399" i="1" s="1"/>
  <c r="AY1411" i="1"/>
  <c r="BA1411" i="1" s="1"/>
  <c r="BM1400" i="1"/>
  <c r="BM1411" i="1"/>
  <c r="BM1404" i="1"/>
  <c r="BA1397" i="1"/>
  <c r="BA1420" i="1"/>
  <c r="AO1408" i="1"/>
  <c r="AR1408" i="1" s="1"/>
  <c r="BM1392" i="1"/>
  <c r="BB1425" i="1"/>
  <c r="AO1394" i="1"/>
  <c r="BM1394" i="1" s="1"/>
  <c r="BB1382" i="1"/>
  <c r="BB1387" i="1"/>
  <c r="BA1405" i="1"/>
  <c r="AY1387" i="1"/>
  <c r="BA1387" i="1" s="1"/>
  <c r="BB1420" i="1"/>
  <c r="AR1387" i="1"/>
  <c r="AS1387" i="1" s="1"/>
  <c r="AO1390" i="1"/>
  <c r="AR1390" i="1" s="1"/>
  <c r="BM1388" i="1"/>
  <c r="AO1414" i="1"/>
  <c r="BM1414" i="1" s="1"/>
  <c r="BM1424" i="1"/>
  <c r="BA1384" i="1"/>
  <c r="BA1389" i="1"/>
  <c r="BA1401" i="1"/>
  <c r="BB1411" i="1"/>
  <c r="BA1423" i="1"/>
  <c r="AO1396" i="1"/>
  <c r="AR1396" i="1" s="1"/>
  <c r="BM1425" i="1"/>
  <c r="BA1418" i="1"/>
  <c r="AO1407" i="1"/>
  <c r="BM1407" i="1" s="1"/>
  <c r="AO1386" i="1"/>
  <c r="AR1386" i="1" s="1"/>
  <c r="AO1422" i="1"/>
  <c r="BM1422" i="1" s="1"/>
  <c r="BA1382" i="1"/>
  <c r="BB1396" i="1"/>
  <c r="BB1406" i="1"/>
  <c r="BM1387" i="1"/>
  <c r="AO1403" i="1"/>
  <c r="BM1403" i="1" s="1"/>
  <c r="AO1418" i="1"/>
  <c r="AR1418" i="1" s="1"/>
  <c r="BB1408" i="1"/>
  <c r="BB1418" i="1"/>
  <c r="AY1399" i="1"/>
  <c r="BA1399" i="1" s="1"/>
  <c r="BB1413" i="1"/>
  <c r="BB1423" i="1"/>
  <c r="AO1383" i="1"/>
  <c r="BM1383" i="1" s="1"/>
  <c r="AO1419" i="1"/>
  <c r="BM1419" i="1" s="1"/>
  <c r="AO1426" i="1"/>
  <c r="BM1426" i="1" s="1"/>
  <c r="BB1384" i="1"/>
  <c r="BB1394" i="1"/>
  <c r="AO1402" i="1"/>
  <c r="BM1402" i="1" s="1"/>
  <c r="AR1411" i="1"/>
  <c r="AO1398" i="1"/>
  <c r="AR1398" i="1" s="1"/>
  <c r="BB1389" i="1"/>
  <c r="AO1384" i="1"/>
  <c r="BM1384" i="1" s="1"/>
  <c r="AO1391" i="1"/>
  <c r="BM1391" i="1" s="1"/>
  <c r="AO1406" i="1"/>
  <c r="BM1406" i="1" s="1"/>
  <c r="AO1413" i="1"/>
  <c r="AR1413" i="1" s="1"/>
  <c r="AO1420" i="1"/>
  <c r="AR1420" i="1" s="1"/>
  <c r="AO1427" i="1"/>
  <c r="AR1427" i="1" s="1"/>
  <c r="BA1425" i="1"/>
  <c r="BA1396" i="1"/>
  <c r="BA1406" i="1"/>
  <c r="AY1392" i="1"/>
  <c r="BA1392" i="1" s="1"/>
  <c r="AY1404" i="1"/>
  <c r="BA1404" i="1" s="1"/>
  <c r="AY1390" i="1"/>
  <c r="BA1390" i="1" s="1"/>
  <c r="AY1402" i="1"/>
  <c r="BA1402" i="1" s="1"/>
  <c r="AY1414" i="1"/>
  <c r="BA1414" i="1" s="1"/>
  <c r="AY1426" i="1"/>
  <c r="BA1426" i="1" s="1"/>
  <c r="AO1385" i="1"/>
  <c r="AO1397" i="1"/>
  <c r="AO1409" i="1"/>
  <c r="AR1409" i="1" s="1"/>
  <c r="AO1421" i="1"/>
  <c r="AY1383" i="1"/>
  <c r="BA1383" i="1" s="1"/>
  <c r="BB1392" i="1"/>
  <c r="BB1404" i="1"/>
  <c r="BB1416" i="1"/>
  <c r="AY1419" i="1"/>
  <c r="BA1419" i="1" s="1"/>
  <c r="AR1404" i="1"/>
  <c r="AY1388" i="1"/>
  <c r="BA1388" i="1" s="1"/>
  <c r="BB1397" i="1"/>
  <c r="AY1412" i="1"/>
  <c r="BA1412" i="1" s="1"/>
  <c r="BB1421" i="1"/>
  <c r="AY1393" i="1"/>
  <c r="BA1393" i="1" s="1"/>
  <c r="AY1417" i="1"/>
  <c r="BA1417" i="1" s="1"/>
  <c r="AR1381" i="1"/>
  <c r="AY1398" i="1"/>
  <c r="BA1398" i="1" s="1"/>
  <c r="AY1410" i="1"/>
  <c r="BA1410" i="1" s="1"/>
  <c r="AY1422" i="1"/>
  <c r="BA1422" i="1" s="1"/>
  <c r="AO1393" i="1"/>
  <c r="AR1393" i="1" s="1"/>
  <c r="AO1405" i="1"/>
  <c r="AO1417" i="1"/>
  <c r="AR1417" i="1" s="1"/>
  <c r="AY1391" i="1"/>
  <c r="BA1391" i="1" s="1"/>
  <c r="BB1400" i="1"/>
  <c r="AY1415" i="1"/>
  <c r="BA1415" i="1" s="1"/>
  <c r="AY1427" i="1"/>
  <c r="BA1427" i="1" s="1"/>
  <c r="AR1412" i="1"/>
  <c r="AR1424" i="1"/>
  <c r="BB1381" i="1"/>
  <c r="BB1405" i="1"/>
  <c r="AY1416" i="1"/>
  <c r="BA1416" i="1" s="1"/>
  <c r="AY1385" i="1"/>
  <c r="BA1385" i="1" s="1"/>
  <c r="AY1409" i="1"/>
  <c r="BA1409" i="1" s="1"/>
  <c r="AY1395" i="1"/>
  <c r="BA1395" i="1" s="1"/>
  <c r="AY1407" i="1"/>
  <c r="BA1407" i="1" s="1"/>
  <c r="AR1392" i="1"/>
  <c r="AR1416" i="1"/>
  <c r="AY1400" i="1"/>
  <c r="BA1400" i="1" s="1"/>
  <c r="AY1424" i="1"/>
  <c r="BA1424" i="1" s="1"/>
  <c r="AY1381" i="1"/>
  <c r="BA1381" i="1" s="1"/>
  <c r="AY1386" i="1"/>
  <c r="BA1386" i="1" s="1"/>
  <c r="BB1388" i="1"/>
  <c r="AY1403" i="1"/>
  <c r="BA1403" i="1" s="1"/>
  <c r="BB1412" i="1"/>
  <c r="BB1424" i="1"/>
  <c r="AR1388" i="1"/>
  <c r="AR1400" i="1"/>
  <c r="AR1425" i="1"/>
  <c r="AK1368" i="1"/>
  <c r="AR1422" i="1" l="1"/>
  <c r="AS1422" i="1" s="1"/>
  <c r="BM1395" i="1"/>
  <c r="BM1389" i="1"/>
  <c r="BM1415" i="1"/>
  <c r="BM1382" i="1"/>
  <c r="BM1410" i="1"/>
  <c r="BM1386" i="1"/>
  <c r="AR1401" i="1"/>
  <c r="AS1401" i="1" s="1"/>
  <c r="BM1427" i="1"/>
  <c r="BM1423" i="1"/>
  <c r="AS1382" i="1"/>
  <c r="BP1382" i="1"/>
  <c r="AR1414" i="1"/>
  <c r="AS1414" i="1" s="1"/>
  <c r="AR1399" i="1"/>
  <c r="BP1399" i="1" s="1"/>
  <c r="AR1407" i="1"/>
  <c r="AS1407" i="1" s="1"/>
  <c r="CC1407" i="1" s="1"/>
  <c r="CE1407" i="1" s="1"/>
  <c r="BM1408" i="1"/>
  <c r="BM1390" i="1"/>
  <c r="AR1383" i="1"/>
  <c r="AS1383" i="1" s="1"/>
  <c r="CC1383" i="1" s="1"/>
  <c r="CE1383" i="1" s="1"/>
  <c r="BM1396" i="1"/>
  <c r="AR1394" i="1"/>
  <c r="BP1394" i="1" s="1"/>
  <c r="BP1410" i="1"/>
  <c r="BP1423" i="1"/>
  <c r="AS1396" i="1"/>
  <c r="BP1396" i="1"/>
  <c r="AR1402" i="1"/>
  <c r="BP1402" i="1" s="1"/>
  <c r="AS1390" i="1"/>
  <c r="BP1390" i="1"/>
  <c r="AR1406" i="1"/>
  <c r="AS1406" i="1" s="1"/>
  <c r="BP1387" i="1"/>
  <c r="BM1420" i="1"/>
  <c r="AR1384" i="1"/>
  <c r="AS1384" i="1" s="1"/>
  <c r="AS1398" i="1"/>
  <c r="BP1398" i="1"/>
  <c r="AS1427" i="1"/>
  <c r="BP1427" i="1"/>
  <c r="AS1413" i="1"/>
  <c r="BP1413" i="1"/>
  <c r="AS1418" i="1"/>
  <c r="BP1418" i="1"/>
  <c r="AS1420" i="1"/>
  <c r="BP1420" i="1"/>
  <c r="AR1391" i="1"/>
  <c r="AS1424" i="1"/>
  <c r="BP1424" i="1"/>
  <c r="AS1389" i="1"/>
  <c r="BP1389" i="1"/>
  <c r="AS1416" i="1"/>
  <c r="BP1416" i="1"/>
  <c r="AR1397" i="1"/>
  <c r="BM1397" i="1"/>
  <c r="AS1400" i="1"/>
  <c r="BP1400" i="1"/>
  <c r="AR1403" i="1"/>
  <c r="AR1426" i="1"/>
  <c r="AS1408" i="1"/>
  <c r="BP1408" i="1"/>
  <c r="BM1413" i="1"/>
  <c r="AS1381" i="1"/>
  <c r="BP1381" i="1"/>
  <c r="BM1418" i="1"/>
  <c r="AS1412" i="1"/>
  <c r="CC1412" i="1" s="1"/>
  <c r="CE1412" i="1" s="1"/>
  <c r="BP1412" i="1"/>
  <c r="AR1421" i="1"/>
  <c r="BM1421" i="1"/>
  <c r="AS1395" i="1"/>
  <c r="BP1395" i="1"/>
  <c r="AS1409" i="1"/>
  <c r="CC1409" i="1" s="1"/>
  <c r="CE1409" i="1" s="1"/>
  <c r="BP1409" i="1"/>
  <c r="AS1392" i="1"/>
  <c r="BP1392" i="1"/>
  <c r="AR1385" i="1"/>
  <c r="BM1385" i="1"/>
  <c r="AR1405" i="1"/>
  <c r="BM1405" i="1"/>
  <c r="AS1404" i="1"/>
  <c r="BP1404" i="1"/>
  <c r="AS1393" i="1"/>
  <c r="BP1393" i="1"/>
  <c r="AS1415" i="1"/>
  <c r="BP1415" i="1"/>
  <c r="AS1425" i="1"/>
  <c r="BP1425" i="1"/>
  <c r="AR1419" i="1"/>
  <c r="BM1398" i="1"/>
  <c r="BM1417" i="1"/>
  <c r="AS1411" i="1"/>
  <c r="BP1411" i="1"/>
  <c r="AS1386" i="1"/>
  <c r="BP1386" i="1"/>
  <c r="AS1388" i="1"/>
  <c r="BP1388" i="1"/>
  <c r="AS1417" i="1"/>
  <c r="BP1417" i="1"/>
  <c r="BM1393" i="1"/>
  <c r="BM1409" i="1"/>
  <c r="AM1368" i="1"/>
  <c r="AL1368" i="1"/>
  <c r="BP1422" i="1" l="1"/>
  <c r="BP1401" i="1"/>
  <c r="BP1383" i="1"/>
  <c r="BP1407" i="1"/>
  <c r="BP1414" i="1"/>
  <c r="AS1399" i="1"/>
  <c r="AS1402" i="1"/>
  <c r="AS1394" i="1"/>
  <c r="BP1384" i="1"/>
  <c r="BP1406" i="1"/>
  <c r="AS1419" i="1"/>
  <c r="BP1419" i="1"/>
  <c r="AS1403" i="1"/>
  <c r="BP1403" i="1"/>
  <c r="AS1405" i="1"/>
  <c r="BP1405" i="1"/>
  <c r="AS1426" i="1"/>
  <c r="BP1426" i="1"/>
  <c r="AS1421" i="1"/>
  <c r="BP1421" i="1"/>
  <c r="AS1391" i="1"/>
  <c r="BP1391" i="1"/>
  <c r="AS1385" i="1"/>
  <c r="BP1385" i="1"/>
  <c r="AS1397" i="1"/>
  <c r="BP1397" i="1"/>
  <c r="BO1379" i="1"/>
  <c r="BO1380" i="1"/>
  <c r="BH1380" i="1"/>
  <c r="BI1380" i="1" s="1"/>
  <c r="BK1380" i="1" s="1"/>
  <c r="BF1380" i="1"/>
  <c r="BG1380" i="1" s="1"/>
  <c r="BH1379" i="1"/>
  <c r="BI1379" i="1" s="1"/>
  <c r="BK1379" i="1" s="1"/>
  <c r="BF1379" i="1"/>
  <c r="BG1379" i="1" s="1"/>
  <c r="BO1378" i="1"/>
  <c r="BH1378" i="1"/>
  <c r="BI1378" i="1" s="1"/>
  <c r="BK1378" i="1" s="1"/>
  <c r="BF1378" i="1"/>
  <c r="BG1378" i="1" s="1"/>
  <c r="BO1377" i="1"/>
  <c r="BH1377" i="1"/>
  <c r="BI1377" i="1" s="1"/>
  <c r="BK1377" i="1" s="1"/>
  <c r="BF1377" i="1"/>
  <c r="BG1377" i="1" s="1"/>
  <c r="BO1376" i="1"/>
  <c r="BH1376" i="1"/>
  <c r="BI1376" i="1" s="1"/>
  <c r="BK1376" i="1" s="1"/>
  <c r="BF1376" i="1"/>
  <c r="BG1376" i="1" s="1"/>
  <c r="BO1375" i="1"/>
  <c r="BH1375" i="1"/>
  <c r="BI1375" i="1" s="1"/>
  <c r="BK1375" i="1" s="1"/>
  <c r="BF1375" i="1"/>
  <c r="BG1375" i="1" s="1"/>
  <c r="BO1374" i="1"/>
  <c r="BH1374" i="1"/>
  <c r="BI1374" i="1" s="1"/>
  <c r="BK1374" i="1" s="1"/>
  <c r="BF1374" i="1"/>
  <c r="BG1374" i="1" s="1"/>
  <c r="BO1373" i="1"/>
  <c r="BH1373" i="1"/>
  <c r="BI1373" i="1" s="1"/>
  <c r="BK1373" i="1" s="1"/>
  <c r="BF1373" i="1"/>
  <c r="BG1373" i="1" s="1"/>
  <c r="BO1372" i="1"/>
  <c r="BH1372" i="1"/>
  <c r="BI1372" i="1" s="1"/>
  <c r="BK1372" i="1" s="1"/>
  <c r="BF1372" i="1"/>
  <c r="BG1372" i="1" s="1"/>
  <c r="BO1371" i="1"/>
  <c r="BH1371" i="1"/>
  <c r="BI1371" i="1" s="1"/>
  <c r="BK1371" i="1" s="1"/>
  <c r="BF1371" i="1"/>
  <c r="BG1371" i="1" s="1"/>
  <c r="BO1370" i="1"/>
  <c r="BH1370" i="1"/>
  <c r="BI1370" i="1" s="1"/>
  <c r="BK1370" i="1" s="1"/>
  <c r="BF1370" i="1"/>
  <c r="BG1370" i="1" s="1"/>
  <c r="BO1369" i="1"/>
  <c r="BH1369" i="1"/>
  <c r="BI1369" i="1" s="1"/>
  <c r="BK1369" i="1" s="1"/>
  <c r="BF1369" i="1"/>
  <c r="BG1369" i="1" s="1"/>
  <c r="BO1368" i="1"/>
  <c r="BH1368" i="1"/>
  <c r="BI1368" i="1" s="1"/>
  <c r="BK1368" i="1" s="1"/>
  <c r="BF1368" i="1"/>
  <c r="BG1368" i="1" s="1"/>
  <c r="AZ1380" i="1"/>
  <c r="AW1380" i="1"/>
  <c r="BB1380" i="1" s="1"/>
  <c r="AZ1379" i="1"/>
  <c r="AW1379" i="1"/>
  <c r="BB1379" i="1" s="1"/>
  <c r="AZ1378" i="1"/>
  <c r="AW1378" i="1"/>
  <c r="AY1378" i="1" s="1"/>
  <c r="AZ1377" i="1"/>
  <c r="AW1377" i="1"/>
  <c r="BB1377" i="1" s="1"/>
  <c r="AZ1376" i="1"/>
  <c r="AW1376" i="1"/>
  <c r="BB1376" i="1" s="1"/>
  <c r="AZ1375" i="1"/>
  <c r="AW1375" i="1"/>
  <c r="BB1375" i="1" s="1"/>
  <c r="AZ1374" i="1"/>
  <c r="AW1374" i="1"/>
  <c r="AO1374" i="1" s="1"/>
  <c r="AZ1373" i="1"/>
  <c r="AW1373" i="1"/>
  <c r="AY1373" i="1" s="1"/>
  <c r="AZ1372" i="1"/>
  <c r="AW1372" i="1"/>
  <c r="AY1372" i="1" s="1"/>
  <c r="AZ1371" i="1"/>
  <c r="AW1371" i="1"/>
  <c r="AY1371" i="1" s="1"/>
  <c r="AZ1370" i="1"/>
  <c r="AW1370" i="1"/>
  <c r="AO1370" i="1" s="1"/>
  <c r="AZ1369" i="1"/>
  <c r="AW1369" i="1"/>
  <c r="BB1369" i="1" s="1"/>
  <c r="AZ1368" i="1"/>
  <c r="AW1368" i="1"/>
  <c r="BB1368" i="1" s="1"/>
  <c r="AK1380" i="1"/>
  <c r="AK1379" i="1"/>
  <c r="AK1378" i="1"/>
  <c r="AK1377" i="1"/>
  <c r="AK1376" i="1"/>
  <c r="AK1375" i="1"/>
  <c r="AK1374" i="1"/>
  <c r="AK1373" i="1"/>
  <c r="AK1372" i="1"/>
  <c r="AK1371" i="1"/>
  <c r="AK1370" i="1"/>
  <c r="AK1369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BA1373" i="1" l="1"/>
  <c r="BM1374" i="1"/>
  <c r="BA1372" i="1"/>
  <c r="BA1378" i="1"/>
  <c r="AO1368" i="1"/>
  <c r="BM1368" i="1" s="1"/>
  <c r="BA1371" i="1"/>
  <c r="AO1377" i="1"/>
  <c r="AR1377" i="1" s="1"/>
  <c r="BM1370" i="1"/>
  <c r="AO1378" i="1"/>
  <c r="AR1378" i="1" s="1"/>
  <c r="AO1376" i="1"/>
  <c r="BM1376" i="1" s="1"/>
  <c r="AY1376" i="1"/>
  <c r="BA1376" i="1" s="1"/>
  <c r="AO1371" i="1"/>
  <c r="BM1371" i="1" s="1"/>
  <c r="AO1372" i="1"/>
  <c r="BM1372" i="1" s="1"/>
  <c r="AO1373" i="1"/>
  <c r="BM1373" i="1" s="1"/>
  <c r="BB1371" i="1"/>
  <c r="AO1380" i="1"/>
  <c r="BM1380" i="1" s="1"/>
  <c r="BB1373" i="1"/>
  <c r="BB1378" i="1"/>
  <c r="AY1379" i="1"/>
  <c r="BA1379" i="1" s="1"/>
  <c r="AR1374" i="1"/>
  <c r="AY1377" i="1"/>
  <c r="BA1377" i="1" s="1"/>
  <c r="BB1372" i="1"/>
  <c r="AO1369" i="1"/>
  <c r="AR1369" i="1" s="1"/>
  <c r="AY1368" i="1"/>
  <c r="BA1368" i="1" s="1"/>
  <c r="AY1369" i="1"/>
  <c r="BA1369" i="1" s="1"/>
  <c r="AY1374" i="1"/>
  <c r="BA1374" i="1" s="1"/>
  <c r="AO1379" i="1"/>
  <c r="BB1374" i="1"/>
  <c r="AY1370" i="1"/>
  <c r="BA1370" i="1" s="1"/>
  <c r="AY1375" i="1"/>
  <c r="BA1375" i="1" s="1"/>
  <c r="AO1375" i="1"/>
  <c r="AY1380" i="1"/>
  <c r="BA1380" i="1" s="1"/>
  <c r="AR1370" i="1"/>
  <c r="BB1370" i="1"/>
  <c r="AL1356" i="1"/>
  <c r="AQ1325" i="1"/>
  <c r="AQ1324" i="1"/>
  <c r="AQ1314" i="1"/>
  <c r="AQ1313" i="1"/>
  <c r="AK1356" i="1"/>
  <c r="AK1325" i="1"/>
  <c r="AK1324" i="1"/>
  <c r="AR1371" i="1" l="1"/>
  <c r="AS1371" i="1" s="1"/>
  <c r="AR1368" i="1"/>
  <c r="AS1368" i="1" s="1"/>
  <c r="CC1368" i="1" s="1"/>
  <c r="CE1368" i="1" s="1"/>
  <c r="BM1377" i="1"/>
  <c r="AR1376" i="1"/>
  <c r="AS1376" i="1" s="1"/>
  <c r="AR1373" i="1"/>
  <c r="AS1373" i="1" s="1"/>
  <c r="BM1378" i="1"/>
  <c r="AS1378" i="1"/>
  <c r="BP1378" i="1"/>
  <c r="AS1377" i="1"/>
  <c r="BP1377" i="1"/>
  <c r="AS1369" i="1"/>
  <c r="BP1369" i="1"/>
  <c r="AS1370" i="1"/>
  <c r="BP1370" i="1"/>
  <c r="AS1374" i="1"/>
  <c r="BP1374" i="1"/>
  <c r="AR1375" i="1"/>
  <c r="BM1375" i="1"/>
  <c r="AR1379" i="1"/>
  <c r="BM1379" i="1"/>
  <c r="AR1380" i="1"/>
  <c r="AR1372" i="1"/>
  <c r="BM1369" i="1"/>
  <c r="AN1356" i="1"/>
  <c r="AM1356" i="1"/>
  <c r="AM1355" i="1"/>
  <c r="AL1355" i="1"/>
  <c r="AL1325" i="1"/>
  <c r="AL1324" i="1"/>
  <c r="AM1325" i="1"/>
  <c r="AM1324" i="1"/>
  <c r="AM1314" i="1"/>
  <c r="AL1314" i="1"/>
  <c r="AM1313" i="1"/>
  <c r="AL1313" i="1"/>
  <c r="BP1368" i="1" l="1"/>
  <c r="BP1371" i="1"/>
  <c r="BP1376" i="1"/>
  <c r="BP1373" i="1"/>
  <c r="AS1372" i="1"/>
  <c r="BP1372" i="1"/>
  <c r="AS1380" i="1"/>
  <c r="BP1380" i="1"/>
  <c r="AS1375" i="1"/>
  <c r="BP1375" i="1"/>
  <c r="AS1379" i="1"/>
  <c r="BP1379" i="1"/>
  <c r="BO1367" i="1"/>
  <c r="BH1367" i="1"/>
  <c r="BI1367" i="1" s="1"/>
  <c r="BK1367" i="1" s="1"/>
  <c r="BF1367" i="1"/>
  <c r="BG1367" i="1" s="1"/>
  <c r="BO1366" i="1"/>
  <c r="BH1366" i="1"/>
  <c r="BI1366" i="1" s="1"/>
  <c r="BK1366" i="1" s="1"/>
  <c r="BF1366" i="1"/>
  <c r="BG1366" i="1" s="1"/>
  <c r="BO1365" i="1"/>
  <c r="BH1365" i="1"/>
  <c r="BI1365" i="1" s="1"/>
  <c r="BK1365" i="1" s="1"/>
  <c r="BF1365" i="1"/>
  <c r="BG1365" i="1" s="1"/>
  <c r="BO1364" i="1"/>
  <c r="BH1364" i="1"/>
  <c r="BI1364" i="1" s="1"/>
  <c r="BK1364" i="1" s="1"/>
  <c r="BF1364" i="1"/>
  <c r="BG1364" i="1" s="1"/>
  <c r="BO1363" i="1"/>
  <c r="BH1363" i="1"/>
  <c r="BI1363" i="1" s="1"/>
  <c r="BK1363" i="1" s="1"/>
  <c r="BF1363" i="1"/>
  <c r="BG1363" i="1" s="1"/>
  <c r="BO1362" i="1"/>
  <c r="BH1362" i="1"/>
  <c r="BI1362" i="1" s="1"/>
  <c r="BK1362" i="1" s="1"/>
  <c r="BF1362" i="1"/>
  <c r="BG1362" i="1" s="1"/>
  <c r="BO1361" i="1"/>
  <c r="BH1361" i="1"/>
  <c r="BI1361" i="1" s="1"/>
  <c r="BK1361" i="1" s="1"/>
  <c r="BF1361" i="1"/>
  <c r="BG1361" i="1" s="1"/>
  <c r="BO1360" i="1"/>
  <c r="BH1360" i="1"/>
  <c r="BI1360" i="1" s="1"/>
  <c r="BK1360" i="1" s="1"/>
  <c r="BF1360" i="1"/>
  <c r="BG1360" i="1" s="1"/>
  <c r="BO1359" i="1"/>
  <c r="BH1359" i="1"/>
  <c r="BI1359" i="1" s="1"/>
  <c r="BK1359" i="1" s="1"/>
  <c r="BF1359" i="1"/>
  <c r="BG1359" i="1" s="1"/>
  <c r="BO1358" i="1"/>
  <c r="BH1358" i="1"/>
  <c r="BI1358" i="1" s="1"/>
  <c r="BK1358" i="1" s="1"/>
  <c r="BF1358" i="1"/>
  <c r="BG1358" i="1" s="1"/>
  <c r="BO1357" i="1"/>
  <c r="BH1357" i="1"/>
  <c r="BI1357" i="1" s="1"/>
  <c r="BK1357" i="1" s="1"/>
  <c r="BF1357" i="1"/>
  <c r="BG1357" i="1" s="1"/>
  <c r="BO1356" i="1"/>
  <c r="BH1356" i="1"/>
  <c r="BI1356" i="1" s="1"/>
  <c r="BK1356" i="1" s="1"/>
  <c r="BF1356" i="1"/>
  <c r="BG1356" i="1" s="1"/>
  <c r="BO1355" i="1"/>
  <c r="BH1355" i="1"/>
  <c r="BI1355" i="1" s="1"/>
  <c r="BK1355" i="1" s="1"/>
  <c r="BF1355" i="1"/>
  <c r="BG1355" i="1" s="1"/>
  <c r="BO1354" i="1"/>
  <c r="BH1354" i="1"/>
  <c r="BI1354" i="1" s="1"/>
  <c r="BK1354" i="1" s="1"/>
  <c r="BF1354" i="1"/>
  <c r="BG1354" i="1" s="1"/>
  <c r="BO1353" i="1"/>
  <c r="BH1353" i="1"/>
  <c r="BI1353" i="1" s="1"/>
  <c r="BK1353" i="1" s="1"/>
  <c r="BF1353" i="1"/>
  <c r="BG1353" i="1" s="1"/>
  <c r="BO1352" i="1"/>
  <c r="BH1352" i="1"/>
  <c r="BI1352" i="1" s="1"/>
  <c r="BK1352" i="1" s="1"/>
  <c r="BF1352" i="1"/>
  <c r="BG1352" i="1" s="1"/>
  <c r="BO1351" i="1"/>
  <c r="BH1351" i="1"/>
  <c r="BI1351" i="1" s="1"/>
  <c r="BK1351" i="1" s="1"/>
  <c r="BF1351" i="1"/>
  <c r="BG1351" i="1" s="1"/>
  <c r="BO1350" i="1"/>
  <c r="BH1350" i="1"/>
  <c r="BI1350" i="1" s="1"/>
  <c r="BK1350" i="1" s="1"/>
  <c r="BF1350" i="1"/>
  <c r="BG1350" i="1" s="1"/>
  <c r="BO1349" i="1"/>
  <c r="BH1349" i="1"/>
  <c r="BI1349" i="1" s="1"/>
  <c r="BK1349" i="1" s="1"/>
  <c r="BF1349" i="1"/>
  <c r="BG1349" i="1" s="1"/>
  <c r="BO1348" i="1"/>
  <c r="BH1348" i="1"/>
  <c r="BI1348" i="1" s="1"/>
  <c r="BK1348" i="1" s="1"/>
  <c r="BF1348" i="1"/>
  <c r="BG1348" i="1" s="1"/>
  <c r="BO1347" i="1"/>
  <c r="BH1347" i="1"/>
  <c r="BI1347" i="1" s="1"/>
  <c r="BK1347" i="1" s="1"/>
  <c r="BF1347" i="1"/>
  <c r="BG1347" i="1" s="1"/>
  <c r="BO1346" i="1"/>
  <c r="BH1346" i="1"/>
  <c r="BI1346" i="1" s="1"/>
  <c r="BK1346" i="1" s="1"/>
  <c r="BF1346" i="1"/>
  <c r="BG1346" i="1" s="1"/>
  <c r="BO1345" i="1"/>
  <c r="BH1345" i="1"/>
  <c r="BI1345" i="1" s="1"/>
  <c r="BK1345" i="1" s="1"/>
  <c r="BF1345" i="1"/>
  <c r="BG1345" i="1" s="1"/>
  <c r="BO1344" i="1"/>
  <c r="BH1344" i="1"/>
  <c r="BI1344" i="1" s="1"/>
  <c r="BK1344" i="1" s="1"/>
  <c r="BF1344" i="1"/>
  <c r="BG1344" i="1" s="1"/>
  <c r="BO1343" i="1"/>
  <c r="BH1343" i="1"/>
  <c r="BI1343" i="1" s="1"/>
  <c r="BK1343" i="1" s="1"/>
  <c r="BF1343" i="1"/>
  <c r="BG1343" i="1" s="1"/>
  <c r="BO1342" i="1"/>
  <c r="BH1342" i="1"/>
  <c r="BI1342" i="1" s="1"/>
  <c r="BK1342" i="1" s="1"/>
  <c r="BF1342" i="1"/>
  <c r="BG1342" i="1" s="1"/>
  <c r="BO1341" i="1"/>
  <c r="BH1341" i="1"/>
  <c r="BI1341" i="1" s="1"/>
  <c r="BK1341" i="1" s="1"/>
  <c r="BF1341" i="1"/>
  <c r="BG1341" i="1" s="1"/>
  <c r="BO1340" i="1"/>
  <c r="BH1340" i="1"/>
  <c r="BI1340" i="1" s="1"/>
  <c r="BK1340" i="1" s="1"/>
  <c r="BF1340" i="1"/>
  <c r="BG1340" i="1" s="1"/>
  <c r="BO1339" i="1"/>
  <c r="BH1339" i="1"/>
  <c r="BI1339" i="1" s="1"/>
  <c r="BK1339" i="1" s="1"/>
  <c r="BF1339" i="1"/>
  <c r="BG1339" i="1" s="1"/>
  <c r="BO1338" i="1"/>
  <c r="BH1338" i="1"/>
  <c r="BI1338" i="1" s="1"/>
  <c r="BK1338" i="1" s="1"/>
  <c r="BF1338" i="1"/>
  <c r="BG1338" i="1" s="1"/>
  <c r="BO1337" i="1"/>
  <c r="BH1337" i="1"/>
  <c r="BI1337" i="1" s="1"/>
  <c r="BK1337" i="1" s="1"/>
  <c r="BF1337" i="1"/>
  <c r="BG1337" i="1" s="1"/>
  <c r="BO1336" i="1"/>
  <c r="BH1336" i="1"/>
  <c r="BI1336" i="1" s="1"/>
  <c r="BK1336" i="1" s="1"/>
  <c r="BF1336" i="1"/>
  <c r="BG1336" i="1" s="1"/>
  <c r="BO1335" i="1"/>
  <c r="BH1335" i="1"/>
  <c r="BI1335" i="1" s="1"/>
  <c r="BK1335" i="1" s="1"/>
  <c r="BF1335" i="1"/>
  <c r="BG1335" i="1" s="1"/>
  <c r="BO1334" i="1"/>
  <c r="BH1334" i="1"/>
  <c r="BI1334" i="1" s="1"/>
  <c r="BK1334" i="1" s="1"/>
  <c r="BF1334" i="1"/>
  <c r="BG1334" i="1" s="1"/>
  <c r="BO1333" i="1"/>
  <c r="BH1333" i="1"/>
  <c r="BI1333" i="1" s="1"/>
  <c r="BK1333" i="1" s="1"/>
  <c r="BF1333" i="1"/>
  <c r="BG1333" i="1" s="1"/>
  <c r="BO1332" i="1"/>
  <c r="BH1332" i="1"/>
  <c r="BI1332" i="1" s="1"/>
  <c r="BK1332" i="1" s="1"/>
  <c r="BF1332" i="1"/>
  <c r="BG1332" i="1" s="1"/>
  <c r="BO1331" i="1"/>
  <c r="BH1331" i="1"/>
  <c r="BI1331" i="1" s="1"/>
  <c r="BK1331" i="1" s="1"/>
  <c r="BF1331" i="1"/>
  <c r="BG1331" i="1" s="1"/>
  <c r="BO1330" i="1"/>
  <c r="BH1330" i="1"/>
  <c r="BI1330" i="1" s="1"/>
  <c r="BK1330" i="1" s="1"/>
  <c r="BF1330" i="1"/>
  <c r="BG1330" i="1" s="1"/>
  <c r="BO1329" i="1"/>
  <c r="BH1329" i="1"/>
  <c r="BI1329" i="1" s="1"/>
  <c r="BK1329" i="1" s="1"/>
  <c r="BF1329" i="1"/>
  <c r="BG1329" i="1" s="1"/>
  <c r="BO1328" i="1"/>
  <c r="BH1328" i="1"/>
  <c r="BI1328" i="1" s="1"/>
  <c r="BK1328" i="1" s="1"/>
  <c r="BF1328" i="1"/>
  <c r="BG1328" i="1" s="1"/>
  <c r="BO1327" i="1"/>
  <c r="BH1327" i="1"/>
  <c r="BI1327" i="1" s="1"/>
  <c r="BK1327" i="1" s="1"/>
  <c r="BF1327" i="1"/>
  <c r="BG1327" i="1" s="1"/>
  <c r="BO1326" i="1"/>
  <c r="BH1326" i="1"/>
  <c r="BI1326" i="1" s="1"/>
  <c r="BK1326" i="1" s="1"/>
  <c r="BF1326" i="1"/>
  <c r="BG1326" i="1" s="1"/>
  <c r="BO1325" i="1"/>
  <c r="BH1325" i="1"/>
  <c r="BI1325" i="1" s="1"/>
  <c r="BK1325" i="1" s="1"/>
  <c r="BF1325" i="1"/>
  <c r="BG1325" i="1" s="1"/>
  <c r="BO1324" i="1"/>
  <c r="BH1324" i="1"/>
  <c r="BI1324" i="1" s="1"/>
  <c r="BK1324" i="1" s="1"/>
  <c r="BF1324" i="1"/>
  <c r="BG1324" i="1" s="1"/>
  <c r="BO1323" i="1"/>
  <c r="BH1323" i="1"/>
  <c r="BI1323" i="1" s="1"/>
  <c r="BK1323" i="1" s="1"/>
  <c r="BF1323" i="1"/>
  <c r="BG1323" i="1" s="1"/>
  <c r="BO1322" i="1"/>
  <c r="BH1322" i="1"/>
  <c r="BI1322" i="1" s="1"/>
  <c r="BK1322" i="1" s="1"/>
  <c r="BF1322" i="1"/>
  <c r="BG1322" i="1" s="1"/>
  <c r="BO1321" i="1"/>
  <c r="BH1321" i="1"/>
  <c r="BI1321" i="1" s="1"/>
  <c r="BK1321" i="1" s="1"/>
  <c r="BF1321" i="1"/>
  <c r="BG1321" i="1" s="1"/>
  <c r="BO1320" i="1"/>
  <c r="BH1320" i="1"/>
  <c r="BI1320" i="1" s="1"/>
  <c r="BK1320" i="1" s="1"/>
  <c r="BF1320" i="1"/>
  <c r="BG1320" i="1" s="1"/>
  <c r="BO1319" i="1"/>
  <c r="BH1319" i="1"/>
  <c r="BI1319" i="1" s="1"/>
  <c r="BK1319" i="1" s="1"/>
  <c r="BF1319" i="1"/>
  <c r="BG1319" i="1" s="1"/>
  <c r="BO1318" i="1"/>
  <c r="BH1318" i="1"/>
  <c r="BI1318" i="1" s="1"/>
  <c r="BK1318" i="1" s="1"/>
  <c r="BF1318" i="1"/>
  <c r="BG1318" i="1" s="1"/>
  <c r="BO1317" i="1"/>
  <c r="BH1317" i="1"/>
  <c r="BI1317" i="1" s="1"/>
  <c r="BK1317" i="1" s="1"/>
  <c r="BF1317" i="1"/>
  <c r="BG1317" i="1" s="1"/>
  <c r="BO1316" i="1"/>
  <c r="BH1316" i="1"/>
  <c r="BI1316" i="1" s="1"/>
  <c r="BK1316" i="1" s="1"/>
  <c r="BF1316" i="1"/>
  <c r="BG1316" i="1" s="1"/>
  <c r="BO1315" i="1"/>
  <c r="BH1315" i="1"/>
  <c r="BI1315" i="1" s="1"/>
  <c r="BK1315" i="1" s="1"/>
  <c r="BF1315" i="1"/>
  <c r="BG1315" i="1" s="1"/>
  <c r="BO1314" i="1"/>
  <c r="BH1314" i="1"/>
  <c r="BI1314" i="1" s="1"/>
  <c r="BK1314" i="1" s="1"/>
  <c r="BF1314" i="1"/>
  <c r="BG1314" i="1" s="1"/>
  <c r="BO1313" i="1"/>
  <c r="BH1313" i="1"/>
  <c r="BI1313" i="1" s="1"/>
  <c r="BK1313" i="1" s="1"/>
  <c r="BF1313" i="1"/>
  <c r="BG1313" i="1" s="1"/>
  <c r="BO1312" i="1"/>
  <c r="BH1312" i="1"/>
  <c r="BI1312" i="1" s="1"/>
  <c r="BK1312" i="1" s="1"/>
  <c r="BF1312" i="1"/>
  <c r="BG1312" i="1" s="1"/>
  <c r="AZ1367" i="1"/>
  <c r="AW1367" i="1"/>
  <c r="BB1367" i="1" s="1"/>
  <c r="AZ1366" i="1"/>
  <c r="AW1366" i="1"/>
  <c r="AY1366" i="1" s="1"/>
  <c r="AZ1365" i="1"/>
  <c r="AW1365" i="1"/>
  <c r="AY1365" i="1" s="1"/>
  <c r="AZ1364" i="1"/>
  <c r="AW1364" i="1"/>
  <c r="AY1364" i="1" s="1"/>
  <c r="AZ1363" i="1"/>
  <c r="AW1363" i="1"/>
  <c r="AO1363" i="1" s="1"/>
  <c r="AZ1362" i="1"/>
  <c r="AW1362" i="1"/>
  <c r="BB1362" i="1" s="1"/>
  <c r="AZ1361" i="1"/>
  <c r="AW1361" i="1"/>
  <c r="BB1361" i="1" s="1"/>
  <c r="AZ1360" i="1"/>
  <c r="AW1360" i="1"/>
  <c r="BB1360" i="1" s="1"/>
  <c r="AZ1359" i="1"/>
  <c r="AW1359" i="1"/>
  <c r="AY1359" i="1" s="1"/>
  <c r="AZ1358" i="1"/>
  <c r="AW1358" i="1"/>
  <c r="AY1358" i="1" s="1"/>
  <c r="AZ1357" i="1"/>
  <c r="AW1357" i="1"/>
  <c r="AO1357" i="1" s="1"/>
  <c r="AZ1356" i="1"/>
  <c r="AW1356" i="1"/>
  <c r="AO1356" i="1" s="1"/>
  <c r="AZ1355" i="1"/>
  <c r="AW1355" i="1"/>
  <c r="BB1355" i="1" s="1"/>
  <c r="AZ1354" i="1"/>
  <c r="AW1354" i="1"/>
  <c r="BB1354" i="1" s="1"/>
  <c r="AZ1353" i="1"/>
  <c r="AW1353" i="1"/>
  <c r="AY1353" i="1" s="1"/>
  <c r="AZ1352" i="1"/>
  <c r="AW1352" i="1"/>
  <c r="BB1352" i="1" s="1"/>
  <c r="AZ1351" i="1"/>
  <c r="AW1351" i="1"/>
  <c r="AO1351" i="1" s="1"/>
  <c r="AZ1350" i="1"/>
  <c r="AW1350" i="1"/>
  <c r="BB1350" i="1" s="1"/>
  <c r="AZ1349" i="1"/>
  <c r="AW1349" i="1"/>
  <c r="BB1349" i="1" s="1"/>
  <c r="AZ1348" i="1"/>
  <c r="AW1348" i="1"/>
  <c r="AY1348" i="1" s="1"/>
  <c r="AZ1347" i="1"/>
  <c r="AW1347" i="1"/>
  <c r="BB1347" i="1" s="1"/>
  <c r="AZ1346" i="1"/>
  <c r="AW1346" i="1"/>
  <c r="AY1346" i="1" s="1"/>
  <c r="AZ1345" i="1"/>
  <c r="AW1345" i="1"/>
  <c r="AO1345" i="1" s="1"/>
  <c r="AZ1344" i="1"/>
  <c r="AW1344" i="1"/>
  <c r="AO1344" i="1" s="1"/>
  <c r="AZ1343" i="1"/>
  <c r="AW1343" i="1"/>
  <c r="BB1343" i="1" s="1"/>
  <c r="AZ1342" i="1"/>
  <c r="AW1342" i="1"/>
  <c r="BB1342" i="1" s="1"/>
  <c r="AZ1341" i="1"/>
  <c r="AW1341" i="1"/>
  <c r="AY1341" i="1" s="1"/>
  <c r="AZ1340" i="1"/>
  <c r="AW1340" i="1"/>
  <c r="BB1340" i="1" s="1"/>
  <c r="AZ1339" i="1"/>
  <c r="AW1339" i="1"/>
  <c r="BB1339" i="1" s="1"/>
  <c r="AZ1338" i="1"/>
  <c r="AW1338" i="1"/>
  <c r="BB1338" i="1" s="1"/>
  <c r="AZ1337" i="1"/>
  <c r="AW1337" i="1"/>
  <c r="BB1337" i="1" s="1"/>
  <c r="AZ1336" i="1"/>
  <c r="AW1336" i="1"/>
  <c r="BB1336" i="1" s="1"/>
  <c r="AZ1335" i="1"/>
  <c r="AW1335" i="1"/>
  <c r="BB1335" i="1" s="1"/>
  <c r="AZ1334" i="1"/>
  <c r="AW1334" i="1"/>
  <c r="AY1334" i="1" s="1"/>
  <c r="AZ1333" i="1"/>
  <c r="AW1333" i="1"/>
  <c r="AO1333" i="1" s="1"/>
  <c r="AZ1332" i="1"/>
  <c r="AW1332" i="1"/>
  <c r="AO1332" i="1" s="1"/>
  <c r="AZ1331" i="1"/>
  <c r="AW1331" i="1"/>
  <c r="BB1331" i="1" s="1"/>
  <c r="AZ1330" i="1"/>
  <c r="AW1330" i="1"/>
  <c r="BB1330" i="1" s="1"/>
  <c r="AZ1329" i="1"/>
  <c r="AW1329" i="1"/>
  <c r="AY1329" i="1" s="1"/>
  <c r="AZ1328" i="1"/>
  <c r="AW1328" i="1"/>
  <c r="AY1328" i="1" s="1"/>
  <c r="AZ1327" i="1"/>
  <c r="AW1327" i="1"/>
  <c r="BB1327" i="1" s="1"/>
  <c r="AZ1326" i="1"/>
  <c r="AW1326" i="1"/>
  <c r="BB1326" i="1" s="1"/>
  <c r="AZ1325" i="1"/>
  <c r="AW1325" i="1"/>
  <c r="AO1325" i="1" s="1"/>
  <c r="AZ1324" i="1"/>
  <c r="AW1324" i="1"/>
  <c r="AY1324" i="1" s="1"/>
  <c r="AZ1323" i="1"/>
  <c r="AW1323" i="1"/>
  <c r="AY1323" i="1" s="1"/>
  <c r="AZ1322" i="1"/>
  <c r="AW1322" i="1"/>
  <c r="AY1322" i="1" s="1"/>
  <c r="AZ1321" i="1"/>
  <c r="AW1321" i="1"/>
  <c r="AO1321" i="1" s="1"/>
  <c r="AZ1320" i="1"/>
  <c r="AW1320" i="1"/>
  <c r="AO1320" i="1" s="1"/>
  <c r="AZ1319" i="1"/>
  <c r="AW1319" i="1"/>
  <c r="BB1319" i="1" s="1"/>
  <c r="AZ1318" i="1"/>
  <c r="AW1318" i="1"/>
  <c r="AY1318" i="1" s="1"/>
  <c r="AZ1317" i="1"/>
  <c r="AW1317" i="1"/>
  <c r="AY1317" i="1" s="1"/>
  <c r="AZ1316" i="1"/>
  <c r="AW1316" i="1"/>
  <c r="BB1316" i="1" s="1"/>
  <c r="AZ1315" i="1"/>
  <c r="AW1315" i="1"/>
  <c r="BB1315" i="1" s="1"/>
  <c r="AZ1314" i="1"/>
  <c r="AW1314" i="1"/>
  <c r="BB1314" i="1" s="1"/>
  <c r="AZ1313" i="1"/>
  <c r="AW1313" i="1"/>
  <c r="BB1313" i="1" s="1"/>
  <c r="AZ1312" i="1"/>
  <c r="AW1312" i="1"/>
  <c r="AY1312" i="1" s="1"/>
  <c r="AK1367" i="1"/>
  <c r="AK1366" i="1"/>
  <c r="AK1365" i="1"/>
  <c r="AK1364" i="1"/>
  <c r="AK1363" i="1"/>
  <c r="AK1362" i="1"/>
  <c r="AK1361" i="1"/>
  <c r="AK1360" i="1"/>
  <c r="AK1359" i="1"/>
  <c r="AK1358" i="1"/>
  <c r="AK1357" i="1"/>
  <c r="AK1355" i="1"/>
  <c r="AK1354" i="1"/>
  <c r="AK1353" i="1"/>
  <c r="AK1352" i="1"/>
  <c r="AK1351" i="1"/>
  <c r="AK1350" i="1"/>
  <c r="AK1349" i="1"/>
  <c r="AK1348" i="1"/>
  <c r="AK1347" i="1"/>
  <c r="AK1346" i="1"/>
  <c r="AK1345" i="1"/>
  <c r="AK1344" i="1"/>
  <c r="AK1343" i="1"/>
  <c r="AK1342" i="1"/>
  <c r="AK1341" i="1"/>
  <c r="AK1340" i="1"/>
  <c r="AK1339" i="1"/>
  <c r="AK1338" i="1"/>
  <c r="AK1337" i="1"/>
  <c r="AK1336" i="1"/>
  <c r="AK1335" i="1"/>
  <c r="AK1334" i="1"/>
  <c r="AK1333" i="1"/>
  <c r="AK1332" i="1"/>
  <c r="AK1331" i="1"/>
  <c r="AK1330" i="1"/>
  <c r="AK1329" i="1"/>
  <c r="AK1328" i="1"/>
  <c r="AK1327" i="1"/>
  <c r="AK1326" i="1"/>
  <c r="AK1323" i="1"/>
  <c r="AK1322" i="1"/>
  <c r="AK1321" i="1"/>
  <c r="AK1320" i="1"/>
  <c r="AK1319" i="1"/>
  <c r="AK1318" i="1"/>
  <c r="AK1317" i="1"/>
  <c r="AK1316" i="1"/>
  <c r="AK1315" i="1"/>
  <c r="AK1314" i="1"/>
  <c r="AK1313" i="1"/>
  <c r="AK1312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BA1353" i="1" l="1"/>
  <c r="BA1359" i="1"/>
  <c r="BA1312" i="1"/>
  <c r="BA1318" i="1"/>
  <c r="BA1324" i="1"/>
  <c r="BA1348" i="1"/>
  <c r="AO1327" i="1"/>
  <c r="AR1327" i="1" s="1"/>
  <c r="AO1328" i="1"/>
  <c r="AR1328" i="1" s="1"/>
  <c r="BM1321" i="1"/>
  <c r="BM1345" i="1"/>
  <c r="AO1322" i="1"/>
  <c r="AR1322" i="1" s="1"/>
  <c r="AS1322" i="1" s="1"/>
  <c r="BM1357" i="1"/>
  <c r="AO1324" i="1"/>
  <c r="AR1324" i="1" s="1"/>
  <c r="BM1333" i="1"/>
  <c r="BM1344" i="1"/>
  <c r="AO1335" i="1"/>
  <c r="AR1335" i="1" s="1"/>
  <c r="AS1335" i="1" s="1"/>
  <c r="BM1363" i="1"/>
  <c r="AO1319" i="1"/>
  <c r="BM1319" i="1" s="1"/>
  <c r="BB1324" i="1"/>
  <c r="AO1312" i="1"/>
  <c r="AR1312" i="1" s="1"/>
  <c r="AR1333" i="1"/>
  <c r="AR1357" i="1"/>
  <c r="AS1357" i="1" s="1"/>
  <c r="BA1322" i="1"/>
  <c r="AO1336" i="1"/>
  <c r="AR1336" i="1" s="1"/>
  <c r="AO1323" i="1"/>
  <c r="BM1323" i="1" s="1"/>
  <c r="AO1365" i="1"/>
  <c r="BM1365" i="1" s="1"/>
  <c r="BA1334" i="1"/>
  <c r="BA1346" i="1"/>
  <c r="BA1358" i="1"/>
  <c r="AY1336" i="1"/>
  <c r="BA1336" i="1" s="1"/>
  <c r="BM1356" i="1"/>
  <c r="BB1341" i="1"/>
  <c r="BB1351" i="1"/>
  <c r="AR1363" i="1"/>
  <c r="BP1363" i="1" s="1"/>
  <c r="AY1327" i="1"/>
  <c r="BA1327" i="1" s="1"/>
  <c r="BB1348" i="1"/>
  <c r="AO1316" i="1"/>
  <c r="BM1316" i="1" s="1"/>
  <c r="BB1317" i="1"/>
  <c r="AO1360" i="1"/>
  <c r="AR1360" i="1" s="1"/>
  <c r="BB1312" i="1"/>
  <c r="AO1317" i="1"/>
  <c r="AR1317" i="1" s="1"/>
  <c r="AS1317" i="1" s="1"/>
  <c r="BM1325" i="1"/>
  <c r="BB1365" i="1"/>
  <c r="AO1346" i="1"/>
  <c r="BM1346" i="1" s="1"/>
  <c r="AY1351" i="1"/>
  <c r="BA1351" i="1" s="1"/>
  <c r="BM1320" i="1"/>
  <c r="AO1347" i="1"/>
  <c r="BM1347" i="1" s="1"/>
  <c r="AO1348" i="1"/>
  <c r="AR1348" i="1" s="1"/>
  <c r="BM1332" i="1"/>
  <c r="AO1341" i="1"/>
  <c r="BM1341" i="1" s="1"/>
  <c r="AO1359" i="1"/>
  <c r="AR1359" i="1" s="1"/>
  <c r="BM1351" i="1"/>
  <c r="AY1360" i="1"/>
  <c r="BA1360" i="1" s="1"/>
  <c r="AO1352" i="1"/>
  <c r="AR1352" i="1" s="1"/>
  <c r="BA1329" i="1"/>
  <c r="BA1366" i="1"/>
  <c r="AO1358" i="1"/>
  <c r="BM1358" i="1" s="1"/>
  <c r="AO1343" i="1"/>
  <c r="BM1343" i="1" s="1"/>
  <c r="AO1315" i="1"/>
  <c r="BM1315" i="1" s="1"/>
  <c r="BA1364" i="1"/>
  <c r="AR1351" i="1"/>
  <c r="BB1329" i="1"/>
  <c r="BB1353" i="1"/>
  <c r="AR1345" i="1"/>
  <c r="BB1363" i="1"/>
  <c r="BB1334" i="1"/>
  <c r="AY1339" i="1"/>
  <c r="BA1339" i="1" s="1"/>
  <c r="BB1358" i="1"/>
  <c r="AO1367" i="1"/>
  <c r="AR1367" i="1" s="1"/>
  <c r="AO1331" i="1"/>
  <c r="BM1331" i="1" s="1"/>
  <c r="AO1339" i="1"/>
  <c r="AR1339" i="1" s="1"/>
  <c r="BA1317" i="1"/>
  <c r="BA1341" i="1"/>
  <c r="BA1365" i="1"/>
  <c r="AY1315" i="1"/>
  <c r="BA1315" i="1" s="1"/>
  <c r="AY1363" i="1"/>
  <c r="BA1363" i="1" s="1"/>
  <c r="AO1353" i="1"/>
  <c r="BM1353" i="1" s="1"/>
  <c r="BB1322" i="1"/>
  <c r="BB1346" i="1"/>
  <c r="AO1340" i="1"/>
  <c r="BM1340" i="1" s="1"/>
  <c r="AO1355" i="1"/>
  <c r="BM1355" i="1" s="1"/>
  <c r="BA1323" i="1"/>
  <c r="AO1329" i="1"/>
  <c r="AR1329" i="1" s="1"/>
  <c r="AO1334" i="1"/>
  <c r="AR1334" i="1" s="1"/>
  <c r="AO1364" i="1"/>
  <c r="BM1364" i="1" s="1"/>
  <c r="BA1328" i="1"/>
  <c r="AY1332" i="1"/>
  <c r="BA1332" i="1" s="1"/>
  <c r="AY1325" i="1"/>
  <c r="BA1325" i="1" s="1"/>
  <c r="AY1337" i="1"/>
  <c r="BA1337" i="1" s="1"/>
  <c r="BB1320" i="1"/>
  <c r="AY1335" i="1"/>
  <c r="BA1335" i="1" s="1"/>
  <c r="AY1347" i="1"/>
  <c r="BA1347" i="1" s="1"/>
  <c r="BB1356" i="1"/>
  <c r="AO1354" i="1"/>
  <c r="AR1354" i="1" s="1"/>
  <c r="AO1366" i="1"/>
  <c r="AR1366" i="1" s="1"/>
  <c r="AY1316" i="1"/>
  <c r="BA1316" i="1" s="1"/>
  <c r="BB1325" i="1"/>
  <c r="AY1340" i="1"/>
  <c r="BA1340" i="1" s="1"/>
  <c r="AY1352" i="1"/>
  <c r="BA1352" i="1" s="1"/>
  <c r="AR1325" i="1"/>
  <c r="BB1318" i="1"/>
  <c r="AY1333" i="1"/>
  <c r="BA1333" i="1" s="1"/>
  <c r="AY1345" i="1"/>
  <c r="BA1345" i="1" s="1"/>
  <c r="AY1357" i="1"/>
  <c r="BA1357" i="1" s="1"/>
  <c r="BB1366" i="1"/>
  <c r="AO1313" i="1"/>
  <c r="AR1313" i="1" s="1"/>
  <c r="AO1337" i="1"/>
  <c r="AO1349" i="1"/>
  <c r="AO1361" i="1"/>
  <c r="BM1361" i="1" s="1"/>
  <c r="AY1314" i="1"/>
  <c r="BA1314" i="1" s="1"/>
  <c r="BB1323" i="1"/>
  <c r="AY1326" i="1"/>
  <c r="BA1326" i="1" s="1"/>
  <c r="AY1338" i="1"/>
  <c r="BA1338" i="1" s="1"/>
  <c r="AY1350" i="1"/>
  <c r="BA1350" i="1" s="1"/>
  <c r="BB1359" i="1"/>
  <c r="AY1362" i="1"/>
  <c r="BA1362" i="1" s="1"/>
  <c r="AR1320" i="1"/>
  <c r="AR1332" i="1"/>
  <c r="AR1344" i="1"/>
  <c r="AR1356" i="1"/>
  <c r="AY1319" i="1"/>
  <c r="BA1319" i="1" s="1"/>
  <c r="BB1328" i="1"/>
  <c r="AY1331" i="1"/>
  <c r="BA1331" i="1" s="1"/>
  <c r="AY1343" i="1"/>
  <c r="BA1343" i="1" s="1"/>
  <c r="AY1355" i="1"/>
  <c r="BA1355" i="1" s="1"/>
  <c r="BB1364" i="1"/>
  <c r="AY1367" i="1"/>
  <c r="BA1367" i="1" s="1"/>
  <c r="AY1342" i="1"/>
  <c r="BA1342" i="1" s="1"/>
  <c r="AY1354" i="1"/>
  <c r="BA1354" i="1" s="1"/>
  <c r="AY1344" i="1"/>
  <c r="BA1344" i="1" s="1"/>
  <c r="AY1361" i="1"/>
  <c r="BA1361" i="1" s="1"/>
  <c r="AO1318" i="1"/>
  <c r="AR1318" i="1" s="1"/>
  <c r="AO1342" i="1"/>
  <c r="AR1342" i="1" s="1"/>
  <c r="AY1320" i="1"/>
  <c r="BA1320" i="1" s="1"/>
  <c r="AY1356" i="1"/>
  <c r="BA1356" i="1" s="1"/>
  <c r="AY1313" i="1"/>
  <c r="BA1313" i="1" s="1"/>
  <c r="AY1349" i="1"/>
  <c r="BA1349" i="1" s="1"/>
  <c r="AY1330" i="1"/>
  <c r="BA1330" i="1" s="1"/>
  <c r="BB1332" i="1"/>
  <c r="BB1344" i="1"/>
  <c r="AO1330" i="1"/>
  <c r="AR1330" i="1" s="1"/>
  <c r="AY1321" i="1"/>
  <c r="BA1321" i="1" s="1"/>
  <c r="AO1314" i="1"/>
  <c r="BM1314" i="1" s="1"/>
  <c r="AO1326" i="1"/>
  <c r="BM1326" i="1" s="1"/>
  <c r="AO1338" i="1"/>
  <c r="AR1338" i="1" s="1"/>
  <c r="AO1350" i="1"/>
  <c r="AR1350" i="1" s="1"/>
  <c r="AO1362" i="1"/>
  <c r="AR1362" i="1" s="1"/>
  <c r="BB1321" i="1"/>
  <c r="BB1333" i="1"/>
  <c r="BB1345" i="1"/>
  <c r="BB1357" i="1"/>
  <c r="AR1321" i="1"/>
  <c r="AQ1238" i="1"/>
  <c r="BM1352" i="1" l="1"/>
  <c r="BM1327" i="1"/>
  <c r="BM1328" i="1"/>
  <c r="BM1324" i="1"/>
  <c r="AS1328" i="1"/>
  <c r="BP1328" i="1"/>
  <c r="BM1322" i="1"/>
  <c r="AR1319" i="1"/>
  <c r="AS1319" i="1" s="1"/>
  <c r="BM1312" i="1"/>
  <c r="BM1336" i="1"/>
  <c r="AR1323" i="1"/>
  <c r="BP1323" i="1" s="1"/>
  <c r="BM1362" i="1"/>
  <c r="BM1335" i="1"/>
  <c r="BM1367" i="1"/>
  <c r="AR1365" i="1"/>
  <c r="AS1365" i="1" s="1"/>
  <c r="AR1315" i="1"/>
  <c r="AS1315" i="1" s="1"/>
  <c r="AR1347" i="1"/>
  <c r="AS1347" i="1" s="1"/>
  <c r="BP1322" i="1"/>
  <c r="AS1312" i="1"/>
  <c r="BP1312" i="1"/>
  <c r="BM1317" i="1"/>
  <c r="BP1357" i="1"/>
  <c r="AS1333" i="1"/>
  <c r="BP1333" i="1"/>
  <c r="BP1335" i="1"/>
  <c r="BM1360" i="1"/>
  <c r="AS1363" i="1"/>
  <c r="AR1340" i="1"/>
  <c r="BP1340" i="1" s="1"/>
  <c r="BM1359" i="1"/>
  <c r="AR1341" i="1"/>
  <c r="AS1359" i="1"/>
  <c r="BP1359" i="1"/>
  <c r="AR1316" i="1"/>
  <c r="BM1334" i="1"/>
  <c r="AR1346" i="1"/>
  <c r="AS1346" i="1" s="1"/>
  <c r="BP1317" i="1"/>
  <c r="BM1350" i="1"/>
  <c r="BM1342" i="1"/>
  <c r="AS1352" i="1"/>
  <c r="BP1352" i="1"/>
  <c r="BM1339" i="1"/>
  <c r="BM1338" i="1"/>
  <c r="AS1348" i="1"/>
  <c r="BP1348" i="1"/>
  <c r="BM1348" i="1"/>
  <c r="AR1353" i="1"/>
  <c r="AS1353" i="1" s="1"/>
  <c r="AS1329" i="1"/>
  <c r="BP1329" i="1"/>
  <c r="AS1334" i="1"/>
  <c r="BP1334" i="1"/>
  <c r="AS1356" i="1"/>
  <c r="CC1356" i="1" s="1"/>
  <c r="CE1356" i="1" s="1"/>
  <c r="BP1356" i="1"/>
  <c r="AS1332" i="1"/>
  <c r="BP1332" i="1"/>
  <c r="AS1330" i="1"/>
  <c r="BP1330" i="1"/>
  <c r="AR1326" i="1"/>
  <c r="AR1337" i="1"/>
  <c r="BM1337" i="1"/>
  <c r="BM1330" i="1"/>
  <c r="AS1318" i="1"/>
  <c r="BP1318" i="1"/>
  <c r="AR1349" i="1"/>
  <c r="BM1349" i="1"/>
  <c r="AR1355" i="1"/>
  <c r="AS1345" i="1"/>
  <c r="BP1345" i="1"/>
  <c r="AS1354" i="1"/>
  <c r="BP1354" i="1"/>
  <c r="BM1329" i="1"/>
  <c r="AR1358" i="1"/>
  <c r="AS1351" i="1"/>
  <c r="BP1351" i="1"/>
  <c r="AS1324" i="1"/>
  <c r="CC1324" i="1" s="1"/>
  <c r="CE1324" i="1" s="1"/>
  <c r="BP1324" i="1"/>
  <c r="AR1343" i="1"/>
  <c r="BM1318" i="1"/>
  <c r="BM1366" i="1"/>
  <c r="AS1360" i="1"/>
  <c r="BP1360" i="1"/>
  <c r="AS1320" i="1"/>
  <c r="BP1320" i="1"/>
  <c r="AS1366" i="1"/>
  <c r="BP1366" i="1"/>
  <c r="AS1339" i="1"/>
  <c r="BP1339" i="1"/>
  <c r="AS1362" i="1"/>
  <c r="BP1362" i="1"/>
  <c r="AS1350" i="1"/>
  <c r="BP1350" i="1"/>
  <c r="AR1361" i="1"/>
  <c r="AR1331" i="1"/>
  <c r="BM1313" i="1"/>
  <c r="AS1344" i="1"/>
  <c r="BP1344" i="1"/>
  <c r="AS1321" i="1"/>
  <c r="BP1321" i="1"/>
  <c r="AS1313" i="1"/>
  <c r="CC1313" i="1" s="1"/>
  <c r="CE1313" i="1" s="1"/>
  <c r="BP1313" i="1"/>
  <c r="AR1314" i="1"/>
  <c r="AR1364" i="1"/>
  <c r="AS1336" i="1"/>
  <c r="BP1336" i="1"/>
  <c r="AS1327" i="1"/>
  <c r="BP1327" i="1"/>
  <c r="AS1367" i="1"/>
  <c r="BP1367" i="1"/>
  <c r="AS1338" i="1"/>
  <c r="BP1338" i="1"/>
  <c r="AS1342" i="1"/>
  <c r="BP1342" i="1"/>
  <c r="AS1325" i="1"/>
  <c r="CC1325" i="1" s="1"/>
  <c r="CE1325" i="1" s="1"/>
  <c r="BP1325" i="1"/>
  <c r="BM1354" i="1"/>
  <c r="AQ1287" i="1"/>
  <c r="AQ1286" i="1"/>
  <c r="AK1287" i="1"/>
  <c r="AK1286" i="1"/>
  <c r="AM1287" i="1"/>
  <c r="AL1287" i="1"/>
  <c r="AM1286" i="1"/>
  <c r="AL1286" i="1"/>
  <c r="BP1319" i="1" l="1"/>
  <c r="AS1323" i="1"/>
  <c r="BP1365" i="1"/>
  <c r="BP1315" i="1"/>
  <c r="BP1347" i="1"/>
  <c r="AS1340" i="1"/>
  <c r="AS1341" i="1"/>
  <c r="BP1341" i="1"/>
  <c r="AS1316" i="1"/>
  <c r="BP1316" i="1"/>
  <c r="BP1346" i="1"/>
  <c r="BP1353" i="1"/>
  <c r="AS1358" i="1"/>
  <c r="BP1358" i="1"/>
  <c r="AS1349" i="1"/>
  <c r="BP1349" i="1"/>
  <c r="AS1331" i="1"/>
  <c r="BP1331" i="1"/>
  <c r="AS1361" i="1"/>
  <c r="BP1361" i="1"/>
  <c r="AS1355" i="1"/>
  <c r="CC1355" i="1" s="1"/>
  <c r="CE1355" i="1" s="1"/>
  <c r="BP1355" i="1"/>
  <c r="AS1364" i="1"/>
  <c r="BP1364" i="1"/>
  <c r="AS1314" i="1"/>
  <c r="CC1314" i="1" s="1"/>
  <c r="CE1314" i="1" s="1"/>
  <c r="BP1314" i="1"/>
  <c r="AS1343" i="1"/>
  <c r="BP1343" i="1"/>
  <c r="AS1337" i="1"/>
  <c r="BP1337" i="1"/>
  <c r="AS1326" i="1"/>
  <c r="BP1326" i="1"/>
  <c r="AQ1246" i="1"/>
  <c r="AQ1236" i="1"/>
  <c r="AM1246" i="1" l="1"/>
  <c r="AL1246" i="1"/>
  <c r="AM1238" i="1"/>
  <c r="AL1238" i="1"/>
  <c r="AM1237" i="1"/>
  <c r="AL1237" i="1"/>
  <c r="AM1236" i="1"/>
  <c r="AL1236" i="1"/>
  <c r="BO1311" i="1" l="1"/>
  <c r="BH1311" i="1"/>
  <c r="BI1311" i="1" s="1"/>
  <c r="BK1311" i="1" s="1"/>
  <c r="BF1311" i="1"/>
  <c r="BG1311" i="1" s="1"/>
  <c r="BO1310" i="1"/>
  <c r="BH1310" i="1"/>
  <c r="BI1310" i="1" s="1"/>
  <c r="BK1310" i="1" s="1"/>
  <c r="BF1310" i="1"/>
  <c r="BG1310" i="1" s="1"/>
  <c r="BO1309" i="1"/>
  <c r="BH1309" i="1"/>
  <c r="BI1309" i="1" s="1"/>
  <c r="BK1309" i="1" s="1"/>
  <c r="BF1309" i="1"/>
  <c r="BG1309" i="1" s="1"/>
  <c r="BO1308" i="1"/>
  <c r="BH1308" i="1"/>
  <c r="BI1308" i="1" s="1"/>
  <c r="BK1308" i="1" s="1"/>
  <c r="BF1308" i="1"/>
  <c r="BG1308" i="1" s="1"/>
  <c r="BO1307" i="1"/>
  <c r="BH1307" i="1"/>
  <c r="BI1307" i="1" s="1"/>
  <c r="BK1307" i="1" s="1"/>
  <c r="BF1307" i="1"/>
  <c r="BG1307" i="1" s="1"/>
  <c r="BO1306" i="1"/>
  <c r="BH1306" i="1"/>
  <c r="BI1306" i="1" s="1"/>
  <c r="BK1306" i="1" s="1"/>
  <c r="BF1306" i="1"/>
  <c r="BG1306" i="1" s="1"/>
  <c r="BO1305" i="1"/>
  <c r="BH1305" i="1"/>
  <c r="BI1305" i="1" s="1"/>
  <c r="BK1305" i="1" s="1"/>
  <c r="BF1305" i="1"/>
  <c r="BG1305" i="1" s="1"/>
  <c r="BO1304" i="1"/>
  <c r="BH1304" i="1"/>
  <c r="BI1304" i="1" s="1"/>
  <c r="BK1304" i="1" s="1"/>
  <c r="BF1304" i="1"/>
  <c r="BG1304" i="1" s="1"/>
  <c r="BO1303" i="1"/>
  <c r="BH1303" i="1"/>
  <c r="BI1303" i="1" s="1"/>
  <c r="BK1303" i="1" s="1"/>
  <c r="BF1303" i="1"/>
  <c r="BG1303" i="1" s="1"/>
  <c r="BO1302" i="1"/>
  <c r="BH1302" i="1"/>
  <c r="BI1302" i="1" s="1"/>
  <c r="BK1302" i="1" s="1"/>
  <c r="BF1302" i="1"/>
  <c r="BG1302" i="1" s="1"/>
  <c r="BO1301" i="1"/>
  <c r="BH1301" i="1"/>
  <c r="BI1301" i="1" s="1"/>
  <c r="BK1301" i="1" s="1"/>
  <c r="BF1301" i="1"/>
  <c r="BG1301" i="1" s="1"/>
  <c r="BO1300" i="1"/>
  <c r="BH1300" i="1"/>
  <c r="BI1300" i="1" s="1"/>
  <c r="BK1300" i="1" s="1"/>
  <c r="BF1300" i="1"/>
  <c r="BG1300" i="1" s="1"/>
  <c r="BO1299" i="1"/>
  <c r="BH1299" i="1"/>
  <c r="BI1299" i="1" s="1"/>
  <c r="BK1299" i="1" s="1"/>
  <c r="BF1299" i="1"/>
  <c r="BG1299" i="1" s="1"/>
  <c r="BO1298" i="1"/>
  <c r="BH1298" i="1"/>
  <c r="BI1298" i="1" s="1"/>
  <c r="BK1298" i="1" s="1"/>
  <c r="BF1298" i="1"/>
  <c r="BG1298" i="1" s="1"/>
  <c r="BO1297" i="1"/>
  <c r="BH1297" i="1"/>
  <c r="BI1297" i="1" s="1"/>
  <c r="BK1297" i="1" s="1"/>
  <c r="BF1297" i="1"/>
  <c r="BG1297" i="1" s="1"/>
  <c r="BO1296" i="1"/>
  <c r="BH1296" i="1"/>
  <c r="BI1296" i="1" s="1"/>
  <c r="BK1296" i="1" s="1"/>
  <c r="BF1296" i="1"/>
  <c r="BG1296" i="1" s="1"/>
  <c r="BO1295" i="1"/>
  <c r="BH1295" i="1"/>
  <c r="BI1295" i="1" s="1"/>
  <c r="BK1295" i="1" s="1"/>
  <c r="BF1295" i="1"/>
  <c r="BG1295" i="1" s="1"/>
  <c r="BO1294" i="1"/>
  <c r="BH1294" i="1"/>
  <c r="BI1294" i="1" s="1"/>
  <c r="BK1294" i="1" s="1"/>
  <c r="BF1294" i="1"/>
  <c r="BG1294" i="1" s="1"/>
  <c r="BO1293" i="1"/>
  <c r="BH1293" i="1"/>
  <c r="BI1293" i="1" s="1"/>
  <c r="BK1293" i="1" s="1"/>
  <c r="BF1293" i="1"/>
  <c r="BG1293" i="1" s="1"/>
  <c r="BO1292" i="1"/>
  <c r="BH1292" i="1"/>
  <c r="BI1292" i="1" s="1"/>
  <c r="BK1292" i="1" s="1"/>
  <c r="BF1292" i="1"/>
  <c r="BG1292" i="1" s="1"/>
  <c r="BO1291" i="1"/>
  <c r="BH1291" i="1"/>
  <c r="BI1291" i="1" s="1"/>
  <c r="BK1291" i="1" s="1"/>
  <c r="BF1291" i="1"/>
  <c r="BG1291" i="1" s="1"/>
  <c r="BO1290" i="1"/>
  <c r="BH1290" i="1"/>
  <c r="BI1290" i="1" s="1"/>
  <c r="BK1290" i="1" s="1"/>
  <c r="BF1290" i="1"/>
  <c r="BG1290" i="1" s="1"/>
  <c r="BO1289" i="1"/>
  <c r="BH1289" i="1"/>
  <c r="BI1289" i="1" s="1"/>
  <c r="BK1289" i="1" s="1"/>
  <c r="BF1289" i="1"/>
  <c r="BG1289" i="1" s="1"/>
  <c r="BO1288" i="1"/>
  <c r="BH1288" i="1"/>
  <c r="BI1288" i="1" s="1"/>
  <c r="BK1288" i="1" s="1"/>
  <c r="BF1288" i="1"/>
  <c r="BG1288" i="1" s="1"/>
  <c r="BO1287" i="1"/>
  <c r="BH1287" i="1"/>
  <c r="BI1287" i="1" s="1"/>
  <c r="BK1287" i="1" s="1"/>
  <c r="BF1287" i="1"/>
  <c r="BG1287" i="1" s="1"/>
  <c r="BO1286" i="1"/>
  <c r="BH1286" i="1"/>
  <c r="BI1286" i="1" s="1"/>
  <c r="BK1286" i="1" s="1"/>
  <c r="BF1286" i="1"/>
  <c r="BG1286" i="1" s="1"/>
  <c r="BO1285" i="1"/>
  <c r="BH1285" i="1"/>
  <c r="BI1285" i="1" s="1"/>
  <c r="BK1285" i="1" s="1"/>
  <c r="BF1285" i="1"/>
  <c r="BG1285" i="1" s="1"/>
  <c r="BO1284" i="1"/>
  <c r="BH1284" i="1"/>
  <c r="BI1284" i="1" s="1"/>
  <c r="BK1284" i="1" s="1"/>
  <c r="BF1284" i="1"/>
  <c r="BG1284" i="1" s="1"/>
  <c r="BO1283" i="1"/>
  <c r="BH1283" i="1"/>
  <c r="BI1283" i="1" s="1"/>
  <c r="BK1283" i="1" s="1"/>
  <c r="BF1283" i="1"/>
  <c r="BG1283" i="1" s="1"/>
  <c r="BO1282" i="1"/>
  <c r="BH1282" i="1"/>
  <c r="BI1282" i="1" s="1"/>
  <c r="BK1282" i="1" s="1"/>
  <c r="BF1282" i="1"/>
  <c r="BG1282" i="1" s="1"/>
  <c r="BO1281" i="1"/>
  <c r="BH1281" i="1"/>
  <c r="BI1281" i="1" s="1"/>
  <c r="BK1281" i="1" s="1"/>
  <c r="BF1281" i="1"/>
  <c r="BG1281" i="1" s="1"/>
  <c r="BO1280" i="1"/>
  <c r="BH1280" i="1"/>
  <c r="BI1280" i="1" s="1"/>
  <c r="BK1280" i="1" s="1"/>
  <c r="BF1280" i="1"/>
  <c r="BG1280" i="1" s="1"/>
  <c r="BO1279" i="1"/>
  <c r="BH1279" i="1"/>
  <c r="BI1279" i="1" s="1"/>
  <c r="BK1279" i="1" s="1"/>
  <c r="BF1279" i="1"/>
  <c r="BG1279" i="1" s="1"/>
  <c r="BO1278" i="1"/>
  <c r="BH1278" i="1"/>
  <c r="BI1278" i="1" s="1"/>
  <c r="BK1278" i="1" s="1"/>
  <c r="BF1278" i="1"/>
  <c r="BG1278" i="1" s="1"/>
  <c r="BO1277" i="1"/>
  <c r="BH1277" i="1"/>
  <c r="BI1277" i="1" s="1"/>
  <c r="BK1277" i="1" s="1"/>
  <c r="BF1277" i="1"/>
  <c r="BG1277" i="1" s="1"/>
  <c r="BO1276" i="1"/>
  <c r="BH1276" i="1"/>
  <c r="BI1276" i="1" s="1"/>
  <c r="BK1276" i="1" s="1"/>
  <c r="BF1276" i="1"/>
  <c r="BG1276" i="1" s="1"/>
  <c r="BO1275" i="1"/>
  <c r="BH1275" i="1"/>
  <c r="BI1275" i="1" s="1"/>
  <c r="BK1275" i="1" s="1"/>
  <c r="BF1275" i="1"/>
  <c r="BG1275" i="1" s="1"/>
  <c r="BO1274" i="1"/>
  <c r="BH1274" i="1"/>
  <c r="BI1274" i="1" s="1"/>
  <c r="BK1274" i="1" s="1"/>
  <c r="BF1274" i="1"/>
  <c r="BG1274" i="1" s="1"/>
  <c r="BO1273" i="1"/>
  <c r="BH1273" i="1"/>
  <c r="BI1273" i="1" s="1"/>
  <c r="BK1273" i="1" s="1"/>
  <c r="BF1273" i="1"/>
  <c r="BG1273" i="1" s="1"/>
  <c r="BO1272" i="1"/>
  <c r="BH1272" i="1"/>
  <c r="BI1272" i="1" s="1"/>
  <c r="BK1272" i="1" s="1"/>
  <c r="BF1272" i="1"/>
  <c r="BG1272" i="1" s="1"/>
  <c r="BO1271" i="1"/>
  <c r="BH1271" i="1"/>
  <c r="BI1271" i="1" s="1"/>
  <c r="BK1271" i="1" s="1"/>
  <c r="BF1271" i="1"/>
  <c r="BG1271" i="1" s="1"/>
  <c r="BO1270" i="1"/>
  <c r="BH1270" i="1"/>
  <c r="BI1270" i="1" s="1"/>
  <c r="BK1270" i="1" s="1"/>
  <c r="BF1270" i="1"/>
  <c r="BG1270" i="1" s="1"/>
  <c r="BO1269" i="1"/>
  <c r="BH1269" i="1"/>
  <c r="BI1269" i="1" s="1"/>
  <c r="BK1269" i="1" s="1"/>
  <c r="BF1269" i="1"/>
  <c r="BG1269" i="1" s="1"/>
  <c r="BO1268" i="1"/>
  <c r="BH1268" i="1"/>
  <c r="BI1268" i="1" s="1"/>
  <c r="BK1268" i="1" s="1"/>
  <c r="BF1268" i="1"/>
  <c r="BG1268" i="1" s="1"/>
  <c r="BO1267" i="1"/>
  <c r="BH1267" i="1"/>
  <c r="BI1267" i="1" s="1"/>
  <c r="BK1267" i="1" s="1"/>
  <c r="BF1267" i="1"/>
  <c r="BG1267" i="1" s="1"/>
  <c r="BO1266" i="1"/>
  <c r="BH1266" i="1"/>
  <c r="BI1266" i="1" s="1"/>
  <c r="BK1266" i="1" s="1"/>
  <c r="BF1266" i="1"/>
  <c r="BG1266" i="1" s="1"/>
  <c r="BO1265" i="1"/>
  <c r="BH1265" i="1"/>
  <c r="BI1265" i="1" s="1"/>
  <c r="BK1265" i="1" s="1"/>
  <c r="BF1265" i="1"/>
  <c r="BG1265" i="1" s="1"/>
  <c r="BO1264" i="1"/>
  <c r="BH1264" i="1"/>
  <c r="BI1264" i="1" s="1"/>
  <c r="BK1264" i="1" s="1"/>
  <c r="BF1264" i="1"/>
  <c r="BG1264" i="1" s="1"/>
  <c r="BO1263" i="1"/>
  <c r="BH1263" i="1"/>
  <c r="BI1263" i="1" s="1"/>
  <c r="BK1263" i="1" s="1"/>
  <c r="BF1263" i="1"/>
  <c r="BG1263" i="1" s="1"/>
  <c r="BO1262" i="1"/>
  <c r="BH1262" i="1"/>
  <c r="BI1262" i="1" s="1"/>
  <c r="BK1262" i="1" s="1"/>
  <c r="BF1262" i="1"/>
  <c r="BG1262" i="1" s="1"/>
  <c r="BO1261" i="1"/>
  <c r="BH1261" i="1"/>
  <c r="BI1261" i="1" s="1"/>
  <c r="BK1261" i="1" s="1"/>
  <c r="BF1261" i="1"/>
  <c r="BG1261" i="1" s="1"/>
  <c r="BO1260" i="1"/>
  <c r="BH1260" i="1"/>
  <c r="BI1260" i="1" s="1"/>
  <c r="BK1260" i="1" s="1"/>
  <c r="BF1260" i="1"/>
  <c r="BG1260" i="1" s="1"/>
  <c r="BO1259" i="1"/>
  <c r="BH1259" i="1"/>
  <c r="BI1259" i="1" s="1"/>
  <c r="BK1259" i="1" s="1"/>
  <c r="BF1259" i="1"/>
  <c r="BG1259" i="1" s="1"/>
  <c r="BO1258" i="1"/>
  <c r="BH1258" i="1"/>
  <c r="BI1258" i="1" s="1"/>
  <c r="BK1258" i="1" s="1"/>
  <c r="BF1258" i="1"/>
  <c r="BG1258" i="1" s="1"/>
  <c r="BO1257" i="1"/>
  <c r="BH1257" i="1"/>
  <c r="BI1257" i="1" s="1"/>
  <c r="BK1257" i="1" s="1"/>
  <c r="BF1257" i="1"/>
  <c r="BG1257" i="1" s="1"/>
  <c r="BO1256" i="1"/>
  <c r="BH1256" i="1"/>
  <c r="BI1256" i="1" s="1"/>
  <c r="BK1256" i="1" s="1"/>
  <c r="BF1256" i="1"/>
  <c r="BG1256" i="1" s="1"/>
  <c r="BO1255" i="1"/>
  <c r="BH1255" i="1"/>
  <c r="BI1255" i="1" s="1"/>
  <c r="BK1255" i="1" s="1"/>
  <c r="BF1255" i="1"/>
  <c r="BG1255" i="1" s="1"/>
  <c r="BO1254" i="1"/>
  <c r="BH1254" i="1"/>
  <c r="BI1254" i="1" s="1"/>
  <c r="BK1254" i="1" s="1"/>
  <c r="BF1254" i="1"/>
  <c r="BG1254" i="1" s="1"/>
  <c r="BO1253" i="1"/>
  <c r="BH1253" i="1"/>
  <c r="BI1253" i="1" s="1"/>
  <c r="BK1253" i="1" s="1"/>
  <c r="BF1253" i="1"/>
  <c r="BG1253" i="1" s="1"/>
  <c r="BO1252" i="1"/>
  <c r="BH1252" i="1"/>
  <c r="BI1252" i="1" s="1"/>
  <c r="BK1252" i="1" s="1"/>
  <c r="BF1252" i="1"/>
  <c r="BG1252" i="1" s="1"/>
  <c r="BO1251" i="1"/>
  <c r="BH1251" i="1"/>
  <c r="BI1251" i="1" s="1"/>
  <c r="BK1251" i="1" s="1"/>
  <c r="BF1251" i="1"/>
  <c r="BG1251" i="1" s="1"/>
  <c r="BO1250" i="1"/>
  <c r="BH1250" i="1"/>
  <c r="BI1250" i="1" s="1"/>
  <c r="BK1250" i="1" s="1"/>
  <c r="BF1250" i="1"/>
  <c r="BG1250" i="1" s="1"/>
  <c r="BO1249" i="1"/>
  <c r="BH1249" i="1"/>
  <c r="BI1249" i="1" s="1"/>
  <c r="BK1249" i="1" s="1"/>
  <c r="BF1249" i="1"/>
  <c r="BG1249" i="1" s="1"/>
  <c r="BO1248" i="1"/>
  <c r="BH1248" i="1"/>
  <c r="BI1248" i="1" s="1"/>
  <c r="BK1248" i="1" s="1"/>
  <c r="BF1248" i="1"/>
  <c r="BG1248" i="1" s="1"/>
  <c r="BO1247" i="1"/>
  <c r="BH1247" i="1"/>
  <c r="BI1247" i="1" s="1"/>
  <c r="BK1247" i="1" s="1"/>
  <c r="BF1247" i="1"/>
  <c r="BG1247" i="1" s="1"/>
  <c r="BO1246" i="1"/>
  <c r="BH1246" i="1"/>
  <c r="BI1246" i="1" s="1"/>
  <c r="BK1246" i="1" s="1"/>
  <c r="BF1246" i="1"/>
  <c r="BG1246" i="1" s="1"/>
  <c r="BO1245" i="1"/>
  <c r="BH1245" i="1"/>
  <c r="BI1245" i="1" s="1"/>
  <c r="BK1245" i="1" s="1"/>
  <c r="BF1245" i="1"/>
  <c r="BG1245" i="1" s="1"/>
  <c r="BO1244" i="1"/>
  <c r="BH1244" i="1"/>
  <c r="BI1244" i="1" s="1"/>
  <c r="BK1244" i="1" s="1"/>
  <c r="BF1244" i="1"/>
  <c r="BG1244" i="1" s="1"/>
  <c r="BO1243" i="1"/>
  <c r="BH1243" i="1"/>
  <c r="BI1243" i="1" s="1"/>
  <c r="BK1243" i="1" s="1"/>
  <c r="BF1243" i="1"/>
  <c r="BG1243" i="1" s="1"/>
  <c r="BO1242" i="1"/>
  <c r="BH1242" i="1"/>
  <c r="BI1242" i="1" s="1"/>
  <c r="BK1242" i="1" s="1"/>
  <c r="BF1242" i="1"/>
  <c r="BG1242" i="1" s="1"/>
  <c r="BO1241" i="1"/>
  <c r="BH1241" i="1"/>
  <c r="BI1241" i="1" s="1"/>
  <c r="BK1241" i="1" s="1"/>
  <c r="BF1241" i="1"/>
  <c r="BG1241" i="1" s="1"/>
  <c r="BO1240" i="1"/>
  <c r="BH1240" i="1"/>
  <c r="BI1240" i="1" s="1"/>
  <c r="BK1240" i="1" s="1"/>
  <c r="BF1240" i="1"/>
  <c r="BG1240" i="1" s="1"/>
  <c r="BO1239" i="1"/>
  <c r="BH1239" i="1"/>
  <c r="BI1239" i="1" s="1"/>
  <c r="BK1239" i="1" s="1"/>
  <c r="BF1239" i="1"/>
  <c r="BG1239" i="1" s="1"/>
  <c r="AZ1311" i="1"/>
  <c r="AW1311" i="1"/>
  <c r="BB1311" i="1" s="1"/>
  <c r="AZ1310" i="1"/>
  <c r="AW1310" i="1"/>
  <c r="BB1310" i="1" s="1"/>
  <c r="AZ1309" i="1"/>
  <c r="AW1309" i="1"/>
  <c r="AY1309" i="1" s="1"/>
  <c r="AZ1308" i="1"/>
  <c r="AW1308" i="1"/>
  <c r="BB1308" i="1" s="1"/>
  <c r="AZ1307" i="1"/>
  <c r="AW1307" i="1"/>
  <c r="BB1307" i="1" s="1"/>
  <c r="AZ1306" i="1"/>
  <c r="AW1306" i="1"/>
  <c r="BB1306" i="1" s="1"/>
  <c r="AZ1305" i="1"/>
  <c r="AW1305" i="1"/>
  <c r="AY1305" i="1" s="1"/>
  <c r="AZ1304" i="1"/>
  <c r="AW1304" i="1"/>
  <c r="AY1304" i="1" s="1"/>
  <c r="AZ1303" i="1"/>
  <c r="AW1303" i="1"/>
  <c r="BB1303" i="1" s="1"/>
  <c r="AZ1302" i="1"/>
  <c r="AW1302" i="1"/>
  <c r="AY1302" i="1" s="1"/>
  <c r="AZ1301" i="1"/>
  <c r="AW1301" i="1"/>
  <c r="AZ1300" i="1"/>
  <c r="AW1300" i="1"/>
  <c r="AO1300" i="1" s="1"/>
  <c r="AZ1299" i="1"/>
  <c r="AW1299" i="1"/>
  <c r="BB1299" i="1" s="1"/>
  <c r="AZ1298" i="1"/>
  <c r="AW1298" i="1"/>
  <c r="BB1298" i="1" s="1"/>
  <c r="AZ1297" i="1"/>
  <c r="AW1297" i="1"/>
  <c r="AY1297" i="1" s="1"/>
  <c r="AZ1296" i="1"/>
  <c r="AW1296" i="1"/>
  <c r="BB1296" i="1" s="1"/>
  <c r="AZ1295" i="1"/>
  <c r="AW1295" i="1"/>
  <c r="BB1295" i="1" s="1"/>
  <c r="AZ1294" i="1"/>
  <c r="AW1294" i="1"/>
  <c r="BB1294" i="1" s="1"/>
  <c r="AZ1293" i="1"/>
  <c r="AW1293" i="1"/>
  <c r="BB1293" i="1" s="1"/>
  <c r="AZ1292" i="1"/>
  <c r="AW1292" i="1"/>
  <c r="AY1292" i="1" s="1"/>
  <c r="AZ1291" i="1"/>
  <c r="AW1291" i="1"/>
  <c r="BB1291" i="1" s="1"/>
  <c r="AZ1290" i="1"/>
  <c r="AW1290" i="1"/>
  <c r="AY1290" i="1" s="1"/>
  <c r="AZ1289" i="1"/>
  <c r="AW1289" i="1"/>
  <c r="AZ1288" i="1"/>
  <c r="AW1288" i="1"/>
  <c r="AO1288" i="1" s="1"/>
  <c r="AZ1287" i="1"/>
  <c r="AW1287" i="1"/>
  <c r="BB1287" i="1" s="1"/>
  <c r="AZ1286" i="1"/>
  <c r="AW1286" i="1"/>
  <c r="BB1286" i="1" s="1"/>
  <c r="AZ1285" i="1"/>
  <c r="AW1285" i="1"/>
  <c r="AY1285" i="1" s="1"/>
  <c r="AZ1284" i="1"/>
  <c r="AW1284" i="1"/>
  <c r="BB1284" i="1" s="1"/>
  <c r="AZ1283" i="1"/>
  <c r="AW1283" i="1"/>
  <c r="AY1283" i="1" s="1"/>
  <c r="AZ1282" i="1"/>
  <c r="AW1282" i="1"/>
  <c r="BB1282" i="1" s="1"/>
  <c r="AZ1281" i="1"/>
  <c r="AW1281" i="1"/>
  <c r="AY1281" i="1" s="1"/>
  <c r="AZ1280" i="1"/>
  <c r="AW1280" i="1"/>
  <c r="AO1280" i="1" s="1"/>
  <c r="AZ1279" i="1"/>
  <c r="AW1279" i="1"/>
  <c r="BB1279" i="1" s="1"/>
  <c r="AZ1278" i="1"/>
  <c r="AW1278" i="1"/>
  <c r="AY1278" i="1" s="1"/>
  <c r="AZ1277" i="1"/>
  <c r="AW1277" i="1"/>
  <c r="AZ1276" i="1"/>
  <c r="AW1276" i="1"/>
  <c r="AO1276" i="1" s="1"/>
  <c r="AZ1275" i="1"/>
  <c r="AW1275" i="1"/>
  <c r="BB1275" i="1" s="1"/>
  <c r="AZ1274" i="1"/>
  <c r="AW1274" i="1"/>
  <c r="BB1274" i="1" s="1"/>
  <c r="AZ1273" i="1"/>
  <c r="AW1273" i="1"/>
  <c r="AY1273" i="1" s="1"/>
  <c r="AZ1272" i="1"/>
  <c r="AW1272" i="1"/>
  <c r="BB1272" i="1" s="1"/>
  <c r="AZ1271" i="1"/>
  <c r="AW1271" i="1"/>
  <c r="BB1271" i="1" s="1"/>
  <c r="AZ1270" i="1"/>
  <c r="AW1270" i="1"/>
  <c r="BB1270" i="1" s="1"/>
  <c r="AZ1269" i="1"/>
  <c r="AW1269" i="1"/>
  <c r="AO1269" i="1" s="1"/>
  <c r="AZ1268" i="1"/>
  <c r="AW1268" i="1"/>
  <c r="AY1268" i="1" s="1"/>
  <c r="AZ1267" i="1"/>
  <c r="AW1267" i="1"/>
  <c r="BB1267" i="1" s="1"/>
  <c r="AZ1266" i="1"/>
  <c r="AW1266" i="1"/>
  <c r="AY1266" i="1" s="1"/>
  <c r="AZ1265" i="1"/>
  <c r="AW1265" i="1"/>
  <c r="AZ1264" i="1"/>
  <c r="AW1264" i="1"/>
  <c r="AO1264" i="1" s="1"/>
  <c r="AZ1263" i="1"/>
  <c r="AW1263" i="1"/>
  <c r="BB1263" i="1" s="1"/>
  <c r="AZ1262" i="1"/>
  <c r="AW1262" i="1"/>
  <c r="BB1262" i="1" s="1"/>
  <c r="AZ1261" i="1"/>
  <c r="AW1261" i="1"/>
  <c r="AY1261" i="1" s="1"/>
  <c r="AZ1260" i="1"/>
  <c r="AW1260" i="1"/>
  <c r="BB1260" i="1" s="1"/>
  <c r="AZ1259" i="1"/>
  <c r="AW1259" i="1"/>
  <c r="AY1259" i="1" s="1"/>
  <c r="AZ1258" i="1"/>
  <c r="AW1258" i="1"/>
  <c r="BB1258" i="1" s="1"/>
  <c r="AZ1257" i="1"/>
  <c r="AW1257" i="1"/>
  <c r="BB1257" i="1" s="1"/>
  <c r="AZ1256" i="1"/>
  <c r="AW1256" i="1"/>
  <c r="AY1256" i="1" s="1"/>
  <c r="AZ1255" i="1"/>
  <c r="AW1255" i="1"/>
  <c r="BB1255" i="1" s="1"/>
  <c r="AZ1254" i="1"/>
  <c r="AW1254" i="1"/>
  <c r="AY1254" i="1" s="1"/>
  <c r="AZ1253" i="1"/>
  <c r="AW1253" i="1"/>
  <c r="AZ1252" i="1"/>
  <c r="AW1252" i="1"/>
  <c r="AO1252" i="1" s="1"/>
  <c r="AZ1251" i="1"/>
  <c r="AW1251" i="1"/>
  <c r="BB1251" i="1" s="1"/>
  <c r="AZ1250" i="1"/>
  <c r="AW1250" i="1"/>
  <c r="BB1250" i="1" s="1"/>
  <c r="AZ1249" i="1"/>
  <c r="AW1249" i="1"/>
  <c r="AY1249" i="1" s="1"/>
  <c r="AZ1248" i="1"/>
  <c r="AW1248" i="1"/>
  <c r="BB1248" i="1" s="1"/>
  <c r="AZ1247" i="1"/>
  <c r="AW1247" i="1"/>
  <c r="BB1247" i="1" s="1"/>
  <c r="AZ1246" i="1"/>
  <c r="AW1246" i="1"/>
  <c r="AZ1245" i="1"/>
  <c r="AW1245" i="1"/>
  <c r="BB1245" i="1" s="1"/>
  <c r="AZ1244" i="1"/>
  <c r="AW1244" i="1"/>
  <c r="BB1244" i="1" s="1"/>
  <c r="AZ1243" i="1"/>
  <c r="AW1243" i="1"/>
  <c r="BB1243" i="1" s="1"/>
  <c r="AZ1242" i="1"/>
  <c r="AW1242" i="1"/>
  <c r="AY1242" i="1" s="1"/>
  <c r="AZ1241" i="1"/>
  <c r="AW1241" i="1"/>
  <c r="AY1241" i="1" s="1"/>
  <c r="AZ1240" i="1"/>
  <c r="AW1240" i="1"/>
  <c r="AO1240" i="1" s="1"/>
  <c r="AZ1239" i="1"/>
  <c r="AW1239" i="1"/>
  <c r="BB1239" i="1" s="1"/>
  <c r="AK1311" i="1"/>
  <c r="AK1310" i="1"/>
  <c r="AK1309" i="1"/>
  <c r="AK1308" i="1"/>
  <c r="AK1307" i="1"/>
  <c r="AK1306" i="1"/>
  <c r="AK1305" i="1"/>
  <c r="AK1304" i="1"/>
  <c r="AK1303" i="1"/>
  <c r="AK1302" i="1"/>
  <c r="AK1301" i="1"/>
  <c r="AK1300" i="1"/>
  <c r="AK1299" i="1"/>
  <c r="AK1298" i="1"/>
  <c r="AK1297" i="1"/>
  <c r="AK1296" i="1"/>
  <c r="AK1295" i="1"/>
  <c r="AK1294" i="1"/>
  <c r="AK1293" i="1"/>
  <c r="AK1292" i="1"/>
  <c r="AK1291" i="1"/>
  <c r="AK1290" i="1"/>
  <c r="AK1289" i="1"/>
  <c r="AK1288" i="1"/>
  <c r="AK1285" i="1"/>
  <c r="AK1284" i="1"/>
  <c r="AK1283" i="1"/>
  <c r="AK1282" i="1"/>
  <c r="AK1281" i="1"/>
  <c r="AK1280" i="1"/>
  <c r="AK1279" i="1"/>
  <c r="AK1278" i="1"/>
  <c r="AK1277" i="1"/>
  <c r="AK1276" i="1"/>
  <c r="AK1275" i="1"/>
  <c r="AK1274" i="1"/>
  <c r="AK1273" i="1"/>
  <c r="AK1272" i="1"/>
  <c r="AK1271" i="1"/>
  <c r="AK1270" i="1"/>
  <c r="AK1269" i="1"/>
  <c r="AK1268" i="1"/>
  <c r="AK1267" i="1"/>
  <c r="AK1266" i="1"/>
  <c r="AK1265" i="1"/>
  <c r="AK1264" i="1"/>
  <c r="AK1263" i="1"/>
  <c r="AK1262" i="1"/>
  <c r="AK1261" i="1"/>
  <c r="AK1260" i="1"/>
  <c r="AK1259" i="1"/>
  <c r="AK1258" i="1"/>
  <c r="AK1257" i="1"/>
  <c r="AK1256" i="1"/>
  <c r="AK1255" i="1"/>
  <c r="AK1254" i="1"/>
  <c r="AK1253" i="1"/>
  <c r="AK1252" i="1"/>
  <c r="AK1251" i="1"/>
  <c r="AK1250" i="1"/>
  <c r="AK1249" i="1"/>
  <c r="AK1248" i="1"/>
  <c r="AK1247" i="1"/>
  <c r="AK1246" i="1"/>
  <c r="AK1245" i="1"/>
  <c r="AK1244" i="1"/>
  <c r="AK1243" i="1"/>
  <c r="AK1242" i="1"/>
  <c r="AK1241" i="1"/>
  <c r="AK1240" i="1"/>
  <c r="AK1239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O1311" i="1" l="1"/>
  <c r="BM1311" i="1" s="1"/>
  <c r="AO1299" i="1"/>
  <c r="AR1299" i="1" s="1"/>
  <c r="AS1299" i="1" s="1"/>
  <c r="BM1240" i="1"/>
  <c r="AO1284" i="1"/>
  <c r="BM1284" i="1" s="1"/>
  <c r="BA1261" i="1"/>
  <c r="BA1273" i="1"/>
  <c r="BA1285" i="1"/>
  <c r="BA1297" i="1"/>
  <c r="BA1309" i="1"/>
  <c r="AO1242" i="1"/>
  <c r="AR1242" i="1" s="1"/>
  <c r="AO1254" i="1"/>
  <c r="AR1254" i="1" s="1"/>
  <c r="AO1249" i="1"/>
  <c r="AR1249" i="1" s="1"/>
  <c r="AO1259" i="1"/>
  <c r="AR1259" i="1" s="1"/>
  <c r="AS1259" i="1" s="1"/>
  <c r="AO1266" i="1"/>
  <c r="BM1266" i="1" s="1"/>
  <c r="BB1249" i="1"/>
  <c r="BA1256" i="1"/>
  <c r="BA1268" i="1"/>
  <c r="BM1280" i="1"/>
  <c r="BA1292" i="1"/>
  <c r="BA1304" i="1"/>
  <c r="AO1283" i="1"/>
  <c r="AR1283" i="1" s="1"/>
  <c r="AS1283" i="1" s="1"/>
  <c r="BA1241" i="1"/>
  <c r="BM1252" i="1"/>
  <c r="BM1300" i="1"/>
  <c r="BM1276" i="1"/>
  <c r="AO1304" i="1"/>
  <c r="BM1304" i="1" s="1"/>
  <c r="AO1285" i="1"/>
  <c r="AR1285" i="1" s="1"/>
  <c r="BM1288" i="1"/>
  <c r="AO1298" i="1"/>
  <c r="BM1298" i="1" s="1"/>
  <c r="BA1290" i="1"/>
  <c r="BA1302" i="1"/>
  <c r="AO1275" i="1"/>
  <c r="BM1275" i="1" s="1"/>
  <c r="AO1297" i="1"/>
  <c r="BM1297" i="1" s="1"/>
  <c r="BM1269" i="1"/>
  <c r="AO1268" i="1"/>
  <c r="AR1268" i="1" s="1"/>
  <c r="BB1268" i="1"/>
  <c r="BB1285" i="1"/>
  <c r="AO1295" i="1"/>
  <c r="AR1295" i="1" s="1"/>
  <c r="AO1251" i="1"/>
  <c r="AR1251" i="1" s="1"/>
  <c r="AO1263" i="1"/>
  <c r="BM1263" i="1" s="1"/>
  <c r="AO1281" i="1"/>
  <c r="BM1281" i="1" s="1"/>
  <c r="AO1307" i="1"/>
  <c r="BM1307" i="1" s="1"/>
  <c r="BM1264" i="1"/>
  <c r="AO1290" i="1"/>
  <c r="BM1290" i="1" s="1"/>
  <c r="BB1242" i="1"/>
  <c r="BB1259" i="1"/>
  <c r="AY1295" i="1"/>
  <c r="BA1295" i="1" s="1"/>
  <c r="AO1274" i="1"/>
  <c r="AR1274" i="1" s="1"/>
  <c r="BA1249" i="1"/>
  <c r="BA1283" i="1"/>
  <c r="BB1304" i="1"/>
  <c r="AO1267" i="1"/>
  <c r="AR1267" i="1" s="1"/>
  <c r="BB1290" i="1"/>
  <c r="BB1281" i="1"/>
  <c r="BA1278" i="1"/>
  <c r="BA1305" i="1"/>
  <c r="AO1245" i="1"/>
  <c r="BM1245" i="1" s="1"/>
  <c r="AO1244" i="1"/>
  <c r="BM1244" i="1" s="1"/>
  <c r="AY1308" i="1"/>
  <c r="BA1308" i="1" s="1"/>
  <c r="AY1247" i="1"/>
  <c r="BA1247" i="1" s="1"/>
  <c r="BB1305" i="1"/>
  <c r="BA1266" i="1"/>
  <c r="BB1309" i="1"/>
  <c r="AO1292" i="1"/>
  <c r="BM1292" i="1" s="1"/>
  <c r="BB1261" i="1"/>
  <c r="BB1288" i="1"/>
  <c r="BB1302" i="1"/>
  <c r="AY1243" i="1"/>
  <c r="BA1243" i="1" s="1"/>
  <c r="BB1273" i="1"/>
  <c r="AO1239" i="1"/>
  <c r="BM1239" i="1" s="1"/>
  <c r="AY1244" i="1"/>
  <c r="BA1244" i="1" s="1"/>
  <c r="BB1256" i="1"/>
  <c r="AY1240" i="1"/>
  <c r="BA1240" i="1" s="1"/>
  <c r="BB1292" i="1"/>
  <c r="AO1278" i="1"/>
  <c r="BM1278" i="1" s="1"/>
  <c r="BB1266" i="1"/>
  <c r="AY1271" i="1"/>
  <c r="BA1271" i="1" s="1"/>
  <c r="BB1283" i="1"/>
  <c r="AO1256" i="1"/>
  <c r="BM1256" i="1" s="1"/>
  <c r="AO1271" i="1"/>
  <c r="AR1271" i="1" s="1"/>
  <c r="AY1280" i="1"/>
  <c r="BA1280" i="1" s="1"/>
  <c r="AO1305" i="1"/>
  <c r="BM1305" i="1" s="1"/>
  <c r="BB1278" i="1"/>
  <c r="AO1291" i="1"/>
  <c r="BM1291" i="1" s="1"/>
  <c r="AY1248" i="1"/>
  <c r="BA1248" i="1" s="1"/>
  <c r="AR1280" i="1"/>
  <c r="AO1286" i="1"/>
  <c r="BM1286" i="1" s="1"/>
  <c r="AO1293" i="1"/>
  <c r="BM1293" i="1" s="1"/>
  <c r="AO1308" i="1"/>
  <c r="BM1308" i="1" s="1"/>
  <c r="AY1245" i="1"/>
  <c r="BA1245" i="1" s="1"/>
  <c r="BA1254" i="1"/>
  <c r="AY1276" i="1"/>
  <c r="BA1276" i="1" s="1"/>
  <c r="AY1298" i="1"/>
  <c r="BA1298" i="1" s="1"/>
  <c r="AY1307" i="1"/>
  <c r="BA1307" i="1" s="1"/>
  <c r="BA1259" i="1"/>
  <c r="AO1260" i="1"/>
  <c r="BM1260" i="1" s="1"/>
  <c r="AO1247" i="1"/>
  <c r="AR1247" i="1" s="1"/>
  <c r="AO1261" i="1"/>
  <c r="BM1261" i="1" s="1"/>
  <c r="AO1243" i="1"/>
  <c r="BM1243" i="1" s="1"/>
  <c r="AO1257" i="1"/>
  <c r="AR1257" i="1" s="1"/>
  <c r="BB1280" i="1"/>
  <c r="BB1264" i="1"/>
  <c r="AO1248" i="1"/>
  <c r="AR1248" i="1" s="1"/>
  <c r="BB1297" i="1"/>
  <c r="AO1250" i="1"/>
  <c r="BM1250" i="1" s="1"/>
  <c r="AO1273" i="1"/>
  <c r="AR1273" i="1" s="1"/>
  <c r="AO1287" i="1"/>
  <c r="BM1287" i="1" s="1"/>
  <c r="AO1302" i="1"/>
  <c r="BM1302" i="1" s="1"/>
  <c r="AO1309" i="1"/>
  <c r="AR1309" i="1" s="1"/>
  <c r="BA1242" i="1"/>
  <c r="BB1254" i="1"/>
  <c r="BA1281" i="1"/>
  <c r="AY1255" i="1"/>
  <c r="BA1255" i="1" s="1"/>
  <c r="AO1265" i="1"/>
  <c r="BM1265" i="1" s="1"/>
  <c r="BB1265" i="1"/>
  <c r="AY1265" i="1"/>
  <c r="BA1265" i="1" s="1"/>
  <c r="AY1252" i="1"/>
  <c r="BA1252" i="1" s="1"/>
  <c r="AO1272" i="1"/>
  <c r="AO1279" i="1"/>
  <c r="AY1262" i="1"/>
  <c r="BA1262" i="1" s="1"/>
  <c r="AY1269" i="1"/>
  <c r="BA1269" i="1" s="1"/>
  <c r="AY1272" i="1"/>
  <c r="BA1272" i="1" s="1"/>
  <c r="AY1279" i="1"/>
  <c r="BA1279" i="1" s="1"/>
  <c r="AO1289" i="1"/>
  <c r="AR1289" i="1" s="1"/>
  <c r="BB1289" i="1"/>
  <c r="AY1289" i="1"/>
  <c r="BA1289" i="1" s="1"/>
  <c r="BB1252" i="1"/>
  <c r="AY1293" i="1"/>
  <c r="BA1293" i="1" s="1"/>
  <c r="AY1310" i="1"/>
  <c r="BA1310" i="1" s="1"/>
  <c r="BB1246" i="1"/>
  <c r="AO1246" i="1"/>
  <c r="BM1246" i="1" s="1"/>
  <c r="AY1246" i="1"/>
  <c r="BA1246" i="1" s="1"/>
  <c r="AY1286" i="1"/>
  <c r="BA1286" i="1" s="1"/>
  <c r="AY1296" i="1"/>
  <c r="BA1296" i="1" s="1"/>
  <c r="BB1269" i="1"/>
  <c r="AY1300" i="1"/>
  <c r="BA1300" i="1" s="1"/>
  <c r="AY1250" i="1"/>
  <c r="BA1250" i="1" s="1"/>
  <c r="BB1276" i="1"/>
  <c r="AO1277" i="1"/>
  <c r="BB1277" i="1"/>
  <c r="AY1277" i="1"/>
  <c r="BA1277" i="1" s="1"/>
  <c r="AO1303" i="1"/>
  <c r="AR1303" i="1" s="1"/>
  <c r="AY1264" i="1"/>
  <c r="BA1264" i="1" s="1"/>
  <c r="AO1262" i="1"/>
  <c r="BM1262" i="1" s="1"/>
  <c r="AO1310" i="1"/>
  <c r="AR1310" i="1" s="1"/>
  <c r="AY1274" i="1"/>
  <c r="BA1274" i="1" s="1"/>
  <c r="AY1284" i="1"/>
  <c r="BA1284" i="1" s="1"/>
  <c r="AY1291" i="1"/>
  <c r="BA1291" i="1" s="1"/>
  <c r="AO1301" i="1"/>
  <c r="BB1301" i="1"/>
  <c r="AY1301" i="1"/>
  <c r="BA1301" i="1" s="1"/>
  <c r="AY1303" i="1"/>
  <c r="BA1303" i="1" s="1"/>
  <c r="AO1253" i="1"/>
  <c r="BM1253" i="1" s="1"/>
  <c r="BB1253" i="1"/>
  <c r="AY1253" i="1"/>
  <c r="BA1253" i="1" s="1"/>
  <c r="BB1240" i="1"/>
  <c r="AO1241" i="1"/>
  <c r="AR1241" i="1" s="1"/>
  <c r="BB1241" i="1"/>
  <c r="AY1257" i="1"/>
  <c r="BA1257" i="1" s="1"/>
  <c r="AY1260" i="1"/>
  <c r="BA1260" i="1" s="1"/>
  <c r="AY1267" i="1"/>
  <c r="BA1267" i="1" s="1"/>
  <c r="AO1255" i="1"/>
  <c r="BM1255" i="1" s="1"/>
  <c r="AR1269" i="1"/>
  <c r="AO1296" i="1"/>
  <c r="BM1296" i="1" s="1"/>
  <c r="BB1300" i="1"/>
  <c r="AR1311" i="1"/>
  <c r="AY1288" i="1"/>
  <c r="BA1288" i="1" s="1"/>
  <c r="AR1264" i="1"/>
  <c r="AR1276" i="1"/>
  <c r="AR1288" i="1"/>
  <c r="AR1300" i="1"/>
  <c r="AY1258" i="1"/>
  <c r="BA1258" i="1" s="1"/>
  <c r="AY1270" i="1"/>
  <c r="BA1270" i="1" s="1"/>
  <c r="AY1282" i="1"/>
  <c r="BA1282" i="1" s="1"/>
  <c r="AY1294" i="1"/>
  <c r="BA1294" i="1" s="1"/>
  <c r="AY1306" i="1"/>
  <c r="BA1306" i="1" s="1"/>
  <c r="AO1258" i="1"/>
  <c r="BM1258" i="1" s="1"/>
  <c r="AO1270" i="1"/>
  <c r="BM1270" i="1" s="1"/>
  <c r="AO1282" i="1"/>
  <c r="AR1282" i="1" s="1"/>
  <c r="AO1294" i="1"/>
  <c r="BM1294" i="1" s="1"/>
  <c r="AO1306" i="1"/>
  <c r="BM1306" i="1" s="1"/>
  <c r="AY1239" i="1"/>
  <c r="BA1239" i="1" s="1"/>
  <c r="AY1251" i="1"/>
  <c r="BA1251" i="1" s="1"/>
  <c r="AY1263" i="1"/>
  <c r="BA1263" i="1" s="1"/>
  <c r="AY1275" i="1"/>
  <c r="BA1275" i="1" s="1"/>
  <c r="AY1287" i="1"/>
  <c r="BA1287" i="1" s="1"/>
  <c r="AY1299" i="1"/>
  <c r="BA1299" i="1" s="1"/>
  <c r="AY1311" i="1"/>
  <c r="BA1311" i="1" s="1"/>
  <c r="AR1240" i="1"/>
  <c r="AR1252" i="1"/>
  <c r="AQ1235" i="1"/>
  <c r="AQ1213" i="1"/>
  <c r="AQ1214" i="1"/>
  <c r="AK1213" i="1"/>
  <c r="AM1235" i="1"/>
  <c r="AL1235" i="1"/>
  <c r="AN1214" i="1"/>
  <c r="AM1214" i="1"/>
  <c r="AL1214" i="1"/>
  <c r="AM1213" i="1"/>
  <c r="AL1213" i="1"/>
  <c r="BM1299" i="1" l="1"/>
  <c r="AR1284" i="1"/>
  <c r="AS1284" i="1" s="1"/>
  <c r="BM1254" i="1"/>
  <c r="BM1283" i="1"/>
  <c r="BM1259" i="1"/>
  <c r="AR1266" i="1"/>
  <c r="AS1266" i="1" s="1"/>
  <c r="BM1242" i="1"/>
  <c r="AR1263" i="1"/>
  <c r="AS1263" i="1" s="1"/>
  <c r="BM1249" i="1"/>
  <c r="BM1285" i="1"/>
  <c r="AR1270" i="1"/>
  <c r="AS1270" i="1" s="1"/>
  <c r="AR1281" i="1"/>
  <c r="AS1281" i="1" s="1"/>
  <c r="AR1302" i="1"/>
  <c r="BP1302" i="1" s="1"/>
  <c r="AR1304" i="1"/>
  <c r="AS1304" i="1" s="1"/>
  <c r="BM1268" i="1"/>
  <c r="BM1257" i="1"/>
  <c r="AR1253" i="1"/>
  <c r="BP1253" i="1" s="1"/>
  <c r="BM1295" i="1"/>
  <c r="BP1259" i="1"/>
  <c r="AR1297" i="1"/>
  <c r="BP1297" i="1" s="1"/>
  <c r="AR1292" i="1"/>
  <c r="AS1292" i="1" s="1"/>
  <c r="BM1274" i="1"/>
  <c r="BP1283" i="1"/>
  <c r="AR1296" i="1"/>
  <c r="BP1296" i="1" s="1"/>
  <c r="AR1265" i="1"/>
  <c r="AS1265" i="1" s="1"/>
  <c r="AS1285" i="1"/>
  <c r="BP1285" i="1"/>
  <c r="AR1298" i="1"/>
  <c r="BP1299" i="1"/>
  <c r="AR1278" i="1"/>
  <c r="AS1278" i="1" s="1"/>
  <c r="AR1275" i="1"/>
  <c r="AR1308" i="1"/>
  <c r="BP1308" i="1" s="1"/>
  <c r="AS1267" i="1"/>
  <c r="BP1267" i="1"/>
  <c r="AS1251" i="1"/>
  <c r="BP1251" i="1"/>
  <c r="AS1274" i="1"/>
  <c r="BP1274" i="1"/>
  <c r="AS1268" i="1"/>
  <c r="BP1268" i="1"/>
  <c r="BM1309" i="1"/>
  <c r="BM1273" i="1"/>
  <c r="AR1293" i="1"/>
  <c r="BP1293" i="1" s="1"/>
  <c r="AR1287" i="1"/>
  <c r="BP1287" i="1" s="1"/>
  <c r="AR1261" i="1"/>
  <c r="BP1261" i="1" s="1"/>
  <c r="AR1307" i="1"/>
  <c r="AR1244" i="1"/>
  <c r="AS1244" i="1" s="1"/>
  <c r="AR1262" i="1"/>
  <c r="AS1262" i="1" s="1"/>
  <c r="AR1286" i="1"/>
  <c r="AS1286" i="1" s="1"/>
  <c r="CC1286" i="1" s="1"/>
  <c r="CE1286" i="1" s="1"/>
  <c r="AR1239" i="1"/>
  <c r="AS1239" i="1" s="1"/>
  <c r="BM1248" i="1"/>
  <c r="AR1290" i="1"/>
  <c r="BP1290" i="1" s="1"/>
  <c r="BM1267" i="1"/>
  <c r="AR1306" i="1"/>
  <c r="AS1306" i="1" s="1"/>
  <c r="BM1251" i="1"/>
  <c r="BM1247" i="1"/>
  <c r="BM1289" i="1"/>
  <c r="AR1245" i="1"/>
  <c r="BP1245" i="1" s="1"/>
  <c r="AS1271" i="1"/>
  <c r="BP1271" i="1"/>
  <c r="AS1303" i="1"/>
  <c r="BP1303" i="1"/>
  <c r="AS1248" i="1"/>
  <c r="BP1248" i="1"/>
  <c r="AS1280" i="1"/>
  <c r="BP1280" i="1"/>
  <c r="AS1282" i="1"/>
  <c r="BP1282" i="1"/>
  <c r="AS1247" i="1"/>
  <c r="BP1247" i="1"/>
  <c r="AR1258" i="1"/>
  <c r="AR1250" i="1"/>
  <c r="AR1279" i="1"/>
  <c r="BM1279" i="1"/>
  <c r="AR1260" i="1"/>
  <c r="AS1310" i="1"/>
  <c r="BP1310" i="1"/>
  <c r="AR1272" i="1"/>
  <c r="BM1272" i="1"/>
  <c r="BM1303" i="1"/>
  <c r="AS1295" i="1"/>
  <c r="BP1295" i="1"/>
  <c r="AS1242" i="1"/>
  <c r="BP1242" i="1"/>
  <c r="BM1310" i="1"/>
  <c r="AS1276" i="1"/>
  <c r="BP1276" i="1"/>
  <c r="AS1257" i="1"/>
  <c r="BP1257" i="1"/>
  <c r="AS1252" i="1"/>
  <c r="BP1252" i="1"/>
  <c r="AR1277" i="1"/>
  <c r="BM1277" i="1"/>
  <c r="AS1254" i="1"/>
  <c r="BP1254" i="1"/>
  <c r="AR1291" i="1"/>
  <c r="AR1255" i="1"/>
  <c r="BM1271" i="1"/>
  <c r="AR1243" i="1"/>
  <c r="AS1289" i="1"/>
  <c r="BP1289" i="1"/>
  <c r="AR1256" i="1"/>
  <c r="AS1288" i="1"/>
  <c r="BP1288" i="1"/>
  <c r="AS1269" i="1"/>
  <c r="BP1269" i="1"/>
  <c r="AS1264" i="1"/>
  <c r="BP1264" i="1"/>
  <c r="AR1301" i="1"/>
  <c r="BM1301" i="1"/>
  <c r="AS1309" i="1"/>
  <c r="BP1309" i="1"/>
  <c r="AS1240" i="1"/>
  <c r="BP1240" i="1"/>
  <c r="AS1273" i="1"/>
  <c r="BP1273" i="1"/>
  <c r="BM1282" i="1"/>
  <c r="AR1246" i="1"/>
  <c r="AS1311" i="1"/>
  <c r="BP1311" i="1"/>
  <c r="AS1241" i="1"/>
  <c r="BP1241" i="1"/>
  <c r="BM1241" i="1"/>
  <c r="AS1300" i="1"/>
  <c r="BP1300" i="1"/>
  <c r="AR1294" i="1"/>
  <c r="AS1249" i="1"/>
  <c r="BP1249" i="1"/>
  <c r="AR1305" i="1"/>
  <c r="X1205" i="1"/>
  <c r="AQ1207" i="1"/>
  <c r="AQ1204" i="1"/>
  <c r="AQ1202" i="1"/>
  <c r="AQ1200" i="1"/>
  <c r="AQ1199" i="1"/>
  <c r="AP1203" i="1"/>
  <c r="BP1284" i="1" l="1"/>
  <c r="AS1253" i="1"/>
  <c r="BP1266" i="1"/>
  <c r="BP1304" i="1"/>
  <c r="AS1302" i="1"/>
  <c r="BP1281" i="1"/>
  <c r="BP1263" i="1"/>
  <c r="BP1265" i="1"/>
  <c r="BP1270" i="1"/>
  <c r="AS1290" i="1"/>
  <c r="AS1293" i="1"/>
  <c r="BP1292" i="1"/>
  <c r="AS1297" i="1"/>
  <c r="AS1261" i="1"/>
  <c r="BP1244" i="1"/>
  <c r="AS1245" i="1"/>
  <c r="AS1296" i="1"/>
  <c r="BP1278" i="1"/>
  <c r="AS1308" i="1"/>
  <c r="AS1275" i="1"/>
  <c r="BP1275" i="1"/>
  <c r="BP1262" i="1"/>
  <c r="AS1298" i="1"/>
  <c r="BP1298" i="1"/>
  <c r="BP1286" i="1"/>
  <c r="BP1306" i="1"/>
  <c r="AS1287" i="1"/>
  <c r="CC1287" i="1" s="1"/>
  <c r="CE1287" i="1" s="1"/>
  <c r="BP1239" i="1"/>
  <c r="AS1307" i="1"/>
  <c r="BP1307" i="1"/>
  <c r="AS1260" i="1"/>
  <c r="BP1260" i="1"/>
  <c r="AS1256" i="1"/>
  <c r="BP1256" i="1"/>
  <c r="AS1277" i="1"/>
  <c r="BP1277" i="1"/>
  <c r="AS1250" i="1"/>
  <c r="BP1250" i="1"/>
  <c r="AS1294" i="1"/>
  <c r="BP1294" i="1"/>
  <c r="AS1305" i="1"/>
  <c r="BP1305" i="1"/>
  <c r="AS1301" i="1"/>
  <c r="BP1301" i="1"/>
  <c r="AS1279" i="1"/>
  <c r="BP1279" i="1"/>
  <c r="AS1243" i="1"/>
  <c r="BP1243" i="1"/>
  <c r="AS1246" i="1"/>
  <c r="CC1246" i="1" s="1"/>
  <c r="CE1246" i="1" s="1"/>
  <c r="BP1246" i="1"/>
  <c r="AS1255" i="1"/>
  <c r="BP1255" i="1"/>
  <c r="AS1258" i="1"/>
  <c r="BP1258" i="1"/>
  <c r="AS1272" i="1"/>
  <c r="BP1272" i="1"/>
  <c r="AS1291" i="1"/>
  <c r="BP1291" i="1"/>
  <c r="AK1207" i="1"/>
  <c r="AK1204" i="1"/>
  <c r="AK1202" i="1"/>
  <c r="AK1201" i="1"/>
  <c r="AK1203" i="1"/>
  <c r="AK1200" i="1"/>
  <c r="AK1199" i="1"/>
  <c r="AM1207" i="1" l="1"/>
  <c r="AL1207" i="1"/>
  <c r="AM1204" i="1" l="1"/>
  <c r="AL1204" i="1"/>
  <c r="AN1203" i="1"/>
  <c r="AM1203" i="1"/>
  <c r="AL1203" i="1"/>
  <c r="AM1202" i="1"/>
  <c r="AL1202" i="1"/>
  <c r="AM1201" i="1"/>
  <c r="AL1201" i="1"/>
  <c r="AN1200" i="1"/>
  <c r="AM1200" i="1"/>
  <c r="AL1200" i="1"/>
  <c r="AM1199" i="1" l="1"/>
  <c r="AL1199" i="1"/>
  <c r="AL1198" i="1"/>
  <c r="BO1238" i="1" l="1"/>
  <c r="BH1238" i="1"/>
  <c r="BI1238" i="1" s="1"/>
  <c r="BK1238" i="1" s="1"/>
  <c r="BF1238" i="1"/>
  <c r="BG1238" i="1" s="1"/>
  <c r="BO1237" i="1"/>
  <c r="BH1237" i="1"/>
  <c r="BI1237" i="1" s="1"/>
  <c r="BK1237" i="1" s="1"/>
  <c r="BF1237" i="1"/>
  <c r="BG1237" i="1" s="1"/>
  <c r="BO1236" i="1"/>
  <c r="BH1236" i="1"/>
  <c r="BI1236" i="1" s="1"/>
  <c r="BK1236" i="1" s="1"/>
  <c r="BF1236" i="1"/>
  <c r="BG1236" i="1" s="1"/>
  <c r="BO1235" i="1"/>
  <c r="BH1235" i="1"/>
  <c r="BI1235" i="1" s="1"/>
  <c r="BK1235" i="1" s="1"/>
  <c r="BF1235" i="1"/>
  <c r="BG1235" i="1" s="1"/>
  <c r="BO1234" i="1"/>
  <c r="BH1234" i="1"/>
  <c r="BI1234" i="1" s="1"/>
  <c r="BK1234" i="1" s="1"/>
  <c r="BF1234" i="1"/>
  <c r="BG1234" i="1" s="1"/>
  <c r="BO1233" i="1"/>
  <c r="BH1233" i="1"/>
  <c r="BI1233" i="1" s="1"/>
  <c r="BK1233" i="1" s="1"/>
  <c r="BF1233" i="1"/>
  <c r="BG1233" i="1" s="1"/>
  <c r="BO1232" i="1"/>
  <c r="BH1232" i="1"/>
  <c r="BI1232" i="1" s="1"/>
  <c r="BK1232" i="1" s="1"/>
  <c r="BF1232" i="1"/>
  <c r="BG1232" i="1" s="1"/>
  <c r="BO1231" i="1"/>
  <c r="BH1231" i="1"/>
  <c r="BI1231" i="1" s="1"/>
  <c r="BK1231" i="1" s="1"/>
  <c r="BF1231" i="1"/>
  <c r="BG1231" i="1" s="1"/>
  <c r="BO1230" i="1"/>
  <c r="BH1230" i="1"/>
  <c r="BI1230" i="1" s="1"/>
  <c r="BK1230" i="1" s="1"/>
  <c r="BF1230" i="1"/>
  <c r="BG1230" i="1" s="1"/>
  <c r="BO1229" i="1"/>
  <c r="BH1229" i="1"/>
  <c r="BI1229" i="1" s="1"/>
  <c r="BK1229" i="1" s="1"/>
  <c r="BF1229" i="1"/>
  <c r="BG1229" i="1" s="1"/>
  <c r="BO1228" i="1"/>
  <c r="BH1228" i="1"/>
  <c r="BI1228" i="1" s="1"/>
  <c r="BK1228" i="1" s="1"/>
  <c r="BF1228" i="1"/>
  <c r="BG1228" i="1" s="1"/>
  <c r="BO1227" i="1"/>
  <c r="BH1227" i="1"/>
  <c r="BI1227" i="1" s="1"/>
  <c r="BK1227" i="1" s="1"/>
  <c r="BF1227" i="1"/>
  <c r="BG1227" i="1" s="1"/>
  <c r="BO1226" i="1"/>
  <c r="BH1226" i="1"/>
  <c r="BI1226" i="1" s="1"/>
  <c r="BK1226" i="1" s="1"/>
  <c r="BF1226" i="1"/>
  <c r="BG1226" i="1" s="1"/>
  <c r="BO1225" i="1"/>
  <c r="BH1225" i="1"/>
  <c r="BI1225" i="1" s="1"/>
  <c r="BK1225" i="1" s="1"/>
  <c r="BF1225" i="1"/>
  <c r="BG1225" i="1" s="1"/>
  <c r="BO1224" i="1"/>
  <c r="BH1224" i="1"/>
  <c r="BI1224" i="1" s="1"/>
  <c r="BK1224" i="1" s="1"/>
  <c r="BF1224" i="1"/>
  <c r="BG1224" i="1" s="1"/>
  <c r="BO1223" i="1"/>
  <c r="BH1223" i="1"/>
  <c r="BI1223" i="1" s="1"/>
  <c r="BK1223" i="1" s="1"/>
  <c r="BF1223" i="1"/>
  <c r="BG1223" i="1" s="1"/>
  <c r="BO1222" i="1"/>
  <c r="BH1222" i="1"/>
  <c r="BI1222" i="1" s="1"/>
  <c r="BK1222" i="1" s="1"/>
  <c r="BF1222" i="1"/>
  <c r="BG1222" i="1" s="1"/>
  <c r="BO1221" i="1"/>
  <c r="BH1221" i="1"/>
  <c r="BI1221" i="1" s="1"/>
  <c r="BK1221" i="1" s="1"/>
  <c r="BF1221" i="1"/>
  <c r="BG1221" i="1" s="1"/>
  <c r="BO1220" i="1"/>
  <c r="BH1220" i="1"/>
  <c r="BI1220" i="1" s="1"/>
  <c r="BK1220" i="1" s="1"/>
  <c r="BF1220" i="1"/>
  <c r="BG1220" i="1" s="1"/>
  <c r="BO1219" i="1"/>
  <c r="BH1219" i="1"/>
  <c r="BI1219" i="1" s="1"/>
  <c r="BK1219" i="1" s="1"/>
  <c r="BF1219" i="1"/>
  <c r="BG1219" i="1" s="1"/>
  <c r="BO1218" i="1"/>
  <c r="BH1218" i="1"/>
  <c r="BI1218" i="1" s="1"/>
  <c r="BK1218" i="1" s="1"/>
  <c r="BF1218" i="1"/>
  <c r="BG1218" i="1" s="1"/>
  <c r="BO1217" i="1"/>
  <c r="BH1217" i="1"/>
  <c r="BI1217" i="1" s="1"/>
  <c r="BK1217" i="1" s="1"/>
  <c r="BF1217" i="1"/>
  <c r="BG1217" i="1" s="1"/>
  <c r="BO1216" i="1"/>
  <c r="BH1216" i="1"/>
  <c r="BI1216" i="1" s="1"/>
  <c r="BK1216" i="1" s="1"/>
  <c r="BF1216" i="1"/>
  <c r="BG1216" i="1" s="1"/>
  <c r="BO1215" i="1"/>
  <c r="BH1215" i="1"/>
  <c r="BI1215" i="1" s="1"/>
  <c r="BK1215" i="1" s="1"/>
  <c r="BF1215" i="1"/>
  <c r="BG1215" i="1" s="1"/>
  <c r="BO1214" i="1"/>
  <c r="BH1214" i="1"/>
  <c r="BI1214" i="1" s="1"/>
  <c r="BK1214" i="1" s="1"/>
  <c r="BF1214" i="1"/>
  <c r="BG1214" i="1" s="1"/>
  <c r="BO1213" i="1"/>
  <c r="BH1213" i="1"/>
  <c r="BI1213" i="1" s="1"/>
  <c r="BK1213" i="1" s="1"/>
  <c r="BF1213" i="1"/>
  <c r="BG1213" i="1" s="1"/>
  <c r="BO1212" i="1"/>
  <c r="BH1212" i="1"/>
  <c r="BI1212" i="1" s="1"/>
  <c r="BK1212" i="1" s="1"/>
  <c r="BF1212" i="1"/>
  <c r="BG1212" i="1" s="1"/>
  <c r="BO1211" i="1"/>
  <c r="BH1211" i="1"/>
  <c r="BI1211" i="1" s="1"/>
  <c r="BK1211" i="1" s="1"/>
  <c r="BF1211" i="1"/>
  <c r="BG1211" i="1" s="1"/>
  <c r="BO1210" i="1"/>
  <c r="BH1210" i="1"/>
  <c r="BI1210" i="1" s="1"/>
  <c r="BK1210" i="1" s="1"/>
  <c r="BF1210" i="1"/>
  <c r="BG1210" i="1" s="1"/>
  <c r="BO1209" i="1"/>
  <c r="BH1209" i="1"/>
  <c r="BI1209" i="1" s="1"/>
  <c r="BK1209" i="1" s="1"/>
  <c r="BF1209" i="1"/>
  <c r="BG1209" i="1" s="1"/>
  <c r="BO1208" i="1"/>
  <c r="BH1208" i="1"/>
  <c r="BI1208" i="1" s="1"/>
  <c r="BK1208" i="1" s="1"/>
  <c r="BF1208" i="1"/>
  <c r="BG1208" i="1" s="1"/>
  <c r="BO1207" i="1"/>
  <c r="BH1207" i="1"/>
  <c r="BI1207" i="1" s="1"/>
  <c r="BK1207" i="1" s="1"/>
  <c r="BF1207" i="1"/>
  <c r="BG1207" i="1" s="1"/>
  <c r="BO1206" i="1"/>
  <c r="BH1206" i="1"/>
  <c r="BI1206" i="1" s="1"/>
  <c r="BK1206" i="1" s="1"/>
  <c r="BF1206" i="1"/>
  <c r="BG1206" i="1" s="1"/>
  <c r="BO1205" i="1"/>
  <c r="BH1205" i="1"/>
  <c r="BI1205" i="1" s="1"/>
  <c r="BK1205" i="1" s="1"/>
  <c r="BF1205" i="1"/>
  <c r="BG1205" i="1" s="1"/>
  <c r="BO1204" i="1"/>
  <c r="BH1204" i="1"/>
  <c r="BI1204" i="1" s="1"/>
  <c r="BK1204" i="1" s="1"/>
  <c r="BF1204" i="1"/>
  <c r="BG1204" i="1" s="1"/>
  <c r="BO1203" i="1"/>
  <c r="BH1203" i="1"/>
  <c r="BI1203" i="1" s="1"/>
  <c r="BK1203" i="1" s="1"/>
  <c r="BF1203" i="1"/>
  <c r="BG1203" i="1" s="1"/>
  <c r="BO1202" i="1"/>
  <c r="BH1202" i="1"/>
  <c r="BI1202" i="1" s="1"/>
  <c r="BK1202" i="1" s="1"/>
  <c r="BF1202" i="1"/>
  <c r="BG1202" i="1" s="1"/>
  <c r="BO1201" i="1"/>
  <c r="BH1201" i="1"/>
  <c r="BI1201" i="1" s="1"/>
  <c r="BK1201" i="1" s="1"/>
  <c r="BF1201" i="1"/>
  <c r="BG1201" i="1" s="1"/>
  <c r="BO1200" i="1"/>
  <c r="BH1200" i="1"/>
  <c r="BI1200" i="1" s="1"/>
  <c r="BK1200" i="1" s="1"/>
  <c r="BF1200" i="1"/>
  <c r="BG1200" i="1" s="1"/>
  <c r="BO1199" i="1"/>
  <c r="BH1199" i="1"/>
  <c r="BI1199" i="1" s="1"/>
  <c r="BK1199" i="1" s="1"/>
  <c r="BF1199" i="1"/>
  <c r="BG1199" i="1" s="1"/>
  <c r="BO1198" i="1"/>
  <c r="BH1198" i="1"/>
  <c r="BI1198" i="1" s="1"/>
  <c r="BK1198" i="1" s="1"/>
  <c r="BF1198" i="1"/>
  <c r="BG1198" i="1" s="1"/>
  <c r="AZ1238" i="1"/>
  <c r="AW1238" i="1"/>
  <c r="BB1238" i="1" s="1"/>
  <c r="AK1238" i="1"/>
  <c r="CJ1238" i="1" s="1"/>
  <c r="AZ1237" i="1"/>
  <c r="AW1237" i="1"/>
  <c r="AY1237" i="1" s="1"/>
  <c r="AK1237" i="1"/>
  <c r="AZ1236" i="1"/>
  <c r="AW1236" i="1"/>
  <c r="AY1236" i="1" s="1"/>
  <c r="AK1236" i="1"/>
  <c r="AZ1235" i="1"/>
  <c r="AW1235" i="1"/>
  <c r="BB1235" i="1" s="1"/>
  <c r="AK1235" i="1"/>
  <c r="AZ1234" i="1"/>
  <c r="AW1234" i="1"/>
  <c r="BB1234" i="1" s="1"/>
  <c r="AK1234" i="1"/>
  <c r="AZ1233" i="1"/>
  <c r="AW1233" i="1"/>
  <c r="AY1233" i="1" s="1"/>
  <c r="AK1233" i="1"/>
  <c r="AZ1232" i="1"/>
  <c r="AW1232" i="1"/>
  <c r="AY1232" i="1" s="1"/>
  <c r="AK1232" i="1"/>
  <c r="AZ1231" i="1"/>
  <c r="AW1231" i="1"/>
  <c r="BB1231" i="1" s="1"/>
  <c r="AK1231" i="1"/>
  <c r="AZ1230" i="1"/>
  <c r="AW1230" i="1"/>
  <c r="BB1230" i="1" s="1"/>
  <c r="AK1230" i="1"/>
  <c r="AZ1229" i="1"/>
  <c r="AW1229" i="1"/>
  <c r="AY1229" i="1" s="1"/>
  <c r="AK1229" i="1"/>
  <c r="AZ1228" i="1"/>
  <c r="AW1228" i="1"/>
  <c r="AY1228" i="1" s="1"/>
  <c r="AK1228" i="1"/>
  <c r="AZ1227" i="1"/>
  <c r="AW1227" i="1"/>
  <c r="AY1227" i="1" s="1"/>
  <c r="AK1227" i="1"/>
  <c r="AZ1226" i="1"/>
  <c r="AW1226" i="1"/>
  <c r="BB1226" i="1" s="1"/>
  <c r="AK1226" i="1"/>
  <c r="AZ1225" i="1"/>
  <c r="AW1225" i="1"/>
  <c r="AY1225" i="1" s="1"/>
  <c r="AK1225" i="1"/>
  <c r="AZ1224" i="1"/>
  <c r="AW1224" i="1"/>
  <c r="AK1224" i="1"/>
  <c r="AZ1223" i="1"/>
  <c r="AW1223" i="1"/>
  <c r="AY1223" i="1" s="1"/>
  <c r="AK1223" i="1"/>
  <c r="AZ1222" i="1"/>
  <c r="AW1222" i="1"/>
  <c r="BB1222" i="1" s="1"/>
  <c r="AK1222" i="1"/>
  <c r="AZ1221" i="1"/>
  <c r="AW1221" i="1"/>
  <c r="AY1221" i="1" s="1"/>
  <c r="AK1221" i="1"/>
  <c r="AZ1220" i="1"/>
  <c r="AW1220" i="1"/>
  <c r="AK1220" i="1"/>
  <c r="AZ1219" i="1"/>
  <c r="AW1219" i="1"/>
  <c r="BB1219" i="1" s="1"/>
  <c r="AK1219" i="1"/>
  <c r="AZ1218" i="1"/>
  <c r="AW1218" i="1"/>
  <c r="BB1218" i="1" s="1"/>
  <c r="AK1218" i="1"/>
  <c r="AZ1217" i="1"/>
  <c r="AW1217" i="1"/>
  <c r="AY1217" i="1" s="1"/>
  <c r="AK1217" i="1"/>
  <c r="AZ1216" i="1"/>
  <c r="AW1216" i="1"/>
  <c r="AK1216" i="1"/>
  <c r="AZ1215" i="1"/>
  <c r="AW1215" i="1"/>
  <c r="AY1215" i="1" s="1"/>
  <c r="AK1215" i="1"/>
  <c r="AZ1214" i="1"/>
  <c r="AW1214" i="1"/>
  <c r="BB1214" i="1" s="1"/>
  <c r="AK1214" i="1"/>
  <c r="AZ1213" i="1"/>
  <c r="AW1213" i="1"/>
  <c r="AY1213" i="1" s="1"/>
  <c r="AZ1212" i="1"/>
  <c r="AW1212" i="1"/>
  <c r="AK1212" i="1"/>
  <c r="AZ1211" i="1"/>
  <c r="AW1211" i="1"/>
  <c r="BB1211" i="1" s="1"/>
  <c r="AK1211" i="1"/>
  <c r="AZ1210" i="1"/>
  <c r="AW1210" i="1"/>
  <c r="BB1210" i="1" s="1"/>
  <c r="AK1210" i="1"/>
  <c r="AZ1209" i="1"/>
  <c r="AW1209" i="1"/>
  <c r="AY1209" i="1" s="1"/>
  <c r="AK1209" i="1"/>
  <c r="AZ1208" i="1"/>
  <c r="AW1208" i="1"/>
  <c r="AK1208" i="1"/>
  <c r="AZ1207" i="1"/>
  <c r="AW1207" i="1"/>
  <c r="AY1207" i="1" s="1"/>
  <c r="AZ1206" i="1"/>
  <c r="AW1206" i="1"/>
  <c r="BB1206" i="1" s="1"/>
  <c r="AK1206" i="1"/>
  <c r="AZ1205" i="1"/>
  <c r="AW1205" i="1"/>
  <c r="AY1205" i="1" s="1"/>
  <c r="AK1205" i="1"/>
  <c r="AZ1204" i="1"/>
  <c r="AW1204" i="1"/>
  <c r="AZ1203" i="1"/>
  <c r="AW1203" i="1"/>
  <c r="BB1203" i="1" s="1"/>
  <c r="AZ1202" i="1"/>
  <c r="AW1202" i="1"/>
  <c r="BB1202" i="1" s="1"/>
  <c r="AZ1201" i="1"/>
  <c r="AW1201" i="1"/>
  <c r="AY1201" i="1" s="1"/>
  <c r="AZ1200" i="1"/>
  <c r="AW1200" i="1"/>
  <c r="AY1200" i="1" s="1"/>
  <c r="AZ1199" i="1"/>
  <c r="AW1199" i="1"/>
  <c r="AY1199" i="1" s="1"/>
  <c r="AZ1198" i="1"/>
  <c r="AW1198" i="1"/>
  <c r="BB1198" i="1" s="1"/>
  <c r="AK1198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O1234" i="1" l="1"/>
  <c r="BM1234" i="1" s="1"/>
  <c r="BA1215" i="1"/>
  <c r="AO1219" i="1"/>
  <c r="BM1219" i="1" s="1"/>
  <c r="BA1201" i="1"/>
  <c r="AO1207" i="1"/>
  <c r="BM1207" i="1" s="1"/>
  <c r="AO1222" i="1"/>
  <c r="AR1222" i="1" s="1"/>
  <c r="AS1222" i="1" s="1"/>
  <c r="AO1237" i="1"/>
  <c r="AR1237" i="1" s="1"/>
  <c r="AO1211" i="1"/>
  <c r="AR1211" i="1" s="1"/>
  <c r="AS1211" i="1" s="1"/>
  <c r="AO1226" i="1"/>
  <c r="AR1226" i="1" s="1"/>
  <c r="AS1226" i="1" s="1"/>
  <c r="BA1237" i="1"/>
  <c r="AO1205" i="1"/>
  <c r="BM1205" i="1" s="1"/>
  <c r="BA1205" i="1"/>
  <c r="AO1198" i="1"/>
  <c r="AR1198" i="1" s="1"/>
  <c r="AS1198" i="1" s="1"/>
  <c r="AO1202" i="1"/>
  <c r="AR1202" i="1" s="1"/>
  <c r="AO1209" i="1"/>
  <c r="BM1209" i="1" s="1"/>
  <c r="BA1227" i="1"/>
  <c r="AO1199" i="1"/>
  <c r="BM1199" i="1" s="1"/>
  <c r="BA1217" i="1"/>
  <c r="BA1228" i="1"/>
  <c r="AO1210" i="1"/>
  <c r="AR1210" i="1" s="1"/>
  <c r="BB1209" i="1"/>
  <c r="BA1213" i="1"/>
  <c r="AO1217" i="1"/>
  <c r="AR1217" i="1" s="1"/>
  <c r="AO1235" i="1"/>
  <c r="BM1235" i="1" s="1"/>
  <c r="BA1207" i="1"/>
  <c r="BA1232" i="1"/>
  <c r="BA1225" i="1"/>
  <c r="AO1201" i="1"/>
  <c r="AR1201" i="1" s="1"/>
  <c r="AO1229" i="1"/>
  <c r="AR1229" i="1" s="1"/>
  <c r="AS1229" i="1" s="1"/>
  <c r="AO1214" i="1"/>
  <c r="AR1214" i="1" s="1"/>
  <c r="AO1221" i="1"/>
  <c r="BM1221" i="1" s="1"/>
  <c r="AO1231" i="1"/>
  <c r="AR1231" i="1" s="1"/>
  <c r="BB1229" i="1"/>
  <c r="AO1233" i="1"/>
  <c r="BM1233" i="1" s="1"/>
  <c r="AO1223" i="1"/>
  <c r="AR1223" i="1" s="1"/>
  <c r="AS1223" i="1" s="1"/>
  <c r="BB1217" i="1"/>
  <c r="BB1205" i="1"/>
  <c r="BB1221" i="1"/>
  <c r="AO1225" i="1"/>
  <c r="AR1225" i="1" s="1"/>
  <c r="AO1238" i="1"/>
  <c r="BM1238" i="1" s="1"/>
  <c r="BB1233" i="1"/>
  <c r="AO1213" i="1"/>
  <c r="AR1213" i="1" s="1"/>
  <c r="BA1229" i="1"/>
  <c r="BB1213" i="1"/>
  <c r="BA1199" i="1"/>
  <c r="BA1223" i="1"/>
  <c r="BB1201" i="1"/>
  <c r="BB1225" i="1"/>
  <c r="BB1237" i="1"/>
  <c r="BA1200" i="1"/>
  <c r="AO1203" i="1"/>
  <c r="BM1203" i="1" s="1"/>
  <c r="AO1206" i="1"/>
  <c r="BM1206" i="1" s="1"/>
  <c r="BA1209" i="1"/>
  <c r="AO1215" i="1"/>
  <c r="AO1218" i="1"/>
  <c r="BM1218" i="1" s="1"/>
  <c r="BA1221" i="1"/>
  <c r="AO1227" i="1"/>
  <c r="BM1227" i="1" s="1"/>
  <c r="AO1230" i="1"/>
  <c r="BM1230" i="1" s="1"/>
  <c r="BA1233" i="1"/>
  <c r="BA1236" i="1"/>
  <c r="AO1208" i="1"/>
  <c r="BB1208" i="1"/>
  <c r="AY1208" i="1"/>
  <c r="BA1208" i="1" s="1"/>
  <c r="AO1204" i="1"/>
  <c r="AR1204" i="1" s="1"/>
  <c r="BB1204" i="1"/>
  <c r="AO1220" i="1"/>
  <c r="BB1220" i="1"/>
  <c r="AY1204" i="1"/>
  <c r="BA1204" i="1" s="1"/>
  <c r="AO1224" i="1"/>
  <c r="AR1224" i="1" s="1"/>
  <c r="BB1224" i="1"/>
  <c r="AO1236" i="1"/>
  <c r="BM1236" i="1" s="1"/>
  <c r="BB1236" i="1"/>
  <c r="AY1224" i="1"/>
  <c r="BA1224" i="1" s="1"/>
  <c r="AO1232" i="1"/>
  <c r="BB1232" i="1"/>
  <c r="AY1220" i="1"/>
  <c r="BA1220" i="1" s="1"/>
  <c r="AO1200" i="1"/>
  <c r="AR1200" i="1" s="1"/>
  <c r="BB1200" i="1"/>
  <c r="AO1216" i="1"/>
  <c r="AR1216" i="1" s="1"/>
  <c r="BB1216" i="1"/>
  <c r="AY1216" i="1"/>
  <c r="BA1216" i="1" s="1"/>
  <c r="AO1228" i="1"/>
  <c r="BM1228" i="1" s="1"/>
  <c r="BB1228" i="1"/>
  <c r="AO1212" i="1"/>
  <c r="AR1212" i="1" s="1"/>
  <c r="BB1212" i="1"/>
  <c r="AY1212" i="1"/>
  <c r="BA1212" i="1" s="1"/>
  <c r="AY1203" i="1"/>
  <c r="BA1203" i="1" s="1"/>
  <c r="AY1211" i="1"/>
  <c r="BA1211" i="1" s="1"/>
  <c r="AY1219" i="1"/>
  <c r="BA1219" i="1" s="1"/>
  <c r="AY1231" i="1"/>
  <c r="BA1231" i="1" s="1"/>
  <c r="AY1235" i="1"/>
  <c r="BA1235" i="1" s="1"/>
  <c r="AY1198" i="1"/>
  <c r="BA1198" i="1" s="1"/>
  <c r="BB1199" i="1"/>
  <c r="AY1202" i="1"/>
  <c r="BA1202" i="1" s="1"/>
  <c r="AY1206" i="1"/>
  <c r="BA1206" i="1" s="1"/>
  <c r="BB1207" i="1"/>
  <c r="AY1210" i="1"/>
  <c r="BA1210" i="1" s="1"/>
  <c r="AY1214" i="1"/>
  <c r="BA1214" i="1" s="1"/>
  <c r="BB1215" i="1"/>
  <c r="AY1218" i="1"/>
  <c r="BA1218" i="1" s="1"/>
  <c r="AY1222" i="1"/>
  <c r="BA1222" i="1" s="1"/>
  <c r="BB1223" i="1"/>
  <c r="AY1226" i="1"/>
  <c r="BA1226" i="1" s="1"/>
  <c r="BB1227" i="1"/>
  <c r="AY1230" i="1"/>
  <c r="BA1230" i="1" s="1"/>
  <c r="AY1234" i="1"/>
  <c r="BA1234" i="1" s="1"/>
  <c r="AY1238" i="1"/>
  <c r="BA1238" i="1" s="1"/>
  <c r="AQ1184" i="1"/>
  <c r="BM1222" i="1" l="1"/>
  <c r="AR1234" i="1"/>
  <c r="AS1234" i="1" s="1"/>
  <c r="AR1219" i="1"/>
  <c r="AS1219" i="1" s="1"/>
  <c r="AR1205" i="1"/>
  <c r="AS1205" i="1" s="1"/>
  <c r="CC1205" i="1" s="1"/>
  <c r="CE1205" i="1" s="1"/>
  <c r="BM1237" i="1"/>
  <c r="BM1211" i="1"/>
  <c r="AR1207" i="1"/>
  <c r="AS1207" i="1" s="1"/>
  <c r="CC1207" i="1" s="1"/>
  <c r="CE1207" i="1" s="1"/>
  <c r="BM1210" i="1"/>
  <c r="BM1202" i="1"/>
  <c r="AR1235" i="1"/>
  <c r="AS1235" i="1" s="1"/>
  <c r="CC1235" i="1" s="1"/>
  <c r="CE1235" i="1" s="1"/>
  <c r="BP1234" i="1"/>
  <c r="BM1223" i="1"/>
  <c r="AS1237" i="1"/>
  <c r="CC1237" i="1" s="1"/>
  <c r="CE1237" i="1" s="1"/>
  <c r="BP1237" i="1"/>
  <c r="BM1198" i="1"/>
  <c r="BM1226" i="1"/>
  <c r="BM1229" i="1"/>
  <c r="AR1209" i="1"/>
  <c r="AS1209" i="1" s="1"/>
  <c r="CC1209" i="1" s="1"/>
  <c r="CE1209" i="1" s="1"/>
  <c r="AR1199" i="1"/>
  <c r="AS1199" i="1" s="1"/>
  <c r="CC1199" i="1" s="1"/>
  <c r="CE1199" i="1" s="1"/>
  <c r="BM1204" i="1"/>
  <c r="AS1210" i="1"/>
  <c r="BP1210" i="1"/>
  <c r="AS1202" i="1"/>
  <c r="CC1202" i="1" s="1"/>
  <c r="CE1202" i="1" s="1"/>
  <c r="BP1202" i="1"/>
  <c r="BP1198" i="1"/>
  <c r="BM1217" i="1"/>
  <c r="AS1217" i="1"/>
  <c r="BP1217" i="1"/>
  <c r="AS1201" i="1"/>
  <c r="CC1201" i="1" s="1"/>
  <c r="CE1201" i="1" s="1"/>
  <c r="BP1201" i="1"/>
  <c r="AR1233" i="1"/>
  <c r="BM1225" i="1"/>
  <c r="BM1231" i="1"/>
  <c r="BM1201" i="1"/>
  <c r="BP1211" i="1"/>
  <c r="BP1229" i="1"/>
  <c r="AS1231" i="1"/>
  <c r="BP1231" i="1"/>
  <c r="AS1214" i="1"/>
  <c r="CC1214" i="1" s="1"/>
  <c r="CE1214" i="1" s="1"/>
  <c r="BP1214" i="1"/>
  <c r="BM1214" i="1"/>
  <c r="AR1221" i="1"/>
  <c r="BP1223" i="1"/>
  <c r="BP1226" i="1"/>
  <c r="AR1236" i="1"/>
  <c r="BP1236" i="1" s="1"/>
  <c r="AS1213" i="1"/>
  <c r="CC1213" i="1" s="1"/>
  <c r="CE1213" i="1" s="1"/>
  <c r="BP1213" i="1"/>
  <c r="AS1225" i="1"/>
  <c r="BP1225" i="1"/>
  <c r="BM1213" i="1"/>
  <c r="AR1238" i="1"/>
  <c r="BP1222" i="1"/>
  <c r="AS1212" i="1"/>
  <c r="BP1212" i="1"/>
  <c r="AR1208" i="1"/>
  <c r="BM1208" i="1"/>
  <c r="AR1215" i="1"/>
  <c r="BM1215" i="1"/>
  <c r="BM1212" i="1"/>
  <c r="AR1232" i="1"/>
  <c r="BM1232" i="1"/>
  <c r="AS1216" i="1"/>
  <c r="BP1216" i="1"/>
  <c r="AR1230" i="1"/>
  <c r="BM1216" i="1"/>
  <c r="AR1206" i="1"/>
  <c r="AS1200" i="1"/>
  <c r="CC1200" i="1" s="1"/>
  <c r="CE1200" i="1" s="1"/>
  <c r="BP1200" i="1"/>
  <c r="AR1220" i="1"/>
  <c r="BM1220" i="1"/>
  <c r="BM1224" i="1"/>
  <c r="AS1224" i="1"/>
  <c r="BP1224" i="1"/>
  <c r="AR1227" i="1"/>
  <c r="AR1228" i="1"/>
  <c r="AR1218" i="1"/>
  <c r="BM1200" i="1"/>
  <c r="AS1204" i="1"/>
  <c r="CC1204" i="1" s="1"/>
  <c r="CE1204" i="1" s="1"/>
  <c r="BP1204" i="1"/>
  <c r="AR1203" i="1"/>
  <c r="AK1184" i="1"/>
  <c r="BP1205" i="1" l="1"/>
  <c r="BP1219" i="1"/>
  <c r="BP1235" i="1"/>
  <c r="BP1207" i="1"/>
  <c r="BP1199" i="1"/>
  <c r="BP1209" i="1"/>
  <c r="AS1233" i="1"/>
  <c r="BP1233" i="1"/>
  <c r="AS1236" i="1"/>
  <c r="CC1236" i="1" s="1"/>
  <c r="CE1236" i="1" s="1"/>
  <c r="AS1221" i="1"/>
  <c r="BP1221" i="1"/>
  <c r="AS1238" i="1"/>
  <c r="CC1238" i="1" s="1"/>
  <c r="CE1238" i="1" s="1"/>
  <c r="BP1238" i="1"/>
  <c r="AS1203" i="1"/>
  <c r="CC1203" i="1" s="1"/>
  <c r="CE1203" i="1" s="1"/>
  <c r="BP1203" i="1"/>
  <c r="AS1215" i="1"/>
  <c r="BP1215" i="1"/>
  <c r="AS1232" i="1"/>
  <c r="BP1232" i="1"/>
  <c r="AS1220" i="1"/>
  <c r="BP1220" i="1"/>
  <c r="AS1218" i="1"/>
  <c r="BP1218" i="1"/>
  <c r="AS1230" i="1"/>
  <c r="BP1230" i="1"/>
  <c r="AS1208" i="1"/>
  <c r="CC1208" i="1" s="1"/>
  <c r="CE1208" i="1" s="1"/>
  <c r="BP1208" i="1"/>
  <c r="AS1206" i="1"/>
  <c r="CC1206" i="1" s="1"/>
  <c r="CE1206" i="1" s="1"/>
  <c r="BP1206" i="1"/>
  <c r="AS1228" i="1"/>
  <c r="BP1228" i="1"/>
  <c r="AS1227" i="1"/>
  <c r="BP1227" i="1"/>
  <c r="AN1185" i="1"/>
  <c r="AL1185" i="1"/>
  <c r="Y1185" i="1"/>
  <c r="AQ1185" i="1" s="1"/>
  <c r="AM1184" i="1"/>
  <c r="AL1184" i="1"/>
  <c r="AM1185" i="1" l="1"/>
  <c r="AQ1173" i="1"/>
  <c r="AQ1172" i="1"/>
  <c r="AK1173" i="1"/>
  <c r="AK1172" i="1"/>
  <c r="Y1175" i="1" l="1"/>
  <c r="AM1175" i="1"/>
  <c r="AL1175" i="1"/>
  <c r="AM1173" i="1" l="1"/>
  <c r="AL1173" i="1"/>
  <c r="AM1172" i="1"/>
  <c r="AL1172" i="1"/>
  <c r="BO1197" i="1" l="1"/>
  <c r="BH1197" i="1"/>
  <c r="BI1197" i="1" s="1"/>
  <c r="BK1197" i="1" s="1"/>
  <c r="BF1197" i="1"/>
  <c r="BG1197" i="1" s="1"/>
  <c r="BO1196" i="1"/>
  <c r="BH1196" i="1"/>
  <c r="BI1196" i="1" s="1"/>
  <c r="BK1196" i="1" s="1"/>
  <c r="BF1196" i="1"/>
  <c r="BG1196" i="1" s="1"/>
  <c r="BO1195" i="1"/>
  <c r="BH1195" i="1"/>
  <c r="BI1195" i="1" s="1"/>
  <c r="BK1195" i="1" s="1"/>
  <c r="BF1195" i="1"/>
  <c r="BG1195" i="1" s="1"/>
  <c r="BO1194" i="1"/>
  <c r="BH1194" i="1"/>
  <c r="BI1194" i="1" s="1"/>
  <c r="BK1194" i="1" s="1"/>
  <c r="BF1194" i="1"/>
  <c r="BG1194" i="1" s="1"/>
  <c r="BO1193" i="1"/>
  <c r="BH1193" i="1"/>
  <c r="BI1193" i="1" s="1"/>
  <c r="BK1193" i="1" s="1"/>
  <c r="BF1193" i="1"/>
  <c r="BG1193" i="1" s="1"/>
  <c r="BO1192" i="1"/>
  <c r="BH1192" i="1"/>
  <c r="BI1192" i="1" s="1"/>
  <c r="BK1192" i="1" s="1"/>
  <c r="BF1192" i="1"/>
  <c r="BG1192" i="1" s="1"/>
  <c r="BO1191" i="1"/>
  <c r="BH1191" i="1"/>
  <c r="BI1191" i="1" s="1"/>
  <c r="BK1191" i="1" s="1"/>
  <c r="BF1191" i="1"/>
  <c r="BG1191" i="1" s="1"/>
  <c r="BO1190" i="1"/>
  <c r="BH1190" i="1"/>
  <c r="BI1190" i="1" s="1"/>
  <c r="BK1190" i="1" s="1"/>
  <c r="BF1190" i="1"/>
  <c r="BG1190" i="1" s="1"/>
  <c r="BO1189" i="1"/>
  <c r="BH1189" i="1"/>
  <c r="BI1189" i="1" s="1"/>
  <c r="BK1189" i="1" s="1"/>
  <c r="BF1189" i="1"/>
  <c r="BG1189" i="1" s="1"/>
  <c r="BO1188" i="1"/>
  <c r="BH1188" i="1"/>
  <c r="BI1188" i="1" s="1"/>
  <c r="BK1188" i="1" s="1"/>
  <c r="BF1188" i="1"/>
  <c r="BG1188" i="1" s="1"/>
  <c r="BO1187" i="1"/>
  <c r="BH1187" i="1"/>
  <c r="BI1187" i="1" s="1"/>
  <c r="BK1187" i="1" s="1"/>
  <c r="BF1187" i="1"/>
  <c r="BG1187" i="1" s="1"/>
  <c r="BO1186" i="1"/>
  <c r="BH1186" i="1"/>
  <c r="BI1186" i="1" s="1"/>
  <c r="BK1186" i="1" s="1"/>
  <c r="BF1186" i="1"/>
  <c r="BG1186" i="1" s="1"/>
  <c r="BO1185" i="1"/>
  <c r="BH1185" i="1"/>
  <c r="BI1185" i="1" s="1"/>
  <c r="BK1185" i="1" s="1"/>
  <c r="BF1185" i="1"/>
  <c r="BG1185" i="1" s="1"/>
  <c r="BO1184" i="1"/>
  <c r="BH1184" i="1"/>
  <c r="BI1184" i="1" s="1"/>
  <c r="BK1184" i="1" s="1"/>
  <c r="BF1184" i="1"/>
  <c r="BG1184" i="1" s="1"/>
  <c r="BO1183" i="1"/>
  <c r="BH1183" i="1"/>
  <c r="BI1183" i="1" s="1"/>
  <c r="BK1183" i="1" s="1"/>
  <c r="BF1183" i="1"/>
  <c r="BG1183" i="1" s="1"/>
  <c r="BO1182" i="1"/>
  <c r="BH1182" i="1"/>
  <c r="BI1182" i="1" s="1"/>
  <c r="BK1182" i="1" s="1"/>
  <c r="BF1182" i="1"/>
  <c r="BG1182" i="1" s="1"/>
  <c r="BO1181" i="1"/>
  <c r="BH1181" i="1"/>
  <c r="BI1181" i="1" s="1"/>
  <c r="BK1181" i="1" s="1"/>
  <c r="BF1181" i="1"/>
  <c r="BG1181" i="1" s="1"/>
  <c r="BO1180" i="1"/>
  <c r="BH1180" i="1"/>
  <c r="BI1180" i="1" s="1"/>
  <c r="BK1180" i="1" s="1"/>
  <c r="BF1180" i="1"/>
  <c r="BG1180" i="1" s="1"/>
  <c r="BO1179" i="1"/>
  <c r="BH1179" i="1"/>
  <c r="BI1179" i="1" s="1"/>
  <c r="BK1179" i="1" s="1"/>
  <c r="BF1179" i="1"/>
  <c r="BG1179" i="1" s="1"/>
  <c r="BO1178" i="1"/>
  <c r="BH1178" i="1"/>
  <c r="BI1178" i="1" s="1"/>
  <c r="BK1178" i="1" s="1"/>
  <c r="BF1178" i="1"/>
  <c r="BG1178" i="1" s="1"/>
  <c r="BO1177" i="1"/>
  <c r="BH1177" i="1"/>
  <c r="BI1177" i="1" s="1"/>
  <c r="BK1177" i="1" s="1"/>
  <c r="BF1177" i="1"/>
  <c r="BG1177" i="1" s="1"/>
  <c r="BO1176" i="1"/>
  <c r="BH1176" i="1"/>
  <c r="BI1176" i="1" s="1"/>
  <c r="BK1176" i="1" s="1"/>
  <c r="BF1176" i="1"/>
  <c r="BG1176" i="1" s="1"/>
  <c r="BO1175" i="1"/>
  <c r="BH1175" i="1"/>
  <c r="BI1175" i="1" s="1"/>
  <c r="BK1175" i="1" s="1"/>
  <c r="BF1175" i="1"/>
  <c r="BG1175" i="1" s="1"/>
  <c r="BO1174" i="1"/>
  <c r="BH1174" i="1"/>
  <c r="BI1174" i="1" s="1"/>
  <c r="BK1174" i="1" s="1"/>
  <c r="BF1174" i="1"/>
  <c r="BG1174" i="1" s="1"/>
  <c r="BO1173" i="1"/>
  <c r="BH1173" i="1"/>
  <c r="BI1173" i="1" s="1"/>
  <c r="BK1173" i="1" s="1"/>
  <c r="BF1173" i="1"/>
  <c r="BG1173" i="1" s="1"/>
  <c r="BO1172" i="1"/>
  <c r="BH1172" i="1"/>
  <c r="BI1172" i="1" s="1"/>
  <c r="BK1172" i="1" s="1"/>
  <c r="BF1172" i="1"/>
  <c r="BG1172" i="1" s="1"/>
  <c r="BO1171" i="1"/>
  <c r="BH1171" i="1"/>
  <c r="BI1171" i="1" s="1"/>
  <c r="BK1171" i="1" s="1"/>
  <c r="BF1171" i="1"/>
  <c r="BG1171" i="1" s="1"/>
  <c r="BO1170" i="1"/>
  <c r="BH1170" i="1"/>
  <c r="BI1170" i="1" s="1"/>
  <c r="BK1170" i="1" s="1"/>
  <c r="BF1170" i="1"/>
  <c r="BG1170" i="1" s="1"/>
  <c r="AZ1197" i="1"/>
  <c r="AW1197" i="1"/>
  <c r="AY1197" i="1" s="1"/>
  <c r="AZ1196" i="1"/>
  <c r="AW1196" i="1"/>
  <c r="BB1196" i="1" s="1"/>
  <c r="AZ1195" i="1"/>
  <c r="AW1195" i="1"/>
  <c r="AY1195" i="1" s="1"/>
  <c r="AZ1194" i="1"/>
  <c r="AW1194" i="1"/>
  <c r="AO1194" i="1" s="1"/>
  <c r="AZ1193" i="1"/>
  <c r="AW1193" i="1"/>
  <c r="AO1193" i="1" s="1"/>
  <c r="AZ1192" i="1"/>
  <c r="AW1192" i="1"/>
  <c r="BB1192" i="1" s="1"/>
  <c r="AZ1191" i="1"/>
  <c r="AW1191" i="1"/>
  <c r="BB1191" i="1" s="1"/>
  <c r="AZ1190" i="1"/>
  <c r="AW1190" i="1"/>
  <c r="AY1190" i="1" s="1"/>
  <c r="AZ1189" i="1"/>
  <c r="AW1189" i="1"/>
  <c r="BB1189" i="1" s="1"/>
  <c r="AZ1188" i="1"/>
  <c r="AW1188" i="1"/>
  <c r="BB1188" i="1" s="1"/>
  <c r="AZ1187" i="1"/>
  <c r="AW1187" i="1"/>
  <c r="BB1187" i="1" s="1"/>
  <c r="AZ1186" i="1"/>
  <c r="AW1186" i="1"/>
  <c r="BB1186" i="1" s="1"/>
  <c r="AZ1185" i="1"/>
  <c r="AW1185" i="1"/>
  <c r="AY1185" i="1" s="1"/>
  <c r="AZ1184" i="1"/>
  <c r="AW1184" i="1"/>
  <c r="BB1184" i="1" s="1"/>
  <c r="AZ1183" i="1"/>
  <c r="AW1183" i="1"/>
  <c r="AY1183" i="1" s="1"/>
  <c r="AZ1182" i="1"/>
  <c r="AW1182" i="1"/>
  <c r="AO1182" i="1" s="1"/>
  <c r="AZ1181" i="1"/>
  <c r="AW1181" i="1"/>
  <c r="AO1181" i="1" s="1"/>
  <c r="AZ1180" i="1"/>
  <c r="AW1180" i="1"/>
  <c r="BB1180" i="1" s="1"/>
  <c r="AZ1179" i="1"/>
  <c r="AW1179" i="1"/>
  <c r="AY1179" i="1" s="1"/>
  <c r="AZ1178" i="1"/>
  <c r="AW1178" i="1"/>
  <c r="AY1178" i="1" s="1"/>
  <c r="AZ1177" i="1"/>
  <c r="AW1177" i="1"/>
  <c r="BB1177" i="1" s="1"/>
  <c r="AZ1176" i="1"/>
  <c r="AW1176" i="1"/>
  <c r="BB1176" i="1" s="1"/>
  <c r="AZ1175" i="1"/>
  <c r="AW1175" i="1"/>
  <c r="BB1175" i="1" s="1"/>
  <c r="AZ1174" i="1"/>
  <c r="AW1174" i="1"/>
  <c r="BB1174" i="1" s="1"/>
  <c r="AZ1173" i="1"/>
  <c r="AW1173" i="1"/>
  <c r="AY1173" i="1" s="1"/>
  <c r="AZ1172" i="1"/>
  <c r="AW1172" i="1"/>
  <c r="BB1172" i="1" s="1"/>
  <c r="AZ1171" i="1"/>
  <c r="AW1171" i="1"/>
  <c r="AY1171" i="1" s="1"/>
  <c r="AZ1170" i="1"/>
  <c r="AW1170" i="1"/>
  <c r="AO1170" i="1" s="1"/>
  <c r="AK1197" i="1"/>
  <c r="AK1196" i="1"/>
  <c r="AK1195" i="1"/>
  <c r="AK1194" i="1"/>
  <c r="AK1193" i="1"/>
  <c r="AK1192" i="1"/>
  <c r="AK1191" i="1"/>
  <c r="AK1190" i="1"/>
  <c r="AK1189" i="1"/>
  <c r="AK1188" i="1"/>
  <c r="AK1187" i="1"/>
  <c r="AK1186" i="1"/>
  <c r="AK1185" i="1"/>
  <c r="AK1183" i="1"/>
  <c r="AK1182" i="1"/>
  <c r="AK1181" i="1"/>
  <c r="AK1180" i="1"/>
  <c r="AK1179" i="1"/>
  <c r="AK1178" i="1"/>
  <c r="AK1177" i="1"/>
  <c r="AK1176" i="1"/>
  <c r="AK1175" i="1"/>
  <c r="AK1174" i="1"/>
  <c r="AK1171" i="1"/>
  <c r="AK1170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K1169" i="1"/>
  <c r="AW1169" i="1"/>
  <c r="AO1169" i="1" s="1"/>
  <c r="AZ1169" i="1"/>
  <c r="BF1169" i="1"/>
  <c r="BG1169" i="1" s="1"/>
  <c r="BH1169" i="1"/>
  <c r="BI1169" i="1" s="1"/>
  <c r="BK1169" i="1" s="1"/>
  <c r="BO1169" i="1"/>
  <c r="BM1193" i="1" l="1"/>
  <c r="AO1195" i="1"/>
  <c r="BM1195" i="1" s="1"/>
  <c r="BM1181" i="1"/>
  <c r="AO1172" i="1"/>
  <c r="BM1172" i="1" s="1"/>
  <c r="BA1173" i="1"/>
  <c r="BA1179" i="1"/>
  <c r="BA1183" i="1"/>
  <c r="AO1176" i="1"/>
  <c r="BM1176" i="1" s="1"/>
  <c r="AO1188" i="1"/>
  <c r="BM1188" i="1" s="1"/>
  <c r="BM1170" i="1"/>
  <c r="BB1171" i="1"/>
  <c r="BA1190" i="1"/>
  <c r="BB1195" i="1"/>
  <c r="BM1182" i="1"/>
  <c r="BA1185" i="1"/>
  <c r="BA1197" i="1"/>
  <c r="BB1190" i="1"/>
  <c r="AO1189" i="1"/>
  <c r="AR1189" i="1" s="1"/>
  <c r="AY1181" i="1"/>
  <c r="BA1181" i="1" s="1"/>
  <c r="AO1190" i="1"/>
  <c r="AR1190" i="1" s="1"/>
  <c r="BA1171" i="1"/>
  <c r="AO1196" i="1"/>
  <c r="BM1196" i="1" s="1"/>
  <c r="BM1194" i="1"/>
  <c r="AO1180" i="1"/>
  <c r="AR1180" i="1" s="1"/>
  <c r="AS1180" i="1" s="1"/>
  <c r="BA1178" i="1"/>
  <c r="BA1195" i="1"/>
  <c r="BB1178" i="1"/>
  <c r="BB1183" i="1"/>
  <c r="AY1193" i="1"/>
  <c r="BA1193" i="1" s="1"/>
  <c r="AO1173" i="1"/>
  <c r="AR1173" i="1" s="1"/>
  <c r="BB1173" i="1"/>
  <c r="AY1188" i="1"/>
  <c r="BA1188" i="1" s="1"/>
  <c r="BB1197" i="1"/>
  <c r="AO1197" i="1"/>
  <c r="AR1197" i="1" s="1"/>
  <c r="AO1183" i="1"/>
  <c r="BM1183" i="1" s="1"/>
  <c r="AO1184" i="1"/>
  <c r="BM1184" i="1" s="1"/>
  <c r="AO1177" i="1"/>
  <c r="BM1177" i="1" s="1"/>
  <c r="AO1192" i="1"/>
  <c r="BM1192" i="1" s="1"/>
  <c r="AY1176" i="1"/>
  <c r="BA1176" i="1" s="1"/>
  <c r="BB1185" i="1"/>
  <c r="AO1185" i="1"/>
  <c r="BM1185" i="1" s="1"/>
  <c r="AO1171" i="1"/>
  <c r="BM1171" i="1" s="1"/>
  <c r="AO1178" i="1"/>
  <c r="AR1178" i="1" s="1"/>
  <c r="AY1174" i="1"/>
  <c r="BA1174" i="1" s="1"/>
  <c r="AY1191" i="1"/>
  <c r="BA1191" i="1" s="1"/>
  <c r="AO1179" i="1"/>
  <c r="BM1179" i="1" s="1"/>
  <c r="AO1191" i="1"/>
  <c r="BM1191" i="1" s="1"/>
  <c r="AY1172" i="1"/>
  <c r="BA1172" i="1" s="1"/>
  <c r="BB1181" i="1"/>
  <c r="BB1193" i="1"/>
  <c r="AY1177" i="1"/>
  <c r="BA1177" i="1" s="1"/>
  <c r="AY1189" i="1"/>
  <c r="BA1189" i="1" s="1"/>
  <c r="AO1174" i="1"/>
  <c r="AO1186" i="1"/>
  <c r="AY1170" i="1"/>
  <c r="BA1170" i="1" s="1"/>
  <c r="BB1179" i="1"/>
  <c r="AY1194" i="1"/>
  <c r="BA1194" i="1" s="1"/>
  <c r="AR1181" i="1"/>
  <c r="AR1193" i="1"/>
  <c r="AY1187" i="1"/>
  <c r="BA1187" i="1" s="1"/>
  <c r="AO1175" i="1"/>
  <c r="BM1175" i="1" s="1"/>
  <c r="AO1187" i="1"/>
  <c r="BM1187" i="1" s="1"/>
  <c r="AY1180" i="1"/>
  <c r="BA1180" i="1" s="1"/>
  <c r="AR1182" i="1"/>
  <c r="AR1194" i="1"/>
  <c r="BB1182" i="1"/>
  <c r="BB1194" i="1"/>
  <c r="AY1186" i="1"/>
  <c r="BA1186" i="1" s="1"/>
  <c r="AY1184" i="1"/>
  <c r="BA1184" i="1" s="1"/>
  <c r="AY1196" i="1"/>
  <c r="BA1196" i="1" s="1"/>
  <c r="AY1182" i="1"/>
  <c r="BA1182" i="1" s="1"/>
  <c r="AY1175" i="1"/>
  <c r="BA1175" i="1" s="1"/>
  <c r="AY1192" i="1"/>
  <c r="BA1192" i="1" s="1"/>
  <c r="AR1170" i="1"/>
  <c r="BB1170" i="1"/>
  <c r="BB1169" i="1"/>
  <c r="AY1169" i="1"/>
  <c r="BA1169" i="1" s="1"/>
  <c r="AR1169" i="1"/>
  <c r="BM1169" i="1"/>
  <c r="AQ1157" i="1"/>
  <c r="AR1172" i="1" l="1"/>
  <c r="AS1172" i="1" s="1"/>
  <c r="CC1172" i="1" s="1"/>
  <c r="CE1172" i="1" s="1"/>
  <c r="AR1188" i="1"/>
  <c r="AS1188" i="1" s="1"/>
  <c r="AR1195" i="1"/>
  <c r="AS1195" i="1" s="1"/>
  <c r="AR1176" i="1"/>
  <c r="AS1176" i="1" s="1"/>
  <c r="AR1171" i="1"/>
  <c r="AS1171" i="1" s="1"/>
  <c r="BM1190" i="1"/>
  <c r="AR1183" i="1"/>
  <c r="BP1183" i="1" s="1"/>
  <c r="BM1180" i="1"/>
  <c r="BM1197" i="1"/>
  <c r="AR1185" i="1"/>
  <c r="AS1185" i="1" s="1"/>
  <c r="CC1185" i="1" s="1"/>
  <c r="CE1185" i="1" s="1"/>
  <c r="BP1180" i="1"/>
  <c r="AR1175" i="1"/>
  <c r="AS1175" i="1" s="1"/>
  <c r="CC1175" i="1" s="1"/>
  <c r="CE1175" i="1" s="1"/>
  <c r="AS1190" i="1"/>
  <c r="BP1190" i="1"/>
  <c r="AR1196" i="1"/>
  <c r="AR1187" i="1"/>
  <c r="AS1187" i="1" s="1"/>
  <c r="BM1178" i="1"/>
  <c r="BM1189" i="1"/>
  <c r="AS1197" i="1"/>
  <c r="BP1197" i="1"/>
  <c r="AS1173" i="1"/>
  <c r="CC1173" i="1" s="1"/>
  <c r="CE1173" i="1" s="1"/>
  <c r="BP1173" i="1"/>
  <c r="AS1189" i="1"/>
  <c r="BP1189" i="1"/>
  <c r="AS1181" i="1"/>
  <c r="BP1181" i="1"/>
  <c r="AR1186" i="1"/>
  <c r="BM1186" i="1"/>
  <c r="AR1179" i="1"/>
  <c r="AS1178" i="1"/>
  <c r="BP1178" i="1"/>
  <c r="AR1184" i="1"/>
  <c r="AS1170" i="1"/>
  <c r="BP1170" i="1"/>
  <c r="AS1194" i="1"/>
  <c r="BP1194" i="1"/>
  <c r="AR1174" i="1"/>
  <c r="BM1174" i="1"/>
  <c r="BM1173" i="1"/>
  <c r="AS1193" i="1"/>
  <c r="BP1193" i="1"/>
  <c r="AR1177" i="1"/>
  <c r="AR1191" i="1"/>
  <c r="AR1192" i="1"/>
  <c r="AS1182" i="1"/>
  <c r="BP1182" i="1"/>
  <c r="AS1169" i="1"/>
  <c r="BP1169" i="1"/>
  <c r="AK1157" i="1"/>
  <c r="AK1148" i="1"/>
  <c r="BP1176" i="1" l="1"/>
  <c r="BP1172" i="1"/>
  <c r="BP1188" i="1"/>
  <c r="AS1183" i="1"/>
  <c r="BP1195" i="1"/>
  <c r="BP1171" i="1"/>
  <c r="BP1185" i="1"/>
  <c r="BP1175" i="1"/>
  <c r="BP1187" i="1"/>
  <c r="AS1196" i="1"/>
  <c r="BP1196" i="1"/>
  <c r="AS1177" i="1"/>
  <c r="BP1177" i="1"/>
  <c r="AS1184" i="1"/>
  <c r="CC1184" i="1" s="1"/>
  <c r="CE1184" i="1" s="1"/>
  <c r="BP1184" i="1"/>
  <c r="AS1174" i="1"/>
  <c r="CC1174" i="1" s="1"/>
  <c r="CE1174" i="1" s="1"/>
  <c r="BP1174" i="1"/>
  <c r="AS1192" i="1"/>
  <c r="BP1192" i="1"/>
  <c r="AS1191" i="1"/>
  <c r="BP1191" i="1"/>
  <c r="AS1186" i="1"/>
  <c r="BP1186" i="1"/>
  <c r="AS1179" i="1"/>
  <c r="BP1179" i="1"/>
  <c r="AL1159" i="1"/>
  <c r="Y1158" i="1"/>
  <c r="AQ1158" i="1" s="1"/>
  <c r="AL1158" i="1"/>
  <c r="AM1157" i="1"/>
  <c r="AL1157" i="1"/>
  <c r="AL1150" i="1"/>
  <c r="AM1148" i="1"/>
  <c r="AL1148" i="1"/>
  <c r="AK1168" i="1"/>
  <c r="AK1167" i="1"/>
  <c r="AK1166" i="1"/>
  <c r="AK1165" i="1"/>
  <c r="AK1164" i="1"/>
  <c r="AK1163" i="1"/>
  <c r="AK1162" i="1"/>
  <c r="AK1161" i="1"/>
  <c r="AK1160" i="1"/>
  <c r="AK1156" i="1"/>
  <c r="AK1155" i="1"/>
  <c r="AK1154" i="1"/>
  <c r="AK1153" i="1"/>
  <c r="AK1152" i="1"/>
  <c r="AK1151" i="1"/>
  <c r="AK1149" i="1"/>
  <c r="AK1147" i="1"/>
  <c r="AK1146" i="1"/>
  <c r="AK1145" i="1"/>
  <c r="AK1158" i="1" l="1"/>
  <c r="AM1158" i="1"/>
  <c r="AK1134" i="1"/>
  <c r="AK1138" i="1"/>
  <c r="AK1144" i="1"/>
  <c r="AK1143" i="1"/>
  <c r="AK1142" i="1"/>
  <c r="AK1141" i="1"/>
  <c r="AK1140" i="1"/>
  <c r="AK1139" i="1"/>
  <c r="AK1137" i="1"/>
  <c r="AK1136" i="1"/>
  <c r="AQ1138" i="1"/>
  <c r="AM1138" i="1"/>
  <c r="AL1138" i="1"/>
  <c r="BO1168" i="1" l="1"/>
  <c r="BH1168" i="1"/>
  <c r="BI1168" i="1" s="1"/>
  <c r="BK1168" i="1" s="1"/>
  <c r="BF1168" i="1"/>
  <c r="BG1168" i="1" s="1"/>
  <c r="BO1167" i="1"/>
  <c r="BH1167" i="1"/>
  <c r="BI1167" i="1" s="1"/>
  <c r="BK1167" i="1" s="1"/>
  <c r="BF1167" i="1"/>
  <c r="BG1167" i="1" s="1"/>
  <c r="BO1166" i="1"/>
  <c r="BH1166" i="1"/>
  <c r="BI1166" i="1" s="1"/>
  <c r="BK1166" i="1" s="1"/>
  <c r="BF1166" i="1"/>
  <c r="BG1166" i="1" s="1"/>
  <c r="BO1165" i="1"/>
  <c r="BH1165" i="1"/>
  <c r="BI1165" i="1" s="1"/>
  <c r="BK1165" i="1" s="1"/>
  <c r="BF1165" i="1"/>
  <c r="BG1165" i="1" s="1"/>
  <c r="BO1164" i="1"/>
  <c r="BH1164" i="1"/>
  <c r="BI1164" i="1" s="1"/>
  <c r="BK1164" i="1" s="1"/>
  <c r="BF1164" i="1"/>
  <c r="BG1164" i="1" s="1"/>
  <c r="BO1163" i="1"/>
  <c r="BH1163" i="1"/>
  <c r="BI1163" i="1" s="1"/>
  <c r="BK1163" i="1" s="1"/>
  <c r="BF1163" i="1"/>
  <c r="BG1163" i="1" s="1"/>
  <c r="BO1162" i="1"/>
  <c r="BH1162" i="1"/>
  <c r="BI1162" i="1" s="1"/>
  <c r="BK1162" i="1" s="1"/>
  <c r="BF1162" i="1"/>
  <c r="BG1162" i="1" s="1"/>
  <c r="BO1161" i="1"/>
  <c r="BH1161" i="1"/>
  <c r="BI1161" i="1" s="1"/>
  <c r="BK1161" i="1" s="1"/>
  <c r="BF1161" i="1"/>
  <c r="BG1161" i="1" s="1"/>
  <c r="BO1160" i="1"/>
  <c r="BH1160" i="1"/>
  <c r="BI1160" i="1" s="1"/>
  <c r="BK1160" i="1" s="1"/>
  <c r="BF1160" i="1"/>
  <c r="BG1160" i="1" s="1"/>
  <c r="BO1159" i="1"/>
  <c r="BH1159" i="1"/>
  <c r="BI1159" i="1" s="1"/>
  <c r="BK1159" i="1" s="1"/>
  <c r="BF1159" i="1"/>
  <c r="BG1159" i="1" s="1"/>
  <c r="BO1158" i="1"/>
  <c r="BH1158" i="1"/>
  <c r="BI1158" i="1" s="1"/>
  <c r="BK1158" i="1" s="1"/>
  <c r="BF1158" i="1"/>
  <c r="BG1158" i="1" s="1"/>
  <c r="BO1157" i="1"/>
  <c r="BH1157" i="1"/>
  <c r="BI1157" i="1" s="1"/>
  <c r="BK1157" i="1" s="1"/>
  <c r="BF1157" i="1"/>
  <c r="BG1157" i="1" s="1"/>
  <c r="BO1156" i="1"/>
  <c r="BH1156" i="1"/>
  <c r="BI1156" i="1" s="1"/>
  <c r="BK1156" i="1" s="1"/>
  <c r="BF1156" i="1"/>
  <c r="BG1156" i="1" s="1"/>
  <c r="BO1155" i="1"/>
  <c r="BH1155" i="1"/>
  <c r="BI1155" i="1" s="1"/>
  <c r="BK1155" i="1" s="1"/>
  <c r="BF1155" i="1"/>
  <c r="BG1155" i="1" s="1"/>
  <c r="BO1154" i="1"/>
  <c r="BH1154" i="1"/>
  <c r="BI1154" i="1" s="1"/>
  <c r="BK1154" i="1" s="1"/>
  <c r="BF1154" i="1"/>
  <c r="BG1154" i="1" s="1"/>
  <c r="BO1153" i="1"/>
  <c r="BH1153" i="1"/>
  <c r="BI1153" i="1" s="1"/>
  <c r="BK1153" i="1" s="1"/>
  <c r="BF1153" i="1"/>
  <c r="BG1153" i="1" s="1"/>
  <c r="BO1152" i="1"/>
  <c r="BH1152" i="1"/>
  <c r="BI1152" i="1" s="1"/>
  <c r="BK1152" i="1" s="1"/>
  <c r="BF1152" i="1"/>
  <c r="BG1152" i="1" s="1"/>
  <c r="BO1151" i="1"/>
  <c r="BH1151" i="1"/>
  <c r="BI1151" i="1" s="1"/>
  <c r="BK1151" i="1" s="1"/>
  <c r="BF1151" i="1"/>
  <c r="BG1151" i="1" s="1"/>
  <c r="BO1150" i="1"/>
  <c r="BH1150" i="1"/>
  <c r="BI1150" i="1" s="1"/>
  <c r="BK1150" i="1" s="1"/>
  <c r="BF1150" i="1"/>
  <c r="BG1150" i="1" s="1"/>
  <c r="BO1149" i="1"/>
  <c r="BH1149" i="1"/>
  <c r="BI1149" i="1" s="1"/>
  <c r="BK1149" i="1" s="1"/>
  <c r="BF1149" i="1"/>
  <c r="BG1149" i="1" s="1"/>
  <c r="BO1148" i="1"/>
  <c r="BH1148" i="1"/>
  <c r="BI1148" i="1" s="1"/>
  <c r="BK1148" i="1" s="1"/>
  <c r="BF1148" i="1"/>
  <c r="BG1148" i="1" s="1"/>
  <c r="BO1147" i="1"/>
  <c r="BH1147" i="1"/>
  <c r="BI1147" i="1" s="1"/>
  <c r="BK1147" i="1" s="1"/>
  <c r="BF1147" i="1"/>
  <c r="BG1147" i="1" s="1"/>
  <c r="BO1146" i="1"/>
  <c r="BH1146" i="1"/>
  <c r="BI1146" i="1" s="1"/>
  <c r="BK1146" i="1" s="1"/>
  <c r="BF1146" i="1"/>
  <c r="BG1146" i="1" s="1"/>
  <c r="BO1145" i="1"/>
  <c r="BH1145" i="1"/>
  <c r="BI1145" i="1" s="1"/>
  <c r="BK1145" i="1" s="1"/>
  <c r="BF1145" i="1"/>
  <c r="BG1145" i="1" s="1"/>
  <c r="BO1144" i="1"/>
  <c r="BH1144" i="1"/>
  <c r="BI1144" i="1" s="1"/>
  <c r="BK1144" i="1" s="1"/>
  <c r="BF1144" i="1"/>
  <c r="BG1144" i="1" s="1"/>
  <c r="BO1143" i="1"/>
  <c r="BH1143" i="1"/>
  <c r="BI1143" i="1" s="1"/>
  <c r="BK1143" i="1" s="1"/>
  <c r="BF1143" i="1"/>
  <c r="BG1143" i="1" s="1"/>
  <c r="BO1142" i="1"/>
  <c r="BH1142" i="1"/>
  <c r="BI1142" i="1" s="1"/>
  <c r="BK1142" i="1" s="1"/>
  <c r="BF1142" i="1"/>
  <c r="BG1142" i="1" s="1"/>
  <c r="BO1141" i="1"/>
  <c r="BH1141" i="1"/>
  <c r="BI1141" i="1" s="1"/>
  <c r="BK1141" i="1" s="1"/>
  <c r="BF1141" i="1"/>
  <c r="BG1141" i="1" s="1"/>
  <c r="BO1140" i="1"/>
  <c r="BH1140" i="1"/>
  <c r="BI1140" i="1" s="1"/>
  <c r="BK1140" i="1" s="1"/>
  <c r="BF1140" i="1"/>
  <c r="BG1140" i="1" s="1"/>
  <c r="BO1139" i="1"/>
  <c r="BH1139" i="1"/>
  <c r="BI1139" i="1" s="1"/>
  <c r="BK1139" i="1" s="1"/>
  <c r="BF1139" i="1"/>
  <c r="BG1139" i="1" s="1"/>
  <c r="BO1138" i="1"/>
  <c r="BH1138" i="1"/>
  <c r="BI1138" i="1" s="1"/>
  <c r="BK1138" i="1" s="1"/>
  <c r="BF1138" i="1"/>
  <c r="BG1138" i="1" s="1"/>
  <c r="BO1137" i="1"/>
  <c r="BH1137" i="1"/>
  <c r="BI1137" i="1" s="1"/>
  <c r="BK1137" i="1" s="1"/>
  <c r="BF1137" i="1"/>
  <c r="BG1137" i="1" s="1"/>
  <c r="BO1136" i="1"/>
  <c r="BH1136" i="1"/>
  <c r="BI1136" i="1" s="1"/>
  <c r="BK1136" i="1" s="1"/>
  <c r="BF1136" i="1"/>
  <c r="BG1136" i="1" s="1"/>
  <c r="AZ1168" i="1"/>
  <c r="AW1168" i="1"/>
  <c r="AO1168" i="1" s="1"/>
  <c r="AZ1167" i="1"/>
  <c r="AW1167" i="1"/>
  <c r="AY1167" i="1" s="1"/>
  <c r="AZ1166" i="1"/>
  <c r="AW1166" i="1"/>
  <c r="AY1166" i="1" s="1"/>
  <c r="AZ1165" i="1"/>
  <c r="AW1165" i="1"/>
  <c r="AY1165" i="1" s="1"/>
  <c r="AZ1164" i="1"/>
  <c r="AW1164" i="1"/>
  <c r="BB1164" i="1" s="1"/>
  <c r="AZ1163" i="1"/>
  <c r="AW1163" i="1"/>
  <c r="BB1163" i="1" s="1"/>
  <c r="AZ1162" i="1"/>
  <c r="AW1162" i="1"/>
  <c r="BB1162" i="1" s="1"/>
  <c r="AZ1161" i="1"/>
  <c r="AW1161" i="1"/>
  <c r="BB1161" i="1" s="1"/>
  <c r="AZ1160" i="1"/>
  <c r="AW1160" i="1"/>
  <c r="BB1160" i="1" s="1"/>
  <c r="AZ1159" i="1"/>
  <c r="AW1159" i="1"/>
  <c r="BB1159" i="1" s="1"/>
  <c r="AZ1158" i="1"/>
  <c r="AW1158" i="1"/>
  <c r="AY1158" i="1" s="1"/>
  <c r="AZ1157" i="1"/>
  <c r="AW1157" i="1"/>
  <c r="AO1157" i="1" s="1"/>
  <c r="AR1157" i="1" s="1"/>
  <c r="AS1157" i="1" s="1"/>
  <c r="CC1157" i="1" s="1"/>
  <c r="CE1157" i="1" s="1"/>
  <c r="AZ1156" i="1"/>
  <c r="AW1156" i="1"/>
  <c r="BB1156" i="1" s="1"/>
  <c r="AZ1155" i="1"/>
  <c r="AW1155" i="1"/>
  <c r="BB1155" i="1" s="1"/>
  <c r="AZ1154" i="1"/>
  <c r="AW1154" i="1"/>
  <c r="BB1154" i="1" s="1"/>
  <c r="AZ1153" i="1"/>
  <c r="AW1153" i="1"/>
  <c r="AY1153" i="1" s="1"/>
  <c r="AZ1152" i="1"/>
  <c r="AW1152" i="1"/>
  <c r="BB1152" i="1" s="1"/>
  <c r="AZ1151" i="1"/>
  <c r="AW1151" i="1"/>
  <c r="AO1151" i="1" s="1"/>
  <c r="AZ1150" i="1"/>
  <c r="AW1150" i="1"/>
  <c r="BB1150" i="1" s="1"/>
  <c r="AZ1149" i="1"/>
  <c r="AW1149" i="1"/>
  <c r="BB1149" i="1" s="1"/>
  <c r="AZ1148" i="1"/>
  <c r="AW1148" i="1"/>
  <c r="BB1148" i="1" s="1"/>
  <c r="AZ1147" i="1"/>
  <c r="AW1147" i="1"/>
  <c r="AO1147" i="1" s="1"/>
  <c r="AR1147" i="1" s="1"/>
  <c r="AS1147" i="1" s="1"/>
  <c r="AZ1146" i="1"/>
  <c r="AW1146" i="1"/>
  <c r="AY1146" i="1" s="1"/>
  <c r="AZ1145" i="1"/>
  <c r="AW1145" i="1"/>
  <c r="BB1145" i="1" s="1"/>
  <c r="AZ1144" i="1"/>
  <c r="AW1144" i="1"/>
  <c r="AY1144" i="1" s="1"/>
  <c r="AZ1143" i="1"/>
  <c r="AW1143" i="1"/>
  <c r="AY1143" i="1" s="1"/>
  <c r="AZ1142" i="1"/>
  <c r="AW1142" i="1"/>
  <c r="AY1142" i="1" s="1"/>
  <c r="AZ1141" i="1"/>
  <c r="AW1141" i="1"/>
  <c r="AY1141" i="1" s="1"/>
  <c r="AZ1140" i="1"/>
  <c r="AW1140" i="1"/>
  <c r="AY1140" i="1" s="1"/>
  <c r="AZ1139" i="1"/>
  <c r="AW1139" i="1"/>
  <c r="BB1139" i="1" s="1"/>
  <c r="AZ1138" i="1"/>
  <c r="AW1138" i="1"/>
  <c r="BB1138" i="1" s="1"/>
  <c r="AZ1137" i="1"/>
  <c r="AW1137" i="1"/>
  <c r="AY1137" i="1" s="1"/>
  <c r="AZ1136" i="1"/>
  <c r="AW1136" i="1"/>
  <c r="BB1136" i="1" s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O1162" i="1" l="1"/>
  <c r="AR1162" i="1" s="1"/>
  <c r="AS1162" i="1" s="1"/>
  <c r="AO1150" i="1"/>
  <c r="AR1150" i="1" s="1"/>
  <c r="AS1150" i="1" s="1"/>
  <c r="AO1138" i="1"/>
  <c r="AR1138" i="1" s="1"/>
  <c r="AS1138" i="1" s="1"/>
  <c r="CC1138" i="1" s="1"/>
  <c r="CE1138" i="1" s="1"/>
  <c r="BA1142" i="1"/>
  <c r="AO1165" i="1"/>
  <c r="AR1165" i="1" s="1"/>
  <c r="AS1165" i="1" s="1"/>
  <c r="BA1146" i="1"/>
  <c r="BA1158" i="1"/>
  <c r="AO1164" i="1"/>
  <c r="AR1164" i="1" s="1"/>
  <c r="AS1164" i="1" s="1"/>
  <c r="BA1167" i="1"/>
  <c r="AO1140" i="1"/>
  <c r="AR1140" i="1" s="1"/>
  <c r="AS1140" i="1" s="1"/>
  <c r="AO1141" i="1"/>
  <c r="AR1141" i="1" s="1"/>
  <c r="AS1141" i="1" s="1"/>
  <c r="BA1153" i="1"/>
  <c r="AY1151" i="1"/>
  <c r="BA1151" i="1" s="1"/>
  <c r="BM1147" i="1"/>
  <c r="AO1146" i="1"/>
  <c r="AR1146" i="1" s="1"/>
  <c r="AS1146" i="1" s="1"/>
  <c r="AO1152" i="1"/>
  <c r="AO1155" i="1"/>
  <c r="AR1155" i="1" s="1"/>
  <c r="AS1155" i="1" s="1"/>
  <c r="BA1166" i="1"/>
  <c r="AO1139" i="1"/>
  <c r="AR1139" i="1" s="1"/>
  <c r="AO1156" i="1"/>
  <c r="AR1156" i="1" s="1"/>
  <c r="AS1156" i="1" s="1"/>
  <c r="BA1137" i="1"/>
  <c r="BA1143" i="1"/>
  <c r="BP1147" i="1"/>
  <c r="AO1158" i="1"/>
  <c r="AR1158" i="1" s="1"/>
  <c r="AS1158" i="1" s="1"/>
  <c r="AO1161" i="1"/>
  <c r="BA1144" i="1"/>
  <c r="AR1151" i="1"/>
  <c r="BM1151" i="1"/>
  <c r="AR1168" i="1"/>
  <c r="BM1168" i="1"/>
  <c r="BB1153" i="1"/>
  <c r="BM1157" i="1"/>
  <c r="AO1144" i="1"/>
  <c r="AO1163" i="1"/>
  <c r="BA1140" i="1"/>
  <c r="BB1144" i="1"/>
  <c r="BB1168" i="1"/>
  <c r="AY1163" i="1"/>
  <c r="BA1163" i="1" s="1"/>
  <c r="BB1158" i="1"/>
  <c r="AO1149" i="1"/>
  <c r="BA1141" i="1"/>
  <c r="BA1165" i="1"/>
  <c r="BB1141" i="1"/>
  <c r="AY1156" i="1"/>
  <c r="BA1156" i="1" s="1"/>
  <c r="BB1165" i="1"/>
  <c r="AY1139" i="1"/>
  <c r="BA1139" i="1" s="1"/>
  <c r="AO1143" i="1"/>
  <c r="BP1157" i="1"/>
  <c r="AO1167" i="1"/>
  <c r="BB1146" i="1"/>
  <c r="BB1151" i="1"/>
  <c r="AY1168" i="1"/>
  <c r="BA1168" i="1" s="1"/>
  <c r="AO1137" i="1"/>
  <c r="AO1153" i="1"/>
  <c r="AY1161" i="1"/>
  <c r="BA1161" i="1" s="1"/>
  <c r="AY1147" i="1"/>
  <c r="BA1147" i="1" s="1"/>
  <c r="BB1137" i="1"/>
  <c r="AY1152" i="1"/>
  <c r="BA1152" i="1" s="1"/>
  <c r="AY1164" i="1"/>
  <c r="BA1164" i="1" s="1"/>
  <c r="AO1142" i="1"/>
  <c r="AO1166" i="1"/>
  <c r="BB1142" i="1"/>
  <c r="AY1157" i="1"/>
  <c r="BA1157" i="1" s="1"/>
  <c r="BB1166" i="1"/>
  <c r="AY1138" i="1"/>
  <c r="BA1138" i="1" s="1"/>
  <c r="BB1147" i="1"/>
  <c r="AY1162" i="1"/>
  <c r="BA1162" i="1" s="1"/>
  <c r="BB1140" i="1"/>
  <c r="AY1155" i="1"/>
  <c r="BA1155" i="1" s="1"/>
  <c r="AO1145" i="1"/>
  <c r="AY1148" i="1"/>
  <c r="BA1148" i="1" s="1"/>
  <c r="BB1157" i="1"/>
  <c r="AO1159" i="1"/>
  <c r="BB1143" i="1"/>
  <c r="BB1167" i="1"/>
  <c r="AY1149" i="1"/>
  <c r="BA1149" i="1" s="1"/>
  <c r="AY1154" i="1"/>
  <c r="BA1154" i="1" s="1"/>
  <c r="AY1159" i="1"/>
  <c r="BA1159" i="1" s="1"/>
  <c r="AO1154" i="1"/>
  <c r="AY1145" i="1"/>
  <c r="BA1145" i="1" s="1"/>
  <c r="AY1150" i="1"/>
  <c r="BA1150" i="1" s="1"/>
  <c r="AY1160" i="1"/>
  <c r="BA1160" i="1" s="1"/>
  <c r="AO1148" i="1"/>
  <c r="AO1160" i="1"/>
  <c r="AO1136" i="1"/>
  <c r="AY1136" i="1"/>
  <c r="BA1136" i="1" s="1"/>
  <c r="AQ1120" i="1"/>
  <c r="AQ1119" i="1"/>
  <c r="AK1128" i="1"/>
  <c r="AK1127" i="1"/>
  <c r="AK1126" i="1"/>
  <c r="AK1120" i="1"/>
  <c r="BP1150" i="1" l="1"/>
  <c r="BP1162" i="1"/>
  <c r="BP1138" i="1"/>
  <c r="BM1162" i="1"/>
  <c r="BM1138" i="1"/>
  <c r="BM1150" i="1"/>
  <c r="BP1165" i="1"/>
  <c r="BM1165" i="1"/>
  <c r="BM1164" i="1"/>
  <c r="BP1164" i="1"/>
  <c r="BM1139" i="1"/>
  <c r="BM1158" i="1"/>
  <c r="BM1140" i="1"/>
  <c r="BP1141" i="1"/>
  <c r="BP1140" i="1"/>
  <c r="BM1141" i="1"/>
  <c r="BP1146" i="1"/>
  <c r="BP1158" i="1"/>
  <c r="BM1146" i="1"/>
  <c r="BM1156" i="1"/>
  <c r="AR1161" i="1"/>
  <c r="BM1161" i="1"/>
  <c r="BP1156" i="1"/>
  <c r="AS1139" i="1"/>
  <c r="BP1139" i="1"/>
  <c r="BP1155" i="1"/>
  <c r="AR1152" i="1"/>
  <c r="BM1152" i="1"/>
  <c r="BM1155" i="1"/>
  <c r="AR1160" i="1"/>
  <c r="BM1160" i="1"/>
  <c r="AR1148" i="1"/>
  <c r="BM1148" i="1"/>
  <c r="AR1137" i="1"/>
  <c r="BM1137" i="1"/>
  <c r="AR1166" i="1"/>
  <c r="BM1166" i="1"/>
  <c r="AR1149" i="1"/>
  <c r="BM1149" i="1"/>
  <c r="AR1143" i="1"/>
  <c r="BM1143" i="1"/>
  <c r="AR1145" i="1"/>
  <c r="BM1145" i="1"/>
  <c r="AR1142" i="1"/>
  <c r="BM1142" i="1"/>
  <c r="AR1159" i="1"/>
  <c r="BM1159" i="1"/>
  <c r="AR1167" i="1"/>
  <c r="BM1167" i="1"/>
  <c r="AR1154" i="1"/>
  <c r="BM1154" i="1"/>
  <c r="AS1168" i="1"/>
  <c r="BP1168" i="1"/>
  <c r="AR1136" i="1"/>
  <c r="BM1136" i="1"/>
  <c r="AR1144" i="1"/>
  <c r="BM1144" i="1"/>
  <c r="AR1153" i="1"/>
  <c r="BM1153" i="1"/>
  <c r="AR1163" i="1"/>
  <c r="BM1163" i="1"/>
  <c r="AS1151" i="1"/>
  <c r="BP1151" i="1"/>
  <c r="AM1134" i="1"/>
  <c r="AL1134" i="1"/>
  <c r="Y1130" i="1"/>
  <c r="AQ1130" i="1" s="1"/>
  <c r="AL1130" i="1"/>
  <c r="AM1128" i="1"/>
  <c r="AL1128" i="1"/>
  <c r="AL1127" i="1"/>
  <c r="AM1127" i="1"/>
  <c r="AM1126" i="1"/>
  <c r="AL1126" i="1"/>
  <c r="AM1120" i="1"/>
  <c r="AL1120" i="1"/>
  <c r="AM1119" i="1"/>
  <c r="AL1119" i="1"/>
  <c r="AM1130" i="1" l="1"/>
  <c r="AS1152" i="1"/>
  <c r="BP1152" i="1"/>
  <c r="AS1161" i="1"/>
  <c r="BP1161" i="1"/>
  <c r="AS1142" i="1"/>
  <c r="BP1142" i="1"/>
  <c r="AS1153" i="1"/>
  <c r="BP1153" i="1"/>
  <c r="AS1166" i="1"/>
  <c r="BP1166" i="1"/>
  <c r="AS1136" i="1"/>
  <c r="BP1136" i="1"/>
  <c r="AS1149" i="1"/>
  <c r="BP1149" i="1"/>
  <c r="AS1145" i="1"/>
  <c r="BP1145" i="1"/>
  <c r="AS1154" i="1"/>
  <c r="BP1154" i="1"/>
  <c r="AS1137" i="1"/>
  <c r="BP1137" i="1"/>
  <c r="AS1144" i="1"/>
  <c r="BP1144" i="1"/>
  <c r="AS1167" i="1"/>
  <c r="BP1167" i="1"/>
  <c r="AS1143" i="1"/>
  <c r="BP1143" i="1"/>
  <c r="AS1148" i="1"/>
  <c r="CC1148" i="1" s="1"/>
  <c r="CE1148" i="1" s="1"/>
  <c r="BP1148" i="1"/>
  <c r="AS1163" i="1"/>
  <c r="BP1163" i="1"/>
  <c r="AS1159" i="1"/>
  <c r="BP1159" i="1"/>
  <c r="AS1160" i="1"/>
  <c r="BP1160" i="1"/>
  <c r="AQ1101" i="1"/>
  <c r="AQ1100" i="1"/>
  <c r="AQ1096" i="1"/>
  <c r="AQ1095" i="1"/>
  <c r="AM1101" i="1" l="1"/>
  <c r="AL1101" i="1"/>
  <c r="AM1100" i="1"/>
  <c r="AL1100" i="1"/>
  <c r="AM1099" i="1"/>
  <c r="AL1099" i="1"/>
  <c r="AM1098" i="1"/>
  <c r="AL1098" i="1"/>
  <c r="AM1097" i="1"/>
  <c r="AL1097" i="1"/>
  <c r="AM1096" i="1"/>
  <c r="AL1096" i="1"/>
  <c r="AM1095" i="1"/>
  <c r="AL1095" i="1"/>
  <c r="AL1094" i="1"/>
  <c r="AK1101" i="1" l="1"/>
  <c r="AK1100" i="1"/>
  <c r="AK1099" i="1"/>
  <c r="AK1098" i="1"/>
  <c r="AK1096" i="1"/>
  <c r="AK1097" i="1"/>
  <c r="AK1095" i="1"/>
  <c r="BO1135" i="1" l="1"/>
  <c r="BH1135" i="1"/>
  <c r="BI1135" i="1" s="1"/>
  <c r="BK1135" i="1" s="1"/>
  <c r="BF1135" i="1"/>
  <c r="BG1135" i="1" s="1"/>
  <c r="BO1134" i="1"/>
  <c r="BH1134" i="1"/>
  <c r="BI1134" i="1" s="1"/>
  <c r="BK1134" i="1" s="1"/>
  <c r="BF1134" i="1"/>
  <c r="BG1134" i="1" s="1"/>
  <c r="BO1133" i="1"/>
  <c r="BH1133" i="1"/>
  <c r="BI1133" i="1" s="1"/>
  <c r="BK1133" i="1" s="1"/>
  <c r="BF1133" i="1"/>
  <c r="BG1133" i="1" s="1"/>
  <c r="BO1132" i="1"/>
  <c r="BH1132" i="1"/>
  <c r="BI1132" i="1" s="1"/>
  <c r="BK1132" i="1" s="1"/>
  <c r="BF1132" i="1"/>
  <c r="BG1132" i="1" s="1"/>
  <c r="BO1131" i="1"/>
  <c r="BH1131" i="1"/>
  <c r="BI1131" i="1" s="1"/>
  <c r="BK1131" i="1" s="1"/>
  <c r="BF1131" i="1"/>
  <c r="BG1131" i="1" s="1"/>
  <c r="BO1130" i="1"/>
  <c r="BH1130" i="1"/>
  <c r="BI1130" i="1" s="1"/>
  <c r="BK1130" i="1" s="1"/>
  <c r="BF1130" i="1"/>
  <c r="BG1130" i="1" s="1"/>
  <c r="BO1129" i="1"/>
  <c r="BH1129" i="1"/>
  <c r="BI1129" i="1" s="1"/>
  <c r="BK1129" i="1" s="1"/>
  <c r="BF1129" i="1"/>
  <c r="BG1129" i="1" s="1"/>
  <c r="BO1128" i="1"/>
  <c r="BH1128" i="1"/>
  <c r="BI1128" i="1" s="1"/>
  <c r="BK1128" i="1" s="1"/>
  <c r="BF1128" i="1"/>
  <c r="BG1128" i="1" s="1"/>
  <c r="BO1127" i="1"/>
  <c r="BH1127" i="1"/>
  <c r="BI1127" i="1" s="1"/>
  <c r="BK1127" i="1" s="1"/>
  <c r="BF1127" i="1"/>
  <c r="BG1127" i="1" s="1"/>
  <c r="BO1126" i="1"/>
  <c r="BH1126" i="1"/>
  <c r="BI1126" i="1" s="1"/>
  <c r="BK1126" i="1" s="1"/>
  <c r="BF1126" i="1"/>
  <c r="BG1126" i="1" s="1"/>
  <c r="BO1125" i="1"/>
  <c r="BH1125" i="1"/>
  <c r="BI1125" i="1" s="1"/>
  <c r="BK1125" i="1" s="1"/>
  <c r="BF1125" i="1"/>
  <c r="BG1125" i="1" s="1"/>
  <c r="BO1124" i="1"/>
  <c r="BH1124" i="1"/>
  <c r="BI1124" i="1" s="1"/>
  <c r="BK1124" i="1" s="1"/>
  <c r="BF1124" i="1"/>
  <c r="BG1124" i="1" s="1"/>
  <c r="BO1123" i="1"/>
  <c r="BH1123" i="1"/>
  <c r="BI1123" i="1" s="1"/>
  <c r="BK1123" i="1" s="1"/>
  <c r="BF1123" i="1"/>
  <c r="BG1123" i="1" s="1"/>
  <c r="BO1122" i="1"/>
  <c r="BH1122" i="1"/>
  <c r="BI1122" i="1" s="1"/>
  <c r="BK1122" i="1" s="1"/>
  <c r="BF1122" i="1"/>
  <c r="BG1122" i="1" s="1"/>
  <c r="BO1121" i="1"/>
  <c r="BH1121" i="1"/>
  <c r="BI1121" i="1" s="1"/>
  <c r="BK1121" i="1" s="1"/>
  <c r="BF1121" i="1"/>
  <c r="BG1121" i="1" s="1"/>
  <c r="BO1120" i="1"/>
  <c r="BH1120" i="1"/>
  <c r="BI1120" i="1" s="1"/>
  <c r="BK1120" i="1" s="1"/>
  <c r="BF1120" i="1"/>
  <c r="BG1120" i="1" s="1"/>
  <c r="BO1119" i="1"/>
  <c r="BH1119" i="1"/>
  <c r="BI1119" i="1" s="1"/>
  <c r="BK1119" i="1" s="1"/>
  <c r="BF1119" i="1"/>
  <c r="BG1119" i="1" s="1"/>
  <c r="BO1118" i="1"/>
  <c r="BH1118" i="1"/>
  <c r="BI1118" i="1" s="1"/>
  <c r="BK1118" i="1" s="1"/>
  <c r="BF1118" i="1"/>
  <c r="BG1118" i="1" s="1"/>
  <c r="BO1117" i="1"/>
  <c r="BH1117" i="1"/>
  <c r="BI1117" i="1" s="1"/>
  <c r="BK1117" i="1" s="1"/>
  <c r="BF1117" i="1"/>
  <c r="BG1117" i="1" s="1"/>
  <c r="BO1116" i="1"/>
  <c r="BH1116" i="1"/>
  <c r="BI1116" i="1" s="1"/>
  <c r="BK1116" i="1" s="1"/>
  <c r="BF1116" i="1"/>
  <c r="BG1116" i="1" s="1"/>
  <c r="BO1115" i="1"/>
  <c r="BH1115" i="1"/>
  <c r="BI1115" i="1" s="1"/>
  <c r="BK1115" i="1" s="1"/>
  <c r="BF1115" i="1"/>
  <c r="BG1115" i="1" s="1"/>
  <c r="BO1114" i="1"/>
  <c r="BH1114" i="1"/>
  <c r="BI1114" i="1" s="1"/>
  <c r="BK1114" i="1" s="1"/>
  <c r="BF1114" i="1"/>
  <c r="BG1114" i="1" s="1"/>
  <c r="BO1113" i="1"/>
  <c r="BH1113" i="1"/>
  <c r="BI1113" i="1" s="1"/>
  <c r="BK1113" i="1" s="1"/>
  <c r="BF1113" i="1"/>
  <c r="BG1113" i="1" s="1"/>
  <c r="BO1112" i="1"/>
  <c r="BH1112" i="1"/>
  <c r="BI1112" i="1" s="1"/>
  <c r="BK1112" i="1" s="1"/>
  <c r="BF1112" i="1"/>
  <c r="BG1112" i="1" s="1"/>
  <c r="BO1111" i="1"/>
  <c r="BH1111" i="1"/>
  <c r="BI1111" i="1" s="1"/>
  <c r="BK1111" i="1" s="1"/>
  <c r="BF1111" i="1"/>
  <c r="BG1111" i="1" s="1"/>
  <c r="BO1110" i="1"/>
  <c r="BH1110" i="1"/>
  <c r="BI1110" i="1" s="1"/>
  <c r="BK1110" i="1" s="1"/>
  <c r="BF1110" i="1"/>
  <c r="BG1110" i="1" s="1"/>
  <c r="BO1109" i="1"/>
  <c r="BH1109" i="1"/>
  <c r="BI1109" i="1" s="1"/>
  <c r="BK1109" i="1" s="1"/>
  <c r="BF1109" i="1"/>
  <c r="BG1109" i="1" s="1"/>
  <c r="BO1108" i="1"/>
  <c r="BH1108" i="1"/>
  <c r="BI1108" i="1" s="1"/>
  <c r="BK1108" i="1" s="1"/>
  <c r="BF1108" i="1"/>
  <c r="BG1108" i="1" s="1"/>
  <c r="BO1107" i="1"/>
  <c r="BH1107" i="1"/>
  <c r="BI1107" i="1" s="1"/>
  <c r="BK1107" i="1" s="1"/>
  <c r="BF1107" i="1"/>
  <c r="BG1107" i="1" s="1"/>
  <c r="BO1106" i="1"/>
  <c r="BH1106" i="1"/>
  <c r="BI1106" i="1" s="1"/>
  <c r="BK1106" i="1" s="1"/>
  <c r="BF1106" i="1"/>
  <c r="BG1106" i="1" s="1"/>
  <c r="BO1105" i="1"/>
  <c r="BH1105" i="1"/>
  <c r="BI1105" i="1" s="1"/>
  <c r="BK1105" i="1" s="1"/>
  <c r="BF1105" i="1"/>
  <c r="BG1105" i="1" s="1"/>
  <c r="BO1104" i="1"/>
  <c r="BH1104" i="1"/>
  <c r="BI1104" i="1" s="1"/>
  <c r="BK1104" i="1" s="1"/>
  <c r="BF1104" i="1"/>
  <c r="BG1104" i="1" s="1"/>
  <c r="BO1103" i="1"/>
  <c r="BH1103" i="1"/>
  <c r="BI1103" i="1" s="1"/>
  <c r="BK1103" i="1" s="1"/>
  <c r="BF1103" i="1"/>
  <c r="BG1103" i="1" s="1"/>
  <c r="BO1102" i="1"/>
  <c r="BH1102" i="1"/>
  <c r="BI1102" i="1" s="1"/>
  <c r="BK1102" i="1" s="1"/>
  <c r="BF1102" i="1"/>
  <c r="BG1102" i="1" s="1"/>
  <c r="BO1101" i="1"/>
  <c r="BH1101" i="1"/>
  <c r="BI1101" i="1" s="1"/>
  <c r="BK1101" i="1" s="1"/>
  <c r="BF1101" i="1"/>
  <c r="BG1101" i="1" s="1"/>
  <c r="BO1100" i="1"/>
  <c r="BH1100" i="1"/>
  <c r="BI1100" i="1" s="1"/>
  <c r="BK1100" i="1" s="1"/>
  <c r="BF1100" i="1"/>
  <c r="BG1100" i="1" s="1"/>
  <c r="BO1099" i="1"/>
  <c r="BH1099" i="1"/>
  <c r="BI1099" i="1" s="1"/>
  <c r="BK1099" i="1" s="1"/>
  <c r="BF1099" i="1"/>
  <c r="BG1099" i="1" s="1"/>
  <c r="BO1098" i="1"/>
  <c r="BH1098" i="1"/>
  <c r="BI1098" i="1" s="1"/>
  <c r="BK1098" i="1" s="1"/>
  <c r="BF1098" i="1"/>
  <c r="BG1098" i="1" s="1"/>
  <c r="BO1097" i="1"/>
  <c r="BH1097" i="1"/>
  <c r="BI1097" i="1" s="1"/>
  <c r="BK1097" i="1" s="1"/>
  <c r="BF1097" i="1"/>
  <c r="BG1097" i="1" s="1"/>
  <c r="BO1096" i="1"/>
  <c r="BH1096" i="1"/>
  <c r="BI1096" i="1" s="1"/>
  <c r="BK1096" i="1" s="1"/>
  <c r="BF1096" i="1"/>
  <c r="BG1096" i="1" s="1"/>
  <c r="BO1095" i="1"/>
  <c r="BH1095" i="1"/>
  <c r="BI1095" i="1" s="1"/>
  <c r="BK1095" i="1" s="1"/>
  <c r="BF1095" i="1"/>
  <c r="BG1095" i="1" s="1"/>
  <c r="BO1094" i="1"/>
  <c r="BH1094" i="1"/>
  <c r="BI1094" i="1" s="1"/>
  <c r="BK1094" i="1" s="1"/>
  <c r="BF1094" i="1"/>
  <c r="BG1094" i="1" s="1"/>
  <c r="AZ1135" i="1"/>
  <c r="AW1135" i="1"/>
  <c r="BB1135" i="1" s="1"/>
  <c r="AZ1134" i="1"/>
  <c r="AW1134" i="1"/>
  <c r="BB1134" i="1" s="1"/>
  <c r="AZ1133" i="1"/>
  <c r="AW1133" i="1"/>
  <c r="AY1133" i="1" s="1"/>
  <c r="AZ1132" i="1"/>
  <c r="AW1132" i="1"/>
  <c r="AO1132" i="1" s="1"/>
  <c r="AZ1131" i="1"/>
  <c r="AW1131" i="1"/>
  <c r="AY1131" i="1" s="1"/>
  <c r="AZ1130" i="1"/>
  <c r="AW1130" i="1"/>
  <c r="BB1130" i="1" s="1"/>
  <c r="AZ1129" i="1"/>
  <c r="AW1129" i="1"/>
  <c r="AZ1128" i="1"/>
  <c r="AW1128" i="1"/>
  <c r="AY1128" i="1" s="1"/>
  <c r="AZ1127" i="1"/>
  <c r="AW1127" i="1"/>
  <c r="AO1127" i="1" s="1"/>
  <c r="AZ1126" i="1"/>
  <c r="AW1126" i="1"/>
  <c r="AY1126" i="1" s="1"/>
  <c r="AZ1125" i="1"/>
  <c r="AW1125" i="1"/>
  <c r="BB1125" i="1" s="1"/>
  <c r="AZ1124" i="1"/>
  <c r="AW1124" i="1"/>
  <c r="AZ1123" i="1"/>
  <c r="AW1123" i="1"/>
  <c r="BB1123" i="1" s="1"/>
  <c r="AZ1122" i="1"/>
  <c r="AW1122" i="1"/>
  <c r="BB1122" i="1" s="1"/>
  <c r="AZ1121" i="1"/>
  <c r="AW1121" i="1"/>
  <c r="AY1121" i="1" s="1"/>
  <c r="AZ1120" i="1"/>
  <c r="AW1120" i="1"/>
  <c r="AZ1119" i="1"/>
  <c r="AW1119" i="1"/>
  <c r="BB1119" i="1" s="1"/>
  <c r="AZ1118" i="1"/>
  <c r="AW1118" i="1"/>
  <c r="BB1118" i="1" s="1"/>
  <c r="AZ1117" i="1"/>
  <c r="AW1117" i="1"/>
  <c r="AZ1116" i="1"/>
  <c r="AW1116" i="1"/>
  <c r="AY1116" i="1" s="1"/>
  <c r="AZ1115" i="1"/>
  <c r="AW1115" i="1"/>
  <c r="BB1115" i="1" s="1"/>
  <c r="AZ1114" i="1"/>
  <c r="AW1114" i="1"/>
  <c r="AY1114" i="1" s="1"/>
  <c r="AZ1113" i="1"/>
  <c r="AW1113" i="1"/>
  <c r="BB1113" i="1" s="1"/>
  <c r="AZ1112" i="1"/>
  <c r="AW1112" i="1"/>
  <c r="AO1112" i="1" s="1"/>
  <c r="AZ1111" i="1"/>
  <c r="AW1111" i="1"/>
  <c r="BB1111" i="1" s="1"/>
  <c r="AZ1110" i="1"/>
  <c r="AW1110" i="1"/>
  <c r="BB1110" i="1" s="1"/>
  <c r="AZ1109" i="1"/>
  <c r="AW1109" i="1"/>
  <c r="AY1109" i="1" s="1"/>
  <c r="AZ1108" i="1"/>
  <c r="AW1108" i="1"/>
  <c r="AZ1107" i="1"/>
  <c r="AW1107" i="1"/>
  <c r="AY1107" i="1" s="1"/>
  <c r="AZ1106" i="1"/>
  <c r="AW1106" i="1"/>
  <c r="BB1106" i="1" s="1"/>
  <c r="AZ1105" i="1"/>
  <c r="AW1105" i="1"/>
  <c r="AY1105" i="1" s="1"/>
  <c r="AZ1104" i="1"/>
  <c r="AW1104" i="1"/>
  <c r="AY1104" i="1" s="1"/>
  <c r="AZ1103" i="1"/>
  <c r="AW1103" i="1"/>
  <c r="BB1103" i="1" s="1"/>
  <c r="AZ1102" i="1"/>
  <c r="AW1102" i="1"/>
  <c r="AY1102" i="1" s="1"/>
  <c r="AZ1101" i="1"/>
  <c r="AW1101" i="1"/>
  <c r="BB1101" i="1" s="1"/>
  <c r="AZ1100" i="1"/>
  <c r="AW1100" i="1"/>
  <c r="AO1100" i="1" s="1"/>
  <c r="AZ1099" i="1"/>
  <c r="AW1099" i="1"/>
  <c r="BB1099" i="1" s="1"/>
  <c r="AZ1098" i="1"/>
  <c r="AW1098" i="1"/>
  <c r="BB1098" i="1" s="1"/>
  <c r="AZ1097" i="1"/>
  <c r="AW1097" i="1"/>
  <c r="AY1097" i="1" s="1"/>
  <c r="AZ1096" i="1"/>
  <c r="AW1096" i="1"/>
  <c r="AZ1095" i="1"/>
  <c r="AW1095" i="1"/>
  <c r="AY1095" i="1" s="1"/>
  <c r="AZ1094" i="1"/>
  <c r="AW1094" i="1"/>
  <c r="BB1094" i="1" s="1"/>
  <c r="AK1133" i="1"/>
  <c r="AK1132" i="1"/>
  <c r="AK1131" i="1"/>
  <c r="AK1130" i="1"/>
  <c r="AK1129" i="1"/>
  <c r="AK1125" i="1"/>
  <c r="AK1124" i="1"/>
  <c r="AK1123" i="1"/>
  <c r="AK1122" i="1"/>
  <c r="AK1121" i="1"/>
  <c r="AK1119" i="1"/>
  <c r="AK1118" i="1"/>
  <c r="AK1117" i="1"/>
  <c r="AK1116" i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BA1104" i="1" l="1"/>
  <c r="BA1116" i="1"/>
  <c r="BA1128" i="1"/>
  <c r="AO1115" i="1"/>
  <c r="AR1115" i="1" s="1"/>
  <c r="AS1115" i="1" s="1"/>
  <c r="AO1135" i="1"/>
  <c r="AR1135" i="1" s="1"/>
  <c r="AO1095" i="1"/>
  <c r="BM1095" i="1" s="1"/>
  <c r="BA1114" i="1"/>
  <c r="AO1121" i="1"/>
  <c r="AR1121" i="1" s="1"/>
  <c r="AS1121" i="1" s="1"/>
  <c r="BM1100" i="1"/>
  <c r="BA1107" i="1"/>
  <c r="BB1116" i="1"/>
  <c r="AO1104" i="1"/>
  <c r="BM1104" i="1" s="1"/>
  <c r="BA1126" i="1"/>
  <c r="BA1097" i="1"/>
  <c r="BA1109" i="1"/>
  <c r="AO1128" i="1"/>
  <c r="BM1128" i="1" s="1"/>
  <c r="BB1097" i="1"/>
  <c r="BB1126" i="1"/>
  <c r="BM1132" i="1"/>
  <c r="BB1121" i="1"/>
  <c r="BA1133" i="1"/>
  <c r="AO1097" i="1"/>
  <c r="BM1097" i="1" s="1"/>
  <c r="AO1107" i="1"/>
  <c r="BM1107" i="1" s="1"/>
  <c r="BM1127" i="1"/>
  <c r="BB1131" i="1"/>
  <c r="BA1095" i="1"/>
  <c r="AO1119" i="1"/>
  <c r="BM1119" i="1" s="1"/>
  <c r="AY1112" i="1"/>
  <c r="BA1112" i="1" s="1"/>
  <c r="AO1111" i="1"/>
  <c r="BM1111" i="1" s="1"/>
  <c r="BA1102" i="1"/>
  <c r="AO1103" i="1"/>
  <c r="BM1103" i="1" s="1"/>
  <c r="BM1112" i="1"/>
  <c r="BB1107" i="1"/>
  <c r="BB1112" i="1"/>
  <c r="BB1102" i="1"/>
  <c r="AO1131" i="1"/>
  <c r="BM1131" i="1" s="1"/>
  <c r="BB1095" i="1"/>
  <c r="BA1105" i="1"/>
  <c r="BB1109" i="1"/>
  <c r="AY1119" i="1"/>
  <c r="BA1119" i="1" s="1"/>
  <c r="BB1133" i="1"/>
  <c r="AO1122" i="1"/>
  <c r="AR1122" i="1" s="1"/>
  <c r="BB1128" i="1"/>
  <c r="BB1114" i="1"/>
  <c r="AO1099" i="1"/>
  <c r="AR1099" i="1" s="1"/>
  <c r="AO1116" i="1"/>
  <c r="BM1116" i="1" s="1"/>
  <c r="AO1133" i="1"/>
  <c r="AR1133" i="1" s="1"/>
  <c r="BA1131" i="1"/>
  <c r="BB1104" i="1"/>
  <c r="AO1123" i="1"/>
  <c r="BM1123" i="1" s="1"/>
  <c r="AO1109" i="1"/>
  <c r="BM1109" i="1" s="1"/>
  <c r="BB1100" i="1"/>
  <c r="BA1121" i="1"/>
  <c r="AO1108" i="1"/>
  <c r="AR1108" i="1" s="1"/>
  <c r="BB1108" i="1"/>
  <c r="AY1108" i="1"/>
  <c r="BA1108" i="1" s="1"/>
  <c r="AY1127" i="1"/>
  <c r="BA1127" i="1" s="1"/>
  <c r="BB1127" i="1"/>
  <c r="AO1124" i="1"/>
  <c r="BM1124" i="1" s="1"/>
  <c r="BB1124" i="1"/>
  <c r="AO1120" i="1"/>
  <c r="AR1120" i="1" s="1"/>
  <c r="BB1120" i="1"/>
  <c r="AY1120" i="1"/>
  <c r="BA1120" i="1" s="1"/>
  <c r="BB1117" i="1"/>
  <c r="AO1117" i="1"/>
  <c r="BM1117" i="1" s="1"/>
  <c r="AO1098" i="1"/>
  <c r="BM1098" i="1" s="1"/>
  <c r="BB1129" i="1"/>
  <c r="AO1129" i="1"/>
  <c r="BM1129" i="1" s="1"/>
  <c r="AY1103" i="1"/>
  <c r="BA1103" i="1" s="1"/>
  <c r="AY1100" i="1"/>
  <c r="BA1100" i="1" s="1"/>
  <c r="AY1122" i="1"/>
  <c r="BA1122" i="1" s="1"/>
  <c r="AY1134" i="1"/>
  <c r="BA1134" i="1" s="1"/>
  <c r="AO1105" i="1"/>
  <c r="AR1105" i="1" s="1"/>
  <c r="BB1105" i="1"/>
  <c r="AY1124" i="1"/>
  <c r="BA1124" i="1" s="1"/>
  <c r="AY1098" i="1"/>
  <c r="BA1098" i="1" s="1"/>
  <c r="AY1117" i="1"/>
  <c r="BA1117" i="1" s="1"/>
  <c r="AY1129" i="1"/>
  <c r="BA1129" i="1" s="1"/>
  <c r="AY1110" i="1"/>
  <c r="BA1110" i="1" s="1"/>
  <c r="AO1096" i="1"/>
  <c r="AR1096" i="1" s="1"/>
  <c r="BB1096" i="1"/>
  <c r="AY1096" i="1"/>
  <c r="BA1096" i="1" s="1"/>
  <c r="AO1110" i="1"/>
  <c r="BM1110" i="1" s="1"/>
  <c r="AR1127" i="1"/>
  <c r="AO1134" i="1"/>
  <c r="BM1134" i="1" s="1"/>
  <c r="AY1115" i="1"/>
  <c r="BA1115" i="1" s="1"/>
  <c r="AR1100" i="1"/>
  <c r="AY1101" i="1"/>
  <c r="BA1101" i="1" s="1"/>
  <c r="AY1113" i="1"/>
  <c r="BA1113" i="1" s="1"/>
  <c r="AO1094" i="1"/>
  <c r="AR1094" i="1" s="1"/>
  <c r="AO1130" i="1"/>
  <c r="AR1130" i="1" s="1"/>
  <c r="AY1099" i="1"/>
  <c r="BA1099" i="1" s="1"/>
  <c r="AY1111" i="1"/>
  <c r="BA1111" i="1" s="1"/>
  <c r="AY1123" i="1"/>
  <c r="BA1123" i="1" s="1"/>
  <c r="BB1132" i="1"/>
  <c r="AY1135" i="1"/>
  <c r="BA1135" i="1" s="1"/>
  <c r="AY1132" i="1"/>
  <c r="BA1132" i="1" s="1"/>
  <c r="AR1112" i="1"/>
  <c r="AY1125" i="1"/>
  <c r="BA1125" i="1" s="1"/>
  <c r="AO1106" i="1"/>
  <c r="AO1118" i="1"/>
  <c r="AR1118" i="1" s="1"/>
  <c r="AY1094" i="1"/>
  <c r="BA1094" i="1" s="1"/>
  <c r="AY1106" i="1"/>
  <c r="BA1106" i="1" s="1"/>
  <c r="AY1118" i="1"/>
  <c r="BA1118" i="1" s="1"/>
  <c r="AY1130" i="1"/>
  <c r="BA1130" i="1" s="1"/>
  <c r="AO1101" i="1"/>
  <c r="AR1101" i="1" s="1"/>
  <c r="AO1113" i="1"/>
  <c r="AR1113" i="1" s="1"/>
  <c r="AO1125" i="1"/>
  <c r="AR1125" i="1" s="1"/>
  <c r="AR1132" i="1"/>
  <c r="AO1102" i="1"/>
  <c r="BM1102" i="1" s="1"/>
  <c r="AO1114" i="1"/>
  <c r="AO1126" i="1"/>
  <c r="AQ1082" i="1"/>
  <c r="AQ1081" i="1"/>
  <c r="AL1081" i="1"/>
  <c r="AK1081" i="1"/>
  <c r="AK1083" i="1"/>
  <c r="AR1119" i="1" l="1"/>
  <c r="AS1119" i="1" s="1"/>
  <c r="CC1119" i="1" s="1"/>
  <c r="CE1119" i="1" s="1"/>
  <c r="AR1095" i="1"/>
  <c r="AS1095" i="1" s="1"/>
  <c r="CC1095" i="1" s="1"/>
  <c r="CE1095" i="1" s="1"/>
  <c r="BM1121" i="1"/>
  <c r="BM1135" i="1"/>
  <c r="BM1115" i="1"/>
  <c r="AR1104" i="1"/>
  <c r="AS1104" i="1" s="1"/>
  <c r="BM1122" i="1"/>
  <c r="BM1133" i="1"/>
  <c r="BP1115" i="1"/>
  <c r="AR1131" i="1"/>
  <c r="BP1131" i="1" s="1"/>
  <c r="BM1094" i="1"/>
  <c r="AR1111" i="1"/>
  <c r="AS1111" i="1" s="1"/>
  <c r="AR1107" i="1"/>
  <c r="BP1107" i="1" s="1"/>
  <c r="BM1101" i="1"/>
  <c r="BP1121" i="1"/>
  <c r="AR1128" i="1"/>
  <c r="AR1103" i="1"/>
  <c r="AS1103" i="1" s="1"/>
  <c r="BM1096" i="1"/>
  <c r="AR1102" i="1"/>
  <c r="AS1102" i="1" s="1"/>
  <c r="AR1124" i="1"/>
  <c r="BP1124" i="1" s="1"/>
  <c r="BM1099" i="1"/>
  <c r="AR1097" i="1"/>
  <c r="BM1118" i="1"/>
  <c r="AS1099" i="1"/>
  <c r="CC1099" i="1" s="1"/>
  <c r="CE1099" i="1" s="1"/>
  <c r="BP1099" i="1"/>
  <c r="AS1122" i="1"/>
  <c r="BP1122" i="1"/>
  <c r="AS1108" i="1"/>
  <c r="BP1108" i="1"/>
  <c r="AS1096" i="1"/>
  <c r="CC1096" i="1" s="1"/>
  <c r="CE1096" i="1" s="1"/>
  <c r="BP1096" i="1"/>
  <c r="AR1129" i="1"/>
  <c r="AR1126" i="1"/>
  <c r="BM1126" i="1"/>
  <c r="AS1130" i="1"/>
  <c r="CC1130" i="1" s="1"/>
  <c r="CE1130" i="1" s="1"/>
  <c r="BP1130" i="1"/>
  <c r="AS1120" i="1"/>
  <c r="CC1120" i="1" s="1"/>
  <c r="CE1120" i="1" s="1"/>
  <c r="BP1120" i="1"/>
  <c r="AR1116" i="1"/>
  <c r="AR1123" i="1"/>
  <c r="BM1120" i="1"/>
  <c r="AS1113" i="1"/>
  <c r="BP1113" i="1"/>
  <c r="BM1113" i="1"/>
  <c r="AR1114" i="1"/>
  <c r="BM1114" i="1"/>
  <c r="AS1118" i="1"/>
  <c r="BP1118" i="1"/>
  <c r="AS1094" i="1"/>
  <c r="CC1094" i="1" s="1"/>
  <c r="CE1094" i="1" s="1"/>
  <c r="BP1094" i="1"/>
  <c r="BM1108" i="1"/>
  <c r="AS1133" i="1"/>
  <c r="BP1133" i="1"/>
  <c r="AS1135" i="1"/>
  <c r="CC1135" i="1" s="1"/>
  <c r="CE1135" i="1" s="1"/>
  <c r="BP1135" i="1"/>
  <c r="AS1132" i="1"/>
  <c r="BP1132" i="1"/>
  <c r="AR1106" i="1"/>
  <c r="BM1106" i="1"/>
  <c r="AR1117" i="1"/>
  <c r="AR1134" i="1"/>
  <c r="AR1109" i="1"/>
  <c r="BM1125" i="1"/>
  <c r="AS1127" i="1"/>
  <c r="CC1127" i="1" s="1"/>
  <c r="CE1127" i="1" s="1"/>
  <c r="BP1127" i="1"/>
  <c r="AS1101" i="1"/>
  <c r="CC1101" i="1" s="1"/>
  <c r="CE1101" i="1" s="1"/>
  <c r="BP1101" i="1"/>
  <c r="AR1110" i="1"/>
  <c r="AS1112" i="1"/>
  <c r="BP1112" i="1"/>
  <c r="AS1125" i="1"/>
  <c r="BP1125" i="1"/>
  <c r="AR1098" i="1"/>
  <c r="AS1105" i="1"/>
  <c r="BP1105" i="1"/>
  <c r="AS1100" i="1"/>
  <c r="CC1100" i="1" s="1"/>
  <c r="CE1100" i="1" s="1"/>
  <c r="BP1100" i="1"/>
  <c r="BM1105" i="1"/>
  <c r="BM1130" i="1"/>
  <c r="AM1083" i="1"/>
  <c r="AL1083" i="1"/>
  <c r="AM1082" i="1"/>
  <c r="AM1081" i="1"/>
  <c r="AN1080" i="1"/>
  <c r="Y1080" i="1"/>
  <c r="AM1080" i="1" s="1"/>
  <c r="AL1080" i="1"/>
  <c r="AM1079" i="1"/>
  <c r="AL1079" i="1"/>
  <c r="AM1073" i="1"/>
  <c r="AL1073" i="1"/>
  <c r="AQ1080" i="1" l="1"/>
  <c r="BP1119" i="1"/>
  <c r="BP1095" i="1"/>
  <c r="AS1131" i="1"/>
  <c r="BP1104" i="1"/>
  <c r="AS1124" i="1"/>
  <c r="AS1107" i="1"/>
  <c r="BP1111" i="1"/>
  <c r="AS1128" i="1"/>
  <c r="CC1128" i="1" s="1"/>
  <c r="CE1128" i="1" s="1"/>
  <c r="BP1128" i="1"/>
  <c r="BP1102" i="1"/>
  <c r="BP1103" i="1"/>
  <c r="AS1097" i="1"/>
  <c r="CC1097" i="1" s="1"/>
  <c r="CE1097" i="1" s="1"/>
  <c r="BP1097" i="1"/>
  <c r="AS1129" i="1"/>
  <c r="BP1129" i="1"/>
  <c r="AS1117" i="1"/>
  <c r="BP1117" i="1"/>
  <c r="AS1106" i="1"/>
  <c r="BP1106" i="1"/>
  <c r="AS1126" i="1"/>
  <c r="CC1126" i="1" s="1"/>
  <c r="CE1126" i="1" s="1"/>
  <c r="BP1126" i="1"/>
  <c r="AS1109" i="1"/>
  <c r="BP1109" i="1"/>
  <c r="AS1116" i="1"/>
  <c r="BP1116" i="1"/>
  <c r="AS1098" i="1"/>
  <c r="CC1098" i="1" s="1"/>
  <c r="CE1098" i="1" s="1"/>
  <c r="BP1098" i="1"/>
  <c r="AS1134" i="1"/>
  <c r="CC1134" i="1" s="1"/>
  <c r="CE1134" i="1" s="1"/>
  <c r="BP1134" i="1"/>
  <c r="AS1123" i="1"/>
  <c r="BP1123" i="1"/>
  <c r="AS1110" i="1"/>
  <c r="BP1110" i="1"/>
  <c r="AS1114" i="1"/>
  <c r="BP1114" i="1"/>
  <c r="AM1072" i="1"/>
  <c r="AL1072" i="1"/>
  <c r="AK1079" i="1" l="1"/>
  <c r="AK1073" i="1"/>
  <c r="AK1072" i="1"/>
  <c r="AQ1052" i="1" l="1"/>
  <c r="AQ1050" i="1"/>
  <c r="AK1052" i="1" l="1"/>
  <c r="AK1051" i="1"/>
  <c r="AK1050" i="1"/>
  <c r="AM1068" i="1"/>
  <c r="AL1068" i="1"/>
  <c r="Y1053" i="1"/>
  <c r="AM1053" i="1" s="1"/>
  <c r="AL1053" i="1"/>
  <c r="AM1052" i="1"/>
  <c r="AL1052" i="1"/>
  <c r="AM1051" i="1"/>
  <c r="AL1051" i="1"/>
  <c r="AL1050" i="1"/>
  <c r="AM1050" i="1"/>
  <c r="BO1093" i="1" l="1"/>
  <c r="BH1093" i="1"/>
  <c r="BI1093" i="1" s="1"/>
  <c r="BK1093" i="1" s="1"/>
  <c r="BF1093" i="1"/>
  <c r="BG1093" i="1" s="1"/>
  <c r="BO1092" i="1"/>
  <c r="BH1092" i="1"/>
  <c r="BI1092" i="1" s="1"/>
  <c r="BK1092" i="1" s="1"/>
  <c r="BF1092" i="1"/>
  <c r="BG1092" i="1" s="1"/>
  <c r="BO1091" i="1"/>
  <c r="BH1091" i="1"/>
  <c r="BI1091" i="1" s="1"/>
  <c r="BK1091" i="1" s="1"/>
  <c r="BF1091" i="1"/>
  <c r="BG1091" i="1" s="1"/>
  <c r="BO1090" i="1"/>
  <c r="BH1090" i="1"/>
  <c r="BI1090" i="1" s="1"/>
  <c r="BK1090" i="1" s="1"/>
  <c r="BF1090" i="1"/>
  <c r="BG1090" i="1" s="1"/>
  <c r="BO1089" i="1"/>
  <c r="BH1089" i="1"/>
  <c r="BI1089" i="1" s="1"/>
  <c r="BK1089" i="1" s="1"/>
  <c r="BF1089" i="1"/>
  <c r="BG1089" i="1" s="1"/>
  <c r="BO1088" i="1"/>
  <c r="BH1088" i="1"/>
  <c r="BI1088" i="1" s="1"/>
  <c r="BK1088" i="1" s="1"/>
  <c r="BF1088" i="1"/>
  <c r="BG1088" i="1" s="1"/>
  <c r="BO1087" i="1"/>
  <c r="BH1087" i="1"/>
  <c r="BI1087" i="1" s="1"/>
  <c r="BK1087" i="1" s="1"/>
  <c r="BF1087" i="1"/>
  <c r="BG1087" i="1" s="1"/>
  <c r="BO1086" i="1"/>
  <c r="BH1086" i="1"/>
  <c r="BI1086" i="1" s="1"/>
  <c r="BK1086" i="1" s="1"/>
  <c r="BF1086" i="1"/>
  <c r="BG1086" i="1" s="1"/>
  <c r="BO1085" i="1"/>
  <c r="BH1085" i="1"/>
  <c r="BI1085" i="1" s="1"/>
  <c r="BK1085" i="1" s="1"/>
  <c r="BF1085" i="1"/>
  <c r="BG1085" i="1" s="1"/>
  <c r="BO1084" i="1"/>
  <c r="BH1084" i="1"/>
  <c r="BI1084" i="1" s="1"/>
  <c r="BK1084" i="1" s="1"/>
  <c r="BF1084" i="1"/>
  <c r="BG1084" i="1" s="1"/>
  <c r="BO1083" i="1"/>
  <c r="BH1083" i="1"/>
  <c r="BI1083" i="1" s="1"/>
  <c r="BK1083" i="1" s="1"/>
  <c r="BF1083" i="1"/>
  <c r="BG1083" i="1" s="1"/>
  <c r="BO1082" i="1"/>
  <c r="BH1082" i="1"/>
  <c r="BI1082" i="1" s="1"/>
  <c r="BK1082" i="1" s="1"/>
  <c r="BF1082" i="1"/>
  <c r="BG1082" i="1" s="1"/>
  <c r="BO1081" i="1"/>
  <c r="BH1081" i="1"/>
  <c r="BI1081" i="1" s="1"/>
  <c r="BK1081" i="1" s="1"/>
  <c r="BF1081" i="1"/>
  <c r="BG1081" i="1" s="1"/>
  <c r="BO1080" i="1"/>
  <c r="BH1080" i="1"/>
  <c r="BI1080" i="1" s="1"/>
  <c r="BK1080" i="1" s="1"/>
  <c r="BF1080" i="1"/>
  <c r="BG1080" i="1" s="1"/>
  <c r="BO1079" i="1"/>
  <c r="BH1079" i="1"/>
  <c r="BI1079" i="1" s="1"/>
  <c r="BK1079" i="1" s="1"/>
  <c r="BF1079" i="1"/>
  <c r="BG1079" i="1" s="1"/>
  <c r="BO1078" i="1"/>
  <c r="BH1078" i="1"/>
  <c r="BI1078" i="1" s="1"/>
  <c r="BK1078" i="1" s="1"/>
  <c r="BF1078" i="1"/>
  <c r="BG1078" i="1" s="1"/>
  <c r="BO1077" i="1"/>
  <c r="BH1077" i="1"/>
  <c r="BI1077" i="1" s="1"/>
  <c r="BK1077" i="1" s="1"/>
  <c r="BF1077" i="1"/>
  <c r="BG1077" i="1" s="1"/>
  <c r="BO1076" i="1"/>
  <c r="BH1076" i="1"/>
  <c r="BI1076" i="1" s="1"/>
  <c r="BK1076" i="1" s="1"/>
  <c r="BF1076" i="1"/>
  <c r="BG1076" i="1" s="1"/>
  <c r="BO1075" i="1"/>
  <c r="BH1075" i="1"/>
  <c r="BI1075" i="1" s="1"/>
  <c r="BK1075" i="1" s="1"/>
  <c r="BF1075" i="1"/>
  <c r="BG1075" i="1" s="1"/>
  <c r="BO1074" i="1"/>
  <c r="BH1074" i="1"/>
  <c r="BI1074" i="1" s="1"/>
  <c r="BK1074" i="1" s="1"/>
  <c r="BF1074" i="1"/>
  <c r="BG1074" i="1" s="1"/>
  <c r="BO1073" i="1"/>
  <c r="BH1073" i="1"/>
  <c r="BI1073" i="1" s="1"/>
  <c r="BK1073" i="1" s="1"/>
  <c r="BF1073" i="1"/>
  <c r="BG1073" i="1" s="1"/>
  <c r="BO1072" i="1"/>
  <c r="BH1072" i="1"/>
  <c r="BI1072" i="1" s="1"/>
  <c r="BK1072" i="1" s="1"/>
  <c r="BF1072" i="1"/>
  <c r="BG1072" i="1" s="1"/>
  <c r="BO1071" i="1"/>
  <c r="BH1071" i="1"/>
  <c r="BI1071" i="1" s="1"/>
  <c r="BK1071" i="1" s="1"/>
  <c r="BF1071" i="1"/>
  <c r="BG1071" i="1" s="1"/>
  <c r="BO1070" i="1"/>
  <c r="BH1070" i="1"/>
  <c r="BI1070" i="1" s="1"/>
  <c r="BK1070" i="1" s="1"/>
  <c r="BF1070" i="1"/>
  <c r="BG1070" i="1" s="1"/>
  <c r="BO1069" i="1"/>
  <c r="BH1069" i="1"/>
  <c r="BI1069" i="1" s="1"/>
  <c r="BK1069" i="1" s="1"/>
  <c r="BF1069" i="1"/>
  <c r="BG1069" i="1" s="1"/>
  <c r="BO1068" i="1"/>
  <c r="BH1068" i="1"/>
  <c r="BI1068" i="1" s="1"/>
  <c r="BK1068" i="1" s="1"/>
  <c r="BF1068" i="1"/>
  <c r="BG1068" i="1" s="1"/>
  <c r="BO1067" i="1"/>
  <c r="BH1067" i="1"/>
  <c r="BI1067" i="1" s="1"/>
  <c r="BK1067" i="1" s="1"/>
  <c r="BF1067" i="1"/>
  <c r="BG1067" i="1" s="1"/>
  <c r="BO1066" i="1"/>
  <c r="BH1066" i="1"/>
  <c r="BI1066" i="1" s="1"/>
  <c r="BK1066" i="1" s="1"/>
  <c r="BF1066" i="1"/>
  <c r="BG1066" i="1" s="1"/>
  <c r="BO1065" i="1"/>
  <c r="BH1065" i="1"/>
  <c r="BI1065" i="1" s="1"/>
  <c r="BK1065" i="1" s="1"/>
  <c r="BF1065" i="1"/>
  <c r="BG1065" i="1" s="1"/>
  <c r="BO1064" i="1"/>
  <c r="BH1064" i="1"/>
  <c r="BI1064" i="1" s="1"/>
  <c r="BK1064" i="1" s="1"/>
  <c r="BF1064" i="1"/>
  <c r="BG1064" i="1" s="1"/>
  <c r="BO1063" i="1"/>
  <c r="BH1063" i="1"/>
  <c r="BI1063" i="1" s="1"/>
  <c r="BK1063" i="1" s="1"/>
  <c r="BF1063" i="1"/>
  <c r="BG1063" i="1" s="1"/>
  <c r="BO1062" i="1"/>
  <c r="BH1062" i="1"/>
  <c r="BI1062" i="1" s="1"/>
  <c r="BK1062" i="1" s="1"/>
  <c r="BF1062" i="1"/>
  <c r="BG1062" i="1" s="1"/>
  <c r="BO1061" i="1"/>
  <c r="BH1061" i="1"/>
  <c r="BI1061" i="1" s="1"/>
  <c r="BK1061" i="1" s="1"/>
  <c r="BF1061" i="1"/>
  <c r="BG1061" i="1" s="1"/>
  <c r="BO1060" i="1"/>
  <c r="BH1060" i="1"/>
  <c r="BI1060" i="1" s="1"/>
  <c r="BK1060" i="1" s="1"/>
  <c r="BF1060" i="1"/>
  <c r="BG1060" i="1" s="1"/>
  <c r="BO1059" i="1"/>
  <c r="BH1059" i="1"/>
  <c r="BI1059" i="1" s="1"/>
  <c r="BK1059" i="1" s="1"/>
  <c r="BF1059" i="1"/>
  <c r="BG1059" i="1" s="1"/>
  <c r="BO1058" i="1"/>
  <c r="BH1058" i="1"/>
  <c r="BI1058" i="1" s="1"/>
  <c r="BK1058" i="1" s="1"/>
  <c r="BF1058" i="1"/>
  <c r="BG1058" i="1" s="1"/>
  <c r="BO1057" i="1"/>
  <c r="BH1057" i="1"/>
  <c r="BI1057" i="1" s="1"/>
  <c r="BK1057" i="1" s="1"/>
  <c r="BF1057" i="1"/>
  <c r="BG1057" i="1" s="1"/>
  <c r="BO1056" i="1"/>
  <c r="BH1056" i="1"/>
  <c r="BI1056" i="1" s="1"/>
  <c r="BK1056" i="1" s="1"/>
  <c r="BF1056" i="1"/>
  <c r="BG1056" i="1" s="1"/>
  <c r="BO1055" i="1"/>
  <c r="BH1055" i="1"/>
  <c r="BI1055" i="1" s="1"/>
  <c r="BK1055" i="1" s="1"/>
  <c r="BF1055" i="1"/>
  <c r="BG1055" i="1" s="1"/>
  <c r="BO1054" i="1"/>
  <c r="BH1054" i="1"/>
  <c r="BI1054" i="1" s="1"/>
  <c r="BK1054" i="1" s="1"/>
  <c r="BF1054" i="1"/>
  <c r="BG1054" i="1" s="1"/>
  <c r="BO1053" i="1"/>
  <c r="BH1053" i="1"/>
  <c r="BI1053" i="1" s="1"/>
  <c r="BK1053" i="1" s="1"/>
  <c r="BF1053" i="1"/>
  <c r="BG1053" i="1" s="1"/>
  <c r="BO1052" i="1"/>
  <c r="BH1052" i="1"/>
  <c r="BI1052" i="1" s="1"/>
  <c r="BK1052" i="1" s="1"/>
  <c r="BF1052" i="1"/>
  <c r="BG1052" i="1" s="1"/>
  <c r="BO1051" i="1"/>
  <c r="BH1051" i="1"/>
  <c r="BI1051" i="1" s="1"/>
  <c r="BK1051" i="1" s="1"/>
  <c r="BF1051" i="1"/>
  <c r="BG1051" i="1" s="1"/>
  <c r="BO1050" i="1"/>
  <c r="BH1050" i="1"/>
  <c r="BI1050" i="1" s="1"/>
  <c r="BK1050" i="1" s="1"/>
  <c r="BF1050" i="1"/>
  <c r="BG1050" i="1" s="1"/>
  <c r="AZ1093" i="1"/>
  <c r="AW1093" i="1"/>
  <c r="BB1093" i="1" s="1"/>
  <c r="AZ1092" i="1"/>
  <c r="AW1092" i="1"/>
  <c r="BB1092" i="1" s="1"/>
  <c r="AZ1091" i="1"/>
  <c r="AW1091" i="1"/>
  <c r="AY1091" i="1" s="1"/>
  <c r="AZ1090" i="1"/>
  <c r="AW1090" i="1"/>
  <c r="AY1090" i="1" s="1"/>
  <c r="AZ1089" i="1"/>
  <c r="AW1089" i="1"/>
  <c r="AO1089" i="1" s="1"/>
  <c r="AZ1088" i="1"/>
  <c r="AW1088" i="1"/>
  <c r="BB1088" i="1" s="1"/>
  <c r="AZ1087" i="1"/>
  <c r="AW1087" i="1"/>
  <c r="AY1087" i="1" s="1"/>
  <c r="AZ1086" i="1"/>
  <c r="AW1086" i="1"/>
  <c r="AY1086" i="1" s="1"/>
  <c r="AZ1085" i="1"/>
  <c r="AW1085" i="1"/>
  <c r="AY1085" i="1" s="1"/>
  <c r="AZ1084" i="1"/>
  <c r="AW1084" i="1"/>
  <c r="AY1084" i="1" s="1"/>
  <c r="AZ1083" i="1"/>
  <c r="AW1083" i="1"/>
  <c r="BB1083" i="1" s="1"/>
  <c r="AZ1082" i="1"/>
  <c r="AW1082" i="1"/>
  <c r="BB1082" i="1" s="1"/>
  <c r="AZ1081" i="1"/>
  <c r="AW1081" i="1"/>
  <c r="BB1081" i="1" s="1"/>
  <c r="AZ1080" i="1"/>
  <c r="AW1080" i="1"/>
  <c r="BB1080" i="1" s="1"/>
  <c r="AZ1079" i="1"/>
  <c r="AW1079" i="1"/>
  <c r="AY1079" i="1" s="1"/>
  <c r="AZ1078" i="1"/>
  <c r="AW1078" i="1"/>
  <c r="BB1078" i="1" s="1"/>
  <c r="AZ1077" i="1"/>
  <c r="AW1077" i="1"/>
  <c r="AO1077" i="1" s="1"/>
  <c r="AZ1076" i="1"/>
  <c r="AW1076" i="1"/>
  <c r="BB1076" i="1" s="1"/>
  <c r="AZ1075" i="1"/>
  <c r="AW1075" i="1"/>
  <c r="BB1075" i="1" s="1"/>
  <c r="AZ1074" i="1"/>
  <c r="AW1074" i="1"/>
  <c r="AO1074" i="1" s="1"/>
  <c r="AZ1073" i="1"/>
  <c r="AW1073" i="1"/>
  <c r="AY1073" i="1" s="1"/>
  <c r="AZ1072" i="1"/>
  <c r="AW1072" i="1"/>
  <c r="AY1072" i="1" s="1"/>
  <c r="AZ1071" i="1"/>
  <c r="AW1071" i="1"/>
  <c r="BB1071" i="1" s="1"/>
  <c r="AZ1070" i="1"/>
  <c r="AW1070" i="1"/>
  <c r="BB1070" i="1" s="1"/>
  <c r="AZ1069" i="1"/>
  <c r="AW1069" i="1"/>
  <c r="BB1069" i="1" s="1"/>
  <c r="AZ1068" i="1"/>
  <c r="AW1068" i="1"/>
  <c r="AO1068" i="1" s="1"/>
  <c r="AZ1067" i="1"/>
  <c r="AW1067" i="1"/>
  <c r="AY1067" i="1" s="1"/>
  <c r="AZ1066" i="1"/>
  <c r="AW1066" i="1"/>
  <c r="BB1066" i="1" s="1"/>
  <c r="AZ1065" i="1"/>
  <c r="AW1065" i="1"/>
  <c r="AY1065" i="1" s="1"/>
  <c r="AZ1064" i="1"/>
  <c r="AW1064" i="1"/>
  <c r="AO1064" i="1" s="1"/>
  <c r="AZ1063" i="1"/>
  <c r="AW1063" i="1"/>
  <c r="AO1063" i="1" s="1"/>
  <c r="AZ1062" i="1"/>
  <c r="AW1062" i="1"/>
  <c r="AY1062" i="1" s="1"/>
  <c r="AZ1061" i="1"/>
  <c r="AW1061" i="1"/>
  <c r="AY1061" i="1" s="1"/>
  <c r="AZ1060" i="1"/>
  <c r="AW1060" i="1"/>
  <c r="AY1060" i="1" s="1"/>
  <c r="AZ1059" i="1"/>
  <c r="AW1059" i="1"/>
  <c r="AO1059" i="1" s="1"/>
  <c r="AZ1058" i="1"/>
  <c r="AW1058" i="1"/>
  <c r="AO1058" i="1" s="1"/>
  <c r="AZ1057" i="1"/>
  <c r="AW1057" i="1"/>
  <c r="BB1057" i="1" s="1"/>
  <c r="AZ1056" i="1"/>
  <c r="AW1056" i="1"/>
  <c r="BB1056" i="1" s="1"/>
  <c r="AZ1055" i="1"/>
  <c r="AW1055" i="1"/>
  <c r="AY1055" i="1" s="1"/>
  <c r="AZ1054" i="1"/>
  <c r="AW1054" i="1"/>
  <c r="AY1054" i="1" s="1"/>
  <c r="AZ1053" i="1"/>
  <c r="AW1053" i="1"/>
  <c r="AO1053" i="1" s="1"/>
  <c r="AZ1052" i="1"/>
  <c r="AW1052" i="1"/>
  <c r="BB1052" i="1" s="1"/>
  <c r="AZ1051" i="1"/>
  <c r="AW1051" i="1"/>
  <c r="AO1051" i="1" s="1"/>
  <c r="AZ1050" i="1"/>
  <c r="AW1050" i="1"/>
  <c r="AY1050" i="1" s="1"/>
  <c r="AK1093" i="1"/>
  <c r="AK1092" i="1"/>
  <c r="AK1091" i="1"/>
  <c r="AK1090" i="1"/>
  <c r="AK1089" i="1"/>
  <c r="AK1088" i="1"/>
  <c r="AK1087" i="1"/>
  <c r="AK1086" i="1"/>
  <c r="AK1085" i="1"/>
  <c r="AK1084" i="1"/>
  <c r="AK1082" i="1"/>
  <c r="AK1080" i="1"/>
  <c r="AK1078" i="1"/>
  <c r="AK1077" i="1"/>
  <c r="AK1076" i="1"/>
  <c r="AK1075" i="1"/>
  <c r="AK1074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BA1050" i="1" l="1"/>
  <c r="BA1084" i="1"/>
  <c r="BA1073" i="1"/>
  <c r="BA1079" i="1"/>
  <c r="BA1085" i="1"/>
  <c r="BA1091" i="1"/>
  <c r="BM1064" i="1"/>
  <c r="AO1080" i="1"/>
  <c r="BM1080" i="1" s="1"/>
  <c r="BM1058" i="1"/>
  <c r="BB1077" i="1"/>
  <c r="AO1071" i="1"/>
  <c r="BM1071" i="1" s="1"/>
  <c r="BM1059" i="1"/>
  <c r="BM1063" i="1"/>
  <c r="AY1077" i="1"/>
  <c r="BA1077" i="1" s="1"/>
  <c r="AO1062" i="1"/>
  <c r="AR1062" i="1" s="1"/>
  <c r="BM1053" i="1"/>
  <c r="AO1075" i="1"/>
  <c r="AR1075" i="1" s="1"/>
  <c r="AO1072" i="1"/>
  <c r="AR1072" i="1" s="1"/>
  <c r="AO1086" i="1"/>
  <c r="AR1086" i="1" s="1"/>
  <c r="AO1085" i="1"/>
  <c r="BM1085" i="1" s="1"/>
  <c r="BB1072" i="1"/>
  <c r="BB1055" i="1"/>
  <c r="AR1074" i="1"/>
  <c r="AS1074" i="1" s="1"/>
  <c r="BM1077" i="1"/>
  <c r="AO1055" i="1"/>
  <c r="BM1055" i="1" s="1"/>
  <c r="AO1060" i="1"/>
  <c r="AR1060" i="1" s="1"/>
  <c r="BA1087" i="1"/>
  <c r="BA1065" i="1"/>
  <c r="BA1054" i="1"/>
  <c r="AO1066" i="1"/>
  <c r="BM1066" i="1" s="1"/>
  <c r="AO1091" i="1"/>
  <c r="BM1091" i="1" s="1"/>
  <c r="BA1060" i="1"/>
  <c r="BM1068" i="1"/>
  <c r="AO1076" i="1"/>
  <c r="AR1076" i="1" s="1"/>
  <c r="AO1084" i="1"/>
  <c r="BM1084" i="1" s="1"/>
  <c r="BA1055" i="1"/>
  <c r="BB1065" i="1"/>
  <c r="BM1051" i="1"/>
  <c r="BA1061" i="1"/>
  <c r="BA1067" i="1"/>
  <c r="AO1054" i="1"/>
  <c r="BM1054" i="1" s="1"/>
  <c r="BB1062" i="1"/>
  <c r="AO1065" i="1"/>
  <c r="AR1065" i="1" s="1"/>
  <c r="BM1074" i="1"/>
  <c r="AR1081" i="1"/>
  <c r="AR1053" i="1"/>
  <c r="AS1053" i="1" s="1"/>
  <c r="BA1086" i="1"/>
  <c r="BB1091" i="1"/>
  <c r="AO1090" i="1"/>
  <c r="BM1090" i="1" s="1"/>
  <c r="AR1089" i="1"/>
  <c r="BM1089" i="1"/>
  <c r="AY1053" i="1"/>
  <c r="BA1053" i="1" s="1"/>
  <c r="BB1074" i="1"/>
  <c r="BB1084" i="1"/>
  <c r="AO1067" i="1"/>
  <c r="AR1067" i="1" s="1"/>
  <c r="AR1059" i="1"/>
  <c r="BB1079" i="1"/>
  <c r="BB1089" i="1"/>
  <c r="BB1067" i="1"/>
  <c r="BB1053" i="1"/>
  <c r="BB1050" i="1"/>
  <c r="BB1060" i="1"/>
  <c r="BA1090" i="1"/>
  <c r="AY1089" i="1"/>
  <c r="BA1089" i="1" s="1"/>
  <c r="AR1068" i="1"/>
  <c r="AR1077" i="1"/>
  <c r="AO1093" i="1"/>
  <c r="AR1093" i="1" s="1"/>
  <c r="AO1057" i="1"/>
  <c r="AR1057" i="1" s="1"/>
  <c r="AO1050" i="1"/>
  <c r="AR1050" i="1" s="1"/>
  <c r="BA1062" i="1"/>
  <c r="BA1072" i="1"/>
  <c r="BB1086" i="1"/>
  <c r="AO1070" i="1"/>
  <c r="AY1070" i="1"/>
  <c r="BA1070" i="1" s="1"/>
  <c r="AY1056" i="1"/>
  <c r="BA1056" i="1" s="1"/>
  <c r="AY1068" i="1"/>
  <c r="BA1068" i="1" s="1"/>
  <c r="AY1080" i="1"/>
  <c r="BA1080" i="1" s="1"/>
  <c r="AY1092" i="1"/>
  <c r="BA1092" i="1" s="1"/>
  <c r="AO1056" i="1"/>
  <c r="AO1092" i="1"/>
  <c r="AR1092" i="1" s="1"/>
  <c r="BB1058" i="1"/>
  <c r="AO1082" i="1"/>
  <c r="AO1087" i="1"/>
  <c r="BM1087" i="1" s="1"/>
  <c r="BB1051" i="1"/>
  <c r="AY1066" i="1"/>
  <c r="BA1066" i="1" s="1"/>
  <c r="AY1078" i="1"/>
  <c r="BA1078" i="1" s="1"/>
  <c r="BB1087" i="1"/>
  <c r="AY1059" i="1"/>
  <c r="BA1059" i="1" s="1"/>
  <c r="BB1068" i="1"/>
  <c r="AY1071" i="1"/>
  <c r="BA1071" i="1" s="1"/>
  <c r="AY1083" i="1"/>
  <c r="BA1083" i="1" s="1"/>
  <c r="AO1052" i="1"/>
  <c r="AR1052" i="1" s="1"/>
  <c r="AO1083" i="1"/>
  <c r="AR1083" i="1" s="1"/>
  <c r="AO1088" i="1"/>
  <c r="BM1088" i="1" s="1"/>
  <c r="AY1052" i="1"/>
  <c r="BA1052" i="1" s="1"/>
  <c r="BB1061" i="1"/>
  <c r="AY1064" i="1"/>
  <c r="BA1064" i="1" s="1"/>
  <c r="BB1073" i="1"/>
  <c r="AY1076" i="1"/>
  <c r="BA1076" i="1" s="1"/>
  <c r="BB1085" i="1"/>
  <c r="AY1088" i="1"/>
  <c r="BA1088" i="1" s="1"/>
  <c r="AR1058" i="1"/>
  <c r="AR1063" i="1"/>
  <c r="AO1073" i="1"/>
  <c r="BM1073" i="1" s="1"/>
  <c r="AO1078" i="1"/>
  <c r="AR1078" i="1" s="1"/>
  <c r="BB1054" i="1"/>
  <c r="AY1057" i="1"/>
  <c r="BA1057" i="1" s="1"/>
  <c r="AY1069" i="1"/>
  <c r="BA1069" i="1" s="1"/>
  <c r="AY1081" i="1"/>
  <c r="BA1081" i="1" s="1"/>
  <c r="BB1090" i="1"/>
  <c r="AY1093" i="1"/>
  <c r="BA1093" i="1" s="1"/>
  <c r="AY1058" i="1"/>
  <c r="BA1058" i="1" s="1"/>
  <c r="AY1082" i="1"/>
  <c r="BA1082" i="1" s="1"/>
  <c r="AY1051" i="1"/>
  <c r="BA1051" i="1" s="1"/>
  <c r="AY1063" i="1"/>
  <c r="BA1063" i="1" s="1"/>
  <c r="AY1075" i="1"/>
  <c r="BA1075" i="1" s="1"/>
  <c r="AR1051" i="1"/>
  <c r="AO1061" i="1"/>
  <c r="AR1061" i="1" s="1"/>
  <c r="BB1063" i="1"/>
  <c r="BB1059" i="1"/>
  <c r="AY1074" i="1"/>
  <c r="BA1074" i="1" s="1"/>
  <c r="AR1064" i="1"/>
  <c r="AO1079" i="1"/>
  <c r="BM1079" i="1" s="1"/>
  <c r="BB1064" i="1"/>
  <c r="AO1069" i="1"/>
  <c r="BM1069" i="1" s="1"/>
  <c r="AK1044" i="1"/>
  <c r="AK1042" i="1"/>
  <c r="AK1041" i="1"/>
  <c r="AK1040" i="1"/>
  <c r="AK1039" i="1"/>
  <c r="AR1071" i="1" l="1"/>
  <c r="BP1071" i="1" s="1"/>
  <c r="BM1067" i="1"/>
  <c r="AR1087" i="1"/>
  <c r="AS1087" i="1" s="1"/>
  <c r="BM1086" i="1"/>
  <c r="AR1080" i="1"/>
  <c r="BP1080" i="1" s="1"/>
  <c r="BM1062" i="1"/>
  <c r="AR1085" i="1"/>
  <c r="BP1085" i="1" s="1"/>
  <c r="AR1066" i="1"/>
  <c r="AS1066" i="1" s="1"/>
  <c r="BM1072" i="1"/>
  <c r="BM1075" i="1"/>
  <c r="BM1057" i="1"/>
  <c r="AR1091" i="1"/>
  <c r="AS1091" i="1" s="1"/>
  <c r="BM1060" i="1"/>
  <c r="BP1074" i="1"/>
  <c r="BM1081" i="1"/>
  <c r="BM1065" i="1"/>
  <c r="AR1055" i="1"/>
  <c r="AR1090" i="1"/>
  <c r="BP1090" i="1" s="1"/>
  <c r="AS1081" i="1"/>
  <c r="CC1081" i="1" s="1"/>
  <c r="CE1081" i="1" s="1"/>
  <c r="BP1081" i="1"/>
  <c r="AS1076" i="1"/>
  <c r="BP1076" i="1"/>
  <c r="AS1060" i="1"/>
  <c r="BP1060" i="1"/>
  <c r="AS1072" i="1"/>
  <c r="CC1072" i="1" s="1"/>
  <c r="CE1072" i="1" s="1"/>
  <c r="BP1072" i="1"/>
  <c r="AR1054" i="1"/>
  <c r="AS1054" i="1" s="1"/>
  <c r="AR1084" i="1"/>
  <c r="BM1076" i="1"/>
  <c r="BP1053" i="1"/>
  <c r="AS1065" i="1"/>
  <c r="BP1065" i="1"/>
  <c r="BM1061" i="1"/>
  <c r="AR1079" i="1"/>
  <c r="AS1079" i="1" s="1"/>
  <c r="CC1079" i="1" s="1"/>
  <c r="CE1079" i="1" s="1"/>
  <c r="BM1050" i="1"/>
  <c r="AS1057" i="1"/>
  <c r="BP1057" i="1"/>
  <c r="AS1093" i="1"/>
  <c r="BP1093" i="1"/>
  <c r="AS1051" i="1"/>
  <c r="CC1051" i="1" s="1"/>
  <c r="CE1051" i="1" s="1"/>
  <c r="BP1051" i="1"/>
  <c r="AS1083" i="1"/>
  <c r="CC1083" i="1" s="1"/>
  <c r="CE1083" i="1" s="1"/>
  <c r="BP1083" i="1"/>
  <c r="AS1062" i="1"/>
  <c r="BP1062" i="1"/>
  <c r="AS1052" i="1"/>
  <c r="CC1052" i="1" s="1"/>
  <c r="CE1052" i="1" s="1"/>
  <c r="BP1052" i="1"/>
  <c r="AS1092" i="1"/>
  <c r="BP1092" i="1"/>
  <c r="AS1061" i="1"/>
  <c r="BP1061" i="1"/>
  <c r="BM1052" i="1"/>
  <c r="AS1058" i="1"/>
  <c r="BP1058" i="1"/>
  <c r="AR1069" i="1"/>
  <c r="AR1056" i="1"/>
  <c r="BM1056" i="1"/>
  <c r="AS1064" i="1"/>
  <c r="BP1064" i="1"/>
  <c r="AS1068" i="1"/>
  <c r="BP1068" i="1"/>
  <c r="AS1086" i="1"/>
  <c r="BP1086" i="1"/>
  <c r="AS1078" i="1"/>
  <c r="BP1078" i="1"/>
  <c r="BM1078" i="1"/>
  <c r="AS1063" i="1"/>
  <c r="BP1063" i="1"/>
  <c r="AS1067" i="1"/>
  <c r="BP1067" i="1"/>
  <c r="AR1088" i="1"/>
  <c r="AS1050" i="1"/>
  <c r="CC1050" i="1" s="1"/>
  <c r="CE1050" i="1" s="1"/>
  <c r="BP1050" i="1"/>
  <c r="BM1093" i="1"/>
  <c r="BM1083" i="1"/>
  <c r="AR1070" i="1"/>
  <c r="BM1070" i="1"/>
  <c r="AS1077" i="1"/>
  <c r="BP1077" i="1"/>
  <c r="AS1089" i="1"/>
  <c r="BP1089" i="1"/>
  <c r="AR1073" i="1"/>
  <c r="AR1082" i="1"/>
  <c r="BM1082" i="1"/>
  <c r="AS1059" i="1"/>
  <c r="BP1059" i="1"/>
  <c r="AS1075" i="1"/>
  <c r="BP1075" i="1"/>
  <c r="BM1092" i="1"/>
  <c r="AQ1042" i="1"/>
  <c r="AQ1041" i="1"/>
  <c r="AS1071" i="1" l="1"/>
  <c r="AS1080" i="1"/>
  <c r="CC1080" i="1" s="1"/>
  <c r="CE1080" i="1" s="1"/>
  <c r="BP1087" i="1"/>
  <c r="BP1066" i="1"/>
  <c r="AS1085" i="1"/>
  <c r="BP1091" i="1"/>
  <c r="AS1090" i="1"/>
  <c r="BP1079" i="1"/>
  <c r="BP1054" i="1"/>
  <c r="AS1055" i="1"/>
  <c r="BP1055" i="1"/>
  <c r="AS1084" i="1"/>
  <c r="BP1084" i="1"/>
  <c r="AS1082" i="1"/>
  <c r="CC1082" i="1" s="1"/>
  <c r="CE1082" i="1" s="1"/>
  <c r="BP1082" i="1"/>
  <c r="AS1088" i="1"/>
  <c r="BP1088" i="1"/>
  <c r="AS1069" i="1"/>
  <c r="BP1069" i="1"/>
  <c r="AS1073" i="1"/>
  <c r="CC1073" i="1" s="1"/>
  <c r="CE1073" i="1" s="1"/>
  <c r="BP1073" i="1"/>
  <c r="AS1070" i="1"/>
  <c r="BP1070" i="1"/>
  <c r="AS1056" i="1"/>
  <c r="BP1056" i="1"/>
  <c r="AM1044" i="1"/>
  <c r="AL1044" i="1"/>
  <c r="Y1043" i="1"/>
  <c r="AQ1043" i="1" s="1"/>
  <c r="AM1043" i="1"/>
  <c r="AL1043" i="1"/>
  <c r="AM1042" i="1"/>
  <c r="AL1042" i="1"/>
  <c r="AM1041" i="1"/>
  <c r="AL1041" i="1"/>
  <c r="AM1040" i="1"/>
  <c r="AL1040" i="1"/>
  <c r="AM1039" i="1"/>
  <c r="AL1039" i="1"/>
  <c r="AM1038" i="1"/>
  <c r="AL1038" i="1"/>
  <c r="AN1037" i="1"/>
  <c r="AL1037" i="1"/>
  <c r="Y1037" i="1"/>
  <c r="AM1037" i="1" s="1"/>
  <c r="AK1036" i="1" l="1"/>
  <c r="AL1036" i="1"/>
  <c r="AN1036" i="1" l="1"/>
  <c r="AM1036" i="1"/>
  <c r="BO1049" i="1" l="1"/>
  <c r="BH1049" i="1"/>
  <c r="BI1049" i="1" s="1"/>
  <c r="BK1049" i="1" s="1"/>
  <c r="BF1049" i="1"/>
  <c r="BG1049" i="1" s="1"/>
  <c r="BO1048" i="1"/>
  <c r="BH1048" i="1"/>
  <c r="BI1048" i="1" s="1"/>
  <c r="BK1048" i="1" s="1"/>
  <c r="BF1048" i="1"/>
  <c r="BG1048" i="1" s="1"/>
  <c r="BO1047" i="1"/>
  <c r="BH1047" i="1"/>
  <c r="BI1047" i="1" s="1"/>
  <c r="BK1047" i="1" s="1"/>
  <c r="BF1047" i="1"/>
  <c r="BG1047" i="1" s="1"/>
  <c r="BO1046" i="1"/>
  <c r="BH1046" i="1"/>
  <c r="BI1046" i="1" s="1"/>
  <c r="BK1046" i="1" s="1"/>
  <c r="BF1046" i="1"/>
  <c r="BG1046" i="1" s="1"/>
  <c r="BO1045" i="1"/>
  <c r="BH1045" i="1"/>
  <c r="BI1045" i="1" s="1"/>
  <c r="BK1045" i="1" s="1"/>
  <c r="BF1045" i="1"/>
  <c r="BG1045" i="1" s="1"/>
  <c r="BO1044" i="1"/>
  <c r="BH1044" i="1"/>
  <c r="BI1044" i="1" s="1"/>
  <c r="BK1044" i="1" s="1"/>
  <c r="BF1044" i="1"/>
  <c r="BG1044" i="1" s="1"/>
  <c r="BO1043" i="1"/>
  <c r="BH1043" i="1"/>
  <c r="BI1043" i="1" s="1"/>
  <c r="BK1043" i="1" s="1"/>
  <c r="BF1043" i="1"/>
  <c r="BG1043" i="1" s="1"/>
  <c r="BO1042" i="1"/>
  <c r="BH1042" i="1"/>
  <c r="BI1042" i="1" s="1"/>
  <c r="BK1042" i="1" s="1"/>
  <c r="BF1042" i="1"/>
  <c r="BG1042" i="1" s="1"/>
  <c r="BO1041" i="1"/>
  <c r="BH1041" i="1"/>
  <c r="BI1041" i="1" s="1"/>
  <c r="BK1041" i="1" s="1"/>
  <c r="BF1041" i="1"/>
  <c r="BG1041" i="1" s="1"/>
  <c r="BO1040" i="1"/>
  <c r="BH1040" i="1"/>
  <c r="BI1040" i="1" s="1"/>
  <c r="BK1040" i="1" s="1"/>
  <c r="BF1040" i="1"/>
  <c r="BG1040" i="1" s="1"/>
  <c r="BO1039" i="1"/>
  <c r="BH1039" i="1"/>
  <c r="BI1039" i="1" s="1"/>
  <c r="BK1039" i="1" s="1"/>
  <c r="BF1039" i="1"/>
  <c r="BG1039" i="1" s="1"/>
  <c r="BO1038" i="1"/>
  <c r="BH1038" i="1"/>
  <c r="BI1038" i="1" s="1"/>
  <c r="BK1038" i="1" s="1"/>
  <c r="BF1038" i="1"/>
  <c r="BG1038" i="1" s="1"/>
  <c r="BO1037" i="1"/>
  <c r="BH1037" i="1"/>
  <c r="BI1037" i="1" s="1"/>
  <c r="BK1037" i="1" s="1"/>
  <c r="BF1037" i="1"/>
  <c r="BG1037" i="1" s="1"/>
  <c r="BO1036" i="1"/>
  <c r="BH1036" i="1"/>
  <c r="BI1036" i="1" s="1"/>
  <c r="BK1036" i="1" s="1"/>
  <c r="BF1036" i="1"/>
  <c r="BG1036" i="1" s="1"/>
  <c r="AZ1049" i="1"/>
  <c r="AW1049" i="1"/>
  <c r="AY1049" i="1" s="1"/>
  <c r="AZ1048" i="1"/>
  <c r="AW1048" i="1"/>
  <c r="BB1048" i="1" s="1"/>
  <c r="AZ1047" i="1"/>
  <c r="AW1047" i="1"/>
  <c r="AY1047" i="1" s="1"/>
  <c r="AZ1046" i="1"/>
  <c r="AW1046" i="1"/>
  <c r="AY1046" i="1" s="1"/>
  <c r="AZ1045" i="1"/>
  <c r="AW1045" i="1"/>
  <c r="BB1045" i="1" s="1"/>
  <c r="AZ1044" i="1"/>
  <c r="AW1044" i="1"/>
  <c r="AY1044" i="1" s="1"/>
  <c r="AZ1043" i="1"/>
  <c r="AW1043" i="1"/>
  <c r="BB1043" i="1" s="1"/>
  <c r="AZ1042" i="1"/>
  <c r="AW1042" i="1"/>
  <c r="AY1042" i="1" s="1"/>
  <c r="AZ1041" i="1"/>
  <c r="AW1041" i="1"/>
  <c r="BB1041" i="1" s="1"/>
  <c r="AZ1040" i="1"/>
  <c r="AW1040" i="1"/>
  <c r="AO1040" i="1" s="1"/>
  <c r="BM1040" i="1" s="1"/>
  <c r="AZ1039" i="1"/>
  <c r="AW1039" i="1"/>
  <c r="BB1039" i="1" s="1"/>
  <c r="AZ1038" i="1"/>
  <c r="AW1038" i="1"/>
  <c r="BB1038" i="1" s="1"/>
  <c r="AZ1037" i="1"/>
  <c r="AW1037" i="1"/>
  <c r="AO1037" i="1" s="1"/>
  <c r="AZ1036" i="1"/>
  <c r="AW1036" i="1"/>
  <c r="AO1036" i="1" s="1"/>
  <c r="AR1036" i="1" s="1"/>
  <c r="AK1049" i="1"/>
  <c r="AK1048" i="1"/>
  <c r="AK1047" i="1"/>
  <c r="AK1046" i="1"/>
  <c r="AK1045" i="1"/>
  <c r="AK1043" i="1"/>
  <c r="AK1038" i="1"/>
  <c r="AK1037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BA1042" i="1" l="1"/>
  <c r="AR1037" i="1"/>
  <c r="AS1037" i="1" s="1"/>
  <c r="BA1049" i="1"/>
  <c r="AO1039" i="1"/>
  <c r="BM1039" i="1" s="1"/>
  <c r="BA1044" i="1"/>
  <c r="AO1043" i="1"/>
  <c r="AR1043" i="1" s="1"/>
  <c r="AS1043" i="1" s="1"/>
  <c r="BM1036" i="1"/>
  <c r="AO1044" i="1"/>
  <c r="BM1044" i="1" s="1"/>
  <c r="AO1038" i="1"/>
  <c r="BM1038" i="1" s="1"/>
  <c r="BM1037" i="1"/>
  <c r="BA1047" i="1"/>
  <c r="BB1044" i="1"/>
  <c r="AO1048" i="1"/>
  <c r="BM1048" i="1" s="1"/>
  <c r="AR1040" i="1"/>
  <c r="BB1049" i="1"/>
  <c r="BB1037" i="1"/>
  <c r="AO1047" i="1"/>
  <c r="BM1047" i="1" s="1"/>
  <c r="AO1042" i="1"/>
  <c r="AR1042" i="1" s="1"/>
  <c r="AO1049" i="1"/>
  <c r="AR1049" i="1" s="1"/>
  <c r="BA1046" i="1"/>
  <c r="BB1047" i="1"/>
  <c r="BB1042" i="1"/>
  <c r="AY1040" i="1"/>
  <c r="BA1040" i="1" s="1"/>
  <c r="AY1045" i="1"/>
  <c r="BA1045" i="1" s="1"/>
  <c r="AY1038" i="1"/>
  <c r="BA1038" i="1" s="1"/>
  <c r="AY1043" i="1"/>
  <c r="BA1043" i="1" s="1"/>
  <c r="AO1045" i="1"/>
  <c r="AR1045" i="1" s="1"/>
  <c r="AY1048" i="1"/>
  <c r="BA1048" i="1" s="1"/>
  <c r="AY1041" i="1"/>
  <c r="BA1041" i="1" s="1"/>
  <c r="AO1041" i="1"/>
  <c r="BB1036" i="1"/>
  <c r="AY1037" i="1"/>
  <c r="BA1037" i="1" s="1"/>
  <c r="BB1046" i="1"/>
  <c r="BB1040" i="1"/>
  <c r="AY1036" i="1"/>
  <c r="BA1036" i="1" s="1"/>
  <c r="AO1046" i="1"/>
  <c r="AR1046" i="1" s="1"/>
  <c r="AY1039" i="1"/>
  <c r="BA1039" i="1" s="1"/>
  <c r="AQ1034" i="1"/>
  <c r="AQ1032" i="1"/>
  <c r="AM1035" i="1"/>
  <c r="AL1035" i="1"/>
  <c r="AM1034" i="1"/>
  <c r="AL1034" i="1"/>
  <c r="AM1033" i="1"/>
  <c r="AL1033" i="1"/>
  <c r="AM1032" i="1"/>
  <c r="AL1032" i="1"/>
  <c r="AR1039" i="1" l="1"/>
  <c r="AS1039" i="1" s="1"/>
  <c r="CC1039" i="1" s="1"/>
  <c r="AR1048" i="1"/>
  <c r="BP1048" i="1" s="1"/>
  <c r="BP1037" i="1"/>
  <c r="AR1038" i="1"/>
  <c r="AS1038" i="1" s="1"/>
  <c r="CC1038" i="1" s="1"/>
  <c r="AR1044" i="1"/>
  <c r="AS1044" i="1" s="1"/>
  <c r="CC1044" i="1" s="1"/>
  <c r="BP1043" i="1"/>
  <c r="BM1043" i="1"/>
  <c r="BM1042" i="1"/>
  <c r="AS1042" i="1"/>
  <c r="CC1042" i="1" s="1"/>
  <c r="BP1042" i="1"/>
  <c r="AR1047" i="1"/>
  <c r="AR1041" i="1"/>
  <c r="BM1041" i="1"/>
  <c r="AS1036" i="1"/>
  <c r="CC1036" i="1" s="1"/>
  <c r="BP1036" i="1"/>
  <c r="AS1045" i="1"/>
  <c r="BP1045" i="1"/>
  <c r="AS1040" i="1"/>
  <c r="CC1040" i="1" s="1"/>
  <c r="BP1040" i="1"/>
  <c r="AS1046" i="1"/>
  <c r="BP1046" i="1"/>
  <c r="AS1049" i="1"/>
  <c r="BP1049" i="1"/>
  <c r="BM1045" i="1"/>
  <c r="BM1046" i="1"/>
  <c r="BM1049" i="1"/>
  <c r="AN1031" i="1"/>
  <c r="Y1031" i="1"/>
  <c r="AQ1031" i="1" s="1"/>
  <c r="AL1031" i="1"/>
  <c r="BP1039" i="1" l="1"/>
  <c r="AM1031" i="1"/>
  <c r="AS1048" i="1"/>
  <c r="BP1044" i="1"/>
  <c r="BP1038" i="1"/>
  <c r="AS1047" i="1"/>
  <c r="BP1047" i="1"/>
  <c r="AS1041" i="1"/>
  <c r="CC1041" i="1" s="1"/>
  <c r="BP1041" i="1"/>
  <c r="AQ1026" i="1"/>
  <c r="AQ1022" i="1" l="1"/>
  <c r="AN1030" i="1" l="1"/>
  <c r="AM1030" i="1"/>
  <c r="AL1030" i="1"/>
  <c r="Y1029" i="1"/>
  <c r="AM1029" i="1" s="1"/>
  <c r="AL1029" i="1"/>
  <c r="AM1028" i="1"/>
  <c r="AL1028" i="1"/>
  <c r="AQ1027" i="1"/>
  <c r="AM1027" i="1"/>
  <c r="AL1027" i="1"/>
  <c r="AN1026" i="1"/>
  <c r="AM1026" i="1"/>
  <c r="AL1026" i="1"/>
  <c r="AM1025" i="1"/>
  <c r="AL1025" i="1"/>
  <c r="AM1024" i="1"/>
  <c r="AL1024" i="1"/>
  <c r="AN1023" i="1"/>
  <c r="Y1023" i="1"/>
  <c r="AM1023" i="1" s="1"/>
  <c r="AL1023" i="1"/>
  <c r="AM1022" i="1"/>
  <c r="AL1022" i="1"/>
  <c r="AM1021" i="1"/>
  <c r="AL1021" i="1"/>
  <c r="AM1020" i="1"/>
  <c r="AL1020" i="1"/>
  <c r="AP1016" i="1" l="1"/>
  <c r="AP1015" i="1"/>
  <c r="AN1019" i="1" l="1"/>
  <c r="AM1019" i="1"/>
  <c r="AL1019" i="1"/>
  <c r="AP1018" i="1"/>
  <c r="AM1018" i="1"/>
  <c r="AL1018" i="1"/>
  <c r="AN1017" i="1"/>
  <c r="AM1017" i="1"/>
  <c r="AL1017" i="1"/>
  <c r="AM1016" i="1"/>
  <c r="AL1016" i="1"/>
  <c r="AM1015" i="1"/>
  <c r="AL1015" i="1"/>
  <c r="AN1014" i="1"/>
  <c r="AM1014" i="1"/>
  <c r="AL1014" i="1"/>
  <c r="AM1013" i="1"/>
  <c r="AL1013" i="1"/>
  <c r="AM1012" i="1"/>
  <c r="AL1012" i="1"/>
  <c r="AM1011" i="1"/>
  <c r="AL1011" i="1"/>
  <c r="AM1010" i="1"/>
  <c r="AL1010" i="1"/>
  <c r="AL1009" i="1"/>
  <c r="AN1009" i="1"/>
  <c r="AM1009" i="1"/>
  <c r="BO1035" i="1" l="1"/>
  <c r="BH1035" i="1"/>
  <c r="BI1035" i="1" s="1"/>
  <c r="BK1035" i="1" s="1"/>
  <c r="BF1035" i="1"/>
  <c r="BG1035" i="1" s="1"/>
  <c r="BO1034" i="1"/>
  <c r="BH1034" i="1"/>
  <c r="BI1034" i="1" s="1"/>
  <c r="BK1034" i="1" s="1"/>
  <c r="BF1034" i="1"/>
  <c r="BG1034" i="1" s="1"/>
  <c r="BO1033" i="1"/>
  <c r="BH1033" i="1"/>
  <c r="BI1033" i="1" s="1"/>
  <c r="BK1033" i="1" s="1"/>
  <c r="BF1033" i="1"/>
  <c r="BG1033" i="1" s="1"/>
  <c r="BO1032" i="1"/>
  <c r="BH1032" i="1"/>
  <c r="BI1032" i="1" s="1"/>
  <c r="BK1032" i="1" s="1"/>
  <c r="BF1032" i="1"/>
  <c r="BG1032" i="1" s="1"/>
  <c r="BO1031" i="1"/>
  <c r="BH1031" i="1"/>
  <c r="BI1031" i="1" s="1"/>
  <c r="BK1031" i="1" s="1"/>
  <c r="BF1031" i="1"/>
  <c r="BG1031" i="1" s="1"/>
  <c r="BO1030" i="1"/>
  <c r="BH1030" i="1"/>
  <c r="BI1030" i="1" s="1"/>
  <c r="BK1030" i="1" s="1"/>
  <c r="BF1030" i="1"/>
  <c r="BG1030" i="1" s="1"/>
  <c r="BO1029" i="1"/>
  <c r="BH1029" i="1"/>
  <c r="BI1029" i="1" s="1"/>
  <c r="BK1029" i="1" s="1"/>
  <c r="BF1029" i="1"/>
  <c r="BG1029" i="1" s="1"/>
  <c r="BO1028" i="1"/>
  <c r="BH1028" i="1"/>
  <c r="BI1028" i="1" s="1"/>
  <c r="BK1028" i="1" s="1"/>
  <c r="BF1028" i="1"/>
  <c r="BG1028" i="1" s="1"/>
  <c r="BO1027" i="1"/>
  <c r="BH1027" i="1"/>
  <c r="BI1027" i="1" s="1"/>
  <c r="BK1027" i="1" s="1"/>
  <c r="BF1027" i="1"/>
  <c r="BG1027" i="1" s="1"/>
  <c r="BO1026" i="1"/>
  <c r="BH1026" i="1"/>
  <c r="BI1026" i="1" s="1"/>
  <c r="BK1026" i="1" s="1"/>
  <c r="BF1026" i="1"/>
  <c r="BG1026" i="1" s="1"/>
  <c r="BO1025" i="1"/>
  <c r="BH1025" i="1"/>
  <c r="BI1025" i="1" s="1"/>
  <c r="BK1025" i="1" s="1"/>
  <c r="BF1025" i="1"/>
  <c r="BG1025" i="1" s="1"/>
  <c r="BO1024" i="1"/>
  <c r="BH1024" i="1"/>
  <c r="BI1024" i="1" s="1"/>
  <c r="BK1024" i="1" s="1"/>
  <c r="BF1024" i="1"/>
  <c r="BG1024" i="1" s="1"/>
  <c r="BO1023" i="1"/>
  <c r="BH1023" i="1"/>
  <c r="BI1023" i="1" s="1"/>
  <c r="BK1023" i="1" s="1"/>
  <c r="BF1023" i="1"/>
  <c r="BG1023" i="1" s="1"/>
  <c r="BO1022" i="1"/>
  <c r="BH1022" i="1"/>
  <c r="BI1022" i="1" s="1"/>
  <c r="BK1022" i="1" s="1"/>
  <c r="BF1022" i="1"/>
  <c r="BG1022" i="1" s="1"/>
  <c r="BO1021" i="1"/>
  <c r="BH1021" i="1"/>
  <c r="BI1021" i="1" s="1"/>
  <c r="BK1021" i="1" s="1"/>
  <c r="BF1021" i="1"/>
  <c r="BG1021" i="1" s="1"/>
  <c r="BO1020" i="1"/>
  <c r="BH1020" i="1"/>
  <c r="BI1020" i="1" s="1"/>
  <c r="BK1020" i="1" s="1"/>
  <c r="BF1020" i="1"/>
  <c r="BG1020" i="1" s="1"/>
  <c r="BO1019" i="1"/>
  <c r="BH1019" i="1"/>
  <c r="BI1019" i="1" s="1"/>
  <c r="BK1019" i="1" s="1"/>
  <c r="BF1019" i="1"/>
  <c r="BG1019" i="1" s="1"/>
  <c r="BO1018" i="1"/>
  <c r="BH1018" i="1"/>
  <c r="BI1018" i="1" s="1"/>
  <c r="BK1018" i="1" s="1"/>
  <c r="BF1018" i="1"/>
  <c r="BG1018" i="1" s="1"/>
  <c r="BO1017" i="1"/>
  <c r="BH1017" i="1"/>
  <c r="BI1017" i="1" s="1"/>
  <c r="BK1017" i="1" s="1"/>
  <c r="BF1017" i="1"/>
  <c r="BG1017" i="1" s="1"/>
  <c r="BO1016" i="1"/>
  <c r="BH1016" i="1"/>
  <c r="BI1016" i="1" s="1"/>
  <c r="BK1016" i="1" s="1"/>
  <c r="BF1016" i="1"/>
  <c r="BG1016" i="1" s="1"/>
  <c r="BO1015" i="1"/>
  <c r="BH1015" i="1"/>
  <c r="BI1015" i="1" s="1"/>
  <c r="BK1015" i="1" s="1"/>
  <c r="BF1015" i="1"/>
  <c r="BG1015" i="1" s="1"/>
  <c r="BO1014" i="1"/>
  <c r="BH1014" i="1"/>
  <c r="BI1014" i="1" s="1"/>
  <c r="BK1014" i="1" s="1"/>
  <c r="BF1014" i="1"/>
  <c r="BG1014" i="1" s="1"/>
  <c r="BO1013" i="1"/>
  <c r="BH1013" i="1"/>
  <c r="BI1013" i="1" s="1"/>
  <c r="BK1013" i="1" s="1"/>
  <c r="BF1013" i="1"/>
  <c r="BG1013" i="1" s="1"/>
  <c r="BO1012" i="1"/>
  <c r="BH1012" i="1"/>
  <c r="BI1012" i="1" s="1"/>
  <c r="BK1012" i="1" s="1"/>
  <c r="BF1012" i="1"/>
  <c r="BG1012" i="1" s="1"/>
  <c r="BO1011" i="1"/>
  <c r="BH1011" i="1"/>
  <c r="BI1011" i="1" s="1"/>
  <c r="BK1011" i="1" s="1"/>
  <c r="BF1011" i="1"/>
  <c r="BG1011" i="1" s="1"/>
  <c r="BO1010" i="1"/>
  <c r="BH1010" i="1"/>
  <c r="BI1010" i="1" s="1"/>
  <c r="BK1010" i="1" s="1"/>
  <c r="BF1010" i="1"/>
  <c r="BG1010" i="1" s="1"/>
  <c r="BO1009" i="1"/>
  <c r="BH1009" i="1"/>
  <c r="BI1009" i="1" s="1"/>
  <c r="BK1009" i="1" s="1"/>
  <c r="BF1009" i="1"/>
  <c r="BG1009" i="1" s="1"/>
  <c r="AZ1035" i="1"/>
  <c r="AW1035" i="1"/>
  <c r="BB1035" i="1" s="1"/>
  <c r="AZ1034" i="1"/>
  <c r="AW1034" i="1"/>
  <c r="BB1034" i="1" s="1"/>
  <c r="AZ1033" i="1"/>
  <c r="AW1033" i="1"/>
  <c r="AY1033" i="1" s="1"/>
  <c r="AZ1032" i="1"/>
  <c r="AW1032" i="1"/>
  <c r="BB1032" i="1" s="1"/>
  <c r="AZ1031" i="1"/>
  <c r="AW1031" i="1"/>
  <c r="AY1031" i="1" s="1"/>
  <c r="AZ1030" i="1"/>
  <c r="AW1030" i="1"/>
  <c r="BB1030" i="1" s="1"/>
  <c r="AZ1029" i="1"/>
  <c r="AW1029" i="1"/>
  <c r="AY1029" i="1" s="1"/>
  <c r="AZ1028" i="1"/>
  <c r="AW1028" i="1"/>
  <c r="AY1028" i="1" s="1"/>
  <c r="AZ1027" i="1"/>
  <c r="AW1027" i="1"/>
  <c r="AY1027" i="1" s="1"/>
  <c r="AZ1026" i="1"/>
  <c r="AW1026" i="1"/>
  <c r="AY1026" i="1" s="1"/>
  <c r="AZ1025" i="1"/>
  <c r="AW1025" i="1"/>
  <c r="BB1025" i="1" s="1"/>
  <c r="AZ1024" i="1"/>
  <c r="AW1024" i="1"/>
  <c r="AY1024" i="1" s="1"/>
  <c r="AZ1023" i="1"/>
  <c r="AW1023" i="1"/>
  <c r="BB1023" i="1" s="1"/>
  <c r="AZ1022" i="1"/>
  <c r="AW1022" i="1"/>
  <c r="AY1022" i="1" s="1"/>
  <c r="AZ1021" i="1"/>
  <c r="AW1021" i="1"/>
  <c r="AO1021" i="1" s="1"/>
  <c r="AZ1020" i="1"/>
  <c r="AW1020" i="1"/>
  <c r="BB1020" i="1" s="1"/>
  <c r="AZ1019" i="1"/>
  <c r="AW1019" i="1"/>
  <c r="AY1019" i="1" s="1"/>
  <c r="AZ1018" i="1"/>
  <c r="AW1018" i="1"/>
  <c r="BB1018" i="1" s="1"/>
  <c r="AZ1017" i="1"/>
  <c r="AW1017" i="1"/>
  <c r="AY1017" i="1" s="1"/>
  <c r="AZ1016" i="1"/>
  <c r="AW1016" i="1"/>
  <c r="BB1016" i="1" s="1"/>
  <c r="AZ1015" i="1"/>
  <c r="AW1015" i="1"/>
  <c r="AO1015" i="1" s="1"/>
  <c r="AZ1014" i="1"/>
  <c r="AW1014" i="1"/>
  <c r="AY1014" i="1" s="1"/>
  <c r="AZ1013" i="1"/>
  <c r="AW1013" i="1"/>
  <c r="BB1013" i="1" s="1"/>
  <c r="AZ1012" i="1"/>
  <c r="AW1012" i="1"/>
  <c r="BB1012" i="1" s="1"/>
  <c r="AZ1011" i="1"/>
  <c r="AW1011" i="1"/>
  <c r="BB1011" i="1" s="1"/>
  <c r="AZ1010" i="1"/>
  <c r="AW1010" i="1"/>
  <c r="AO1010" i="1" s="1"/>
  <c r="AZ1009" i="1"/>
  <c r="AW1009" i="1"/>
  <c r="AO1009" i="1" s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O1027" i="1" l="1"/>
  <c r="BM1027" i="1" s="1"/>
  <c r="BM1021" i="1"/>
  <c r="BA1017" i="1"/>
  <c r="BA1033" i="1"/>
  <c r="BA1019" i="1"/>
  <c r="BA1031" i="1"/>
  <c r="AO1018" i="1"/>
  <c r="AR1018" i="1" s="1"/>
  <c r="AS1018" i="1" s="1"/>
  <c r="BA1014" i="1"/>
  <c r="AO1023" i="1"/>
  <c r="BM1023" i="1" s="1"/>
  <c r="BA1026" i="1"/>
  <c r="AO1013" i="1"/>
  <c r="AR1013" i="1" s="1"/>
  <c r="BB1019" i="1"/>
  <c r="BA1022" i="1"/>
  <c r="BA1028" i="1"/>
  <c r="AO1032" i="1"/>
  <c r="BM1032" i="1" s="1"/>
  <c r="BB1028" i="1"/>
  <c r="AY1009" i="1"/>
  <c r="BA1009" i="1" s="1"/>
  <c r="BB1009" i="1"/>
  <c r="AO1016" i="1"/>
  <c r="BM1016" i="1" s="1"/>
  <c r="BA1029" i="1"/>
  <c r="AR1009" i="1"/>
  <c r="AS1009" i="1" s="1"/>
  <c r="BA1024" i="1"/>
  <c r="AO1031" i="1"/>
  <c r="BM1031" i="1" s="1"/>
  <c r="BM1015" i="1"/>
  <c r="BB1031" i="1"/>
  <c r="AO1014" i="1"/>
  <c r="AR1014" i="1" s="1"/>
  <c r="AS1014" i="1" s="1"/>
  <c r="AO1017" i="1"/>
  <c r="AR1017" i="1" s="1"/>
  <c r="AO1026" i="1"/>
  <c r="BM1026" i="1" s="1"/>
  <c r="BM1010" i="1"/>
  <c r="AO1035" i="1"/>
  <c r="BM1035" i="1" s="1"/>
  <c r="AY1016" i="1"/>
  <c r="BA1016" i="1" s="1"/>
  <c r="AO1033" i="1"/>
  <c r="AR1033" i="1" s="1"/>
  <c r="BB1033" i="1"/>
  <c r="AY1021" i="1"/>
  <c r="BA1021" i="1" s="1"/>
  <c r="AO1019" i="1"/>
  <c r="BM1019" i="1" s="1"/>
  <c r="BB1026" i="1"/>
  <c r="AO1028" i="1"/>
  <c r="BM1028" i="1" s="1"/>
  <c r="BB1021" i="1"/>
  <c r="BA1027" i="1"/>
  <c r="AO1022" i="1"/>
  <c r="AR1022" i="1" s="1"/>
  <c r="BB1014" i="1"/>
  <c r="BM1009" i="1"/>
  <c r="AY1012" i="1"/>
  <c r="BA1012" i="1" s="1"/>
  <c r="AO1012" i="1"/>
  <c r="AY1010" i="1"/>
  <c r="BA1010" i="1" s="1"/>
  <c r="AY1034" i="1"/>
  <c r="BA1034" i="1" s="1"/>
  <c r="AY1015" i="1"/>
  <c r="BA1015" i="1" s="1"/>
  <c r="BB1024" i="1"/>
  <c r="AO1029" i="1"/>
  <c r="AR1029" i="1" s="1"/>
  <c r="BB1017" i="1"/>
  <c r="AY1020" i="1"/>
  <c r="BA1020" i="1" s="1"/>
  <c r="BB1029" i="1"/>
  <c r="AY1032" i="1"/>
  <c r="BA1032" i="1" s="1"/>
  <c r="AO1024" i="1"/>
  <c r="AR1024" i="1" s="1"/>
  <c r="BB1010" i="1"/>
  <c r="BB1022" i="1"/>
  <c r="BB1015" i="1"/>
  <c r="AY1018" i="1"/>
  <c r="BA1018" i="1" s="1"/>
  <c r="BB1027" i="1"/>
  <c r="AY1030" i="1"/>
  <c r="BA1030" i="1" s="1"/>
  <c r="AR1010" i="1"/>
  <c r="AR1015" i="1"/>
  <c r="AO1020" i="1"/>
  <c r="AR1020" i="1" s="1"/>
  <c r="AO1025" i="1"/>
  <c r="AR1025" i="1" s="1"/>
  <c r="AO1030" i="1"/>
  <c r="BM1030" i="1" s="1"/>
  <c r="AY1011" i="1"/>
  <c r="BA1011" i="1" s="1"/>
  <c r="AY1023" i="1"/>
  <c r="BA1023" i="1" s="1"/>
  <c r="AY1035" i="1"/>
  <c r="BA1035" i="1" s="1"/>
  <c r="AO1034" i="1"/>
  <c r="AR1034" i="1" s="1"/>
  <c r="AY1013" i="1"/>
  <c r="BA1013" i="1" s="1"/>
  <c r="AY1025" i="1"/>
  <c r="BA1025" i="1" s="1"/>
  <c r="AR1021" i="1"/>
  <c r="AO1011" i="1"/>
  <c r="AP1003" i="1"/>
  <c r="AR1027" i="1" l="1"/>
  <c r="AS1027" i="1" s="1"/>
  <c r="AR1031" i="1"/>
  <c r="AS1031" i="1" s="1"/>
  <c r="BM1018" i="1"/>
  <c r="AR1026" i="1"/>
  <c r="AS1026" i="1" s="1"/>
  <c r="AS1013" i="1"/>
  <c r="BP1013" i="1"/>
  <c r="BM1013" i="1"/>
  <c r="AR1023" i="1"/>
  <c r="AS1023" i="1" s="1"/>
  <c r="BP1014" i="1"/>
  <c r="BM1034" i="1"/>
  <c r="BM1033" i="1"/>
  <c r="AR1032" i="1"/>
  <c r="AS1032" i="1" s="1"/>
  <c r="BM1014" i="1"/>
  <c r="AR1035" i="1"/>
  <c r="BP1035" i="1" s="1"/>
  <c r="BP1009" i="1"/>
  <c r="BM1017" i="1"/>
  <c r="AR1019" i="1"/>
  <c r="AS1019" i="1" s="1"/>
  <c r="AR1016" i="1"/>
  <c r="AS1016" i="1" s="1"/>
  <c r="BM1024" i="1"/>
  <c r="BP1018" i="1"/>
  <c r="AR1028" i="1"/>
  <c r="AS1028" i="1" s="1"/>
  <c r="BM1025" i="1"/>
  <c r="BM1020" i="1"/>
  <c r="AS1022" i="1"/>
  <c r="BP1022" i="1"/>
  <c r="AS1015" i="1"/>
  <c r="BP1015" i="1"/>
  <c r="AS1021" i="1"/>
  <c r="BP1021" i="1"/>
  <c r="AR1012" i="1"/>
  <c r="BM1012" i="1"/>
  <c r="BM1022" i="1"/>
  <c r="AS1033" i="1"/>
  <c r="BP1033" i="1"/>
  <c r="AS1017" i="1"/>
  <c r="BP1017" i="1"/>
  <c r="AS1025" i="1"/>
  <c r="BP1025" i="1"/>
  <c r="AR1011" i="1"/>
  <c r="BM1011" i="1"/>
  <c r="AS1010" i="1"/>
  <c r="BP1010" i="1"/>
  <c r="AS1029" i="1"/>
  <c r="BP1029" i="1"/>
  <c r="AR1030" i="1"/>
  <c r="BM1029" i="1"/>
  <c r="AS1034" i="1"/>
  <c r="BP1034" i="1"/>
  <c r="AS1024" i="1"/>
  <c r="BP1024" i="1"/>
  <c r="AS1020" i="1"/>
  <c r="BP1020" i="1"/>
  <c r="AM1008" i="1"/>
  <c r="AL1008" i="1"/>
  <c r="AM1007" i="1"/>
  <c r="AL1007" i="1"/>
  <c r="AM1006" i="1"/>
  <c r="AM1005" i="1"/>
  <c r="AL1005" i="1"/>
  <c r="AM1004" i="1"/>
  <c r="AL1004" i="1"/>
  <c r="AN1003" i="1"/>
  <c r="AL1003" i="1"/>
  <c r="Y1003" i="1"/>
  <c r="AM1003" i="1" s="1"/>
  <c r="BP1027" i="1" l="1"/>
  <c r="BP1031" i="1"/>
  <c r="BP1032" i="1"/>
  <c r="AS1035" i="1"/>
  <c r="BP1028" i="1"/>
  <c r="BP1026" i="1"/>
  <c r="BP1023" i="1"/>
  <c r="BP1019" i="1"/>
  <c r="BP1016" i="1"/>
  <c r="AS1012" i="1"/>
  <c r="BP1012" i="1"/>
  <c r="AS1011" i="1"/>
  <c r="BP1011" i="1"/>
  <c r="AS1030" i="1"/>
  <c r="BP1030" i="1"/>
  <c r="AM1000" i="1"/>
  <c r="AQ1002" i="1" l="1"/>
  <c r="AN1002" i="1" l="1"/>
  <c r="AM1002" i="1"/>
  <c r="AL1002" i="1" l="1"/>
  <c r="AM1001" i="1"/>
  <c r="AL1001" i="1"/>
  <c r="AP1000" i="1" l="1"/>
  <c r="AN1000" i="1"/>
  <c r="AL1000" i="1"/>
  <c r="AP996" i="1" l="1"/>
  <c r="AP994" i="1"/>
  <c r="AN999" i="1" l="1"/>
  <c r="AM999" i="1"/>
  <c r="AL999" i="1"/>
  <c r="Y998" i="1"/>
  <c r="AM998" i="1" s="1"/>
  <c r="AN998" i="1"/>
  <c r="AL998" i="1"/>
  <c r="AN997" i="1"/>
  <c r="AM997" i="1"/>
  <c r="AL997" i="1"/>
  <c r="X995" i="1"/>
  <c r="AP995" i="1" s="1"/>
  <c r="AM996" i="1"/>
  <c r="AL996" i="1"/>
  <c r="Y995" i="1"/>
  <c r="AM995" i="1" s="1"/>
  <c r="AM994" i="1"/>
  <c r="AL994" i="1"/>
  <c r="BO1008" i="1" l="1"/>
  <c r="BH1008" i="1"/>
  <c r="BI1008" i="1" s="1"/>
  <c r="BK1008" i="1" s="1"/>
  <c r="BF1008" i="1"/>
  <c r="BG1008" i="1" s="1"/>
  <c r="BO1007" i="1"/>
  <c r="BH1007" i="1"/>
  <c r="BI1007" i="1" s="1"/>
  <c r="BK1007" i="1" s="1"/>
  <c r="BF1007" i="1"/>
  <c r="BG1007" i="1" s="1"/>
  <c r="BO1006" i="1"/>
  <c r="BH1006" i="1"/>
  <c r="BI1006" i="1" s="1"/>
  <c r="BK1006" i="1" s="1"/>
  <c r="BF1006" i="1"/>
  <c r="BG1006" i="1" s="1"/>
  <c r="BO1005" i="1"/>
  <c r="BH1005" i="1"/>
  <c r="BI1005" i="1" s="1"/>
  <c r="BK1005" i="1" s="1"/>
  <c r="BF1005" i="1"/>
  <c r="BG1005" i="1" s="1"/>
  <c r="BO1004" i="1"/>
  <c r="BH1004" i="1"/>
  <c r="BI1004" i="1" s="1"/>
  <c r="BK1004" i="1" s="1"/>
  <c r="BF1004" i="1"/>
  <c r="BG1004" i="1" s="1"/>
  <c r="BO1003" i="1"/>
  <c r="BH1003" i="1"/>
  <c r="BI1003" i="1" s="1"/>
  <c r="BK1003" i="1" s="1"/>
  <c r="BF1003" i="1"/>
  <c r="BG1003" i="1" s="1"/>
  <c r="BO1002" i="1"/>
  <c r="BH1002" i="1"/>
  <c r="BI1002" i="1" s="1"/>
  <c r="BK1002" i="1" s="1"/>
  <c r="BF1002" i="1"/>
  <c r="BG1002" i="1" s="1"/>
  <c r="BO1001" i="1"/>
  <c r="BH1001" i="1"/>
  <c r="BI1001" i="1" s="1"/>
  <c r="BK1001" i="1" s="1"/>
  <c r="BF1001" i="1"/>
  <c r="BG1001" i="1" s="1"/>
  <c r="BO1000" i="1"/>
  <c r="BH1000" i="1"/>
  <c r="BI1000" i="1" s="1"/>
  <c r="BK1000" i="1" s="1"/>
  <c r="BF1000" i="1"/>
  <c r="BG1000" i="1" s="1"/>
  <c r="BO999" i="1"/>
  <c r="BH999" i="1"/>
  <c r="BI999" i="1" s="1"/>
  <c r="BK999" i="1" s="1"/>
  <c r="BF999" i="1"/>
  <c r="BG999" i="1" s="1"/>
  <c r="BO998" i="1"/>
  <c r="BH998" i="1"/>
  <c r="BI998" i="1" s="1"/>
  <c r="BK998" i="1" s="1"/>
  <c r="BF998" i="1"/>
  <c r="BG998" i="1" s="1"/>
  <c r="BO997" i="1"/>
  <c r="BH997" i="1"/>
  <c r="BI997" i="1" s="1"/>
  <c r="BK997" i="1" s="1"/>
  <c r="BF997" i="1"/>
  <c r="BG997" i="1" s="1"/>
  <c r="BO996" i="1"/>
  <c r="BH996" i="1"/>
  <c r="BI996" i="1" s="1"/>
  <c r="BK996" i="1" s="1"/>
  <c r="BF996" i="1"/>
  <c r="BG996" i="1" s="1"/>
  <c r="BO995" i="1"/>
  <c r="BH995" i="1"/>
  <c r="BI995" i="1" s="1"/>
  <c r="BK995" i="1" s="1"/>
  <c r="BF995" i="1"/>
  <c r="BG995" i="1" s="1"/>
  <c r="BO994" i="1"/>
  <c r="BH994" i="1"/>
  <c r="BI994" i="1" s="1"/>
  <c r="BK994" i="1" s="1"/>
  <c r="BF994" i="1"/>
  <c r="BG994" i="1" s="1"/>
  <c r="AZ1008" i="1"/>
  <c r="AW1008" i="1"/>
  <c r="BB1008" i="1" s="1"/>
  <c r="AK1008" i="1"/>
  <c r="AZ1007" i="1"/>
  <c r="AW1007" i="1"/>
  <c r="AY1007" i="1" s="1"/>
  <c r="AK1007" i="1"/>
  <c r="AZ1006" i="1"/>
  <c r="AW1006" i="1"/>
  <c r="AO1006" i="1" s="1"/>
  <c r="AK1006" i="1"/>
  <c r="AZ1005" i="1"/>
  <c r="AW1005" i="1"/>
  <c r="BB1005" i="1" s="1"/>
  <c r="AK1005" i="1"/>
  <c r="AZ1004" i="1"/>
  <c r="AW1004" i="1"/>
  <c r="BB1004" i="1" s="1"/>
  <c r="AK1004" i="1"/>
  <c r="AZ1003" i="1"/>
  <c r="AW1003" i="1"/>
  <c r="AY1003" i="1" s="1"/>
  <c r="AK1003" i="1"/>
  <c r="AZ1002" i="1"/>
  <c r="AW1002" i="1"/>
  <c r="AO1002" i="1" s="1"/>
  <c r="AK1002" i="1"/>
  <c r="AZ1001" i="1"/>
  <c r="AW1001" i="1"/>
  <c r="BB1001" i="1" s="1"/>
  <c r="AK1001" i="1"/>
  <c r="AZ1000" i="1"/>
  <c r="AW1000" i="1"/>
  <c r="BB1000" i="1" s="1"/>
  <c r="AK1000" i="1"/>
  <c r="AZ999" i="1"/>
  <c r="AW999" i="1"/>
  <c r="AY999" i="1" s="1"/>
  <c r="AK999" i="1"/>
  <c r="AZ998" i="1"/>
  <c r="AW998" i="1"/>
  <c r="AO998" i="1" s="1"/>
  <c r="AK998" i="1"/>
  <c r="AZ997" i="1"/>
  <c r="AW997" i="1"/>
  <c r="BB997" i="1" s="1"/>
  <c r="AK997" i="1"/>
  <c r="AZ996" i="1"/>
  <c r="AW996" i="1"/>
  <c r="BB996" i="1" s="1"/>
  <c r="AK996" i="1"/>
  <c r="AZ995" i="1"/>
  <c r="AW995" i="1"/>
  <c r="AY995" i="1" s="1"/>
  <c r="AK995" i="1"/>
  <c r="AZ994" i="1"/>
  <c r="AW994" i="1"/>
  <c r="BB994" i="1" s="1"/>
  <c r="AK994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O995" i="1" l="1"/>
  <c r="AR995" i="1" s="1"/>
  <c r="AO1000" i="1"/>
  <c r="BM1000" i="1" s="1"/>
  <c r="AR1002" i="1"/>
  <c r="AS1002" i="1" s="1"/>
  <c r="BM1005" i="1"/>
  <c r="AO999" i="1"/>
  <c r="AR999" i="1" s="1"/>
  <c r="BA1003" i="1"/>
  <c r="AO1007" i="1"/>
  <c r="AR1007" i="1" s="1"/>
  <c r="AO1004" i="1"/>
  <c r="AR1004" i="1" s="1"/>
  <c r="BA1007" i="1"/>
  <c r="BB1003" i="1"/>
  <c r="AR998" i="1"/>
  <c r="AS998" i="1" s="1"/>
  <c r="AO1001" i="1"/>
  <c r="AR1001" i="1" s="1"/>
  <c r="BM1002" i="1"/>
  <c r="AO1008" i="1"/>
  <c r="AR1008" i="1" s="1"/>
  <c r="BA995" i="1"/>
  <c r="AO996" i="1"/>
  <c r="AR996" i="1" s="1"/>
  <c r="AS996" i="1" s="1"/>
  <c r="BA999" i="1"/>
  <c r="AO1003" i="1"/>
  <c r="AR1003" i="1" s="1"/>
  <c r="AR1006" i="1"/>
  <c r="AO994" i="1"/>
  <c r="BM994" i="1" s="1"/>
  <c r="AO997" i="1"/>
  <c r="BM997" i="1" s="1"/>
  <c r="BB995" i="1"/>
  <c r="BM998" i="1"/>
  <c r="BB999" i="1"/>
  <c r="BB1007" i="1"/>
  <c r="BM1006" i="1"/>
  <c r="AY1002" i="1"/>
  <c r="BA1002" i="1" s="1"/>
  <c r="AY1006" i="1"/>
  <c r="BA1006" i="1" s="1"/>
  <c r="BB998" i="1"/>
  <c r="BB1002" i="1"/>
  <c r="BB1006" i="1"/>
  <c r="AY998" i="1"/>
  <c r="BA998" i="1" s="1"/>
  <c r="AY997" i="1"/>
  <c r="BA997" i="1" s="1"/>
  <c r="AY1001" i="1"/>
  <c r="BA1001" i="1" s="1"/>
  <c r="AY1005" i="1"/>
  <c r="BA1005" i="1" s="1"/>
  <c r="AY996" i="1"/>
  <c r="BA996" i="1" s="1"/>
  <c r="AY1000" i="1"/>
  <c r="BA1000" i="1" s="1"/>
  <c r="AY1004" i="1"/>
  <c r="BA1004" i="1" s="1"/>
  <c r="AY1008" i="1"/>
  <c r="BA1008" i="1" s="1"/>
  <c r="AY994" i="1"/>
  <c r="BA994" i="1" s="1"/>
  <c r="AP992" i="1"/>
  <c r="AP991" i="1"/>
  <c r="AR1000" i="1" l="1"/>
  <c r="BP1000" i="1" s="1"/>
  <c r="BM995" i="1"/>
  <c r="BP1002" i="1"/>
  <c r="BM1007" i="1"/>
  <c r="BM1004" i="1"/>
  <c r="AR1005" i="1"/>
  <c r="AS1005" i="1" s="1"/>
  <c r="BM999" i="1"/>
  <c r="AS999" i="1"/>
  <c r="BP999" i="1"/>
  <c r="BM1001" i="1"/>
  <c r="AS1004" i="1"/>
  <c r="BP1004" i="1"/>
  <c r="BM1008" i="1"/>
  <c r="BP998" i="1"/>
  <c r="AR994" i="1"/>
  <c r="AS994" i="1" s="1"/>
  <c r="AS1008" i="1"/>
  <c r="BP1008" i="1"/>
  <c r="AS1001" i="1"/>
  <c r="BP1001" i="1"/>
  <c r="BM996" i="1"/>
  <c r="BM1003" i="1"/>
  <c r="BP996" i="1"/>
  <c r="AS1003" i="1"/>
  <c r="BP1003" i="1"/>
  <c r="AS1006" i="1"/>
  <c r="BP1006" i="1"/>
  <c r="AR997" i="1"/>
  <c r="AS1007" i="1"/>
  <c r="BP1007" i="1"/>
  <c r="AS995" i="1"/>
  <c r="BP995" i="1"/>
  <c r="AL993" i="1"/>
  <c r="AN992" i="1"/>
  <c r="AL992" i="1"/>
  <c r="Y991" i="1"/>
  <c r="AN991" i="1"/>
  <c r="AL991" i="1"/>
  <c r="AL990" i="1"/>
  <c r="Y990" i="1"/>
  <c r="AL989" i="1"/>
  <c r="AS1000" i="1" l="1"/>
  <c r="BP1005" i="1"/>
  <c r="BP994" i="1"/>
  <c r="AS997" i="1"/>
  <c r="BP997" i="1"/>
  <c r="CC973" i="1"/>
  <c r="CD973" i="1" s="1"/>
  <c r="AM986" i="1" l="1"/>
  <c r="AL988" i="1"/>
  <c r="AN987" i="1"/>
  <c r="AL987" i="1"/>
  <c r="AN986" i="1"/>
  <c r="AL986" i="1"/>
  <c r="AL985" i="1"/>
  <c r="AN984" i="1"/>
  <c r="AL984" i="1"/>
  <c r="BO993" i="1" l="1"/>
  <c r="BH993" i="1"/>
  <c r="BI993" i="1" s="1"/>
  <c r="BK993" i="1" s="1"/>
  <c r="BF993" i="1"/>
  <c r="BG993" i="1" s="1"/>
  <c r="BO992" i="1"/>
  <c r="BH992" i="1"/>
  <c r="BI992" i="1" s="1"/>
  <c r="BK992" i="1" s="1"/>
  <c r="BF992" i="1"/>
  <c r="BG992" i="1" s="1"/>
  <c r="BO991" i="1"/>
  <c r="BH991" i="1"/>
  <c r="BI991" i="1" s="1"/>
  <c r="BK991" i="1" s="1"/>
  <c r="BF991" i="1"/>
  <c r="BG991" i="1" s="1"/>
  <c r="BO990" i="1"/>
  <c r="BH990" i="1"/>
  <c r="BI990" i="1" s="1"/>
  <c r="BK990" i="1" s="1"/>
  <c r="BF990" i="1"/>
  <c r="BG990" i="1" s="1"/>
  <c r="BO989" i="1"/>
  <c r="BH989" i="1"/>
  <c r="BI989" i="1" s="1"/>
  <c r="BK989" i="1" s="1"/>
  <c r="BF989" i="1"/>
  <c r="BG989" i="1" s="1"/>
  <c r="BO988" i="1"/>
  <c r="BH988" i="1"/>
  <c r="BI988" i="1" s="1"/>
  <c r="BK988" i="1" s="1"/>
  <c r="BF988" i="1"/>
  <c r="BG988" i="1" s="1"/>
  <c r="BO987" i="1"/>
  <c r="BH987" i="1"/>
  <c r="BI987" i="1" s="1"/>
  <c r="BK987" i="1" s="1"/>
  <c r="BF987" i="1"/>
  <c r="BG987" i="1" s="1"/>
  <c r="BO986" i="1"/>
  <c r="BH986" i="1"/>
  <c r="BI986" i="1" s="1"/>
  <c r="BK986" i="1" s="1"/>
  <c r="BF986" i="1"/>
  <c r="BG986" i="1" s="1"/>
  <c r="BO985" i="1"/>
  <c r="BH985" i="1"/>
  <c r="BI985" i="1" s="1"/>
  <c r="BK985" i="1" s="1"/>
  <c r="BF985" i="1"/>
  <c r="BG985" i="1" s="1"/>
  <c r="BO984" i="1"/>
  <c r="BH984" i="1"/>
  <c r="BI984" i="1" s="1"/>
  <c r="BK984" i="1" s="1"/>
  <c r="BF984" i="1"/>
  <c r="BG984" i="1" s="1"/>
  <c r="AZ993" i="1"/>
  <c r="AW993" i="1"/>
  <c r="BB993" i="1" s="1"/>
  <c r="AZ992" i="1"/>
  <c r="AW992" i="1"/>
  <c r="AO992" i="1" s="1"/>
  <c r="AZ991" i="1"/>
  <c r="AW991" i="1"/>
  <c r="AY991" i="1" s="1"/>
  <c r="AZ990" i="1"/>
  <c r="AW990" i="1"/>
  <c r="AZ989" i="1"/>
  <c r="AW989" i="1"/>
  <c r="BB989" i="1" s="1"/>
  <c r="AZ988" i="1"/>
  <c r="AW988" i="1"/>
  <c r="BB988" i="1" s="1"/>
  <c r="AZ987" i="1"/>
  <c r="AW987" i="1"/>
  <c r="AO987" i="1" s="1"/>
  <c r="AZ986" i="1"/>
  <c r="AW986" i="1"/>
  <c r="AY986" i="1" s="1"/>
  <c r="AZ985" i="1"/>
  <c r="AW985" i="1"/>
  <c r="BB985" i="1" s="1"/>
  <c r="AZ984" i="1"/>
  <c r="AW984" i="1"/>
  <c r="AY984" i="1" s="1"/>
  <c r="AM993" i="1"/>
  <c r="AK993" i="1"/>
  <c r="AM992" i="1"/>
  <c r="AK992" i="1"/>
  <c r="AM991" i="1"/>
  <c r="AK991" i="1"/>
  <c r="AM990" i="1"/>
  <c r="AK990" i="1"/>
  <c r="AM989" i="1"/>
  <c r="AK989" i="1"/>
  <c r="AM988" i="1"/>
  <c r="AK988" i="1"/>
  <c r="AM987" i="1"/>
  <c r="AK987" i="1"/>
  <c r="AK986" i="1"/>
  <c r="AM985" i="1"/>
  <c r="AK985" i="1"/>
  <c r="AM984" i="1"/>
  <c r="AK984" i="1"/>
  <c r="AD993" i="1"/>
  <c r="AD992" i="1"/>
  <c r="AD991" i="1"/>
  <c r="AD990" i="1"/>
  <c r="AD989" i="1"/>
  <c r="AD988" i="1"/>
  <c r="AD987" i="1"/>
  <c r="AD986" i="1"/>
  <c r="AD985" i="1"/>
  <c r="AD984" i="1"/>
  <c r="BA986" i="1" l="1"/>
  <c r="BB990" i="1"/>
  <c r="AO990" i="1"/>
  <c r="BM990" i="1" s="1"/>
  <c r="BA984" i="1"/>
  <c r="BM992" i="1"/>
  <c r="AO988" i="1"/>
  <c r="BM988" i="1" s="1"/>
  <c r="AO986" i="1"/>
  <c r="BM986" i="1" s="1"/>
  <c r="BM987" i="1"/>
  <c r="AO984" i="1"/>
  <c r="BM984" i="1" s="1"/>
  <c r="BA991" i="1"/>
  <c r="AO991" i="1"/>
  <c r="BM991" i="1" s="1"/>
  <c r="BB986" i="1"/>
  <c r="AO989" i="1"/>
  <c r="BM989" i="1" s="1"/>
  <c r="AY989" i="1"/>
  <c r="BA989" i="1" s="1"/>
  <c r="BB991" i="1"/>
  <c r="BB984" i="1"/>
  <c r="AY985" i="1"/>
  <c r="BA985" i="1" s="1"/>
  <c r="BB987" i="1"/>
  <c r="AY990" i="1"/>
  <c r="BA990" i="1" s="1"/>
  <c r="AY988" i="1"/>
  <c r="BA988" i="1" s="1"/>
  <c r="AY993" i="1"/>
  <c r="BA993" i="1" s="1"/>
  <c r="AO985" i="1"/>
  <c r="BM985" i="1" s="1"/>
  <c r="AO993" i="1"/>
  <c r="AR993" i="1" s="1"/>
  <c r="BB992" i="1"/>
  <c r="AR987" i="1"/>
  <c r="AY987" i="1"/>
  <c r="BA987" i="1" s="1"/>
  <c r="AY992" i="1"/>
  <c r="BA992" i="1" s="1"/>
  <c r="AR992" i="1"/>
  <c r="AL983" i="1"/>
  <c r="AL982" i="1"/>
  <c r="AQ981" i="1"/>
  <c r="AL981" i="1"/>
  <c r="AL980" i="1"/>
  <c r="AN979" i="1"/>
  <c r="AL979" i="1"/>
  <c r="AN978" i="1"/>
  <c r="AL978" i="1"/>
  <c r="AN977" i="1"/>
  <c r="AL977" i="1"/>
  <c r="AL976" i="1"/>
  <c r="Y975" i="1"/>
  <c r="AN975" i="1"/>
  <c r="AL975" i="1"/>
  <c r="AR990" i="1" l="1"/>
  <c r="AS990" i="1" s="1"/>
  <c r="AR986" i="1"/>
  <c r="BP986" i="1" s="1"/>
  <c r="AR991" i="1"/>
  <c r="AS991" i="1" s="1"/>
  <c r="AR984" i="1"/>
  <c r="BP984" i="1" s="1"/>
  <c r="AR988" i="1"/>
  <c r="AS987" i="1"/>
  <c r="BP987" i="1"/>
  <c r="AR989" i="1"/>
  <c r="AR985" i="1"/>
  <c r="AS992" i="1"/>
  <c r="BP992" i="1"/>
  <c r="AS993" i="1"/>
  <c r="BP993" i="1"/>
  <c r="BM993" i="1"/>
  <c r="Y962" i="1"/>
  <c r="BO983" i="1"/>
  <c r="BH983" i="1"/>
  <c r="BI983" i="1" s="1"/>
  <c r="BK983" i="1" s="1"/>
  <c r="BF983" i="1"/>
  <c r="BG983" i="1" s="1"/>
  <c r="AZ983" i="1"/>
  <c r="AW983" i="1"/>
  <c r="AY983" i="1" s="1"/>
  <c r="AM983" i="1"/>
  <c r="AK983" i="1"/>
  <c r="AD983" i="1"/>
  <c r="BO982" i="1"/>
  <c r="BH982" i="1"/>
  <c r="BI982" i="1" s="1"/>
  <c r="BK982" i="1" s="1"/>
  <c r="BF982" i="1"/>
  <c r="BG982" i="1" s="1"/>
  <c r="AZ982" i="1"/>
  <c r="AW982" i="1"/>
  <c r="BB982" i="1" s="1"/>
  <c r="AM982" i="1"/>
  <c r="AK982" i="1"/>
  <c r="AD982" i="1"/>
  <c r="BO981" i="1"/>
  <c r="BH981" i="1"/>
  <c r="BI981" i="1" s="1"/>
  <c r="BK981" i="1" s="1"/>
  <c r="BF981" i="1"/>
  <c r="BG981" i="1" s="1"/>
  <c r="AZ981" i="1"/>
  <c r="AW981" i="1"/>
  <c r="AY981" i="1" s="1"/>
  <c r="AM981" i="1"/>
  <c r="AK981" i="1"/>
  <c r="AD981" i="1"/>
  <c r="BO980" i="1"/>
  <c r="BH980" i="1"/>
  <c r="BI980" i="1" s="1"/>
  <c r="BK980" i="1" s="1"/>
  <c r="BF980" i="1"/>
  <c r="BG980" i="1" s="1"/>
  <c r="AZ980" i="1"/>
  <c r="AW980" i="1"/>
  <c r="BB980" i="1" s="1"/>
  <c r="AM980" i="1"/>
  <c r="AK980" i="1"/>
  <c r="AD980" i="1"/>
  <c r="BO979" i="1"/>
  <c r="BH979" i="1"/>
  <c r="BI979" i="1" s="1"/>
  <c r="BK979" i="1" s="1"/>
  <c r="BF979" i="1"/>
  <c r="BG979" i="1" s="1"/>
  <c r="AZ979" i="1"/>
  <c r="AW979" i="1"/>
  <c r="AY979" i="1" s="1"/>
  <c r="AM979" i="1"/>
  <c r="AK979" i="1"/>
  <c r="AD979" i="1"/>
  <c r="BO978" i="1"/>
  <c r="BH978" i="1"/>
  <c r="BI978" i="1" s="1"/>
  <c r="BK978" i="1" s="1"/>
  <c r="BF978" i="1"/>
  <c r="BG978" i="1" s="1"/>
  <c r="AZ978" i="1"/>
  <c r="AW978" i="1"/>
  <c r="AO978" i="1" s="1"/>
  <c r="AM978" i="1"/>
  <c r="AK978" i="1"/>
  <c r="AD978" i="1"/>
  <c r="BO977" i="1"/>
  <c r="BH977" i="1"/>
  <c r="BI977" i="1" s="1"/>
  <c r="BK977" i="1" s="1"/>
  <c r="BF977" i="1"/>
  <c r="BG977" i="1" s="1"/>
  <c r="AZ977" i="1"/>
  <c r="AW977" i="1"/>
  <c r="BB977" i="1" s="1"/>
  <c r="AM977" i="1"/>
  <c r="AK977" i="1"/>
  <c r="AD977" i="1"/>
  <c r="BO976" i="1"/>
  <c r="BH976" i="1"/>
  <c r="BI976" i="1" s="1"/>
  <c r="BK976" i="1" s="1"/>
  <c r="BF976" i="1"/>
  <c r="BG976" i="1" s="1"/>
  <c r="AZ976" i="1"/>
  <c r="AW976" i="1"/>
  <c r="BB976" i="1" s="1"/>
  <c r="AM976" i="1"/>
  <c r="AK976" i="1"/>
  <c r="AD976" i="1"/>
  <c r="BO975" i="1"/>
  <c r="BH975" i="1"/>
  <c r="BI975" i="1" s="1"/>
  <c r="BK975" i="1" s="1"/>
  <c r="BF975" i="1"/>
  <c r="BG975" i="1" s="1"/>
  <c r="AZ975" i="1"/>
  <c r="AW975" i="1"/>
  <c r="BB975" i="1" s="1"/>
  <c r="AM975" i="1"/>
  <c r="AK975" i="1"/>
  <c r="AD975" i="1"/>
  <c r="BH974" i="1"/>
  <c r="BI974" i="1" s="1"/>
  <c r="BK974" i="1" s="1"/>
  <c r="AT974" i="1" s="1"/>
  <c r="BF974" i="1"/>
  <c r="BG974" i="1" s="1"/>
  <c r="AZ974" i="1"/>
  <c r="AW974" i="1"/>
  <c r="AY974" i="1" s="1"/>
  <c r="AN974" i="1"/>
  <c r="AM974" i="1"/>
  <c r="AL974" i="1"/>
  <c r="AK974" i="1"/>
  <c r="AD974" i="1"/>
  <c r="BH973" i="1"/>
  <c r="BI973" i="1" s="1"/>
  <c r="BK973" i="1" s="1"/>
  <c r="AT973" i="1" s="1"/>
  <c r="BF973" i="1"/>
  <c r="BG973" i="1" s="1"/>
  <c r="AZ973" i="1"/>
  <c r="AW973" i="1"/>
  <c r="AY973" i="1" s="1"/>
  <c r="AN973" i="1"/>
  <c r="AM973" i="1"/>
  <c r="AL973" i="1"/>
  <c r="AK973" i="1"/>
  <c r="AD973" i="1"/>
  <c r="BP990" i="1" l="1"/>
  <c r="AS986" i="1"/>
  <c r="AS984" i="1"/>
  <c r="BP991" i="1"/>
  <c r="BA983" i="1"/>
  <c r="AS988" i="1"/>
  <c r="BP988" i="1"/>
  <c r="AS985" i="1"/>
  <c r="BP985" i="1"/>
  <c r="AS989" i="1"/>
  <c r="BP989" i="1"/>
  <c r="AO977" i="1"/>
  <c r="AR977" i="1" s="1"/>
  <c r="BA973" i="1"/>
  <c r="AO982" i="1"/>
  <c r="AR982" i="1" s="1"/>
  <c r="AO981" i="1"/>
  <c r="AR981" i="1" s="1"/>
  <c r="AO980" i="1"/>
  <c r="BM980" i="1" s="1"/>
  <c r="BB979" i="1"/>
  <c r="BB981" i="1"/>
  <c r="AO975" i="1"/>
  <c r="AR975" i="1" s="1"/>
  <c r="AO979" i="1"/>
  <c r="AR979" i="1" s="1"/>
  <c r="AR978" i="1"/>
  <c r="AS978" i="1" s="1"/>
  <c r="BM978" i="1"/>
  <c r="BA981" i="1"/>
  <c r="BA974" i="1"/>
  <c r="BA979" i="1"/>
  <c r="AY976" i="1"/>
  <c r="BA976" i="1" s="1"/>
  <c r="AY978" i="1"/>
  <c r="BA978" i="1" s="1"/>
  <c r="AY980" i="1"/>
  <c r="BA980" i="1" s="1"/>
  <c r="BB983" i="1"/>
  <c r="AY975" i="1"/>
  <c r="BA975" i="1" s="1"/>
  <c r="AY982" i="1"/>
  <c r="BA982" i="1" s="1"/>
  <c r="AO976" i="1"/>
  <c r="AR976" i="1" s="1"/>
  <c r="AY977" i="1"/>
  <c r="BA977" i="1" s="1"/>
  <c r="AO983" i="1"/>
  <c r="AR983" i="1" s="1"/>
  <c r="BB978" i="1"/>
  <c r="AO973" i="1"/>
  <c r="BO973" i="1"/>
  <c r="BO974" i="1"/>
  <c r="AO974" i="1"/>
  <c r="AR974" i="1" s="1"/>
  <c r="BB973" i="1"/>
  <c r="BB974" i="1"/>
  <c r="AP972" i="1"/>
  <c r="BM977" i="1" l="1"/>
  <c r="BM975" i="1"/>
  <c r="AR980" i="1"/>
  <c r="AS980" i="1" s="1"/>
  <c r="BM981" i="1"/>
  <c r="BM979" i="1"/>
  <c r="BP982" i="1"/>
  <c r="AS982" i="1"/>
  <c r="BM982" i="1"/>
  <c r="BM974" i="1"/>
  <c r="BM976" i="1"/>
  <c r="BP978" i="1"/>
  <c r="BP979" i="1"/>
  <c r="AS979" i="1"/>
  <c r="BP976" i="1"/>
  <c r="AS976" i="1"/>
  <c r="BP983" i="1"/>
  <c r="AS983" i="1"/>
  <c r="BP975" i="1"/>
  <c r="AS975" i="1"/>
  <c r="BP981" i="1"/>
  <c r="AS981" i="1"/>
  <c r="BM983" i="1"/>
  <c r="BP977" i="1"/>
  <c r="AS977" i="1"/>
  <c r="BP974" i="1"/>
  <c r="AS974" i="1"/>
  <c r="BM973" i="1"/>
  <c r="AR973" i="1"/>
  <c r="AP964" i="1"/>
  <c r="AL972" i="1"/>
  <c r="AN971" i="1"/>
  <c r="AL971" i="1"/>
  <c r="Y970" i="1"/>
  <c r="AL970" i="1"/>
  <c r="Y969" i="1"/>
  <c r="AL969" i="1"/>
  <c r="BP980" i="1" l="1"/>
  <c r="BP973" i="1"/>
  <c r="AS973" i="1"/>
  <c r="AL968" i="1"/>
  <c r="Y967" i="1"/>
  <c r="AK967" i="1" s="1"/>
  <c r="AL967" i="1"/>
  <c r="AP966" i="1"/>
  <c r="AL966" i="1"/>
  <c r="AL965" i="1"/>
  <c r="AN964" i="1"/>
  <c r="AL964" i="1"/>
  <c r="AL963" i="1"/>
  <c r="AL962" i="1"/>
  <c r="Y961" i="1"/>
  <c r="AM961" i="1" s="1"/>
  <c r="AL961" i="1"/>
  <c r="Y960" i="1"/>
  <c r="AM960" i="1" s="1"/>
  <c r="AM972" i="1"/>
  <c r="AM971" i="1"/>
  <c r="AM970" i="1"/>
  <c r="AM969" i="1"/>
  <c r="AM968" i="1"/>
  <c r="AM967" i="1"/>
  <c r="AM966" i="1"/>
  <c r="AM965" i="1"/>
  <c r="AM964" i="1"/>
  <c r="AM963" i="1"/>
  <c r="AM962" i="1"/>
  <c r="AL960" i="1"/>
  <c r="BO972" i="1"/>
  <c r="BH972" i="1"/>
  <c r="BI972" i="1" s="1"/>
  <c r="BK972" i="1" s="1"/>
  <c r="BO971" i="1"/>
  <c r="BH971" i="1"/>
  <c r="BI971" i="1" s="1"/>
  <c r="BK971" i="1" s="1"/>
  <c r="BO970" i="1"/>
  <c r="BH970" i="1"/>
  <c r="BI970" i="1" s="1"/>
  <c r="BK970" i="1" s="1"/>
  <c r="BO969" i="1"/>
  <c r="BH969" i="1"/>
  <c r="BI969" i="1" s="1"/>
  <c r="BK969" i="1" s="1"/>
  <c r="BO968" i="1"/>
  <c r="BH968" i="1"/>
  <c r="BI968" i="1" s="1"/>
  <c r="BK968" i="1" s="1"/>
  <c r="BO967" i="1"/>
  <c r="BH967" i="1"/>
  <c r="BI967" i="1" s="1"/>
  <c r="BK967" i="1" s="1"/>
  <c r="BO966" i="1"/>
  <c r="BH966" i="1"/>
  <c r="BI966" i="1" s="1"/>
  <c r="BK966" i="1" s="1"/>
  <c r="BO965" i="1"/>
  <c r="BH965" i="1"/>
  <c r="BI965" i="1" s="1"/>
  <c r="BK965" i="1" s="1"/>
  <c r="BO964" i="1"/>
  <c r="BH964" i="1"/>
  <c r="BI964" i="1" s="1"/>
  <c r="BK964" i="1" s="1"/>
  <c r="BO963" i="1"/>
  <c r="BH963" i="1"/>
  <c r="BI963" i="1" s="1"/>
  <c r="BK963" i="1" s="1"/>
  <c r="BO962" i="1"/>
  <c r="BH962" i="1"/>
  <c r="BI962" i="1" s="1"/>
  <c r="BK962" i="1" s="1"/>
  <c r="BO961" i="1"/>
  <c r="BH961" i="1"/>
  <c r="BI961" i="1" s="1"/>
  <c r="BK961" i="1" s="1"/>
  <c r="BO960" i="1"/>
  <c r="BH960" i="1"/>
  <c r="BI960" i="1" s="1"/>
  <c r="BK960" i="1" s="1"/>
  <c r="BF972" i="1"/>
  <c r="BG972" i="1" s="1"/>
  <c r="AZ972" i="1"/>
  <c r="AW972" i="1"/>
  <c r="BB972" i="1" s="1"/>
  <c r="BF971" i="1"/>
  <c r="BG971" i="1" s="1"/>
  <c r="AZ971" i="1"/>
  <c r="AW971" i="1"/>
  <c r="BB971" i="1" s="1"/>
  <c r="BF970" i="1"/>
  <c r="BG970" i="1" s="1"/>
  <c r="AZ970" i="1"/>
  <c r="AW970" i="1"/>
  <c r="BB970" i="1" s="1"/>
  <c r="BF969" i="1"/>
  <c r="BG969" i="1" s="1"/>
  <c r="AZ969" i="1"/>
  <c r="AW969" i="1"/>
  <c r="AO969" i="1" s="1"/>
  <c r="BF968" i="1"/>
  <c r="BG968" i="1" s="1"/>
  <c r="AZ968" i="1"/>
  <c r="AW968" i="1"/>
  <c r="BB968" i="1" s="1"/>
  <c r="BF967" i="1"/>
  <c r="BG967" i="1" s="1"/>
  <c r="AZ967" i="1"/>
  <c r="AW967" i="1"/>
  <c r="BF966" i="1"/>
  <c r="BG966" i="1" s="1"/>
  <c r="AZ966" i="1"/>
  <c r="AW966" i="1"/>
  <c r="BB966" i="1" s="1"/>
  <c r="BF965" i="1"/>
  <c r="BG965" i="1" s="1"/>
  <c r="AZ965" i="1"/>
  <c r="AW965" i="1"/>
  <c r="BB965" i="1" s="1"/>
  <c r="BF964" i="1"/>
  <c r="BG964" i="1" s="1"/>
  <c r="AZ964" i="1"/>
  <c r="AW964" i="1"/>
  <c r="BB964" i="1" s="1"/>
  <c r="BF963" i="1"/>
  <c r="BG963" i="1" s="1"/>
  <c r="AZ963" i="1"/>
  <c r="AW963" i="1"/>
  <c r="AO963" i="1" s="1"/>
  <c r="BF962" i="1"/>
  <c r="BG962" i="1" s="1"/>
  <c r="AZ962" i="1"/>
  <c r="AW962" i="1"/>
  <c r="BB962" i="1" s="1"/>
  <c r="BF961" i="1"/>
  <c r="BG961" i="1" s="1"/>
  <c r="AZ961" i="1"/>
  <c r="AW961" i="1"/>
  <c r="BF960" i="1"/>
  <c r="BG960" i="1" s="1"/>
  <c r="AZ960" i="1"/>
  <c r="AW960" i="1"/>
  <c r="BB960" i="1" s="1"/>
  <c r="AK972" i="1"/>
  <c r="AK971" i="1"/>
  <c r="AK970" i="1"/>
  <c r="AK969" i="1"/>
  <c r="AK968" i="1"/>
  <c r="AK966" i="1"/>
  <c r="AK965" i="1"/>
  <c r="AK964" i="1"/>
  <c r="AK963" i="1"/>
  <c r="AK962" i="1"/>
  <c r="AK961" i="1"/>
  <c r="AK960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O967" i="1" l="1"/>
  <c r="BM967" i="1" s="1"/>
  <c r="BM963" i="1"/>
  <c r="AO966" i="1"/>
  <c r="AR966" i="1" s="1"/>
  <c r="AS966" i="1" s="1"/>
  <c r="BM969" i="1"/>
  <c r="AO964" i="1"/>
  <c r="BM964" i="1" s="1"/>
  <c r="AO961" i="1"/>
  <c r="BM961" i="1" s="1"/>
  <c r="AO960" i="1"/>
  <c r="BM960" i="1" s="1"/>
  <c r="AO970" i="1"/>
  <c r="BM970" i="1" s="1"/>
  <c r="AO972" i="1"/>
  <c r="BM972" i="1" s="1"/>
  <c r="AY963" i="1"/>
  <c r="BA963" i="1" s="1"/>
  <c r="AY969" i="1"/>
  <c r="BA969" i="1" s="1"/>
  <c r="AO965" i="1"/>
  <c r="BM965" i="1" s="1"/>
  <c r="AY961" i="1"/>
  <c r="BA961" i="1" s="1"/>
  <c r="AY965" i="1"/>
  <c r="BA965" i="1" s="1"/>
  <c r="AY967" i="1"/>
  <c r="BA967" i="1" s="1"/>
  <c r="AY971" i="1"/>
  <c r="BA971" i="1" s="1"/>
  <c r="AO971" i="1"/>
  <c r="BB961" i="1"/>
  <c r="BB963" i="1"/>
  <c r="BB967" i="1"/>
  <c r="BB969" i="1"/>
  <c r="AY960" i="1"/>
  <c r="BA960" i="1" s="1"/>
  <c r="AY962" i="1"/>
  <c r="BA962" i="1" s="1"/>
  <c r="AY964" i="1"/>
  <c r="BA964" i="1" s="1"/>
  <c r="AY966" i="1"/>
  <c r="BA966" i="1" s="1"/>
  <c r="AY968" i="1"/>
  <c r="BA968" i="1" s="1"/>
  <c r="AY970" i="1"/>
  <c r="BA970" i="1" s="1"/>
  <c r="AY972" i="1"/>
  <c r="BA972" i="1" s="1"/>
  <c r="AO962" i="1"/>
  <c r="BM962" i="1" s="1"/>
  <c r="AO968" i="1"/>
  <c r="AR963" i="1"/>
  <c r="AR969" i="1"/>
  <c r="X943" i="1"/>
  <c r="AR967" i="1" l="1"/>
  <c r="BP967" i="1" s="1"/>
  <c r="AR964" i="1"/>
  <c r="BP964" i="1" s="1"/>
  <c r="BM966" i="1"/>
  <c r="AR965" i="1"/>
  <c r="AS965" i="1" s="1"/>
  <c r="AR970" i="1"/>
  <c r="AS970" i="1" s="1"/>
  <c r="BP966" i="1"/>
  <c r="AR961" i="1"/>
  <c r="AS961" i="1" s="1"/>
  <c r="AR972" i="1"/>
  <c r="AR962" i="1"/>
  <c r="AR971" i="1"/>
  <c r="BM971" i="1"/>
  <c r="AR960" i="1"/>
  <c r="AS963" i="1"/>
  <c r="BP963" i="1"/>
  <c r="AR968" i="1"/>
  <c r="BM968" i="1"/>
  <c r="AS969" i="1"/>
  <c r="BP969" i="1"/>
  <c r="AM952" i="1"/>
  <c r="AL952" i="1"/>
  <c r="AM941" i="1"/>
  <c r="AL941" i="1"/>
  <c r="AM940" i="1"/>
  <c r="AL940" i="1"/>
  <c r="AS967" i="1" l="1"/>
  <c r="BP965" i="1"/>
  <c r="AS964" i="1"/>
  <c r="BP961" i="1"/>
  <c r="BP970" i="1"/>
  <c r="AS960" i="1"/>
  <c r="BP960" i="1"/>
  <c r="AS968" i="1"/>
  <c r="BP968" i="1"/>
  <c r="AS972" i="1"/>
  <c r="BP972" i="1"/>
  <c r="AS971" i="1"/>
  <c r="BP971" i="1"/>
  <c r="AS962" i="1"/>
  <c r="BP962" i="1"/>
  <c r="Y937" i="1"/>
  <c r="AM937" i="1" s="1"/>
  <c r="AM939" i="1"/>
  <c r="AL939" i="1"/>
  <c r="AM938" i="1"/>
  <c r="AL938" i="1"/>
  <c r="AL937" i="1"/>
  <c r="Y936" i="1"/>
  <c r="AM936" i="1" s="1"/>
  <c r="AL936" i="1"/>
  <c r="AM935" i="1"/>
  <c r="AL935" i="1"/>
  <c r="BO959" i="1" l="1"/>
  <c r="BH959" i="1"/>
  <c r="BI959" i="1" s="1"/>
  <c r="BK959" i="1" s="1"/>
  <c r="BF959" i="1"/>
  <c r="BG959" i="1" s="1"/>
  <c r="BO958" i="1"/>
  <c r="BH958" i="1"/>
  <c r="BI958" i="1" s="1"/>
  <c r="BK958" i="1" s="1"/>
  <c r="BF958" i="1"/>
  <c r="BG958" i="1" s="1"/>
  <c r="BO957" i="1"/>
  <c r="BH957" i="1"/>
  <c r="BI957" i="1" s="1"/>
  <c r="BK957" i="1" s="1"/>
  <c r="BF957" i="1"/>
  <c r="BG957" i="1" s="1"/>
  <c r="BO956" i="1"/>
  <c r="BH956" i="1"/>
  <c r="BI956" i="1" s="1"/>
  <c r="BK956" i="1" s="1"/>
  <c r="BF956" i="1"/>
  <c r="BG956" i="1" s="1"/>
  <c r="BO955" i="1"/>
  <c r="BH955" i="1"/>
  <c r="BI955" i="1" s="1"/>
  <c r="BK955" i="1" s="1"/>
  <c r="BF955" i="1"/>
  <c r="BG955" i="1" s="1"/>
  <c r="BO954" i="1"/>
  <c r="BH954" i="1"/>
  <c r="BI954" i="1" s="1"/>
  <c r="BK954" i="1" s="1"/>
  <c r="BF954" i="1"/>
  <c r="BG954" i="1" s="1"/>
  <c r="BO953" i="1"/>
  <c r="BH953" i="1"/>
  <c r="BI953" i="1" s="1"/>
  <c r="BK953" i="1" s="1"/>
  <c r="BF953" i="1"/>
  <c r="BG953" i="1" s="1"/>
  <c r="BO952" i="1"/>
  <c r="BH952" i="1"/>
  <c r="BI952" i="1" s="1"/>
  <c r="BK952" i="1" s="1"/>
  <c r="BF952" i="1"/>
  <c r="BG952" i="1" s="1"/>
  <c r="BO951" i="1"/>
  <c r="BH951" i="1"/>
  <c r="BI951" i="1" s="1"/>
  <c r="BK951" i="1" s="1"/>
  <c r="BF951" i="1"/>
  <c r="BG951" i="1" s="1"/>
  <c r="BO950" i="1"/>
  <c r="BH950" i="1"/>
  <c r="BI950" i="1" s="1"/>
  <c r="BK950" i="1" s="1"/>
  <c r="BF950" i="1"/>
  <c r="BG950" i="1" s="1"/>
  <c r="BO949" i="1"/>
  <c r="BH949" i="1"/>
  <c r="BI949" i="1" s="1"/>
  <c r="BK949" i="1" s="1"/>
  <c r="BF949" i="1"/>
  <c r="BG949" i="1" s="1"/>
  <c r="BO948" i="1"/>
  <c r="BH948" i="1"/>
  <c r="BI948" i="1" s="1"/>
  <c r="BK948" i="1" s="1"/>
  <c r="BF948" i="1"/>
  <c r="BG948" i="1" s="1"/>
  <c r="BO947" i="1"/>
  <c r="BH947" i="1"/>
  <c r="BI947" i="1" s="1"/>
  <c r="BK947" i="1" s="1"/>
  <c r="BF947" i="1"/>
  <c r="BG947" i="1" s="1"/>
  <c r="BO946" i="1"/>
  <c r="BH946" i="1"/>
  <c r="BI946" i="1" s="1"/>
  <c r="BK946" i="1" s="1"/>
  <c r="BF946" i="1"/>
  <c r="BG946" i="1" s="1"/>
  <c r="BO945" i="1"/>
  <c r="BH945" i="1"/>
  <c r="BI945" i="1" s="1"/>
  <c r="BK945" i="1" s="1"/>
  <c r="BF945" i="1"/>
  <c r="BG945" i="1" s="1"/>
  <c r="BO944" i="1"/>
  <c r="BH944" i="1"/>
  <c r="BI944" i="1" s="1"/>
  <c r="BK944" i="1" s="1"/>
  <c r="BF944" i="1"/>
  <c r="BG944" i="1" s="1"/>
  <c r="BO943" i="1"/>
  <c r="BH943" i="1"/>
  <c r="BI943" i="1" s="1"/>
  <c r="BK943" i="1" s="1"/>
  <c r="BF943" i="1"/>
  <c r="BG943" i="1" s="1"/>
  <c r="BO942" i="1"/>
  <c r="BH942" i="1"/>
  <c r="BI942" i="1" s="1"/>
  <c r="BK942" i="1" s="1"/>
  <c r="BF942" i="1"/>
  <c r="BG942" i="1" s="1"/>
  <c r="BO941" i="1"/>
  <c r="BH941" i="1"/>
  <c r="BI941" i="1" s="1"/>
  <c r="BK941" i="1" s="1"/>
  <c r="BF941" i="1"/>
  <c r="BG941" i="1" s="1"/>
  <c r="BO940" i="1"/>
  <c r="BH940" i="1"/>
  <c r="BI940" i="1" s="1"/>
  <c r="BK940" i="1" s="1"/>
  <c r="BF940" i="1"/>
  <c r="BG940" i="1" s="1"/>
  <c r="BO939" i="1"/>
  <c r="BH939" i="1"/>
  <c r="BI939" i="1" s="1"/>
  <c r="BK939" i="1" s="1"/>
  <c r="BF939" i="1"/>
  <c r="BG939" i="1" s="1"/>
  <c r="BO938" i="1"/>
  <c r="BH938" i="1"/>
  <c r="BI938" i="1" s="1"/>
  <c r="BK938" i="1" s="1"/>
  <c r="BF938" i="1"/>
  <c r="BG938" i="1" s="1"/>
  <c r="BO937" i="1"/>
  <c r="BH937" i="1"/>
  <c r="BI937" i="1" s="1"/>
  <c r="BK937" i="1" s="1"/>
  <c r="BF937" i="1"/>
  <c r="BG937" i="1" s="1"/>
  <c r="BO936" i="1"/>
  <c r="BH936" i="1"/>
  <c r="BI936" i="1" s="1"/>
  <c r="BK936" i="1" s="1"/>
  <c r="BF936" i="1"/>
  <c r="BG936" i="1" s="1"/>
  <c r="BO935" i="1"/>
  <c r="BH935" i="1"/>
  <c r="BI935" i="1" s="1"/>
  <c r="BK935" i="1" s="1"/>
  <c r="BF935" i="1"/>
  <c r="BG935" i="1" s="1"/>
  <c r="BO934" i="1"/>
  <c r="BH934" i="1"/>
  <c r="BI934" i="1" s="1"/>
  <c r="BK934" i="1" s="1"/>
  <c r="BF934" i="1"/>
  <c r="BG934" i="1" s="1"/>
  <c r="AZ959" i="1"/>
  <c r="AW959" i="1"/>
  <c r="BB959" i="1" s="1"/>
  <c r="AZ958" i="1"/>
  <c r="AW958" i="1"/>
  <c r="AO958" i="1" s="1"/>
  <c r="AZ957" i="1"/>
  <c r="AW957" i="1"/>
  <c r="AY957" i="1" s="1"/>
  <c r="AZ956" i="1"/>
  <c r="AW956" i="1"/>
  <c r="BB956" i="1" s="1"/>
  <c r="AZ955" i="1"/>
  <c r="AW955" i="1"/>
  <c r="AO955" i="1" s="1"/>
  <c r="AZ954" i="1"/>
  <c r="AW954" i="1"/>
  <c r="BB954" i="1" s="1"/>
  <c r="AZ953" i="1"/>
  <c r="AW953" i="1"/>
  <c r="BB953" i="1" s="1"/>
  <c r="AZ952" i="1"/>
  <c r="AW952" i="1"/>
  <c r="AO952" i="1" s="1"/>
  <c r="AZ951" i="1"/>
  <c r="AW951" i="1"/>
  <c r="AO951" i="1" s="1"/>
  <c r="AZ950" i="1"/>
  <c r="AW950" i="1"/>
  <c r="AY950" i="1" s="1"/>
  <c r="AZ949" i="1"/>
  <c r="AW949" i="1"/>
  <c r="BB949" i="1" s="1"/>
  <c r="AZ948" i="1"/>
  <c r="AW948" i="1"/>
  <c r="BB948" i="1" s="1"/>
  <c r="AZ947" i="1"/>
  <c r="AW947" i="1"/>
  <c r="BB947" i="1" s="1"/>
  <c r="AZ946" i="1"/>
  <c r="AW946" i="1"/>
  <c r="AO946" i="1" s="1"/>
  <c r="AZ945" i="1"/>
  <c r="AW945" i="1"/>
  <c r="AY945" i="1" s="1"/>
  <c r="AZ944" i="1"/>
  <c r="AW944" i="1"/>
  <c r="BB944" i="1" s="1"/>
  <c r="AZ943" i="1"/>
  <c r="AW943" i="1"/>
  <c r="BB943" i="1" s="1"/>
  <c r="AZ942" i="1"/>
  <c r="AW942" i="1"/>
  <c r="BB942" i="1" s="1"/>
  <c r="AZ941" i="1"/>
  <c r="AW941" i="1"/>
  <c r="BB941" i="1" s="1"/>
  <c r="AZ940" i="1"/>
  <c r="AW940" i="1"/>
  <c r="AO940" i="1" s="1"/>
  <c r="AZ939" i="1"/>
  <c r="AW939" i="1"/>
  <c r="AO939" i="1" s="1"/>
  <c r="AZ938" i="1"/>
  <c r="AW938" i="1"/>
  <c r="AY938" i="1" s="1"/>
  <c r="AZ937" i="1"/>
  <c r="AW937" i="1"/>
  <c r="BB937" i="1" s="1"/>
  <c r="AZ936" i="1"/>
  <c r="AW936" i="1"/>
  <c r="BB936" i="1" s="1"/>
  <c r="AZ935" i="1"/>
  <c r="AW935" i="1"/>
  <c r="BB935" i="1" s="1"/>
  <c r="AZ934" i="1"/>
  <c r="AW934" i="1"/>
  <c r="AO934" i="1" s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BA945" i="1" l="1"/>
  <c r="BA957" i="1"/>
  <c r="AO938" i="1"/>
  <c r="BM938" i="1" s="1"/>
  <c r="AO943" i="1"/>
  <c r="AR943" i="1" s="1"/>
  <c r="AO949" i="1"/>
  <c r="BM949" i="1" s="1"/>
  <c r="AO954" i="1"/>
  <c r="AR954" i="1" s="1"/>
  <c r="AS954" i="1" s="1"/>
  <c r="BM940" i="1"/>
  <c r="AO953" i="1"/>
  <c r="AR953" i="1" s="1"/>
  <c r="AO937" i="1"/>
  <c r="BM937" i="1" s="1"/>
  <c r="BM952" i="1"/>
  <c r="AO945" i="1"/>
  <c r="AR945" i="1" s="1"/>
  <c r="AO947" i="1"/>
  <c r="AR947" i="1" s="1"/>
  <c r="AY943" i="1"/>
  <c r="BA943" i="1" s="1"/>
  <c r="BM939" i="1"/>
  <c r="BM958" i="1"/>
  <c r="BB938" i="1"/>
  <c r="BA950" i="1"/>
  <c r="BM946" i="1"/>
  <c r="BM934" i="1"/>
  <c r="BM955" i="1"/>
  <c r="BM951" i="1"/>
  <c r="BB950" i="1"/>
  <c r="AR955" i="1"/>
  <c r="BB945" i="1"/>
  <c r="BB955" i="1"/>
  <c r="AY955" i="1"/>
  <c r="BA955" i="1" s="1"/>
  <c r="AO941" i="1"/>
  <c r="BM941" i="1" s="1"/>
  <c r="AO942" i="1"/>
  <c r="AR942" i="1" s="1"/>
  <c r="AO957" i="1"/>
  <c r="BM957" i="1" s="1"/>
  <c r="BA938" i="1"/>
  <c r="BB952" i="1"/>
  <c r="BB940" i="1"/>
  <c r="AO935" i="1"/>
  <c r="AR935" i="1" s="1"/>
  <c r="AO950" i="1"/>
  <c r="BM950" i="1" s="1"/>
  <c r="BB957" i="1"/>
  <c r="AO959" i="1"/>
  <c r="BM959" i="1" s="1"/>
  <c r="AY948" i="1"/>
  <c r="BA948" i="1" s="1"/>
  <c r="AO936" i="1"/>
  <c r="BM936" i="1" s="1"/>
  <c r="AO948" i="1"/>
  <c r="AY934" i="1"/>
  <c r="BA934" i="1" s="1"/>
  <c r="AY939" i="1"/>
  <c r="BA939" i="1" s="1"/>
  <c r="AY951" i="1"/>
  <c r="BA951" i="1" s="1"/>
  <c r="BB934" i="1"/>
  <c r="BB946" i="1"/>
  <c r="AY954" i="1"/>
  <c r="BA954" i="1" s="1"/>
  <c r="AY936" i="1"/>
  <c r="BA936" i="1" s="1"/>
  <c r="AY941" i="1"/>
  <c r="BA941" i="1" s="1"/>
  <c r="AY953" i="1"/>
  <c r="BA953" i="1" s="1"/>
  <c r="AY946" i="1"/>
  <c r="BA946" i="1" s="1"/>
  <c r="AY958" i="1"/>
  <c r="BA958" i="1" s="1"/>
  <c r="AY944" i="1"/>
  <c r="BA944" i="1" s="1"/>
  <c r="AY956" i="1"/>
  <c r="BA956" i="1" s="1"/>
  <c r="AY937" i="1"/>
  <c r="BA937" i="1" s="1"/>
  <c r="AY949" i="1"/>
  <c r="BA949" i="1" s="1"/>
  <c r="BB958" i="1"/>
  <c r="AO944" i="1"/>
  <c r="AO956" i="1"/>
  <c r="BM956" i="1" s="1"/>
  <c r="BB939" i="1"/>
  <c r="AY942" i="1"/>
  <c r="BA942" i="1" s="1"/>
  <c r="BB951" i="1"/>
  <c r="AR939" i="1"/>
  <c r="AR951" i="1"/>
  <c r="AY935" i="1"/>
  <c r="BA935" i="1" s="1"/>
  <c r="AY947" i="1"/>
  <c r="BA947" i="1" s="1"/>
  <c r="AY959" i="1"/>
  <c r="BA959" i="1" s="1"/>
  <c r="AY940" i="1"/>
  <c r="BA940" i="1" s="1"/>
  <c r="AY952" i="1"/>
  <c r="BA952" i="1" s="1"/>
  <c r="AR934" i="1"/>
  <c r="AR940" i="1"/>
  <c r="AR946" i="1"/>
  <c r="AR952" i="1"/>
  <c r="AR958" i="1"/>
  <c r="AN924" i="1"/>
  <c r="BM943" i="1" l="1"/>
  <c r="AR949" i="1"/>
  <c r="AS949" i="1" s="1"/>
  <c r="AR938" i="1"/>
  <c r="AS938" i="1" s="1"/>
  <c r="BM953" i="1"/>
  <c r="AS953" i="1"/>
  <c r="BP953" i="1"/>
  <c r="BM947" i="1"/>
  <c r="BM954" i="1"/>
  <c r="BM942" i="1"/>
  <c r="BM945" i="1"/>
  <c r="AS947" i="1"/>
  <c r="BP947" i="1"/>
  <c r="AS945" i="1"/>
  <c r="BP945" i="1"/>
  <c r="AR937" i="1"/>
  <c r="AS937" i="1" s="1"/>
  <c r="AR941" i="1"/>
  <c r="AS941" i="1" s="1"/>
  <c r="BP954" i="1"/>
  <c r="AR936" i="1"/>
  <c r="AS936" i="1" s="1"/>
  <c r="AR959" i="1"/>
  <c r="AS959" i="1" s="1"/>
  <c r="AS935" i="1"/>
  <c r="BP935" i="1"/>
  <c r="AR956" i="1"/>
  <c r="AS951" i="1"/>
  <c r="BP951" i="1"/>
  <c r="AR957" i="1"/>
  <c r="AS939" i="1"/>
  <c r="BP939" i="1"/>
  <c r="AR948" i="1"/>
  <c r="BM948" i="1"/>
  <c r="AS955" i="1"/>
  <c r="BP955" i="1"/>
  <c r="AS942" i="1"/>
  <c r="BP942" i="1"/>
  <c r="AS958" i="1"/>
  <c r="BP958" i="1"/>
  <c r="AS952" i="1"/>
  <c r="BP952" i="1"/>
  <c r="BM935" i="1"/>
  <c r="AS946" i="1"/>
  <c r="BP946" i="1"/>
  <c r="AR950" i="1"/>
  <c r="AS940" i="1"/>
  <c r="BP940" i="1"/>
  <c r="AS934" i="1"/>
  <c r="BP934" i="1"/>
  <c r="AR944" i="1"/>
  <c r="BM944" i="1"/>
  <c r="AS943" i="1"/>
  <c r="BP943" i="1"/>
  <c r="W884" i="1"/>
  <c r="Y884" i="1"/>
  <c r="BP949" i="1" l="1"/>
  <c r="BP938" i="1"/>
  <c r="BP941" i="1"/>
  <c r="BP937" i="1"/>
  <c r="BP936" i="1"/>
  <c r="BP959" i="1"/>
  <c r="AS944" i="1"/>
  <c r="BP944" i="1"/>
  <c r="AS957" i="1"/>
  <c r="BP957" i="1"/>
  <c r="AS950" i="1"/>
  <c r="BP950" i="1"/>
  <c r="AS956" i="1"/>
  <c r="BP956" i="1"/>
  <c r="AS948" i="1"/>
  <c r="BP948" i="1"/>
  <c r="AP884" i="1"/>
  <c r="AP883" i="1"/>
  <c r="AN883" i="1" l="1"/>
  <c r="AM925" i="1"/>
  <c r="AL925" i="1"/>
  <c r="AM924" i="1"/>
  <c r="AL924" i="1"/>
  <c r="AL919" i="1"/>
  <c r="AL918" i="1"/>
  <c r="AL915" i="1"/>
  <c r="AL914" i="1"/>
  <c r="AL911" i="1"/>
  <c r="AM919" i="1"/>
  <c r="AM918" i="1"/>
  <c r="AM915" i="1"/>
  <c r="AM914" i="1"/>
  <c r="AM911" i="1"/>
  <c r="AM910" i="1"/>
  <c r="AL910" i="1"/>
  <c r="AN904" i="1"/>
  <c r="AM904" i="1"/>
  <c r="AL904" i="1"/>
  <c r="Y901" i="1"/>
  <c r="AM901" i="1" s="1"/>
  <c r="AL901" i="1"/>
  <c r="AM900" i="1"/>
  <c r="AL900" i="1"/>
  <c r="AM899" i="1"/>
  <c r="AL899" i="1"/>
  <c r="AM898" i="1"/>
  <c r="AL898" i="1"/>
  <c r="AM884" i="1"/>
  <c r="AM883" i="1"/>
  <c r="AL883" i="1"/>
  <c r="AL892" i="1" l="1"/>
  <c r="AL891" i="1"/>
  <c r="AL889" i="1"/>
  <c r="AL888" i="1"/>
  <c r="AM892" i="1"/>
  <c r="AM891" i="1"/>
  <c r="AM889" i="1"/>
  <c r="AM888" i="1"/>
  <c r="AM887" i="1"/>
  <c r="AL887" i="1"/>
  <c r="AN877" i="1"/>
  <c r="AM877" i="1"/>
  <c r="AL877" i="1"/>
  <c r="AN876" i="1"/>
  <c r="AM876" i="1"/>
  <c r="AL876" i="1"/>
  <c r="AP875" i="1"/>
  <c r="AP874" i="1"/>
  <c r="AN875" i="1"/>
  <c r="AM875" i="1"/>
  <c r="AL875" i="1"/>
  <c r="AN874" i="1"/>
  <c r="AM874" i="1"/>
  <c r="AL874" i="1"/>
  <c r="BO933" i="1" l="1"/>
  <c r="BH933" i="1"/>
  <c r="BI933" i="1" s="1"/>
  <c r="BK933" i="1" s="1"/>
  <c r="BF933" i="1"/>
  <c r="BG933" i="1" s="1"/>
  <c r="BO932" i="1"/>
  <c r="BH932" i="1"/>
  <c r="BI932" i="1" s="1"/>
  <c r="BK932" i="1" s="1"/>
  <c r="BF932" i="1"/>
  <c r="BG932" i="1" s="1"/>
  <c r="BO931" i="1"/>
  <c r="BH931" i="1"/>
  <c r="BI931" i="1" s="1"/>
  <c r="BK931" i="1" s="1"/>
  <c r="BF931" i="1"/>
  <c r="BG931" i="1" s="1"/>
  <c r="BO930" i="1"/>
  <c r="BH930" i="1"/>
  <c r="BI930" i="1" s="1"/>
  <c r="BK930" i="1" s="1"/>
  <c r="BF930" i="1"/>
  <c r="BG930" i="1" s="1"/>
  <c r="BO929" i="1"/>
  <c r="BH929" i="1"/>
  <c r="BI929" i="1" s="1"/>
  <c r="BK929" i="1" s="1"/>
  <c r="BF929" i="1"/>
  <c r="BG929" i="1" s="1"/>
  <c r="BO928" i="1"/>
  <c r="BH928" i="1"/>
  <c r="BI928" i="1" s="1"/>
  <c r="BK928" i="1" s="1"/>
  <c r="BF928" i="1"/>
  <c r="BG928" i="1" s="1"/>
  <c r="BO927" i="1"/>
  <c r="BH927" i="1"/>
  <c r="BI927" i="1" s="1"/>
  <c r="BK927" i="1" s="1"/>
  <c r="BF927" i="1"/>
  <c r="BG927" i="1" s="1"/>
  <c r="BO926" i="1"/>
  <c r="BH926" i="1"/>
  <c r="BI926" i="1" s="1"/>
  <c r="BK926" i="1" s="1"/>
  <c r="BF926" i="1"/>
  <c r="BG926" i="1" s="1"/>
  <c r="BO925" i="1"/>
  <c r="BH925" i="1"/>
  <c r="BI925" i="1" s="1"/>
  <c r="BK925" i="1" s="1"/>
  <c r="BF925" i="1"/>
  <c r="BG925" i="1" s="1"/>
  <c r="BO924" i="1"/>
  <c r="BH924" i="1"/>
  <c r="BI924" i="1" s="1"/>
  <c r="BK924" i="1" s="1"/>
  <c r="BF924" i="1"/>
  <c r="BG924" i="1" s="1"/>
  <c r="BO923" i="1"/>
  <c r="BH923" i="1"/>
  <c r="BI923" i="1" s="1"/>
  <c r="BK923" i="1" s="1"/>
  <c r="BF923" i="1"/>
  <c r="BG923" i="1" s="1"/>
  <c r="BO922" i="1"/>
  <c r="BH922" i="1"/>
  <c r="BI922" i="1" s="1"/>
  <c r="BK922" i="1" s="1"/>
  <c r="BF922" i="1"/>
  <c r="BG922" i="1" s="1"/>
  <c r="BO921" i="1"/>
  <c r="BH921" i="1"/>
  <c r="BI921" i="1" s="1"/>
  <c r="BK921" i="1" s="1"/>
  <c r="BF921" i="1"/>
  <c r="BG921" i="1" s="1"/>
  <c r="BO920" i="1"/>
  <c r="BH920" i="1"/>
  <c r="BI920" i="1" s="1"/>
  <c r="BK920" i="1" s="1"/>
  <c r="BF920" i="1"/>
  <c r="BG920" i="1" s="1"/>
  <c r="BO919" i="1"/>
  <c r="BH919" i="1"/>
  <c r="BI919" i="1" s="1"/>
  <c r="BK919" i="1" s="1"/>
  <c r="BF919" i="1"/>
  <c r="BG919" i="1" s="1"/>
  <c r="BO918" i="1"/>
  <c r="BH918" i="1"/>
  <c r="BI918" i="1" s="1"/>
  <c r="BK918" i="1" s="1"/>
  <c r="BF918" i="1"/>
  <c r="BG918" i="1" s="1"/>
  <c r="BO917" i="1"/>
  <c r="BH917" i="1"/>
  <c r="BI917" i="1" s="1"/>
  <c r="BK917" i="1" s="1"/>
  <c r="BF917" i="1"/>
  <c r="BG917" i="1" s="1"/>
  <c r="BO916" i="1"/>
  <c r="BH916" i="1"/>
  <c r="BI916" i="1" s="1"/>
  <c r="BK916" i="1" s="1"/>
  <c r="BF916" i="1"/>
  <c r="BG916" i="1" s="1"/>
  <c r="BO915" i="1"/>
  <c r="BH915" i="1"/>
  <c r="BI915" i="1" s="1"/>
  <c r="BK915" i="1" s="1"/>
  <c r="BF915" i="1"/>
  <c r="BG915" i="1" s="1"/>
  <c r="BO914" i="1"/>
  <c r="BH914" i="1"/>
  <c r="BI914" i="1" s="1"/>
  <c r="BK914" i="1" s="1"/>
  <c r="BF914" i="1"/>
  <c r="BG914" i="1" s="1"/>
  <c r="BO913" i="1"/>
  <c r="BH913" i="1"/>
  <c r="BI913" i="1" s="1"/>
  <c r="BK913" i="1" s="1"/>
  <c r="BF913" i="1"/>
  <c r="BG913" i="1" s="1"/>
  <c r="BO912" i="1"/>
  <c r="BH912" i="1"/>
  <c r="BI912" i="1" s="1"/>
  <c r="BK912" i="1" s="1"/>
  <c r="BF912" i="1"/>
  <c r="BG912" i="1" s="1"/>
  <c r="BO911" i="1"/>
  <c r="BH911" i="1"/>
  <c r="BI911" i="1" s="1"/>
  <c r="BK911" i="1" s="1"/>
  <c r="BF911" i="1"/>
  <c r="BG911" i="1" s="1"/>
  <c r="BO910" i="1"/>
  <c r="BH910" i="1"/>
  <c r="BI910" i="1" s="1"/>
  <c r="BK910" i="1" s="1"/>
  <c r="BF910" i="1"/>
  <c r="BG910" i="1" s="1"/>
  <c r="BO909" i="1"/>
  <c r="BH909" i="1"/>
  <c r="BI909" i="1" s="1"/>
  <c r="BK909" i="1" s="1"/>
  <c r="BF909" i="1"/>
  <c r="BG909" i="1" s="1"/>
  <c r="BO908" i="1"/>
  <c r="BH908" i="1"/>
  <c r="BI908" i="1" s="1"/>
  <c r="BK908" i="1" s="1"/>
  <c r="BF908" i="1"/>
  <c r="BG908" i="1" s="1"/>
  <c r="BO907" i="1"/>
  <c r="BH907" i="1"/>
  <c r="BI907" i="1" s="1"/>
  <c r="BK907" i="1" s="1"/>
  <c r="BF907" i="1"/>
  <c r="BG907" i="1" s="1"/>
  <c r="BO906" i="1"/>
  <c r="BH906" i="1"/>
  <c r="BI906" i="1" s="1"/>
  <c r="BK906" i="1" s="1"/>
  <c r="BF906" i="1"/>
  <c r="BG906" i="1" s="1"/>
  <c r="BO905" i="1"/>
  <c r="BH905" i="1"/>
  <c r="BI905" i="1" s="1"/>
  <c r="BK905" i="1" s="1"/>
  <c r="BF905" i="1"/>
  <c r="BG905" i="1" s="1"/>
  <c r="BO904" i="1"/>
  <c r="BH904" i="1"/>
  <c r="BI904" i="1" s="1"/>
  <c r="BK904" i="1" s="1"/>
  <c r="BF904" i="1"/>
  <c r="BG904" i="1" s="1"/>
  <c r="BO903" i="1"/>
  <c r="BH903" i="1"/>
  <c r="BI903" i="1" s="1"/>
  <c r="BK903" i="1" s="1"/>
  <c r="BF903" i="1"/>
  <c r="BG903" i="1" s="1"/>
  <c r="BO902" i="1"/>
  <c r="BH902" i="1"/>
  <c r="BI902" i="1" s="1"/>
  <c r="BK902" i="1" s="1"/>
  <c r="BF902" i="1"/>
  <c r="BG902" i="1" s="1"/>
  <c r="BO901" i="1"/>
  <c r="BH901" i="1"/>
  <c r="BI901" i="1" s="1"/>
  <c r="BK901" i="1" s="1"/>
  <c r="BF901" i="1"/>
  <c r="BG901" i="1" s="1"/>
  <c r="BO900" i="1"/>
  <c r="BH900" i="1"/>
  <c r="BI900" i="1" s="1"/>
  <c r="BK900" i="1" s="1"/>
  <c r="BF900" i="1"/>
  <c r="BG900" i="1" s="1"/>
  <c r="BO899" i="1"/>
  <c r="BH899" i="1"/>
  <c r="BI899" i="1" s="1"/>
  <c r="BK899" i="1" s="1"/>
  <c r="BF899" i="1"/>
  <c r="BG899" i="1" s="1"/>
  <c r="BO898" i="1"/>
  <c r="BH898" i="1"/>
  <c r="BI898" i="1" s="1"/>
  <c r="BK898" i="1" s="1"/>
  <c r="BF898" i="1"/>
  <c r="BG898" i="1" s="1"/>
  <c r="BO897" i="1"/>
  <c r="BH897" i="1"/>
  <c r="BI897" i="1" s="1"/>
  <c r="BK897" i="1" s="1"/>
  <c r="BF897" i="1"/>
  <c r="BG897" i="1" s="1"/>
  <c r="BO896" i="1"/>
  <c r="BH896" i="1"/>
  <c r="BI896" i="1" s="1"/>
  <c r="BK896" i="1" s="1"/>
  <c r="BF896" i="1"/>
  <c r="BG896" i="1" s="1"/>
  <c r="BO895" i="1"/>
  <c r="BH895" i="1"/>
  <c r="BI895" i="1" s="1"/>
  <c r="BK895" i="1" s="1"/>
  <c r="BF895" i="1"/>
  <c r="BG895" i="1" s="1"/>
  <c r="BO894" i="1"/>
  <c r="BH894" i="1"/>
  <c r="BI894" i="1" s="1"/>
  <c r="BK894" i="1" s="1"/>
  <c r="BF894" i="1"/>
  <c r="BG894" i="1" s="1"/>
  <c r="BO893" i="1"/>
  <c r="BH893" i="1"/>
  <c r="BI893" i="1" s="1"/>
  <c r="BK893" i="1" s="1"/>
  <c r="BF893" i="1"/>
  <c r="BG893" i="1" s="1"/>
  <c r="BO892" i="1"/>
  <c r="BH892" i="1"/>
  <c r="BI892" i="1" s="1"/>
  <c r="BK892" i="1" s="1"/>
  <c r="BF892" i="1"/>
  <c r="BG892" i="1" s="1"/>
  <c r="BO891" i="1"/>
  <c r="BH891" i="1"/>
  <c r="BI891" i="1" s="1"/>
  <c r="BK891" i="1" s="1"/>
  <c r="BF891" i="1"/>
  <c r="BG891" i="1" s="1"/>
  <c r="BO890" i="1"/>
  <c r="BH890" i="1"/>
  <c r="BI890" i="1" s="1"/>
  <c r="BK890" i="1" s="1"/>
  <c r="BF890" i="1"/>
  <c r="BG890" i="1" s="1"/>
  <c r="BO889" i="1"/>
  <c r="BH889" i="1"/>
  <c r="BI889" i="1" s="1"/>
  <c r="BK889" i="1" s="1"/>
  <c r="BF889" i="1"/>
  <c r="BG889" i="1" s="1"/>
  <c r="BO888" i="1"/>
  <c r="BH888" i="1"/>
  <c r="BI888" i="1" s="1"/>
  <c r="BK888" i="1" s="1"/>
  <c r="BF888" i="1"/>
  <c r="BG888" i="1" s="1"/>
  <c r="BO887" i="1"/>
  <c r="BH887" i="1"/>
  <c r="BI887" i="1" s="1"/>
  <c r="BK887" i="1" s="1"/>
  <c r="BF887" i="1"/>
  <c r="BG887" i="1" s="1"/>
  <c r="BO886" i="1"/>
  <c r="BH886" i="1"/>
  <c r="BI886" i="1" s="1"/>
  <c r="BK886" i="1" s="1"/>
  <c r="BF886" i="1"/>
  <c r="BG886" i="1" s="1"/>
  <c r="BO885" i="1"/>
  <c r="BH885" i="1"/>
  <c r="BI885" i="1" s="1"/>
  <c r="BK885" i="1" s="1"/>
  <c r="BF885" i="1"/>
  <c r="BG885" i="1" s="1"/>
  <c r="BO884" i="1"/>
  <c r="BH884" i="1"/>
  <c r="BI884" i="1" s="1"/>
  <c r="BK884" i="1" s="1"/>
  <c r="BF884" i="1"/>
  <c r="BG884" i="1" s="1"/>
  <c r="BO883" i="1"/>
  <c r="BH883" i="1"/>
  <c r="BI883" i="1" s="1"/>
  <c r="BK883" i="1" s="1"/>
  <c r="BF883" i="1"/>
  <c r="BG883" i="1" s="1"/>
  <c r="BO882" i="1"/>
  <c r="BH882" i="1"/>
  <c r="BI882" i="1" s="1"/>
  <c r="BK882" i="1" s="1"/>
  <c r="BF882" i="1"/>
  <c r="BG882" i="1" s="1"/>
  <c r="BO881" i="1"/>
  <c r="BH881" i="1"/>
  <c r="BI881" i="1" s="1"/>
  <c r="BK881" i="1" s="1"/>
  <c r="BF881" i="1"/>
  <c r="BG881" i="1" s="1"/>
  <c r="BO880" i="1"/>
  <c r="BH880" i="1"/>
  <c r="BI880" i="1" s="1"/>
  <c r="BK880" i="1" s="1"/>
  <c r="BF880" i="1"/>
  <c r="BG880" i="1" s="1"/>
  <c r="BO879" i="1"/>
  <c r="BH879" i="1"/>
  <c r="BI879" i="1" s="1"/>
  <c r="BK879" i="1" s="1"/>
  <c r="BF879" i="1"/>
  <c r="BG879" i="1" s="1"/>
  <c r="BO878" i="1"/>
  <c r="BH878" i="1"/>
  <c r="BI878" i="1" s="1"/>
  <c r="BK878" i="1" s="1"/>
  <c r="BF878" i="1"/>
  <c r="BG878" i="1" s="1"/>
  <c r="BO877" i="1"/>
  <c r="BH877" i="1"/>
  <c r="BI877" i="1" s="1"/>
  <c r="BK877" i="1" s="1"/>
  <c r="BF877" i="1"/>
  <c r="BG877" i="1" s="1"/>
  <c r="BO876" i="1"/>
  <c r="BH876" i="1"/>
  <c r="BI876" i="1" s="1"/>
  <c r="BK876" i="1" s="1"/>
  <c r="BF876" i="1"/>
  <c r="BG876" i="1" s="1"/>
  <c r="BO875" i="1"/>
  <c r="BH875" i="1"/>
  <c r="BI875" i="1" s="1"/>
  <c r="BK875" i="1" s="1"/>
  <c r="BF875" i="1"/>
  <c r="BG875" i="1" s="1"/>
  <c r="BO874" i="1"/>
  <c r="BH874" i="1"/>
  <c r="BI874" i="1" s="1"/>
  <c r="BK874" i="1" s="1"/>
  <c r="BF874" i="1"/>
  <c r="BG874" i="1" s="1"/>
  <c r="AZ933" i="1"/>
  <c r="AW933" i="1"/>
  <c r="AO933" i="1" s="1"/>
  <c r="AZ932" i="1"/>
  <c r="AW932" i="1"/>
  <c r="AO932" i="1" s="1"/>
  <c r="AZ931" i="1"/>
  <c r="AW931" i="1"/>
  <c r="AY931" i="1" s="1"/>
  <c r="AZ930" i="1"/>
  <c r="AW930" i="1"/>
  <c r="AZ929" i="1"/>
  <c r="AW929" i="1"/>
  <c r="AY929" i="1" s="1"/>
  <c r="AZ928" i="1"/>
  <c r="AW928" i="1"/>
  <c r="BB928" i="1" s="1"/>
  <c r="AZ927" i="1"/>
  <c r="AW927" i="1"/>
  <c r="AO927" i="1" s="1"/>
  <c r="AZ926" i="1"/>
  <c r="AW926" i="1"/>
  <c r="AY926" i="1" s="1"/>
  <c r="AZ925" i="1"/>
  <c r="AW925" i="1"/>
  <c r="AO925" i="1" s="1"/>
  <c r="AZ924" i="1"/>
  <c r="AW924" i="1"/>
  <c r="AY924" i="1" s="1"/>
  <c r="AZ923" i="1"/>
  <c r="AW923" i="1"/>
  <c r="AZ922" i="1"/>
  <c r="AW922" i="1"/>
  <c r="AO922" i="1" s="1"/>
  <c r="AZ921" i="1"/>
  <c r="AW921" i="1"/>
  <c r="AO921" i="1" s="1"/>
  <c r="AZ920" i="1"/>
  <c r="AW920" i="1"/>
  <c r="AO920" i="1" s="1"/>
  <c r="AZ919" i="1"/>
  <c r="AW919" i="1"/>
  <c r="AY919" i="1" s="1"/>
  <c r="AZ918" i="1"/>
  <c r="AW918" i="1"/>
  <c r="AZ917" i="1"/>
  <c r="AW917" i="1"/>
  <c r="AO917" i="1" s="1"/>
  <c r="AZ916" i="1"/>
  <c r="AW916" i="1"/>
  <c r="BB916" i="1" s="1"/>
  <c r="AZ915" i="1"/>
  <c r="AW915" i="1"/>
  <c r="BB915" i="1" s="1"/>
  <c r="AZ914" i="1"/>
  <c r="AW914" i="1"/>
  <c r="AY914" i="1" s="1"/>
  <c r="AZ913" i="1"/>
  <c r="AW913" i="1"/>
  <c r="AO913" i="1" s="1"/>
  <c r="AZ912" i="1"/>
  <c r="AW912" i="1"/>
  <c r="AY912" i="1" s="1"/>
  <c r="AZ911" i="1"/>
  <c r="AW911" i="1"/>
  <c r="AZ910" i="1"/>
  <c r="AW910" i="1"/>
  <c r="AY910" i="1" s="1"/>
  <c r="AZ909" i="1"/>
  <c r="AW909" i="1"/>
  <c r="AO909" i="1" s="1"/>
  <c r="AZ908" i="1"/>
  <c r="AW908" i="1"/>
  <c r="BB908" i="1" s="1"/>
  <c r="AZ907" i="1"/>
  <c r="AW907" i="1"/>
  <c r="AY907" i="1" s="1"/>
  <c r="AZ906" i="1"/>
  <c r="AW906" i="1"/>
  <c r="AZ905" i="1"/>
  <c r="AW905" i="1"/>
  <c r="AY905" i="1" s="1"/>
  <c r="AZ904" i="1"/>
  <c r="AW904" i="1"/>
  <c r="AZ903" i="1"/>
  <c r="AW903" i="1"/>
  <c r="AO903" i="1" s="1"/>
  <c r="AZ902" i="1"/>
  <c r="AW902" i="1"/>
  <c r="AY902" i="1" s="1"/>
  <c r="AZ901" i="1"/>
  <c r="AW901" i="1"/>
  <c r="AO901" i="1" s="1"/>
  <c r="AZ900" i="1"/>
  <c r="AW900" i="1"/>
  <c r="AY900" i="1" s="1"/>
  <c r="AZ899" i="1"/>
  <c r="AW899" i="1"/>
  <c r="AY899" i="1" s="1"/>
  <c r="AZ898" i="1"/>
  <c r="AW898" i="1"/>
  <c r="BB898" i="1" s="1"/>
  <c r="AZ897" i="1"/>
  <c r="AW897" i="1"/>
  <c r="AZ896" i="1"/>
  <c r="AW896" i="1"/>
  <c r="AO896" i="1" s="1"/>
  <c r="AZ895" i="1"/>
  <c r="AW895" i="1"/>
  <c r="AY895" i="1" s="1"/>
  <c r="AZ894" i="1"/>
  <c r="AW894" i="1"/>
  <c r="BB894" i="1" s="1"/>
  <c r="AZ893" i="1"/>
  <c r="AW893" i="1"/>
  <c r="AO893" i="1" s="1"/>
  <c r="AZ892" i="1"/>
  <c r="AW892" i="1"/>
  <c r="AZ891" i="1"/>
  <c r="AW891" i="1"/>
  <c r="BB891" i="1" s="1"/>
  <c r="AZ890" i="1"/>
  <c r="AW890" i="1"/>
  <c r="AY890" i="1" s="1"/>
  <c r="AZ889" i="1"/>
  <c r="AW889" i="1"/>
  <c r="BB889" i="1" s="1"/>
  <c r="AZ888" i="1"/>
  <c r="AW888" i="1"/>
  <c r="AY888" i="1" s="1"/>
  <c r="AZ887" i="1"/>
  <c r="AW887" i="1"/>
  <c r="BB887" i="1" s="1"/>
  <c r="AZ886" i="1"/>
  <c r="AW886" i="1"/>
  <c r="AO886" i="1" s="1"/>
  <c r="AZ885" i="1"/>
  <c r="AW885" i="1"/>
  <c r="AZ884" i="1"/>
  <c r="AW884" i="1"/>
  <c r="BB884" i="1" s="1"/>
  <c r="AZ883" i="1"/>
  <c r="AW883" i="1"/>
  <c r="AY883" i="1" s="1"/>
  <c r="AZ882" i="1"/>
  <c r="AW882" i="1"/>
  <c r="BB882" i="1" s="1"/>
  <c r="AZ881" i="1"/>
  <c r="AW881" i="1"/>
  <c r="BB881" i="1" s="1"/>
  <c r="AZ880" i="1"/>
  <c r="AW880" i="1"/>
  <c r="AY880" i="1" s="1"/>
  <c r="AZ879" i="1"/>
  <c r="AW879" i="1"/>
  <c r="AO879" i="1" s="1"/>
  <c r="AZ878" i="1"/>
  <c r="AW878" i="1"/>
  <c r="AO878" i="1" s="1"/>
  <c r="AZ877" i="1"/>
  <c r="AW877" i="1"/>
  <c r="BB877" i="1" s="1"/>
  <c r="AZ876" i="1"/>
  <c r="AW876" i="1"/>
  <c r="AY876" i="1" s="1"/>
  <c r="AZ875" i="1"/>
  <c r="AW875" i="1"/>
  <c r="BB875" i="1" s="1"/>
  <c r="AZ874" i="1"/>
  <c r="AW874" i="1"/>
  <c r="BB874" i="1" s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O891" i="1" l="1"/>
  <c r="AR891" i="1" s="1"/>
  <c r="AO929" i="1"/>
  <c r="AR929" i="1" s="1"/>
  <c r="AS929" i="1" s="1"/>
  <c r="AO888" i="1"/>
  <c r="BM888" i="1" s="1"/>
  <c r="BM925" i="1"/>
  <c r="AO883" i="1"/>
  <c r="AR883" i="1" s="1"/>
  <c r="BB931" i="1"/>
  <c r="BB890" i="1"/>
  <c r="AO931" i="1"/>
  <c r="AR931" i="1" s="1"/>
  <c r="BM909" i="1"/>
  <c r="BA895" i="1"/>
  <c r="BA907" i="1"/>
  <c r="AY927" i="1"/>
  <c r="BA927" i="1" s="1"/>
  <c r="BB927" i="1"/>
  <c r="BM922" i="1"/>
  <c r="BB883" i="1"/>
  <c r="BA929" i="1"/>
  <c r="BM921" i="1"/>
  <c r="AO915" i="1"/>
  <c r="BM915" i="1" s="1"/>
  <c r="BB905" i="1"/>
  <c r="BB878" i="1"/>
  <c r="BB888" i="1"/>
  <c r="AO876" i="1"/>
  <c r="BM876" i="1" s="1"/>
  <c r="AO887" i="1"/>
  <c r="AR887" i="1" s="1"/>
  <c r="AO919" i="1"/>
  <c r="AR919" i="1" s="1"/>
  <c r="BA902" i="1"/>
  <c r="BM927" i="1"/>
  <c r="AO881" i="1"/>
  <c r="BM881" i="1" s="1"/>
  <c r="AO882" i="1"/>
  <c r="BM882" i="1" s="1"/>
  <c r="BA914" i="1"/>
  <c r="BA926" i="1"/>
  <c r="BM901" i="1"/>
  <c r="AO905" i="1"/>
  <c r="BM905" i="1" s="1"/>
  <c r="AY879" i="1"/>
  <c r="BA879" i="1" s="1"/>
  <c r="BM879" i="1"/>
  <c r="BM920" i="1"/>
  <c r="BM917" i="1"/>
  <c r="BM886" i="1"/>
  <c r="BM933" i="1"/>
  <c r="BM903" i="1"/>
  <c r="BM932" i="1"/>
  <c r="AO912" i="1"/>
  <c r="BM912" i="1" s="1"/>
  <c r="BA876" i="1"/>
  <c r="BB902" i="1"/>
  <c r="BB876" i="1"/>
  <c r="AO874" i="1"/>
  <c r="BM874" i="1" s="1"/>
  <c r="AO907" i="1"/>
  <c r="BM907" i="1" s="1"/>
  <c r="AO924" i="1"/>
  <c r="BM924" i="1" s="1"/>
  <c r="AY915" i="1"/>
  <c r="BA915" i="1" s="1"/>
  <c r="AO900" i="1"/>
  <c r="AR900" i="1" s="1"/>
  <c r="BM896" i="1"/>
  <c r="BB924" i="1"/>
  <c r="BM913" i="1"/>
  <c r="BM893" i="1"/>
  <c r="BB879" i="1"/>
  <c r="BB919" i="1"/>
  <c r="BB929" i="1"/>
  <c r="AO902" i="1"/>
  <c r="AR902" i="1" s="1"/>
  <c r="BA905" i="1"/>
  <c r="AY903" i="1"/>
  <c r="BA903" i="1" s="1"/>
  <c r="BB912" i="1"/>
  <c r="BB926" i="1"/>
  <c r="AO889" i="1"/>
  <c r="BM889" i="1" s="1"/>
  <c r="AO894" i="1"/>
  <c r="AR894" i="1" s="1"/>
  <c r="AO926" i="1"/>
  <c r="BM926" i="1" s="1"/>
  <c r="BA880" i="1"/>
  <c r="BA890" i="1"/>
  <c r="BB893" i="1"/>
  <c r="BA899" i="1"/>
  <c r="BB907" i="1"/>
  <c r="AY917" i="1"/>
  <c r="BA917" i="1" s="1"/>
  <c r="BA931" i="1"/>
  <c r="BB903" i="1"/>
  <c r="AY891" i="1"/>
  <c r="BA891" i="1" s="1"/>
  <c r="BB900" i="1"/>
  <c r="BB914" i="1"/>
  <c r="AO884" i="1"/>
  <c r="BM884" i="1" s="1"/>
  <c r="AR903" i="1"/>
  <c r="AR927" i="1"/>
  <c r="AY881" i="1"/>
  <c r="BA881" i="1" s="1"/>
  <c r="BA900" i="1"/>
  <c r="AR878" i="1"/>
  <c r="AO890" i="1"/>
  <c r="AR890" i="1" s="1"/>
  <c r="AO895" i="1"/>
  <c r="BM895" i="1" s="1"/>
  <c r="BB895" i="1"/>
  <c r="BA910" i="1"/>
  <c r="BA919" i="1"/>
  <c r="BA924" i="1"/>
  <c r="BM878" i="1"/>
  <c r="AY893" i="1"/>
  <c r="BA893" i="1" s="1"/>
  <c r="BA912" i="1"/>
  <c r="AO914" i="1"/>
  <c r="AR914" i="1" s="1"/>
  <c r="BB917" i="1"/>
  <c r="AO908" i="1"/>
  <c r="BM908" i="1" s="1"/>
  <c r="AO875" i="1"/>
  <c r="AR920" i="1"/>
  <c r="BA883" i="1"/>
  <c r="BA888" i="1"/>
  <c r="AY877" i="1"/>
  <c r="BA877" i="1" s="1"/>
  <c r="AY889" i="1"/>
  <c r="BA889" i="1" s="1"/>
  <c r="AY901" i="1"/>
  <c r="BA901" i="1" s="1"/>
  <c r="AY922" i="1"/>
  <c r="BA922" i="1" s="1"/>
  <c r="AY916" i="1"/>
  <c r="BA916" i="1" s="1"/>
  <c r="AO877" i="1"/>
  <c r="AR877" i="1" s="1"/>
  <c r="AO910" i="1"/>
  <c r="AR910" i="1" s="1"/>
  <c r="AO928" i="1"/>
  <c r="AR928" i="1" s="1"/>
  <c r="BB886" i="1"/>
  <c r="BB901" i="1"/>
  <c r="BB910" i="1"/>
  <c r="BB925" i="1"/>
  <c r="AO911" i="1"/>
  <c r="AR911" i="1" s="1"/>
  <c r="BB911" i="1"/>
  <c r="AO923" i="1"/>
  <c r="AR923" i="1" s="1"/>
  <c r="BB923" i="1"/>
  <c r="AY875" i="1"/>
  <c r="BA875" i="1" s="1"/>
  <c r="AY884" i="1"/>
  <c r="BA884" i="1" s="1"/>
  <c r="AY908" i="1"/>
  <c r="BA908" i="1" s="1"/>
  <c r="AY923" i="1"/>
  <c r="BA923" i="1" s="1"/>
  <c r="AO898" i="1"/>
  <c r="AO916" i="1"/>
  <c r="AR916" i="1" s="1"/>
  <c r="AR922" i="1"/>
  <c r="AR896" i="1"/>
  <c r="AR901" i="1"/>
  <c r="AR917" i="1"/>
  <c r="AR932" i="1"/>
  <c r="BB880" i="1"/>
  <c r="AO880" i="1"/>
  <c r="AR880" i="1" s="1"/>
  <c r="AY886" i="1"/>
  <c r="BA886" i="1" s="1"/>
  <c r="BB892" i="1"/>
  <c r="AO892" i="1"/>
  <c r="AR892" i="1" s="1"/>
  <c r="AY898" i="1"/>
  <c r="BA898" i="1" s="1"/>
  <c r="AO904" i="1"/>
  <c r="AR904" i="1" s="1"/>
  <c r="BB904" i="1"/>
  <c r="AY913" i="1"/>
  <c r="BA913" i="1" s="1"/>
  <c r="AY925" i="1"/>
  <c r="BA925" i="1" s="1"/>
  <c r="AY892" i="1"/>
  <c r="BA892" i="1" s="1"/>
  <c r="AY904" i="1"/>
  <c r="BA904" i="1" s="1"/>
  <c r="AY928" i="1"/>
  <c r="BA928" i="1" s="1"/>
  <c r="BB913" i="1"/>
  <c r="BB922" i="1"/>
  <c r="BB899" i="1"/>
  <c r="AO899" i="1"/>
  <c r="AR899" i="1" s="1"/>
  <c r="AY887" i="1"/>
  <c r="BA887" i="1" s="1"/>
  <c r="AY896" i="1"/>
  <c r="BA896" i="1" s="1"/>
  <c r="AY911" i="1"/>
  <c r="BA911" i="1" s="1"/>
  <c r="AY920" i="1"/>
  <c r="BA920" i="1" s="1"/>
  <c r="AY932" i="1"/>
  <c r="BA932" i="1" s="1"/>
  <c r="AR879" i="1"/>
  <c r="BB896" i="1"/>
  <c r="AO906" i="1"/>
  <c r="AR906" i="1" s="1"/>
  <c r="BB906" i="1"/>
  <c r="AO918" i="1"/>
  <c r="AR918" i="1" s="1"/>
  <c r="BB918" i="1"/>
  <c r="BB920" i="1"/>
  <c r="AO930" i="1"/>
  <c r="AR930" i="1" s="1"/>
  <c r="BB930" i="1"/>
  <c r="BB932" i="1"/>
  <c r="AY882" i="1"/>
  <c r="BA882" i="1" s="1"/>
  <c r="BB885" i="1"/>
  <c r="AO885" i="1"/>
  <c r="AR885" i="1" s="1"/>
  <c r="AY885" i="1"/>
  <c r="BA885" i="1" s="1"/>
  <c r="AY894" i="1"/>
  <c r="BA894" i="1" s="1"/>
  <c r="BB897" i="1"/>
  <c r="AO897" i="1"/>
  <c r="BM897" i="1" s="1"/>
  <c r="AY897" i="1"/>
  <c r="BA897" i="1" s="1"/>
  <c r="AY906" i="1"/>
  <c r="BA906" i="1" s="1"/>
  <c r="BB909" i="1"/>
  <c r="AY909" i="1"/>
  <c r="BA909" i="1" s="1"/>
  <c r="AY918" i="1"/>
  <c r="BA918" i="1" s="1"/>
  <c r="BB921" i="1"/>
  <c r="AY921" i="1"/>
  <c r="BA921" i="1" s="1"/>
  <c r="AY930" i="1"/>
  <c r="BA930" i="1" s="1"/>
  <c r="BB933" i="1"/>
  <c r="AY933" i="1"/>
  <c r="BA933" i="1" s="1"/>
  <c r="AR913" i="1"/>
  <c r="AR909" i="1"/>
  <c r="AR921" i="1"/>
  <c r="AR925" i="1"/>
  <c r="AY878" i="1"/>
  <c r="BA878" i="1" s="1"/>
  <c r="AR888" i="1"/>
  <c r="AR933" i="1"/>
  <c r="AR886" i="1"/>
  <c r="AR893" i="1"/>
  <c r="AY874" i="1"/>
  <c r="BA874" i="1" s="1"/>
  <c r="AL867" i="1"/>
  <c r="BM929" i="1" l="1"/>
  <c r="BM919" i="1"/>
  <c r="AR908" i="1"/>
  <c r="AS908" i="1" s="1"/>
  <c r="BM891" i="1"/>
  <c r="BM883" i="1"/>
  <c r="BM931" i="1"/>
  <c r="BM887" i="1"/>
  <c r="AR915" i="1"/>
  <c r="AS915" i="1" s="1"/>
  <c r="AR876" i="1"/>
  <c r="AS876" i="1" s="1"/>
  <c r="AR912" i="1"/>
  <c r="AS912" i="1" s="1"/>
  <c r="AR897" i="1"/>
  <c r="AS897" i="1" s="1"/>
  <c r="AR905" i="1"/>
  <c r="BP905" i="1" s="1"/>
  <c r="AR889" i="1"/>
  <c r="BP889" i="1" s="1"/>
  <c r="BM914" i="1"/>
  <c r="AR882" i="1"/>
  <c r="BP882" i="1" s="1"/>
  <c r="AR907" i="1"/>
  <c r="AS907" i="1" s="1"/>
  <c r="AR881" i="1"/>
  <c r="BP881" i="1" s="1"/>
  <c r="BM894" i="1"/>
  <c r="BM906" i="1"/>
  <c r="BM890" i="1"/>
  <c r="AR895" i="1"/>
  <c r="AS895" i="1" s="1"/>
  <c r="AR926" i="1"/>
  <c r="AS926" i="1" s="1"/>
  <c r="BP929" i="1"/>
  <c r="AR924" i="1"/>
  <c r="BM916" i="1"/>
  <c r="BM900" i="1"/>
  <c r="BM902" i="1"/>
  <c r="BM880" i="1"/>
  <c r="AR874" i="1"/>
  <c r="AS874" i="1" s="1"/>
  <c r="BM930" i="1"/>
  <c r="AS928" i="1"/>
  <c r="BP928" i="1"/>
  <c r="AS910" i="1"/>
  <c r="BP910" i="1"/>
  <c r="AS885" i="1"/>
  <c r="BP885" i="1"/>
  <c r="AS918" i="1"/>
  <c r="BP918" i="1"/>
  <c r="BM928" i="1"/>
  <c r="AS900" i="1"/>
  <c r="BP900" i="1"/>
  <c r="AS906" i="1"/>
  <c r="BP906" i="1"/>
  <c r="AS902" i="1"/>
  <c r="BP902" i="1"/>
  <c r="AS932" i="1"/>
  <c r="BP932" i="1"/>
  <c r="AS886" i="1"/>
  <c r="BP886" i="1"/>
  <c r="AS917" i="1"/>
  <c r="BP917" i="1"/>
  <c r="AS891" i="1"/>
  <c r="BP891" i="1"/>
  <c r="AS903" i="1"/>
  <c r="BP903" i="1"/>
  <c r="BM918" i="1"/>
  <c r="AS933" i="1"/>
  <c r="BP933" i="1"/>
  <c r="AS890" i="1"/>
  <c r="BP890" i="1"/>
  <c r="AS883" i="1"/>
  <c r="BP883" i="1"/>
  <c r="AS894" i="1"/>
  <c r="BP894" i="1"/>
  <c r="BM885" i="1"/>
  <c r="BM899" i="1"/>
  <c r="AS921" i="1"/>
  <c r="BP921" i="1"/>
  <c r="AS893" i="1"/>
  <c r="BP893" i="1"/>
  <c r="AS914" i="1"/>
  <c r="BP914" i="1"/>
  <c r="AS909" i="1"/>
  <c r="BP909" i="1"/>
  <c r="AR884" i="1"/>
  <c r="AS901" i="1"/>
  <c r="BP901" i="1"/>
  <c r="AS911" i="1"/>
  <c r="BP911" i="1"/>
  <c r="AS878" i="1"/>
  <c r="BP878" i="1"/>
  <c r="BM911" i="1"/>
  <c r="BM910" i="1"/>
  <c r="AS920" i="1"/>
  <c r="BP920" i="1"/>
  <c r="BM904" i="1"/>
  <c r="AS899" i="1"/>
  <c r="BP899" i="1"/>
  <c r="AR898" i="1"/>
  <c r="BM898" i="1"/>
  <c r="AS931" i="1"/>
  <c r="BP931" i="1"/>
  <c r="AS925" i="1"/>
  <c r="BP925" i="1"/>
  <c r="AR875" i="1"/>
  <c r="BM875" i="1"/>
  <c r="BM877" i="1"/>
  <c r="AS879" i="1"/>
  <c r="BP879" i="1"/>
  <c r="AS913" i="1"/>
  <c r="BP913" i="1"/>
  <c r="AS888" i="1"/>
  <c r="BP888" i="1"/>
  <c r="AS904" i="1"/>
  <c r="BP904" i="1"/>
  <c r="AS922" i="1"/>
  <c r="BP922" i="1"/>
  <c r="BM892" i="1"/>
  <c r="AS892" i="1"/>
  <c r="BP892" i="1"/>
  <c r="AS887" i="1"/>
  <c r="BP887" i="1"/>
  <c r="AS919" i="1"/>
  <c r="BP919" i="1"/>
  <c r="AS880" i="1"/>
  <c r="BP880" i="1"/>
  <c r="AS877" i="1"/>
  <c r="BP877" i="1"/>
  <c r="AS923" i="1"/>
  <c r="BP923" i="1"/>
  <c r="AS896" i="1"/>
  <c r="BP896" i="1"/>
  <c r="AS930" i="1"/>
  <c r="BP930" i="1"/>
  <c r="AS916" i="1"/>
  <c r="BP916" i="1"/>
  <c r="AS927" i="1"/>
  <c r="BP927" i="1"/>
  <c r="BM923" i="1"/>
  <c r="AL866" i="1"/>
  <c r="BP908" i="1" l="1"/>
  <c r="AS889" i="1"/>
  <c r="AS905" i="1"/>
  <c r="BP876" i="1"/>
  <c r="BP912" i="1"/>
  <c r="AS881" i="1"/>
  <c r="BP915" i="1"/>
  <c r="BP907" i="1"/>
  <c r="BP897" i="1"/>
  <c r="AS882" i="1"/>
  <c r="BP895" i="1"/>
  <c r="BP874" i="1"/>
  <c r="BP926" i="1"/>
  <c r="AS924" i="1"/>
  <c r="BP924" i="1"/>
  <c r="AS884" i="1"/>
  <c r="BP884" i="1"/>
  <c r="AS875" i="1"/>
  <c r="BP875" i="1"/>
  <c r="AS898" i="1"/>
  <c r="BP898" i="1"/>
  <c r="AN873" i="1"/>
  <c r="AM873" i="1"/>
  <c r="AL873" i="1"/>
  <c r="AM872" i="1"/>
  <c r="AL872" i="1"/>
  <c r="AM871" i="1"/>
  <c r="AL871" i="1"/>
  <c r="Y870" i="1"/>
  <c r="AM870" i="1" s="1"/>
  <c r="AL870" i="1"/>
  <c r="Y869" i="1"/>
  <c r="AM869" i="1"/>
  <c r="AL869" i="1"/>
  <c r="Y868" i="1"/>
  <c r="AM868" i="1" s="1"/>
  <c r="AL868" i="1"/>
  <c r="AM867" i="1"/>
  <c r="Y866" i="1"/>
  <c r="AM866" i="1" s="1"/>
  <c r="AN865" i="1"/>
  <c r="AM865" i="1"/>
  <c r="AL865" i="1"/>
  <c r="AN864" i="1"/>
  <c r="AM864" i="1"/>
  <c r="AL864" i="1"/>
  <c r="AM863" i="1"/>
  <c r="AL863" i="1"/>
  <c r="Y862" i="1"/>
  <c r="AM862" i="1" s="1"/>
  <c r="AL862" i="1"/>
  <c r="Y861" i="1"/>
  <c r="AM861" i="1" s="1"/>
  <c r="AL861" i="1"/>
  <c r="AM860" i="1"/>
  <c r="AL860" i="1"/>
  <c r="AM859" i="1"/>
  <c r="AL859" i="1"/>
  <c r="AK831" i="1" l="1"/>
  <c r="Y830" i="1"/>
  <c r="Y826" i="1"/>
  <c r="AK858" i="1"/>
  <c r="AK857" i="1"/>
  <c r="AN855" i="1"/>
  <c r="AM855" i="1"/>
  <c r="AL855" i="1"/>
  <c r="AK855" i="1"/>
  <c r="AM854" i="1"/>
  <c r="AL854" i="1"/>
  <c r="AK854" i="1"/>
  <c r="AM853" i="1"/>
  <c r="AL853" i="1"/>
  <c r="AK853" i="1"/>
  <c r="AM852" i="1"/>
  <c r="AL852" i="1"/>
  <c r="AK852" i="1"/>
  <c r="AM851" i="1"/>
  <c r="AL851" i="1"/>
  <c r="AK851" i="1"/>
  <c r="AM850" i="1"/>
  <c r="AL850" i="1"/>
  <c r="AK850" i="1"/>
  <c r="AM849" i="1"/>
  <c r="AL849" i="1"/>
  <c r="AK849" i="1"/>
  <c r="AK848" i="1"/>
  <c r="AM840" i="1"/>
  <c r="AL840" i="1"/>
  <c r="AK840" i="1"/>
  <c r="AM839" i="1"/>
  <c r="AK839" i="1"/>
  <c r="AM838" i="1"/>
  <c r="AL838" i="1"/>
  <c r="AK838" i="1"/>
  <c r="AM837" i="1"/>
  <c r="AL837" i="1"/>
  <c r="AK837" i="1"/>
  <c r="AM836" i="1"/>
  <c r="AL836" i="1"/>
  <c r="AK836" i="1"/>
  <c r="AM835" i="1"/>
  <c r="AL835" i="1"/>
  <c r="AK835" i="1"/>
  <c r="AM834" i="1"/>
  <c r="AL834" i="1"/>
  <c r="AK834" i="1"/>
  <c r="AM833" i="1"/>
  <c r="AL833" i="1"/>
  <c r="AK833" i="1"/>
  <c r="AM832" i="1"/>
  <c r="AL832" i="1"/>
  <c r="AK832" i="1"/>
  <c r="AM830" i="1"/>
  <c r="AL830" i="1"/>
  <c r="AK830" i="1"/>
  <c r="AM829" i="1"/>
  <c r="AL829" i="1"/>
  <c r="AK829" i="1"/>
  <c r="AM828" i="1"/>
  <c r="AL828" i="1"/>
  <c r="AK828" i="1"/>
  <c r="AM827" i="1"/>
  <c r="AL827" i="1"/>
  <c r="AK827" i="1"/>
  <c r="AM826" i="1"/>
  <c r="AL826" i="1"/>
  <c r="AK826" i="1"/>
  <c r="AK825" i="1"/>
  <c r="AK824" i="1"/>
  <c r="BO873" i="1" l="1"/>
  <c r="BH873" i="1"/>
  <c r="BI873" i="1" s="1"/>
  <c r="BK873" i="1" s="1"/>
  <c r="BF873" i="1"/>
  <c r="BG873" i="1" s="1"/>
  <c r="BO872" i="1"/>
  <c r="BH872" i="1"/>
  <c r="BI872" i="1" s="1"/>
  <c r="BK872" i="1" s="1"/>
  <c r="BF872" i="1"/>
  <c r="BG872" i="1" s="1"/>
  <c r="BO871" i="1"/>
  <c r="BH871" i="1"/>
  <c r="BI871" i="1" s="1"/>
  <c r="BK871" i="1" s="1"/>
  <c r="BF871" i="1"/>
  <c r="BG871" i="1" s="1"/>
  <c r="BO870" i="1"/>
  <c r="BH870" i="1"/>
  <c r="BI870" i="1" s="1"/>
  <c r="BK870" i="1" s="1"/>
  <c r="BF870" i="1"/>
  <c r="BG870" i="1" s="1"/>
  <c r="BO869" i="1"/>
  <c r="BH869" i="1"/>
  <c r="BI869" i="1" s="1"/>
  <c r="BK869" i="1" s="1"/>
  <c r="BF869" i="1"/>
  <c r="BG869" i="1" s="1"/>
  <c r="BO868" i="1"/>
  <c r="BH868" i="1"/>
  <c r="BI868" i="1" s="1"/>
  <c r="BK868" i="1" s="1"/>
  <c r="BF868" i="1"/>
  <c r="BG868" i="1" s="1"/>
  <c r="BO867" i="1"/>
  <c r="BH867" i="1"/>
  <c r="BI867" i="1" s="1"/>
  <c r="BK867" i="1" s="1"/>
  <c r="BF867" i="1"/>
  <c r="BG867" i="1" s="1"/>
  <c r="BO866" i="1"/>
  <c r="BH866" i="1"/>
  <c r="BI866" i="1" s="1"/>
  <c r="BK866" i="1" s="1"/>
  <c r="BF866" i="1"/>
  <c r="BG866" i="1" s="1"/>
  <c r="BO865" i="1"/>
  <c r="BH865" i="1"/>
  <c r="BI865" i="1" s="1"/>
  <c r="BK865" i="1" s="1"/>
  <c r="BF865" i="1"/>
  <c r="BG865" i="1" s="1"/>
  <c r="BO864" i="1"/>
  <c r="BH864" i="1"/>
  <c r="BI864" i="1" s="1"/>
  <c r="BK864" i="1" s="1"/>
  <c r="BF864" i="1"/>
  <c r="BG864" i="1" s="1"/>
  <c r="BO863" i="1"/>
  <c r="BH863" i="1"/>
  <c r="BI863" i="1" s="1"/>
  <c r="BK863" i="1" s="1"/>
  <c r="BF863" i="1"/>
  <c r="BG863" i="1" s="1"/>
  <c r="BO862" i="1"/>
  <c r="BH862" i="1"/>
  <c r="BI862" i="1" s="1"/>
  <c r="BK862" i="1" s="1"/>
  <c r="BF862" i="1"/>
  <c r="BG862" i="1" s="1"/>
  <c r="BO861" i="1"/>
  <c r="BH861" i="1"/>
  <c r="BI861" i="1" s="1"/>
  <c r="BK861" i="1" s="1"/>
  <c r="BF861" i="1"/>
  <c r="BG861" i="1" s="1"/>
  <c r="BO860" i="1"/>
  <c r="BH860" i="1"/>
  <c r="BI860" i="1" s="1"/>
  <c r="BK860" i="1" s="1"/>
  <c r="BF860" i="1"/>
  <c r="BG860" i="1" s="1"/>
  <c r="BO859" i="1"/>
  <c r="BH859" i="1"/>
  <c r="BI859" i="1" s="1"/>
  <c r="BK859" i="1" s="1"/>
  <c r="BF859" i="1"/>
  <c r="BG859" i="1" s="1"/>
  <c r="BO858" i="1"/>
  <c r="BH858" i="1"/>
  <c r="BI858" i="1" s="1"/>
  <c r="BK858" i="1" s="1"/>
  <c r="BF858" i="1"/>
  <c r="BG858" i="1" s="1"/>
  <c r="BO857" i="1"/>
  <c r="BH857" i="1"/>
  <c r="BI857" i="1" s="1"/>
  <c r="BK857" i="1" s="1"/>
  <c r="BF857" i="1"/>
  <c r="BG857" i="1" s="1"/>
  <c r="BO856" i="1"/>
  <c r="BH856" i="1"/>
  <c r="BI856" i="1" s="1"/>
  <c r="BK856" i="1" s="1"/>
  <c r="BF856" i="1"/>
  <c r="BG856" i="1" s="1"/>
  <c r="BO855" i="1"/>
  <c r="BH855" i="1"/>
  <c r="BI855" i="1" s="1"/>
  <c r="BK855" i="1" s="1"/>
  <c r="BF855" i="1"/>
  <c r="BG855" i="1" s="1"/>
  <c r="BO854" i="1"/>
  <c r="BH854" i="1"/>
  <c r="BI854" i="1" s="1"/>
  <c r="BK854" i="1" s="1"/>
  <c r="BF854" i="1"/>
  <c r="BG854" i="1" s="1"/>
  <c r="BO853" i="1"/>
  <c r="BH853" i="1"/>
  <c r="BI853" i="1" s="1"/>
  <c r="BK853" i="1" s="1"/>
  <c r="BF853" i="1"/>
  <c r="BG853" i="1" s="1"/>
  <c r="BO852" i="1"/>
  <c r="BH852" i="1"/>
  <c r="BI852" i="1" s="1"/>
  <c r="BK852" i="1" s="1"/>
  <c r="BF852" i="1"/>
  <c r="BG852" i="1" s="1"/>
  <c r="BO851" i="1"/>
  <c r="BH851" i="1"/>
  <c r="BI851" i="1" s="1"/>
  <c r="BK851" i="1" s="1"/>
  <c r="BF851" i="1"/>
  <c r="BG851" i="1" s="1"/>
  <c r="BO850" i="1"/>
  <c r="BH850" i="1"/>
  <c r="BI850" i="1" s="1"/>
  <c r="BK850" i="1" s="1"/>
  <c r="BF850" i="1"/>
  <c r="BG850" i="1" s="1"/>
  <c r="BO849" i="1"/>
  <c r="BH849" i="1"/>
  <c r="BI849" i="1" s="1"/>
  <c r="BK849" i="1" s="1"/>
  <c r="BF849" i="1"/>
  <c r="BG849" i="1" s="1"/>
  <c r="BO848" i="1"/>
  <c r="BH848" i="1"/>
  <c r="BI848" i="1" s="1"/>
  <c r="BK848" i="1" s="1"/>
  <c r="BF848" i="1"/>
  <c r="BG848" i="1" s="1"/>
  <c r="BO847" i="1"/>
  <c r="BH847" i="1"/>
  <c r="BI847" i="1" s="1"/>
  <c r="BK847" i="1" s="1"/>
  <c r="BF847" i="1"/>
  <c r="BG847" i="1" s="1"/>
  <c r="BO846" i="1"/>
  <c r="BH846" i="1"/>
  <c r="BI846" i="1" s="1"/>
  <c r="BK846" i="1" s="1"/>
  <c r="BF846" i="1"/>
  <c r="BG846" i="1" s="1"/>
  <c r="BO845" i="1"/>
  <c r="BH845" i="1"/>
  <c r="BI845" i="1" s="1"/>
  <c r="BK845" i="1" s="1"/>
  <c r="BF845" i="1"/>
  <c r="BG845" i="1" s="1"/>
  <c r="BO844" i="1"/>
  <c r="BH844" i="1"/>
  <c r="BI844" i="1" s="1"/>
  <c r="BK844" i="1" s="1"/>
  <c r="BF844" i="1"/>
  <c r="BG844" i="1" s="1"/>
  <c r="BO843" i="1"/>
  <c r="BH843" i="1"/>
  <c r="BI843" i="1" s="1"/>
  <c r="BK843" i="1" s="1"/>
  <c r="BF843" i="1"/>
  <c r="BG843" i="1" s="1"/>
  <c r="BO842" i="1"/>
  <c r="BH842" i="1"/>
  <c r="BI842" i="1" s="1"/>
  <c r="BK842" i="1" s="1"/>
  <c r="BF842" i="1"/>
  <c r="BG842" i="1" s="1"/>
  <c r="BO841" i="1"/>
  <c r="BH841" i="1"/>
  <c r="BI841" i="1" s="1"/>
  <c r="BK841" i="1" s="1"/>
  <c r="BF841" i="1"/>
  <c r="BG841" i="1" s="1"/>
  <c r="BO840" i="1"/>
  <c r="BH840" i="1"/>
  <c r="BI840" i="1" s="1"/>
  <c r="BK840" i="1" s="1"/>
  <c r="BF840" i="1"/>
  <c r="BG840" i="1" s="1"/>
  <c r="BO839" i="1"/>
  <c r="BH839" i="1"/>
  <c r="BI839" i="1" s="1"/>
  <c r="BK839" i="1" s="1"/>
  <c r="BF839" i="1"/>
  <c r="BG839" i="1" s="1"/>
  <c r="BO838" i="1"/>
  <c r="BH838" i="1"/>
  <c r="BI838" i="1" s="1"/>
  <c r="BK838" i="1" s="1"/>
  <c r="BF838" i="1"/>
  <c r="BG838" i="1" s="1"/>
  <c r="BO837" i="1"/>
  <c r="BH837" i="1"/>
  <c r="BI837" i="1" s="1"/>
  <c r="BK837" i="1" s="1"/>
  <c r="BF837" i="1"/>
  <c r="BG837" i="1" s="1"/>
  <c r="BO836" i="1"/>
  <c r="BH836" i="1"/>
  <c r="BI836" i="1" s="1"/>
  <c r="BK836" i="1" s="1"/>
  <c r="BF836" i="1"/>
  <c r="BG836" i="1" s="1"/>
  <c r="BO835" i="1"/>
  <c r="BH835" i="1"/>
  <c r="BI835" i="1" s="1"/>
  <c r="BK835" i="1" s="1"/>
  <c r="BF835" i="1"/>
  <c r="BG835" i="1" s="1"/>
  <c r="BO834" i="1"/>
  <c r="BH834" i="1"/>
  <c r="BI834" i="1" s="1"/>
  <c r="BK834" i="1" s="1"/>
  <c r="BF834" i="1"/>
  <c r="BG834" i="1" s="1"/>
  <c r="BO833" i="1"/>
  <c r="BH833" i="1"/>
  <c r="BI833" i="1" s="1"/>
  <c r="BK833" i="1" s="1"/>
  <c r="BF833" i="1"/>
  <c r="BG833" i="1" s="1"/>
  <c r="BO832" i="1"/>
  <c r="BH832" i="1"/>
  <c r="BI832" i="1" s="1"/>
  <c r="BK832" i="1" s="1"/>
  <c r="BF832" i="1"/>
  <c r="BG832" i="1" s="1"/>
  <c r="BO831" i="1"/>
  <c r="BH831" i="1"/>
  <c r="BI831" i="1" s="1"/>
  <c r="BK831" i="1" s="1"/>
  <c r="BF831" i="1"/>
  <c r="BG831" i="1" s="1"/>
  <c r="BO830" i="1"/>
  <c r="BH830" i="1"/>
  <c r="BI830" i="1" s="1"/>
  <c r="BK830" i="1" s="1"/>
  <c r="BF830" i="1"/>
  <c r="BG830" i="1" s="1"/>
  <c r="BO829" i="1"/>
  <c r="BH829" i="1"/>
  <c r="BI829" i="1" s="1"/>
  <c r="BK829" i="1" s="1"/>
  <c r="BF829" i="1"/>
  <c r="BG829" i="1" s="1"/>
  <c r="BO828" i="1"/>
  <c r="BH828" i="1"/>
  <c r="BI828" i="1" s="1"/>
  <c r="BK828" i="1" s="1"/>
  <c r="BF828" i="1"/>
  <c r="BG828" i="1" s="1"/>
  <c r="AZ873" i="1"/>
  <c r="AW873" i="1"/>
  <c r="BB873" i="1" s="1"/>
  <c r="AZ872" i="1"/>
  <c r="AW872" i="1"/>
  <c r="BB872" i="1" s="1"/>
  <c r="AZ871" i="1"/>
  <c r="AW871" i="1"/>
  <c r="AY871" i="1" s="1"/>
  <c r="AZ870" i="1"/>
  <c r="AW870" i="1"/>
  <c r="BB870" i="1" s="1"/>
  <c r="AZ869" i="1"/>
  <c r="AW869" i="1"/>
  <c r="AO869" i="1" s="1"/>
  <c r="AZ868" i="1"/>
  <c r="AW868" i="1"/>
  <c r="AZ867" i="1"/>
  <c r="AW867" i="1"/>
  <c r="AO867" i="1" s="1"/>
  <c r="AZ866" i="1"/>
  <c r="AW866" i="1"/>
  <c r="AY866" i="1" s="1"/>
  <c r="AZ865" i="1"/>
  <c r="AW865" i="1"/>
  <c r="BB865" i="1" s="1"/>
  <c r="AZ864" i="1"/>
  <c r="AW864" i="1"/>
  <c r="AY864" i="1" s="1"/>
  <c r="AZ863" i="1"/>
  <c r="AW863" i="1"/>
  <c r="BB863" i="1" s="1"/>
  <c r="AZ862" i="1"/>
  <c r="AW862" i="1"/>
  <c r="AO862" i="1" s="1"/>
  <c r="AZ861" i="1"/>
  <c r="AW861" i="1"/>
  <c r="BB861" i="1" s="1"/>
  <c r="AZ860" i="1"/>
  <c r="AW860" i="1"/>
  <c r="AY860" i="1" s="1"/>
  <c r="AZ859" i="1"/>
  <c r="AW859" i="1"/>
  <c r="AY859" i="1" s="1"/>
  <c r="AZ858" i="1"/>
  <c r="AW858" i="1"/>
  <c r="AZ857" i="1"/>
  <c r="AW857" i="1"/>
  <c r="AO857" i="1" s="1"/>
  <c r="AZ856" i="1"/>
  <c r="AW856" i="1"/>
  <c r="AO856" i="1" s="1"/>
  <c r="AZ855" i="1"/>
  <c r="AW855" i="1"/>
  <c r="AO855" i="1" s="1"/>
  <c r="BM855" i="1" s="1"/>
  <c r="AZ854" i="1"/>
  <c r="AW854" i="1"/>
  <c r="AZ853" i="1"/>
  <c r="AW853" i="1"/>
  <c r="AZ852" i="1"/>
  <c r="AW852" i="1"/>
  <c r="AZ851" i="1"/>
  <c r="AW851" i="1"/>
  <c r="AZ850" i="1"/>
  <c r="AW850" i="1"/>
  <c r="AO850" i="1" s="1"/>
  <c r="AZ849" i="1"/>
  <c r="AW849" i="1"/>
  <c r="AZ848" i="1"/>
  <c r="AW848" i="1"/>
  <c r="AY848" i="1" s="1"/>
  <c r="AZ847" i="1"/>
  <c r="AW847" i="1"/>
  <c r="AY847" i="1" s="1"/>
  <c r="AZ846" i="1"/>
  <c r="AW846" i="1"/>
  <c r="BB846" i="1" s="1"/>
  <c r="AZ845" i="1"/>
  <c r="AW845" i="1"/>
  <c r="AZ844" i="1"/>
  <c r="AW844" i="1"/>
  <c r="AO844" i="1" s="1"/>
  <c r="AZ843" i="1"/>
  <c r="AW843" i="1"/>
  <c r="AZ842" i="1"/>
  <c r="AW842" i="1"/>
  <c r="AZ841" i="1"/>
  <c r="AW841" i="1"/>
  <c r="AZ840" i="1"/>
  <c r="AW840" i="1"/>
  <c r="AZ839" i="1"/>
  <c r="AW839" i="1"/>
  <c r="BB839" i="1" s="1"/>
  <c r="AZ838" i="1"/>
  <c r="AW838" i="1"/>
  <c r="AO838" i="1" s="1"/>
  <c r="AZ837" i="1"/>
  <c r="AW837" i="1"/>
  <c r="AZ836" i="1"/>
  <c r="AW836" i="1"/>
  <c r="AZ835" i="1"/>
  <c r="AW835" i="1"/>
  <c r="AZ834" i="1"/>
  <c r="AW834" i="1"/>
  <c r="AZ833" i="1"/>
  <c r="AW833" i="1"/>
  <c r="AZ832" i="1"/>
  <c r="AW832" i="1"/>
  <c r="AZ831" i="1"/>
  <c r="AW831" i="1"/>
  <c r="AO831" i="1" s="1"/>
  <c r="AZ830" i="1"/>
  <c r="AW830" i="1"/>
  <c r="AZ829" i="1"/>
  <c r="AW829" i="1"/>
  <c r="AZ828" i="1"/>
  <c r="AW828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BM843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BA866" i="1" l="1"/>
  <c r="AY830" i="1"/>
  <c r="BA830" i="1" s="1"/>
  <c r="AO830" i="1"/>
  <c r="BM830" i="1" s="1"/>
  <c r="BB836" i="1"/>
  <c r="AO836" i="1"/>
  <c r="AR836" i="1" s="1"/>
  <c r="AY842" i="1"/>
  <c r="BA842" i="1" s="1"/>
  <c r="AO842" i="1"/>
  <c r="AR842" i="1" s="1"/>
  <c r="AS842" i="1" s="1"/>
  <c r="AY854" i="1"/>
  <c r="BA854" i="1" s="1"/>
  <c r="AO854" i="1"/>
  <c r="BM854" i="1" s="1"/>
  <c r="BB837" i="1"/>
  <c r="AO837" i="1"/>
  <c r="BM837" i="1" s="1"/>
  <c r="AY832" i="1"/>
  <c r="BA832" i="1" s="1"/>
  <c r="AO832" i="1"/>
  <c r="AY829" i="1"/>
  <c r="BA829" i="1" s="1"/>
  <c r="AO829" i="1"/>
  <c r="BM829" i="1" s="1"/>
  <c r="AY835" i="1"/>
  <c r="BA835" i="1" s="1"/>
  <c r="AO835" i="1"/>
  <c r="BM835" i="1" s="1"/>
  <c r="BB841" i="1"/>
  <c r="AO841" i="1"/>
  <c r="BM841" i="1" s="1"/>
  <c r="BB853" i="1"/>
  <c r="AO853" i="1"/>
  <c r="BM853" i="1" s="1"/>
  <c r="BA859" i="1"/>
  <c r="BB849" i="1"/>
  <c r="AO849" i="1"/>
  <c r="BM849" i="1" s="1"/>
  <c r="BB833" i="1"/>
  <c r="AO833" i="1"/>
  <c r="BM833" i="1" s="1"/>
  <c r="AY828" i="1"/>
  <c r="BA828" i="1" s="1"/>
  <c r="AO828" i="1"/>
  <c r="BM828" i="1" s="1"/>
  <c r="BB834" i="1"/>
  <c r="AO834" i="1"/>
  <c r="AR834" i="1" s="1"/>
  <c r="AY840" i="1"/>
  <c r="BA840" i="1" s="1"/>
  <c r="AO840" i="1"/>
  <c r="AR840" i="1" s="1"/>
  <c r="AS840" i="1" s="1"/>
  <c r="AY852" i="1"/>
  <c r="BA852" i="1" s="1"/>
  <c r="AO852" i="1"/>
  <c r="BM852" i="1" s="1"/>
  <c r="BB858" i="1"/>
  <c r="AO858" i="1"/>
  <c r="AR858" i="1" s="1"/>
  <c r="BB851" i="1"/>
  <c r="AO851" i="1"/>
  <c r="AR851" i="1" s="1"/>
  <c r="AS851" i="1" s="1"/>
  <c r="AO872" i="1"/>
  <c r="BM872" i="1" s="1"/>
  <c r="BB866" i="1"/>
  <c r="AO866" i="1"/>
  <c r="BM866" i="1" s="1"/>
  <c r="BB840" i="1"/>
  <c r="AY851" i="1"/>
  <c r="BA851" i="1" s="1"/>
  <c r="BA847" i="1"/>
  <c r="BM862" i="1"/>
  <c r="BB845" i="1"/>
  <c r="AY845" i="1"/>
  <c r="BA845" i="1" s="1"/>
  <c r="BM850" i="1"/>
  <c r="AO860" i="1"/>
  <c r="AR860" i="1" s="1"/>
  <c r="AS860" i="1" s="1"/>
  <c r="AO870" i="1"/>
  <c r="BM870" i="1" s="1"/>
  <c r="BA848" i="1"/>
  <c r="AY857" i="1"/>
  <c r="BA857" i="1" s="1"/>
  <c r="AO863" i="1"/>
  <c r="AR863" i="1" s="1"/>
  <c r="AY833" i="1"/>
  <c r="BA833" i="1" s="1"/>
  <c r="BB857" i="1"/>
  <c r="BM838" i="1"/>
  <c r="BA871" i="1"/>
  <c r="BB852" i="1"/>
  <c r="BB838" i="1"/>
  <c r="BM847" i="1"/>
  <c r="BM867" i="1"/>
  <c r="BB860" i="1"/>
  <c r="BM831" i="1"/>
  <c r="AO871" i="1"/>
  <c r="AR871" i="1" s="1"/>
  <c r="BB871" i="1"/>
  <c r="BM848" i="1"/>
  <c r="AR857" i="1"/>
  <c r="AS857" i="1" s="1"/>
  <c r="AO864" i="1"/>
  <c r="AR864" i="1" s="1"/>
  <c r="BB848" i="1"/>
  <c r="BB867" i="1"/>
  <c r="BB854" i="1"/>
  <c r="AO859" i="1"/>
  <c r="BM859" i="1" s="1"/>
  <c r="BB859" i="1"/>
  <c r="BB864" i="1"/>
  <c r="AY869" i="1"/>
  <c r="BA869" i="1" s="1"/>
  <c r="BB828" i="1"/>
  <c r="BA860" i="1"/>
  <c r="AR845" i="1"/>
  <c r="AS845" i="1" s="1"/>
  <c r="BB869" i="1"/>
  <c r="BA864" i="1"/>
  <c r="AR869" i="1"/>
  <c r="BB842" i="1"/>
  <c r="BB830" i="1"/>
  <c r="BB835" i="1"/>
  <c r="BB829" i="1"/>
  <c r="BB847" i="1"/>
  <c r="BM857" i="1"/>
  <c r="BM845" i="1"/>
  <c r="BM869" i="1"/>
  <c r="AY855" i="1"/>
  <c r="BA855" i="1" s="1"/>
  <c r="AY836" i="1"/>
  <c r="BA836" i="1" s="1"/>
  <c r="AY843" i="1"/>
  <c r="BA843" i="1" s="1"/>
  <c r="BM856" i="1"/>
  <c r="BB856" i="1"/>
  <c r="AY856" i="1"/>
  <c r="BA856" i="1" s="1"/>
  <c r="AY831" i="1"/>
  <c r="BA831" i="1" s="1"/>
  <c r="AY850" i="1"/>
  <c r="BA850" i="1" s="1"/>
  <c r="AY853" i="1"/>
  <c r="BA853" i="1" s="1"/>
  <c r="BB862" i="1"/>
  <c r="BM839" i="1"/>
  <c r="BM846" i="1"/>
  <c r="AY834" i="1"/>
  <c r="BA834" i="1" s="1"/>
  <c r="BB843" i="1"/>
  <c r="AY858" i="1"/>
  <c r="BA858" i="1" s="1"/>
  <c r="AY839" i="1"/>
  <c r="BA839" i="1" s="1"/>
  <c r="AO868" i="1"/>
  <c r="AR868" i="1" s="1"/>
  <c r="BB868" i="1"/>
  <c r="AY868" i="1"/>
  <c r="BA868" i="1" s="1"/>
  <c r="AO865" i="1"/>
  <c r="BM865" i="1" s="1"/>
  <c r="AY862" i="1"/>
  <c r="BA862" i="1" s="1"/>
  <c r="AY865" i="1"/>
  <c r="BA865" i="1" s="1"/>
  <c r="AY846" i="1"/>
  <c r="BA846" i="1" s="1"/>
  <c r="BB855" i="1"/>
  <c r="AY872" i="1"/>
  <c r="BA872" i="1" s="1"/>
  <c r="AR844" i="1"/>
  <c r="BB844" i="1"/>
  <c r="AY844" i="1"/>
  <c r="BA844" i="1" s="1"/>
  <c r="AY863" i="1"/>
  <c r="BA863" i="1" s="1"/>
  <c r="BB831" i="1"/>
  <c r="AY838" i="1"/>
  <c r="BA838" i="1" s="1"/>
  <c r="AY841" i="1"/>
  <c r="BA841" i="1" s="1"/>
  <c r="BB850" i="1"/>
  <c r="BB832" i="1"/>
  <c r="AY867" i="1"/>
  <c r="BA867" i="1" s="1"/>
  <c r="AY870" i="1"/>
  <c r="BA870" i="1" s="1"/>
  <c r="AR831" i="1"/>
  <c r="AR843" i="1"/>
  <c r="AR855" i="1"/>
  <c r="AR867" i="1"/>
  <c r="AY837" i="1"/>
  <c r="BA837" i="1" s="1"/>
  <c r="AY849" i="1"/>
  <c r="BA849" i="1" s="1"/>
  <c r="AY861" i="1"/>
  <c r="BA861" i="1" s="1"/>
  <c r="AY873" i="1"/>
  <c r="BA873" i="1" s="1"/>
  <c r="AO861" i="1"/>
  <c r="BM861" i="1" s="1"/>
  <c r="AO873" i="1"/>
  <c r="AR873" i="1" s="1"/>
  <c r="AR838" i="1"/>
  <c r="AR850" i="1"/>
  <c r="AR862" i="1"/>
  <c r="AM821" i="1"/>
  <c r="AL821" i="1"/>
  <c r="AN820" i="1"/>
  <c r="AM820" i="1"/>
  <c r="AL820" i="1"/>
  <c r="AM815" i="1"/>
  <c r="AL815" i="1"/>
  <c r="Y814" i="1"/>
  <c r="AM814" i="1" s="1"/>
  <c r="AL814" i="1"/>
  <c r="AM813" i="1"/>
  <c r="AL813" i="1"/>
  <c r="Y810" i="1"/>
  <c r="AM810" i="1" s="1"/>
  <c r="AL810" i="1"/>
  <c r="AM809" i="1"/>
  <c r="AL809" i="1"/>
  <c r="AM807" i="1"/>
  <c r="AL807" i="1"/>
  <c r="AM801" i="1"/>
  <c r="AL801" i="1"/>
  <c r="AM800" i="1"/>
  <c r="AL800" i="1"/>
  <c r="Y799" i="1"/>
  <c r="AM799" i="1" s="1"/>
  <c r="AL799" i="1"/>
  <c r="AR852" i="1" l="1"/>
  <c r="AS852" i="1" s="1"/>
  <c r="AR837" i="1"/>
  <c r="AS837" i="1" s="1"/>
  <c r="BM842" i="1"/>
  <c r="AR841" i="1"/>
  <c r="AS841" i="1" s="1"/>
  <c r="AR866" i="1"/>
  <c r="AS866" i="1" s="1"/>
  <c r="AR833" i="1"/>
  <c r="BP833" i="1" s="1"/>
  <c r="BM860" i="1"/>
  <c r="AR870" i="1"/>
  <c r="AS870" i="1" s="1"/>
  <c r="BM864" i="1"/>
  <c r="AR859" i="1"/>
  <c r="AS859" i="1" s="1"/>
  <c r="BM863" i="1"/>
  <c r="BM834" i="1"/>
  <c r="AR846" i="1"/>
  <c r="BP846" i="1" s="1"/>
  <c r="AR847" i="1"/>
  <c r="AS847" i="1" s="1"/>
  <c r="BM840" i="1"/>
  <c r="BP857" i="1"/>
  <c r="AR830" i="1"/>
  <c r="BP830" i="1" s="1"/>
  <c r="BM851" i="1"/>
  <c r="AR872" i="1"/>
  <c r="AS872" i="1" s="1"/>
  <c r="BP842" i="1"/>
  <c r="AR828" i="1"/>
  <c r="AS828" i="1" s="1"/>
  <c r="AR854" i="1"/>
  <c r="AS854" i="1" s="1"/>
  <c r="AR849" i="1"/>
  <c r="AS849" i="1" s="1"/>
  <c r="AR865" i="1"/>
  <c r="AS865" i="1" s="1"/>
  <c r="AR856" i="1"/>
  <c r="AS856" i="1" s="1"/>
  <c r="AR861" i="1"/>
  <c r="BP861" i="1" s="1"/>
  <c r="AR839" i="1"/>
  <c r="AS839" i="1" s="1"/>
  <c r="BP840" i="1"/>
  <c r="BP860" i="1"/>
  <c r="BM871" i="1"/>
  <c r="AR853" i="1"/>
  <c r="AS853" i="1" s="1"/>
  <c r="BM868" i="1"/>
  <c r="AR835" i="1"/>
  <c r="AS871" i="1"/>
  <c r="BP871" i="1"/>
  <c r="BM873" i="1"/>
  <c r="AR848" i="1"/>
  <c r="AS848" i="1" s="1"/>
  <c r="BM858" i="1"/>
  <c r="AS869" i="1"/>
  <c r="BP869" i="1"/>
  <c r="BP851" i="1"/>
  <c r="AS864" i="1"/>
  <c r="BP864" i="1"/>
  <c r="AR829" i="1"/>
  <c r="AR832" i="1"/>
  <c r="AS832" i="1" s="1"/>
  <c r="BM832" i="1"/>
  <c r="BP845" i="1"/>
  <c r="BM836" i="1"/>
  <c r="BM844" i="1"/>
  <c r="AS867" i="1"/>
  <c r="BP867" i="1"/>
  <c r="AS838" i="1"/>
  <c r="BP838" i="1"/>
  <c r="AS834" i="1"/>
  <c r="BP834" i="1"/>
  <c r="AS858" i="1"/>
  <c r="BP858" i="1"/>
  <c r="AS843" i="1"/>
  <c r="BP843" i="1"/>
  <c r="AS850" i="1"/>
  <c r="BP850" i="1"/>
  <c r="AS831" i="1"/>
  <c r="BP831" i="1"/>
  <c r="AS873" i="1"/>
  <c r="BP873" i="1"/>
  <c r="AS836" i="1"/>
  <c r="BP836" i="1"/>
  <c r="AS862" i="1"/>
  <c r="BP862" i="1"/>
  <c r="AS863" i="1"/>
  <c r="BP863" i="1"/>
  <c r="AS855" i="1"/>
  <c r="BP855" i="1"/>
  <c r="AS844" i="1"/>
  <c r="BP844" i="1"/>
  <c r="AS868" i="1"/>
  <c r="BP868" i="1"/>
  <c r="AL775" i="1"/>
  <c r="BP837" i="1" l="1"/>
  <c r="BP852" i="1"/>
  <c r="BP866" i="1"/>
  <c r="BP859" i="1"/>
  <c r="BP870" i="1"/>
  <c r="BP841" i="1"/>
  <c r="AS833" i="1"/>
  <c r="AS830" i="1"/>
  <c r="BP847" i="1"/>
  <c r="AS846" i="1"/>
  <c r="BP865" i="1"/>
  <c r="BP849" i="1"/>
  <c r="BP828" i="1"/>
  <c r="BP832" i="1"/>
  <c r="BP872" i="1"/>
  <c r="BP839" i="1"/>
  <c r="AS861" i="1"/>
  <c r="BP856" i="1"/>
  <c r="BP854" i="1"/>
  <c r="AS835" i="1"/>
  <c r="BP835" i="1"/>
  <c r="BP853" i="1"/>
  <c r="BP848" i="1"/>
  <c r="AS829" i="1"/>
  <c r="BP829" i="1"/>
  <c r="AM798" i="1"/>
  <c r="AL798" i="1"/>
  <c r="AM795" i="1"/>
  <c r="AM794" i="1"/>
  <c r="AL794" i="1"/>
  <c r="AM790" i="1"/>
  <c r="AL790" i="1"/>
  <c r="AN789" i="1"/>
  <c r="AM789" i="1"/>
  <c r="AL789" i="1"/>
  <c r="AN775" i="1"/>
  <c r="AM775" i="1"/>
  <c r="AM774" i="1"/>
  <c r="AL774" i="1"/>
  <c r="AN772" i="1" l="1"/>
  <c r="AM772" i="1"/>
  <c r="AL772" i="1"/>
  <c r="AN771" i="1"/>
  <c r="AM771" i="1"/>
  <c r="AL771" i="1"/>
  <c r="AM770" i="1"/>
  <c r="AL770" i="1"/>
  <c r="AM769" i="1"/>
  <c r="AL769" i="1"/>
  <c r="AM768" i="1"/>
  <c r="AL768" i="1"/>
  <c r="AN767" i="1"/>
  <c r="AM767" i="1"/>
  <c r="AL767" i="1"/>
  <c r="BO827" i="1" l="1"/>
  <c r="BH827" i="1"/>
  <c r="BI827" i="1" s="1"/>
  <c r="BK827" i="1" s="1"/>
  <c r="BO826" i="1"/>
  <c r="BH826" i="1"/>
  <c r="BI826" i="1" s="1"/>
  <c r="BK826" i="1" s="1"/>
  <c r="BO825" i="1"/>
  <c r="BH825" i="1"/>
  <c r="BI825" i="1" s="1"/>
  <c r="BK825" i="1" s="1"/>
  <c r="BO824" i="1"/>
  <c r="BH824" i="1"/>
  <c r="BI824" i="1" s="1"/>
  <c r="BK824" i="1" s="1"/>
  <c r="BO823" i="1"/>
  <c r="BH823" i="1"/>
  <c r="BI823" i="1" s="1"/>
  <c r="BK823" i="1" s="1"/>
  <c r="BO822" i="1"/>
  <c r="BH822" i="1"/>
  <c r="BI822" i="1" s="1"/>
  <c r="BK822" i="1" s="1"/>
  <c r="BO821" i="1"/>
  <c r="BH821" i="1"/>
  <c r="BI821" i="1" s="1"/>
  <c r="BK821" i="1" s="1"/>
  <c r="BO820" i="1"/>
  <c r="BH820" i="1"/>
  <c r="BI820" i="1" s="1"/>
  <c r="BK820" i="1" s="1"/>
  <c r="BO819" i="1"/>
  <c r="BH819" i="1"/>
  <c r="BI819" i="1" s="1"/>
  <c r="BK819" i="1" s="1"/>
  <c r="BO818" i="1"/>
  <c r="BH818" i="1"/>
  <c r="BI818" i="1" s="1"/>
  <c r="BK818" i="1" s="1"/>
  <c r="BO817" i="1"/>
  <c r="BH817" i="1"/>
  <c r="BI817" i="1" s="1"/>
  <c r="BK817" i="1" s="1"/>
  <c r="BO816" i="1"/>
  <c r="BH816" i="1"/>
  <c r="BI816" i="1" s="1"/>
  <c r="BK816" i="1" s="1"/>
  <c r="BO815" i="1"/>
  <c r="BH815" i="1"/>
  <c r="BI815" i="1" s="1"/>
  <c r="BK815" i="1" s="1"/>
  <c r="BO814" i="1"/>
  <c r="BH814" i="1"/>
  <c r="BI814" i="1" s="1"/>
  <c r="BK814" i="1" s="1"/>
  <c r="BO813" i="1"/>
  <c r="BH813" i="1"/>
  <c r="BI813" i="1" s="1"/>
  <c r="BK813" i="1" s="1"/>
  <c r="BO812" i="1"/>
  <c r="BH812" i="1"/>
  <c r="BI812" i="1" s="1"/>
  <c r="BK812" i="1" s="1"/>
  <c r="BO811" i="1"/>
  <c r="BH811" i="1"/>
  <c r="BI811" i="1" s="1"/>
  <c r="BK811" i="1" s="1"/>
  <c r="BO810" i="1"/>
  <c r="BH810" i="1"/>
  <c r="BI810" i="1" s="1"/>
  <c r="BK810" i="1" s="1"/>
  <c r="BO809" i="1"/>
  <c r="BH809" i="1"/>
  <c r="BI809" i="1" s="1"/>
  <c r="BK809" i="1" s="1"/>
  <c r="BO808" i="1"/>
  <c r="BH808" i="1"/>
  <c r="BI808" i="1" s="1"/>
  <c r="BK808" i="1" s="1"/>
  <c r="BO807" i="1"/>
  <c r="BH807" i="1"/>
  <c r="BI807" i="1" s="1"/>
  <c r="BK807" i="1" s="1"/>
  <c r="BO806" i="1"/>
  <c r="BH806" i="1"/>
  <c r="BI806" i="1" s="1"/>
  <c r="BK806" i="1" s="1"/>
  <c r="BO805" i="1"/>
  <c r="BH805" i="1"/>
  <c r="BI805" i="1" s="1"/>
  <c r="BK805" i="1" s="1"/>
  <c r="BO804" i="1"/>
  <c r="BH804" i="1"/>
  <c r="BI804" i="1" s="1"/>
  <c r="BK804" i="1" s="1"/>
  <c r="BO803" i="1"/>
  <c r="BH803" i="1"/>
  <c r="BI803" i="1" s="1"/>
  <c r="BK803" i="1" s="1"/>
  <c r="BO802" i="1"/>
  <c r="BH802" i="1"/>
  <c r="BI802" i="1" s="1"/>
  <c r="BK802" i="1" s="1"/>
  <c r="BO801" i="1"/>
  <c r="BH801" i="1"/>
  <c r="BI801" i="1" s="1"/>
  <c r="BK801" i="1" s="1"/>
  <c r="BO800" i="1"/>
  <c r="BH800" i="1"/>
  <c r="BI800" i="1" s="1"/>
  <c r="BK800" i="1" s="1"/>
  <c r="BO799" i="1"/>
  <c r="BH799" i="1"/>
  <c r="BI799" i="1" s="1"/>
  <c r="BK799" i="1" s="1"/>
  <c r="BO798" i="1"/>
  <c r="BH798" i="1"/>
  <c r="BI798" i="1" s="1"/>
  <c r="BK798" i="1" s="1"/>
  <c r="BO797" i="1"/>
  <c r="BH797" i="1"/>
  <c r="BI797" i="1" s="1"/>
  <c r="BK797" i="1" s="1"/>
  <c r="BO796" i="1"/>
  <c r="BH796" i="1"/>
  <c r="BI796" i="1" s="1"/>
  <c r="BK796" i="1" s="1"/>
  <c r="BO795" i="1"/>
  <c r="BH795" i="1"/>
  <c r="BI795" i="1" s="1"/>
  <c r="BK795" i="1" s="1"/>
  <c r="BO794" i="1"/>
  <c r="BH794" i="1"/>
  <c r="BI794" i="1" s="1"/>
  <c r="BK794" i="1" s="1"/>
  <c r="BO793" i="1"/>
  <c r="BH793" i="1"/>
  <c r="BI793" i="1" s="1"/>
  <c r="BK793" i="1" s="1"/>
  <c r="BO792" i="1"/>
  <c r="BH792" i="1"/>
  <c r="BI792" i="1" s="1"/>
  <c r="BK792" i="1" s="1"/>
  <c r="BO791" i="1"/>
  <c r="BH791" i="1"/>
  <c r="BI791" i="1" s="1"/>
  <c r="BK791" i="1" s="1"/>
  <c r="BO790" i="1"/>
  <c r="BH790" i="1"/>
  <c r="BI790" i="1" s="1"/>
  <c r="BK790" i="1" s="1"/>
  <c r="BO789" i="1"/>
  <c r="BH789" i="1"/>
  <c r="BI789" i="1" s="1"/>
  <c r="BK789" i="1" s="1"/>
  <c r="BO788" i="1"/>
  <c r="BH788" i="1"/>
  <c r="BI788" i="1" s="1"/>
  <c r="BK788" i="1" s="1"/>
  <c r="BO787" i="1"/>
  <c r="BH787" i="1"/>
  <c r="BI787" i="1" s="1"/>
  <c r="BK787" i="1" s="1"/>
  <c r="BO786" i="1"/>
  <c r="BH786" i="1"/>
  <c r="BI786" i="1" s="1"/>
  <c r="BK786" i="1" s="1"/>
  <c r="BO785" i="1"/>
  <c r="BH785" i="1"/>
  <c r="BI785" i="1" s="1"/>
  <c r="BK785" i="1" s="1"/>
  <c r="BO784" i="1"/>
  <c r="BH784" i="1"/>
  <c r="BI784" i="1" s="1"/>
  <c r="BK784" i="1" s="1"/>
  <c r="BO783" i="1"/>
  <c r="BH783" i="1"/>
  <c r="BI783" i="1" s="1"/>
  <c r="BK783" i="1" s="1"/>
  <c r="BO782" i="1"/>
  <c r="BH782" i="1"/>
  <c r="BI782" i="1" s="1"/>
  <c r="BK782" i="1" s="1"/>
  <c r="BO781" i="1"/>
  <c r="BH781" i="1"/>
  <c r="BI781" i="1" s="1"/>
  <c r="BK781" i="1" s="1"/>
  <c r="BO780" i="1"/>
  <c r="BH780" i="1"/>
  <c r="BI780" i="1" s="1"/>
  <c r="BK780" i="1" s="1"/>
  <c r="BO779" i="1"/>
  <c r="BH779" i="1"/>
  <c r="BI779" i="1" s="1"/>
  <c r="BK779" i="1" s="1"/>
  <c r="BO778" i="1"/>
  <c r="BH778" i="1"/>
  <c r="BI778" i="1" s="1"/>
  <c r="BK778" i="1" s="1"/>
  <c r="BO777" i="1"/>
  <c r="BH777" i="1"/>
  <c r="BI777" i="1" s="1"/>
  <c r="BK777" i="1" s="1"/>
  <c r="BO776" i="1"/>
  <c r="BH776" i="1"/>
  <c r="BI776" i="1" s="1"/>
  <c r="BK776" i="1" s="1"/>
  <c r="BO775" i="1"/>
  <c r="BH775" i="1"/>
  <c r="BI775" i="1" s="1"/>
  <c r="BK775" i="1" s="1"/>
  <c r="BO774" i="1"/>
  <c r="BH774" i="1"/>
  <c r="BI774" i="1" s="1"/>
  <c r="BK774" i="1" s="1"/>
  <c r="BO773" i="1"/>
  <c r="BH773" i="1"/>
  <c r="BI773" i="1" s="1"/>
  <c r="BK773" i="1" s="1"/>
  <c r="BO772" i="1"/>
  <c r="BH772" i="1"/>
  <c r="BI772" i="1" s="1"/>
  <c r="BK772" i="1" s="1"/>
  <c r="BO771" i="1"/>
  <c r="BH771" i="1"/>
  <c r="BI771" i="1" s="1"/>
  <c r="BK771" i="1" s="1"/>
  <c r="BO770" i="1"/>
  <c r="BH770" i="1"/>
  <c r="BI770" i="1" s="1"/>
  <c r="BK770" i="1" s="1"/>
  <c r="BO769" i="1"/>
  <c r="BH769" i="1"/>
  <c r="BI769" i="1" s="1"/>
  <c r="BK769" i="1" s="1"/>
  <c r="BO768" i="1"/>
  <c r="BH768" i="1"/>
  <c r="BI768" i="1" s="1"/>
  <c r="BK768" i="1" s="1"/>
  <c r="BO767" i="1"/>
  <c r="BH767" i="1"/>
  <c r="BI767" i="1" s="1"/>
  <c r="BK767" i="1" s="1"/>
  <c r="BF827" i="1"/>
  <c r="BG827" i="1" s="1"/>
  <c r="AZ827" i="1"/>
  <c r="AW827" i="1"/>
  <c r="BF826" i="1"/>
  <c r="BG826" i="1" s="1"/>
  <c r="AZ826" i="1"/>
  <c r="AW826" i="1"/>
  <c r="BF825" i="1"/>
  <c r="BG825" i="1" s="1"/>
  <c r="AZ825" i="1"/>
  <c r="AW825" i="1"/>
  <c r="BF824" i="1"/>
  <c r="BG824" i="1" s="1"/>
  <c r="AZ824" i="1"/>
  <c r="AW824" i="1"/>
  <c r="AO824" i="1" s="1"/>
  <c r="BF823" i="1"/>
  <c r="BG823" i="1" s="1"/>
  <c r="AZ823" i="1"/>
  <c r="AW823" i="1"/>
  <c r="BF822" i="1"/>
  <c r="BG822" i="1" s="1"/>
  <c r="AZ822" i="1"/>
  <c r="AW822" i="1"/>
  <c r="AO822" i="1" s="1"/>
  <c r="BF821" i="1"/>
  <c r="BG821" i="1" s="1"/>
  <c r="AZ821" i="1"/>
  <c r="AW821" i="1"/>
  <c r="BB821" i="1" s="1"/>
  <c r="BF820" i="1"/>
  <c r="BG820" i="1" s="1"/>
  <c r="AZ820" i="1"/>
  <c r="AW820" i="1"/>
  <c r="AO820" i="1" s="1"/>
  <c r="BF819" i="1"/>
  <c r="BG819" i="1" s="1"/>
  <c r="AZ819" i="1"/>
  <c r="AW819" i="1"/>
  <c r="BB819" i="1" s="1"/>
  <c r="BF818" i="1"/>
  <c r="BG818" i="1" s="1"/>
  <c r="AZ818" i="1"/>
  <c r="AW818" i="1"/>
  <c r="AO818" i="1" s="1"/>
  <c r="BF817" i="1"/>
  <c r="BG817" i="1" s="1"/>
  <c r="AZ817" i="1"/>
  <c r="AW817" i="1"/>
  <c r="BF816" i="1"/>
  <c r="BG816" i="1" s="1"/>
  <c r="AZ816" i="1"/>
  <c r="AW816" i="1"/>
  <c r="AO816" i="1" s="1"/>
  <c r="BF815" i="1"/>
  <c r="BG815" i="1" s="1"/>
  <c r="AZ815" i="1"/>
  <c r="AW815" i="1"/>
  <c r="BB815" i="1" s="1"/>
  <c r="BF814" i="1"/>
  <c r="BG814" i="1" s="1"/>
  <c r="AZ814" i="1"/>
  <c r="AW814" i="1"/>
  <c r="AO814" i="1" s="1"/>
  <c r="BF813" i="1"/>
  <c r="BG813" i="1" s="1"/>
  <c r="AZ813" i="1"/>
  <c r="AW813" i="1"/>
  <c r="BB813" i="1" s="1"/>
  <c r="BF812" i="1"/>
  <c r="BG812" i="1" s="1"/>
  <c r="AZ812" i="1"/>
  <c r="AW812" i="1"/>
  <c r="AO812" i="1" s="1"/>
  <c r="BF811" i="1"/>
  <c r="BG811" i="1" s="1"/>
  <c r="AZ811" i="1"/>
  <c r="AW811" i="1"/>
  <c r="BF810" i="1"/>
  <c r="BG810" i="1" s="1"/>
  <c r="AZ810" i="1"/>
  <c r="AW810" i="1"/>
  <c r="BB810" i="1" s="1"/>
  <c r="BF809" i="1"/>
  <c r="BG809" i="1" s="1"/>
  <c r="AZ809" i="1"/>
  <c r="AW809" i="1"/>
  <c r="BB809" i="1" s="1"/>
  <c r="BF808" i="1"/>
  <c r="BG808" i="1" s="1"/>
  <c r="AZ808" i="1"/>
  <c r="AW808" i="1"/>
  <c r="AO808" i="1" s="1"/>
  <c r="BF807" i="1"/>
  <c r="BG807" i="1" s="1"/>
  <c r="AZ807" i="1"/>
  <c r="AW807" i="1"/>
  <c r="BB807" i="1" s="1"/>
  <c r="BF806" i="1"/>
  <c r="BG806" i="1" s="1"/>
  <c r="AZ806" i="1"/>
  <c r="AW806" i="1"/>
  <c r="AO806" i="1" s="1"/>
  <c r="BF805" i="1"/>
  <c r="BG805" i="1" s="1"/>
  <c r="AZ805" i="1"/>
  <c r="AW805" i="1"/>
  <c r="BF804" i="1"/>
  <c r="BG804" i="1" s="1"/>
  <c r="AZ804" i="1"/>
  <c r="AW804" i="1"/>
  <c r="AO804" i="1" s="1"/>
  <c r="BF803" i="1"/>
  <c r="BG803" i="1" s="1"/>
  <c r="AZ803" i="1"/>
  <c r="AW803" i="1"/>
  <c r="BB803" i="1" s="1"/>
  <c r="BF802" i="1"/>
  <c r="BG802" i="1" s="1"/>
  <c r="AZ802" i="1"/>
  <c r="AW802" i="1"/>
  <c r="BB802" i="1" s="1"/>
  <c r="BF801" i="1"/>
  <c r="BG801" i="1" s="1"/>
  <c r="AZ801" i="1"/>
  <c r="AW801" i="1"/>
  <c r="BB801" i="1" s="1"/>
  <c r="BF800" i="1"/>
  <c r="BG800" i="1" s="1"/>
  <c r="AZ800" i="1"/>
  <c r="AW800" i="1"/>
  <c r="AO800" i="1" s="1"/>
  <c r="BF799" i="1"/>
  <c r="BG799" i="1" s="1"/>
  <c r="AZ799" i="1"/>
  <c r="AW799" i="1"/>
  <c r="BB799" i="1" s="1"/>
  <c r="BF798" i="1"/>
  <c r="BG798" i="1" s="1"/>
  <c r="AZ798" i="1"/>
  <c r="AW798" i="1"/>
  <c r="BB798" i="1" s="1"/>
  <c r="BF797" i="1"/>
  <c r="BG797" i="1" s="1"/>
  <c r="AZ797" i="1"/>
  <c r="AW797" i="1"/>
  <c r="BB797" i="1" s="1"/>
  <c r="BF796" i="1"/>
  <c r="BG796" i="1" s="1"/>
  <c r="AZ796" i="1"/>
  <c r="AW796" i="1"/>
  <c r="BB796" i="1" s="1"/>
  <c r="BF795" i="1"/>
  <c r="BG795" i="1" s="1"/>
  <c r="AZ795" i="1"/>
  <c r="AW795" i="1"/>
  <c r="BB795" i="1" s="1"/>
  <c r="BF794" i="1"/>
  <c r="BG794" i="1" s="1"/>
  <c r="AZ794" i="1"/>
  <c r="AW794" i="1"/>
  <c r="AO794" i="1" s="1"/>
  <c r="BF793" i="1"/>
  <c r="BG793" i="1" s="1"/>
  <c r="AZ793" i="1"/>
  <c r="AW793" i="1"/>
  <c r="BB793" i="1" s="1"/>
  <c r="BF792" i="1"/>
  <c r="BG792" i="1" s="1"/>
  <c r="AZ792" i="1"/>
  <c r="AW792" i="1"/>
  <c r="AO792" i="1" s="1"/>
  <c r="BF791" i="1"/>
  <c r="BG791" i="1" s="1"/>
  <c r="AZ791" i="1"/>
  <c r="AW791" i="1"/>
  <c r="BB791" i="1" s="1"/>
  <c r="BF790" i="1"/>
  <c r="BG790" i="1" s="1"/>
  <c r="AZ790" i="1"/>
  <c r="AW790" i="1"/>
  <c r="AY790" i="1" s="1"/>
  <c r="BF789" i="1"/>
  <c r="BG789" i="1" s="1"/>
  <c r="AZ789" i="1"/>
  <c r="AW789" i="1"/>
  <c r="BB789" i="1" s="1"/>
  <c r="BF788" i="1"/>
  <c r="BG788" i="1" s="1"/>
  <c r="AZ788" i="1"/>
  <c r="AW788" i="1"/>
  <c r="AO788" i="1" s="1"/>
  <c r="BF787" i="1"/>
  <c r="BG787" i="1" s="1"/>
  <c r="AZ787" i="1"/>
  <c r="AW787" i="1"/>
  <c r="BB787" i="1" s="1"/>
  <c r="BF786" i="1"/>
  <c r="BG786" i="1" s="1"/>
  <c r="AZ786" i="1"/>
  <c r="AW786" i="1"/>
  <c r="BB786" i="1" s="1"/>
  <c r="BF785" i="1"/>
  <c r="BG785" i="1" s="1"/>
  <c r="AZ785" i="1"/>
  <c r="AW785" i="1"/>
  <c r="BB785" i="1" s="1"/>
  <c r="BF784" i="1"/>
  <c r="BG784" i="1" s="1"/>
  <c r="AZ784" i="1"/>
  <c r="AW784" i="1"/>
  <c r="AO784" i="1" s="1"/>
  <c r="BF783" i="1"/>
  <c r="BG783" i="1" s="1"/>
  <c r="AZ783" i="1"/>
  <c r="AW783" i="1"/>
  <c r="BB783" i="1" s="1"/>
  <c r="BF782" i="1"/>
  <c r="BG782" i="1" s="1"/>
  <c r="AZ782" i="1"/>
  <c r="AW782" i="1"/>
  <c r="AO782" i="1" s="1"/>
  <c r="BF781" i="1"/>
  <c r="BG781" i="1" s="1"/>
  <c r="AZ781" i="1"/>
  <c r="AW781" i="1"/>
  <c r="BF780" i="1"/>
  <c r="BG780" i="1" s="1"/>
  <c r="AZ780" i="1"/>
  <c r="AW780" i="1"/>
  <c r="AO780" i="1" s="1"/>
  <c r="BF779" i="1"/>
  <c r="BG779" i="1" s="1"/>
  <c r="AZ779" i="1"/>
  <c r="AW779" i="1"/>
  <c r="BB779" i="1" s="1"/>
  <c r="BF778" i="1"/>
  <c r="BG778" i="1" s="1"/>
  <c r="AZ778" i="1"/>
  <c r="AW778" i="1"/>
  <c r="AO778" i="1" s="1"/>
  <c r="BF777" i="1"/>
  <c r="BG777" i="1" s="1"/>
  <c r="AZ777" i="1"/>
  <c r="AW777" i="1"/>
  <c r="BB777" i="1" s="1"/>
  <c r="BF776" i="1"/>
  <c r="BG776" i="1" s="1"/>
  <c r="AZ776" i="1"/>
  <c r="AW776" i="1"/>
  <c r="AO776" i="1" s="1"/>
  <c r="BF775" i="1"/>
  <c r="BG775" i="1" s="1"/>
  <c r="AZ775" i="1"/>
  <c r="AW775" i="1"/>
  <c r="BB775" i="1" s="1"/>
  <c r="BF774" i="1"/>
  <c r="BG774" i="1" s="1"/>
  <c r="AZ774" i="1"/>
  <c r="AW774" i="1"/>
  <c r="BB774" i="1" s="1"/>
  <c r="BF773" i="1"/>
  <c r="BG773" i="1" s="1"/>
  <c r="AZ773" i="1"/>
  <c r="AW773" i="1"/>
  <c r="BB773" i="1" s="1"/>
  <c r="BF772" i="1"/>
  <c r="BG772" i="1" s="1"/>
  <c r="AZ772" i="1"/>
  <c r="AW772" i="1"/>
  <c r="BB772" i="1" s="1"/>
  <c r="BF771" i="1"/>
  <c r="BG771" i="1" s="1"/>
  <c r="AZ771" i="1"/>
  <c r="AW771" i="1"/>
  <c r="BB771" i="1" s="1"/>
  <c r="BF770" i="1"/>
  <c r="BG770" i="1" s="1"/>
  <c r="AZ770" i="1"/>
  <c r="AW770" i="1"/>
  <c r="AO770" i="1" s="1"/>
  <c r="BF769" i="1"/>
  <c r="BG769" i="1" s="1"/>
  <c r="AZ769" i="1"/>
  <c r="AW769" i="1"/>
  <c r="BB769" i="1" s="1"/>
  <c r="BF768" i="1"/>
  <c r="BG768" i="1" s="1"/>
  <c r="AZ768" i="1"/>
  <c r="AW768" i="1"/>
  <c r="AO768" i="1" s="1"/>
  <c r="BF767" i="1"/>
  <c r="BG767" i="1" s="1"/>
  <c r="AZ767" i="1"/>
  <c r="AW767" i="1"/>
  <c r="BB767" i="1" s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BB826" i="1" l="1"/>
  <c r="AO826" i="1"/>
  <c r="AR826" i="1" s="1"/>
  <c r="BB827" i="1"/>
  <c r="AO827" i="1"/>
  <c r="AR827" i="1" s="1"/>
  <c r="BB825" i="1"/>
  <c r="AO825" i="1"/>
  <c r="BM825" i="1" s="1"/>
  <c r="BM788" i="1"/>
  <c r="BM824" i="1"/>
  <c r="BM792" i="1"/>
  <c r="BM780" i="1"/>
  <c r="BM822" i="1"/>
  <c r="AO789" i="1"/>
  <c r="AR789" i="1" s="1"/>
  <c r="AO777" i="1"/>
  <c r="AR777" i="1" s="1"/>
  <c r="BM770" i="1"/>
  <c r="BM818" i="1"/>
  <c r="BM804" i="1"/>
  <c r="BM782" i="1"/>
  <c r="AO803" i="1"/>
  <c r="AR803" i="1" s="1"/>
  <c r="BB782" i="1"/>
  <c r="AO813" i="1"/>
  <c r="AR813" i="1" s="1"/>
  <c r="AO796" i="1"/>
  <c r="AR796" i="1" s="1"/>
  <c r="AS796" i="1" s="1"/>
  <c r="AY803" i="1"/>
  <c r="BA803" i="1" s="1"/>
  <c r="BM784" i="1"/>
  <c r="BM778" i="1"/>
  <c r="BM812" i="1"/>
  <c r="AO767" i="1"/>
  <c r="AR767" i="1" s="1"/>
  <c r="AY767" i="1"/>
  <c r="BA767" i="1" s="1"/>
  <c r="AO769" i="1"/>
  <c r="AR769" i="1" s="1"/>
  <c r="BM800" i="1"/>
  <c r="AO810" i="1"/>
  <c r="BM810" i="1" s="1"/>
  <c r="BB818" i="1"/>
  <c r="AY796" i="1"/>
  <c r="BA796" i="1" s="1"/>
  <c r="BB781" i="1"/>
  <c r="AO781" i="1"/>
  <c r="BM814" i="1"/>
  <c r="AO795" i="1"/>
  <c r="BM795" i="1" s="1"/>
  <c r="AO771" i="1"/>
  <c r="AR771" i="1" s="1"/>
  <c r="BM806" i="1"/>
  <c r="BM816" i="1"/>
  <c r="BA790" i="1"/>
  <c r="BM794" i="1"/>
  <c r="BM808" i="1"/>
  <c r="BM820" i="1"/>
  <c r="BM776" i="1"/>
  <c r="BM768" i="1"/>
  <c r="AO779" i="1"/>
  <c r="BM779" i="1" s="1"/>
  <c r="BB794" i="1"/>
  <c r="AO772" i="1"/>
  <c r="BM772" i="1" s="1"/>
  <c r="AY820" i="1"/>
  <c r="BA820" i="1" s="1"/>
  <c r="AO791" i="1"/>
  <c r="AR791" i="1" s="1"/>
  <c r="AO809" i="1"/>
  <c r="AR809" i="1" s="1"/>
  <c r="BB770" i="1"/>
  <c r="BB784" i="1"/>
  <c r="BB806" i="1"/>
  <c r="BB820" i="1"/>
  <c r="AY772" i="1"/>
  <c r="BA772" i="1" s="1"/>
  <c r="AO783" i="1"/>
  <c r="BM783" i="1" s="1"/>
  <c r="AR820" i="1"/>
  <c r="BB808" i="1"/>
  <c r="AO798" i="1"/>
  <c r="BM798" i="1" s="1"/>
  <c r="AY784" i="1"/>
  <c r="BA784" i="1" s="1"/>
  <c r="AY779" i="1"/>
  <c r="BA779" i="1" s="1"/>
  <c r="AY815" i="1"/>
  <c r="BA815" i="1" s="1"/>
  <c r="AY808" i="1"/>
  <c r="BA808" i="1" s="1"/>
  <c r="AY791" i="1"/>
  <c r="BA791" i="1" s="1"/>
  <c r="AY827" i="1"/>
  <c r="BA827" i="1" s="1"/>
  <c r="AO775" i="1"/>
  <c r="BM775" i="1" s="1"/>
  <c r="AR784" i="1"/>
  <c r="AO802" i="1"/>
  <c r="BM802" i="1" s="1"/>
  <c r="AY787" i="1"/>
  <c r="BA787" i="1" s="1"/>
  <c r="AY804" i="1"/>
  <c r="BA804" i="1" s="1"/>
  <c r="AY816" i="1"/>
  <c r="BA816" i="1" s="1"/>
  <c r="AY778" i="1"/>
  <c r="BA778" i="1" s="1"/>
  <c r="AY797" i="1"/>
  <c r="BA797" i="1" s="1"/>
  <c r="AY809" i="1"/>
  <c r="BA809" i="1" s="1"/>
  <c r="AY821" i="1"/>
  <c r="BA821" i="1" s="1"/>
  <c r="AO797" i="1"/>
  <c r="AR797" i="1" s="1"/>
  <c r="BB768" i="1"/>
  <c r="BB816" i="1"/>
  <c r="AO819" i="1"/>
  <c r="AY788" i="1"/>
  <c r="BA788" i="1" s="1"/>
  <c r="AY795" i="1"/>
  <c r="BA795" i="1" s="1"/>
  <c r="AY807" i="1"/>
  <c r="BA807" i="1" s="1"/>
  <c r="AY824" i="1"/>
  <c r="BA824" i="1" s="1"/>
  <c r="AO785" i="1"/>
  <c r="AR785" i="1" s="1"/>
  <c r="AR792" i="1"/>
  <c r="BB778" i="1"/>
  <c r="BB790" i="1"/>
  <c r="BB805" i="1"/>
  <c r="AO805" i="1"/>
  <c r="BM805" i="1" s="1"/>
  <c r="BB817" i="1"/>
  <c r="AO817" i="1"/>
  <c r="AY774" i="1"/>
  <c r="BA774" i="1" s="1"/>
  <c r="AY781" i="1"/>
  <c r="BA781" i="1" s="1"/>
  <c r="AY793" i="1"/>
  <c r="BA793" i="1" s="1"/>
  <c r="AY798" i="1"/>
  <c r="BA798" i="1" s="1"/>
  <c r="AY805" i="1"/>
  <c r="BA805" i="1" s="1"/>
  <c r="AY810" i="1"/>
  <c r="BA810" i="1" s="1"/>
  <c r="AY817" i="1"/>
  <c r="BA817" i="1" s="1"/>
  <c r="AY822" i="1"/>
  <c r="BA822" i="1" s="1"/>
  <c r="AO773" i="1"/>
  <c r="BM773" i="1" s="1"/>
  <c r="AR780" i="1"/>
  <c r="AO786" i="1"/>
  <c r="AR786" i="1" s="1"/>
  <c r="AO799" i="1"/>
  <c r="AR814" i="1"/>
  <c r="BB776" i="1"/>
  <c r="BB788" i="1"/>
  <c r="BB800" i="1"/>
  <c r="BB812" i="1"/>
  <c r="BB824" i="1"/>
  <c r="BB811" i="1"/>
  <c r="AO811" i="1"/>
  <c r="BM811" i="1" s="1"/>
  <c r="AY775" i="1"/>
  <c r="BA775" i="1" s="1"/>
  <c r="AR816" i="1"/>
  <c r="BB823" i="1"/>
  <c r="AO823" i="1"/>
  <c r="AR823" i="1" s="1"/>
  <c r="AY768" i="1"/>
  <c r="BA768" i="1" s="1"/>
  <c r="AY780" i="1"/>
  <c r="BA780" i="1" s="1"/>
  <c r="AY792" i="1"/>
  <c r="BA792" i="1" s="1"/>
  <c r="AY799" i="1"/>
  <c r="BA799" i="1" s="1"/>
  <c r="AY811" i="1"/>
  <c r="BA811" i="1" s="1"/>
  <c r="AY823" i="1"/>
  <c r="BA823" i="1" s="1"/>
  <c r="AO790" i="1"/>
  <c r="AY773" i="1"/>
  <c r="BA773" i="1" s="1"/>
  <c r="AY785" i="1"/>
  <c r="BA785" i="1" s="1"/>
  <c r="AY802" i="1"/>
  <c r="BA802" i="1" s="1"/>
  <c r="AY814" i="1"/>
  <c r="BA814" i="1" s="1"/>
  <c r="AY826" i="1"/>
  <c r="BA826" i="1" s="1"/>
  <c r="AR778" i="1"/>
  <c r="AR804" i="1"/>
  <c r="BB780" i="1"/>
  <c r="BB792" i="1"/>
  <c r="BB804" i="1"/>
  <c r="AY771" i="1"/>
  <c r="BA771" i="1" s="1"/>
  <c r="AY776" i="1"/>
  <c r="BA776" i="1" s="1"/>
  <c r="AY783" i="1"/>
  <c r="BA783" i="1" s="1"/>
  <c r="AY800" i="1"/>
  <c r="BA800" i="1" s="1"/>
  <c r="AY812" i="1"/>
  <c r="BA812" i="1" s="1"/>
  <c r="AY819" i="1"/>
  <c r="BA819" i="1" s="1"/>
  <c r="BB814" i="1"/>
  <c r="AY769" i="1"/>
  <c r="BA769" i="1" s="1"/>
  <c r="AY786" i="1"/>
  <c r="BA786" i="1" s="1"/>
  <c r="AO793" i="1"/>
  <c r="AO807" i="1"/>
  <c r="BM807" i="1" s="1"/>
  <c r="AO821" i="1"/>
  <c r="BM821" i="1" s="1"/>
  <c r="AR768" i="1"/>
  <c r="AO774" i="1"/>
  <c r="AO787" i="1"/>
  <c r="BM787" i="1" s="1"/>
  <c r="AR808" i="1"/>
  <c r="AR822" i="1"/>
  <c r="BB822" i="1"/>
  <c r="AO801" i="1"/>
  <c r="AO815" i="1"/>
  <c r="AR815" i="1" s="1"/>
  <c r="AY770" i="1"/>
  <c r="BA770" i="1" s="1"/>
  <c r="AY777" i="1"/>
  <c r="BA777" i="1" s="1"/>
  <c r="AY782" i="1"/>
  <c r="BA782" i="1" s="1"/>
  <c r="AY789" i="1"/>
  <c r="BA789" i="1" s="1"/>
  <c r="AY794" i="1"/>
  <c r="BA794" i="1" s="1"/>
  <c r="AY801" i="1"/>
  <c r="BA801" i="1" s="1"/>
  <c r="AY806" i="1"/>
  <c r="BA806" i="1" s="1"/>
  <c r="AY813" i="1"/>
  <c r="BA813" i="1" s="1"/>
  <c r="AY818" i="1"/>
  <c r="BA818" i="1" s="1"/>
  <c r="AY825" i="1"/>
  <c r="BA825" i="1" s="1"/>
  <c r="AR770" i="1"/>
  <c r="AR776" i="1"/>
  <c r="AR782" i="1"/>
  <c r="AR788" i="1"/>
  <c r="AR794" i="1"/>
  <c r="AR800" i="1"/>
  <c r="AR806" i="1"/>
  <c r="AR812" i="1"/>
  <c r="AR818" i="1"/>
  <c r="AR824" i="1"/>
  <c r="Y738" i="1"/>
  <c r="BM789" i="1" l="1"/>
  <c r="BM777" i="1"/>
  <c r="AR795" i="1"/>
  <c r="AS795" i="1" s="1"/>
  <c r="AR805" i="1"/>
  <c r="AS805" i="1" s="1"/>
  <c r="AR807" i="1"/>
  <c r="AS807" i="1" s="1"/>
  <c r="AR773" i="1"/>
  <c r="BP773" i="1" s="1"/>
  <c r="AR821" i="1"/>
  <c r="BP821" i="1" s="1"/>
  <c r="BM803" i="1"/>
  <c r="AR810" i="1"/>
  <c r="BP810" i="1" s="1"/>
  <c r="BM826" i="1"/>
  <c r="AS777" i="1"/>
  <c r="BP777" i="1"/>
  <c r="AS803" i="1"/>
  <c r="BP803" i="1"/>
  <c r="AS789" i="1"/>
  <c r="BP789" i="1"/>
  <c r="BM815" i="1"/>
  <c r="BM769" i="1"/>
  <c r="BM771" i="1"/>
  <c r="BM796" i="1"/>
  <c r="AR779" i="1"/>
  <c r="BP779" i="1" s="1"/>
  <c r="BM791" i="1"/>
  <c r="BM813" i="1"/>
  <c r="AS813" i="1"/>
  <c r="BP813" i="1"/>
  <c r="AS769" i="1"/>
  <c r="BP769" i="1"/>
  <c r="AR772" i="1"/>
  <c r="AS772" i="1" s="1"/>
  <c r="BM809" i="1"/>
  <c r="BM767" i="1"/>
  <c r="AR787" i="1"/>
  <c r="AS787" i="1" s="1"/>
  <c r="AR811" i="1"/>
  <c r="BP811" i="1" s="1"/>
  <c r="AR825" i="1"/>
  <c r="AS771" i="1"/>
  <c r="BP771" i="1"/>
  <c r="BM823" i="1"/>
  <c r="BP796" i="1"/>
  <c r="BM786" i="1"/>
  <c r="AR783" i="1"/>
  <c r="AS783" i="1" s="1"/>
  <c r="AS827" i="1"/>
  <c r="BP827" i="1"/>
  <c r="AS820" i="1"/>
  <c r="BP820" i="1"/>
  <c r="AS822" i="1"/>
  <c r="BP822" i="1"/>
  <c r="AS823" i="1"/>
  <c r="BP823" i="1"/>
  <c r="AS791" i="1"/>
  <c r="BP791" i="1"/>
  <c r="AS800" i="1"/>
  <c r="BP800" i="1"/>
  <c r="AS816" i="1"/>
  <c r="BP816" i="1"/>
  <c r="AR799" i="1"/>
  <c r="BM799" i="1"/>
  <c r="AR819" i="1"/>
  <c r="BM819" i="1"/>
  <c r="AR798" i="1"/>
  <c r="AR781" i="1"/>
  <c r="BM781" i="1"/>
  <c r="AS818" i="1"/>
  <c r="BP818" i="1"/>
  <c r="AS778" i="1"/>
  <c r="BP778" i="1"/>
  <c r="AS806" i="1"/>
  <c r="BP806" i="1"/>
  <c r="AS808" i="1"/>
  <c r="BP808" i="1"/>
  <c r="AS794" i="1"/>
  <c r="BP794" i="1"/>
  <c r="AS786" i="1"/>
  <c r="BP786" i="1"/>
  <c r="AR817" i="1"/>
  <c r="BM817" i="1"/>
  <c r="AS782" i="1"/>
  <c r="BP782" i="1"/>
  <c r="AR790" i="1"/>
  <c r="BM790" i="1"/>
  <c r="BM797" i="1"/>
  <c r="AS776" i="1"/>
  <c r="BP776" i="1"/>
  <c r="AS815" i="1"/>
  <c r="BP815" i="1"/>
  <c r="AS797" i="1"/>
  <c r="BP797" i="1"/>
  <c r="AS824" i="1"/>
  <c r="BP824" i="1"/>
  <c r="AR775" i="1"/>
  <c r="AS804" i="1"/>
  <c r="BP804" i="1"/>
  <c r="AS792" i="1"/>
  <c r="BP792" i="1"/>
  <c r="AS812" i="1"/>
  <c r="BP812" i="1"/>
  <c r="AS814" i="1"/>
  <c r="BP814" i="1"/>
  <c r="AS785" i="1"/>
  <c r="BP785" i="1"/>
  <c r="AS809" i="1"/>
  <c r="BP809" i="1"/>
  <c r="BM785" i="1"/>
  <c r="BM827" i="1"/>
  <c r="AR774" i="1"/>
  <c r="BM774" i="1"/>
  <c r="AS788" i="1"/>
  <c r="BP788" i="1"/>
  <c r="AS768" i="1"/>
  <c r="BP768" i="1"/>
  <c r="AS780" i="1"/>
  <c r="BP780" i="1"/>
  <c r="AS826" i="1"/>
  <c r="BP826" i="1"/>
  <c r="AS767" i="1"/>
  <c r="BP767" i="1"/>
  <c r="AS770" i="1"/>
  <c r="BP770" i="1"/>
  <c r="AR801" i="1"/>
  <c r="BM801" i="1"/>
  <c r="AR793" i="1"/>
  <c r="BM793" i="1"/>
  <c r="AS784" i="1"/>
  <c r="BP784" i="1"/>
  <c r="AR802" i="1"/>
  <c r="AM762" i="1"/>
  <c r="AL762" i="1"/>
  <c r="AM761" i="1"/>
  <c r="AL761" i="1"/>
  <c r="BP795" i="1" l="1"/>
  <c r="AS810" i="1"/>
  <c r="BP805" i="1"/>
  <c r="AS811" i="1"/>
  <c r="AS773" i="1"/>
  <c r="BP807" i="1"/>
  <c r="AS821" i="1"/>
  <c r="BP772" i="1"/>
  <c r="BP787" i="1"/>
  <c r="AS779" i="1"/>
  <c r="AS825" i="1"/>
  <c r="BP825" i="1"/>
  <c r="BP783" i="1"/>
  <c r="AS774" i="1"/>
  <c r="BP774" i="1"/>
  <c r="AS817" i="1"/>
  <c r="BP817" i="1"/>
  <c r="AS801" i="1"/>
  <c r="BP801" i="1"/>
  <c r="AS799" i="1"/>
  <c r="BP799" i="1"/>
  <c r="AS802" i="1"/>
  <c r="BP802" i="1"/>
  <c r="AS781" i="1"/>
  <c r="BP781" i="1"/>
  <c r="AS790" i="1"/>
  <c r="BP790" i="1"/>
  <c r="AS775" i="1"/>
  <c r="BP775" i="1"/>
  <c r="AS798" i="1"/>
  <c r="BP798" i="1"/>
  <c r="AS793" i="1"/>
  <c r="BP793" i="1"/>
  <c r="AS819" i="1"/>
  <c r="BP819" i="1"/>
  <c r="AM756" i="1"/>
  <c r="AL756" i="1"/>
  <c r="AM754" i="1"/>
  <c r="AL754" i="1"/>
  <c r="Y741" i="1" l="1"/>
  <c r="AM741" i="1"/>
  <c r="AL741" i="1"/>
  <c r="AM738" i="1"/>
  <c r="AL738" i="1"/>
  <c r="AN737" i="1"/>
  <c r="AM737" i="1"/>
  <c r="AL737" i="1"/>
  <c r="AN736" i="1"/>
  <c r="AM736" i="1"/>
  <c r="AL736" i="1"/>
  <c r="AN735" i="1"/>
  <c r="AM735" i="1"/>
  <c r="AL735" i="1"/>
  <c r="AM734" i="1"/>
  <c r="AL734" i="1"/>
  <c r="BO766" i="1"/>
  <c r="BH766" i="1"/>
  <c r="BI766" i="1" s="1"/>
  <c r="BK766" i="1" s="1"/>
  <c r="BF766" i="1"/>
  <c r="BG766" i="1" s="1"/>
  <c r="BO765" i="1"/>
  <c r="BH765" i="1"/>
  <c r="BI765" i="1" s="1"/>
  <c r="BK765" i="1" s="1"/>
  <c r="BF765" i="1"/>
  <c r="BG765" i="1" s="1"/>
  <c r="BO764" i="1"/>
  <c r="BH764" i="1"/>
  <c r="BI764" i="1" s="1"/>
  <c r="BK764" i="1" s="1"/>
  <c r="BF764" i="1"/>
  <c r="BG764" i="1" s="1"/>
  <c r="BO763" i="1"/>
  <c r="BH763" i="1"/>
  <c r="BI763" i="1" s="1"/>
  <c r="BK763" i="1" s="1"/>
  <c r="BF763" i="1"/>
  <c r="BG763" i="1" s="1"/>
  <c r="BO762" i="1"/>
  <c r="BH762" i="1"/>
  <c r="BI762" i="1" s="1"/>
  <c r="BK762" i="1" s="1"/>
  <c r="BF762" i="1"/>
  <c r="BG762" i="1" s="1"/>
  <c r="BO761" i="1"/>
  <c r="BH761" i="1"/>
  <c r="BI761" i="1" s="1"/>
  <c r="BK761" i="1" s="1"/>
  <c r="BF761" i="1"/>
  <c r="BG761" i="1" s="1"/>
  <c r="BO760" i="1"/>
  <c r="BH760" i="1"/>
  <c r="BI760" i="1" s="1"/>
  <c r="BK760" i="1" s="1"/>
  <c r="BF760" i="1"/>
  <c r="BG760" i="1" s="1"/>
  <c r="BO759" i="1"/>
  <c r="BH759" i="1"/>
  <c r="BI759" i="1" s="1"/>
  <c r="BK759" i="1" s="1"/>
  <c r="BF759" i="1"/>
  <c r="BG759" i="1" s="1"/>
  <c r="BO758" i="1"/>
  <c r="BH758" i="1"/>
  <c r="BI758" i="1" s="1"/>
  <c r="BK758" i="1" s="1"/>
  <c r="BF758" i="1"/>
  <c r="BG758" i="1" s="1"/>
  <c r="BO757" i="1"/>
  <c r="BH757" i="1"/>
  <c r="BI757" i="1" s="1"/>
  <c r="BK757" i="1" s="1"/>
  <c r="BF757" i="1"/>
  <c r="BG757" i="1" s="1"/>
  <c r="BO756" i="1"/>
  <c r="BH756" i="1"/>
  <c r="BI756" i="1" s="1"/>
  <c r="BK756" i="1" s="1"/>
  <c r="BF756" i="1"/>
  <c r="BG756" i="1" s="1"/>
  <c r="BO755" i="1"/>
  <c r="BH755" i="1"/>
  <c r="BI755" i="1" s="1"/>
  <c r="BK755" i="1" s="1"/>
  <c r="BF755" i="1"/>
  <c r="BG755" i="1" s="1"/>
  <c r="BO754" i="1"/>
  <c r="BH754" i="1"/>
  <c r="BI754" i="1" s="1"/>
  <c r="BK754" i="1" s="1"/>
  <c r="BF754" i="1"/>
  <c r="BG754" i="1" s="1"/>
  <c r="BO753" i="1"/>
  <c r="BH753" i="1"/>
  <c r="BI753" i="1" s="1"/>
  <c r="BK753" i="1" s="1"/>
  <c r="BF753" i="1"/>
  <c r="BG753" i="1" s="1"/>
  <c r="BO752" i="1"/>
  <c r="BH752" i="1"/>
  <c r="BI752" i="1" s="1"/>
  <c r="BK752" i="1" s="1"/>
  <c r="BF752" i="1"/>
  <c r="BG752" i="1" s="1"/>
  <c r="BO751" i="1"/>
  <c r="BH751" i="1"/>
  <c r="BI751" i="1" s="1"/>
  <c r="BK751" i="1" s="1"/>
  <c r="BF751" i="1"/>
  <c r="BG751" i="1" s="1"/>
  <c r="BO750" i="1"/>
  <c r="BH750" i="1"/>
  <c r="BI750" i="1" s="1"/>
  <c r="BK750" i="1" s="1"/>
  <c r="BF750" i="1"/>
  <c r="BG750" i="1" s="1"/>
  <c r="BO749" i="1"/>
  <c r="BH749" i="1"/>
  <c r="BI749" i="1" s="1"/>
  <c r="BK749" i="1" s="1"/>
  <c r="BF749" i="1"/>
  <c r="BG749" i="1" s="1"/>
  <c r="BO748" i="1"/>
  <c r="BH748" i="1"/>
  <c r="BI748" i="1" s="1"/>
  <c r="BK748" i="1" s="1"/>
  <c r="BF748" i="1"/>
  <c r="BG748" i="1" s="1"/>
  <c r="BO747" i="1"/>
  <c r="BH747" i="1"/>
  <c r="BI747" i="1" s="1"/>
  <c r="BK747" i="1" s="1"/>
  <c r="BF747" i="1"/>
  <c r="BG747" i="1" s="1"/>
  <c r="BO746" i="1"/>
  <c r="BH746" i="1"/>
  <c r="BI746" i="1" s="1"/>
  <c r="BK746" i="1" s="1"/>
  <c r="BF746" i="1"/>
  <c r="BG746" i="1" s="1"/>
  <c r="BO745" i="1"/>
  <c r="BH745" i="1"/>
  <c r="BI745" i="1" s="1"/>
  <c r="BK745" i="1" s="1"/>
  <c r="BF745" i="1"/>
  <c r="BG745" i="1" s="1"/>
  <c r="BO744" i="1"/>
  <c r="BH744" i="1"/>
  <c r="BI744" i="1" s="1"/>
  <c r="BK744" i="1" s="1"/>
  <c r="BF744" i="1"/>
  <c r="BG744" i="1" s="1"/>
  <c r="BO743" i="1"/>
  <c r="BH743" i="1"/>
  <c r="BI743" i="1" s="1"/>
  <c r="BK743" i="1" s="1"/>
  <c r="BF743" i="1"/>
  <c r="BG743" i="1" s="1"/>
  <c r="BO742" i="1"/>
  <c r="BH742" i="1"/>
  <c r="BI742" i="1" s="1"/>
  <c r="BK742" i="1" s="1"/>
  <c r="BF742" i="1"/>
  <c r="BG742" i="1" s="1"/>
  <c r="BO741" i="1"/>
  <c r="BH741" i="1"/>
  <c r="BI741" i="1" s="1"/>
  <c r="BK741" i="1" s="1"/>
  <c r="BF741" i="1"/>
  <c r="BG741" i="1" s="1"/>
  <c r="BO740" i="1"/>
  <c r="BH740" i="1"/>
  <c r="BI740" i="1" s="1"/>
  <c r="BK740" i="1" s="1"/>
  <c r="BF740" i="1"/>
  <c r="BG740" i="1" s="1"/>
  <c r="BO739" i="1"/>
  <c r="BH739" i="1"/>
  <c r="BI739" i="1" s="1"/>
  <c r="BK739" i="1" s="1"/>
  <c r="BF739" i="1"/>
  <c r="BG739" i="1" s="1"/>
  <c r="BO738" i="1"/>
  <c r="BH738" i="1"/>
  <c r="BI738" i="1" s="1"/>
  <c r="BK738" i="1" s="1"/>
  <c r="BF738" i="1"/>
  <c r="BG738" i="1" s="1"/>
  <c r="BO737" i="1"/>
  <c r="BH737" i="1"/>
  <c r="BI737" i="1" s="1"/>
  <c r="BK737" i="1" s="1"/>
  <c r="BF737" i="1"/>
  <c r="BG737" i="1" s="1"/>
  <c r="BO736" i="1"/>
  <c r="BH736" i="1"/>
  <c r="BI736" i="1" s="1"/>
  <c r="BK736" i="1" s="1"/>
  <c r="BF736" i="1"/>
  <c r="BG736" i="1" s="1"/>
  <c r="BO735" i="1"/>
  <c r="BH735" i="1"/>
  <c r="BI735" i="1" s="1"/>
  <c r="BK735" i="1" s="1"/>
  <c r="BF735" i="1"/>
  <c r="BG735" i="1" s="1"/>
  <c r="BO734" i="1"/>
  <c r="BH734" i="1"/>
  <c r="BI734" i="1" s="1"/>
  <c r="BK734" i="1" s="1"/>
  <c r="BF734" i="1"/>
  <c r="BG734" i="1" s="1"/>
  <c r="BO733" i="1"/>
  <c r="BH733" i="1"/>
  <c r="BI733" i="1" s="1"/>
  <c r="BK733" i="1" s="1"/>
  <c r="BF733" i="1"/>
  <c r="BG733" i="1" s="1"/>
  <c r="AZ766" i="1"/>
  <c r="AW766" i="1"/>
  <c r="BB766" i="1" s="1"/>
  <c r="AZ765" i="1"/>
  <c r="AW765" i="1"/>
  <c r="AZ764" i="1"/>
  <c r="AW764" i="1"/>
  <c r="AY764" i="1" s="1"/>
  <c r="AZ763" i="1"/>
  <c r="AW763" i="1"/>
  <c r="BB763" i="1" s="1"/>
  <c r="AZ762" i="1"/>
  <c r="AW762" i="1"/>
  <c r="AY762" i="1" s="1"/>
  <c r="AZ761" i="1"/>
  <c r="AW761" i="1"/>
  <c r="AO761" i="1" s="1"/>
  <c r="AZ760" i="1"/>
  <c r="AW760" i="1"/>
  <c r="AZ759" i="1"/>
  <c r="AW759" i="1"/>
  <c r="AY759" i="1" s="1"/>
  <c r="AZ758" i="1"/>
  <c r="AW758" i="1"/>
  <c r="AZ757" i="1"/>
  <c r="AW757" i="1"/>
  <c r="AY757" i="1" s="1"/>
  <c r="AZ756" i="1"/>
  <c r="AW756" i="1"/>
  <c r="BB756" i="1" s="1"/>
  <c r="AZ755" i="1"/>
  <c r="AW755" i="1"/>
  <c r="AY755" i="1" s="1"/>
  <c r="AZ754" i="1"/>
  <c r="AW754" i="1"/>
  <c r="BB754" i="1" s="1"/>
  <c r="AZ753" i="1"/>
  <c r="AW753" i="1"/>
  <c r="AZ752" i="1"/>
  <c r="AW752" i="1"/>
  <c r="AY752" i="1" s="1"/>
  <c r="AZ751" i="1"/>
  <c r="AW751" i="1"/>
  <c r="BB751" i="1" s="1"/>
  <c r="AZ750" i="1"/>
  <c r="AW750" i="1"/>
  <c r="BB750" i="1" s="1"/>
  <c r="AZ749" i="1"/>
  <c r="AW749" i="1"/>
  <c r="AO749" i="1" s="1"/>
  <c r="AZ748" i="1"/>
  <c r="AW748" i="1"/>
  <c r="AZ747" i="1"/>
  <c r="AW747" i="1"/>
  <c r="AY747" i="1" s="1"/>
  <c r="AZ746" i="1"/>
  <c r="AW746" i="1"/>
  <c r="AZ745" i="1"/>
  <c r="AW745" i="1"/>
  <c r="AY745" i="1" s="1"/>
  <c r="AZ744" i="1"/>
  <c r="AW744" i="1"/>
  <c r="BB744" i="1" s="1"/>
  <c r="AZ743" i="1"/>
  <c r="AW743" i="1"/>
  <c r="AZ742" i="1"/>
  <c r="AW742" i="1"/>
  <c r="BB742" i="1" s="1"/>
  <c r="AZ741" i="1"/>
  <c r="AW741" i="1"/>
  <c r="AZ740" i="1"/>
  <c r="AW740" i="1"/>
  <c r="AY740" i="1" s="1"/>
  <c r="AZ739" i="1"/>
  <c r="AW739" i="1"/>
  <c r="AZ738" i="1"/>
  <c r="AW738" i="1"/>
  <c r="BB738" i="1" s="1"/>
  <c r="AZ737" i="1"/>
  <c r="AW737" i="1"/>
  <c r="AO737" i="1" s="1"/>
  <c r="AZ736" i="1"/>
  <c r="AW736" i="1"/>
  <c r="AY736" i="1" s="1"/>
  <c r="AZ735" i="1"/>
  <c r="AW735" i="1"/>
  <c r="AY735" i="1" s="1"/>
  <c r="AZ734" i="1"/>
  <c r="AW734" i="1"/>
  <c r="AZ733" i="1"/>
  <c r="AW733" i="1"/>
  <c r="AY733" i="1" s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BA762" i="1" l="1"/>
  <c r="AO751" i="1"/>
  <c r="BM751" i="1" s="1"/>
  <c r="AO744" i="1"/>
  <c r="AR744" i="1" s="1"/>
  <c r="AO745" i="1"/>
  <c r="BM745" i="1" s="1"/>
  <c r="AO762" i="1"/>
  <c r="AR762" i="1" s="1"/>
  <c r="AS762" i="1" s="1"/>
  <c r="BA764" i="1"/>
  <c r="BA735" i="1"/>
  <c r="BA747" i="1"/>
  <c r="BB752" i="1"/>
  <c r="AO752" i="1"/>
  <c r="BM752" i="1" s="1"/>
  <c r="BA736" i="1"/>
  <c r="AO756" i="1"/>
  <c r="BM756" i="1" s="1"/>
  <c r="BA757" i="1"/>
  <c r="BA740" i="1"/>
  <c r="BA752" i="1"/>
  <c r="BM737" i="1"/>
  <c r="AO738" i="1"/>
  <c r="BM738" i="1" s="1"/>
  <c r="BB733" i="1"/>
  <c r="BB762" i="1"/>
  <c r="BM761" i="1"/>
  <c r="BA759" i="1"/>
  <c r="AO735" i="1"/>
  <c r="AR735" i="1" s="1"/>
  <c r="BM749" i="1"/>
  <c r="AO757" i="1"/>
  <c r="BM757" i="1" s="1"/>
  <c r="AY738" i="1"/>
  <c r="BA738" i="1" s="1"/>
  <c r="BA755" i="1"/>
  <c r="AO747" i="1"/>
  <c r="BM747" i="1" s="1"/>
  <c r="AO733" i="1"/>
  <c r="BM733" i="1" s="1"/>
  <c r="AO759" i="1"/>
  <c r="AR759" i="1" s="1"/>
  <c r="BA745" i="1"/>
  <c r="BB735" i="1"/>
  <c r="BB740" i="1"/>
  <c r="AO740" i="1"/>
  <c r="AR740" i="1" s="1"/>
  <c r="AO764" i="1"/>
  <c r="AR764" i="1" s="1"/>
  <c r="AY750" i="1"/>
  <c r="BA750" i="1" s="1"/>
  <c r="BB764" i="1"/>
  <c r="BB759" i="1"/>
  <c r="AO763" i="1"/>
  <c r="AR763" i="1" s="1"/>
  <c r="BB745" i="1"/>
  <c r="AO750" i="1"/>
  <c r="BM750" i="1" s="1"/>
  <c r="BA733" i="1"/>
  <c r="BB747" i="1"/>
  <c r="BB757" i="1"/>
  <c r="AO743" i="1"/>
  <c r="BM743" i="1" s="1"/>
  <c r="BB743" i="1"/>
  <c r="BB739" i="1"/>
  <c r="AY739" i="1"/>
  <c r="BA739" i="1" s="1"/>
  <c r="AO760" i="1"/>
  <c r="AR760" i="1" s="1"/>
  <c r="BB760" i="1"/>
  <c r="AO755" i="1"/>
  <c r="BB755" i="1"/>
  <c r="AY743" i="1"/>
  <c r="BA743" i="1" s="1"/>
  <c r="AO736" i="1"/>
  <c r="AR736" i="1" s="1"/>
  <c r="BB736" i="1"/>
  <c r="AO748" i="1"/>
  <c r="BM748" i="1" s="1"/>
  <c r="BB748" i="1"/>
  <c r="AY748" i="1"/>
  <c r="BA748" i="1" s="1"/>
  <c r="AY760" i="1"/>
  <c r="BA760" i="1" s="1"/>
  <c r="AO741" i="1"/>
  <c r="BM741" i="1" s="1"/>
  <c r="BB741" i="1"/>
  <c r="AO753" i="1"/>
  <c r="AR753" i="1" s="1"/>
  <c r="BB753" i="1"/>
  <c r="AO765" i="1"/>
  <c r="BB765" i="1"/>
  <c r="BB734" i="1"/>
  <c r="AO734" i="1"/>
  <c r="BM734" i="1" s="1"/>
  <c r="AY741" i="1"/>
  <c r="BA741" i="1" s="1"/>
  <c r="AY753" i="1"/>
  <c r="BA753" i="1" s="1"/>
  <c r="AY765" i="1"/>
  <c r="BA765" i="1" s="1"/>
  <c r="AY734" i="1"/>
  <c r="BA734" i="1" s="1"/>
  <c r="BB746" i="1"/>
  <c r="AY746" i="1"/>
  <c r="BA746" i="1" s="1"/>
  <c r="AO746" i="1"/>
  <c r="AR746" i="1" s="1"/>
  <c r="BB758" i="1"/>
  <c r="AO758" i="1"/>
  <c r="AY758" i="1"/>
  <c r="BA758" i="1" s="1"/>
  <c r="AO739" i="1"/>
  <c r="AR739" i="1" s="1"/>
  <c r="AY751" i="1"/>
  <c r="BA751" i="1" s="1"/>
  <c r="AY763" i="1"/>
  <c r="BA763" i="1" s="1"/>
  <c r="AY744" i="1"/>
  <c r="BA744" i="1" s="1"/>
  <c r="AY756" i="1"/>
  <c r="BA756" i="1" s="1"/>
  <c r="AY737" i="1"/>
  <c r="BA737" i="1" s="1"/>
  <c r="AY749" i="1"/>
  <c r="BA749" i="1" s="1"/>
  <c r="AY761" i="1"/>
  <c r="BA761" i="1" s="1"/>
  <c r="AY742" i="1"/>
  <c r="BA742" i="1" s="1"/>
  <c r="AY754" i="1"/>
  <c r="BA754" i="1" s="1"/>
  <c r="AY766" i="1"/>
  <c r="BA766" i="1" s="1"/>
  <c r="AO742" i="1"/>
  <c r="AR742" i="1" s="1"/>
  <c r="AO754" i="1"/>
  <c r="AR754" i="1" s="1"/>
  <c r="AO766" i="1"/>
  <c r="BM766" i="1" s="1"/>
  <c r="AR737" i="1"/>
  <c r="AR749" i="1"/>
  <c r="AR761" i="1"/>
  <c r="BB737" i="1"/>
  <c r="BB749" i="1"/>
  <c r="BB761" i="1"/>
  <c r="Y723" i="1"/>
  <c r="BM762" i="1" l="1"/>
  <c r="AR745" i="1"/>
  <c r="AS745" i="1" s="1"/>
  <c r="AR751" i="1"/>
  <c r="AS751" i="1" s="1"/>
  <c r="BM744" i="1"/>
  <c r="AS744" i="1"/>
  <c r="BP744" i="1"/>
  <c r="AR752" i="1"/>
  <c r="AS752" i="1" s="1"/>
  <c r="AR756" i="1"/>
  <c r="BP756" i="1" s="1"/>
  <c r="BM740" i="1"/>
  <c r="AR757" i="1"/>
  <c r="AS757" i="1" s="1"/>
  <c r="AR738" i="1"/>
  <c r="AS738" i="1" s="1"/>
  <c r="BM759" i="1"/>
  <c r="BP762" i="1"/>
  <c r="AR733" i="1"/>
  <c r="AS733" i="1" s="1"/>
  <c r="BM764" i="1"/>
  <c r="AS735" i="1"/>
  <c r="BP735" i="1"/>
  <c r="BM742" i="1"/>
  <c r="BM739" i="1"/>
  <c r="BM736" i="1"/>
  <c r="AR747" i="1"/>
  <c r="AR750" i="1"/>
  <c r="BP750" i="1" s="1"/>
  <c r="AR743" i="1"/>
  <c r="AS743" i="1" s="1"/>
  <c r="BM735" i="1"/>
  <c r="AS760" i="1"/>
  <c r="BP760" i="1"/>
  <c r="AS764" i="1"/>
  <c r="BP764" i="1"/>
  <c r="AS763" i="1"/>
  <c r="BP763" i="1"/>
  <c r="AS737" i="1"/>
  <c r="BP737" i="1"/>
  <c r="AR755" i="1"/>
  <c r="BM755" i="1"/>
  <c r="AS759" i="1"/>
  <c r="BP759" i="1"/>
  <c r="AS754" i="1"/>
  <c r="BP754" i="1"/>
  <c r="AS739" i="1"/>
  <c r="BP739" i="1"/>
  <c r="BM763" i="1"/>
  <c r="AR766" i="1"/>
  <c r="AS742" i="1"/>
  <c r="BP742" i="1"/>
  <c r="BM746" i="1"/>
  <c r="BM760" i="1"/>
  <c r="AS749" i="1"/>
  <c r="BP749" i="1"/>
  <c r="AR765" i="1"/>
  <c r="BM765" i="1"/>
  <c r="AS746" i="1"/>
  <c r="BP746" i="1"/>
  <c r="AS753" i="1"/>
  <c r="BP753" i="1"/>
  <c r="AS740" i="1"/>
  <c r="BP740" i="1"/>
  <c r="AR741" i="1"/>
  <c r="BM754" i="1"/>
  <c r="AR734" i="1"/>
  <c r="AS761" i="1"/>
  <c r="BP761" i="1"/>
  <c r="AR748" i="1"/>
  <c r="AR758" i="1"/>
  <c r="BM758" i="1"/>
  <c r="AS736" i="1"/>
  <c r="BP736" i="1"/>
  <c r="BM753" i="1"/>
  <c r="AL718" i="1"/>
  <c r="BP745" i="1" l="1"/>
  <c r="BP751" i="1"/>
  <c r="AS756" i="1"/>
  <c r="BP752" i="1"/>
  <c r="BP757" i="1"/>
  <c r="AS750" i="1"/>
  <c r="BP743" i="1"/>
  <c r="BP738" i="1"/>
  <c r="BP733" i="1"/>
  <c r="AS747" i="1"/>
  <c r="BP747" i="1"/>
  <c r="AS755" i="1"/>
  <c r="BP755" i="1"/>
  <c r="AS734" i="1"/>
  <c r="BP734" i="1"/>
  <c r="AS765" i="1"/>
  <c r="BP765" i="1"/>
  <c r="AS741" i="1"/>
  <c r="BP741" i="1"/>
  <c r="AS758" i="1"/>
  <c r="BP758" i="1"/>
  <c r="AS748" i="1"/>
  <c r="BP748" i="1"/>
  <c r="AS766" i="1"/>
  <c r="BP766" i="1"/>
  <c r="AN731" i="1"/>
  <c r="AM731" i="1"/>
  <c r="AL731" i="1"/>
  <c r="AM723" i="1"/>
  <c r="AL723" i="1"/>
  <c r="AM722" i="1"/>
  <c r="AL722" i="1"/>
  <c r="AN721" i="1"/>
  <c r="AM721" i="1"/>
  <c r="AL721" i="1"/>
  <c r="Y718" i="1" l="1"/>
  <c r="AN716" i="1"/>
  <c r="AL716" i="1"/>
  <c r="AN715" i="1"/>
  <c r="AN714" i="1"/>
  <c r="AL714" i="1"/>
  <c r="AN713" i="1"/>
  <c r="AL713" i="1"/>
  <c r="AN712" i="1"/>
  <c r="AL712" i="1"/>
  <c r="AM718" i="1"/>
  <c r="AM716" i="1"/>
  <c r="AM715" i="1"/>
  <c r="AM714" i="1"/>
  <c r="AM713" i="1"/>
  <c r="AM712" i="1"/>
  <c r="AM711" i="1"/>
  <c r="AL711" i="1"/>
  <c r="AM709" i="1"/>
  <c r="AL709" i="1"/>
  <c r="AM708" i="1"/>
  <c r="AL708" i="1"/>
  <c r="AM702" i="1" l="1"/>
  <c r="AM706" i="1" l="1"/>
  <c r="AM703" i="1"/>
  <c r="AM704" i="1"/>
  <c r="AL706" i="1"/>
  <c r="AL704" i="1"/>
  <c r="AN703" i="1"/>
  <c r="AL703" i="1"/>
  <c r="AN702" i="1"/>
  <c r="AL702" i="1"/>
  <c r="AM700" i="1"/>
  <c r="AL700" i="1"/>
  <c r="AN699" i="1"/>
  <c r="AM699" i="1"/>
  <c r="AL699" i="1"/>
  <c r="AN698" i="1"/>
  <c r="AM698" i="1"/>
  <c r="AL698" i="1"/>
  <c r="BO732" i="1"/>
  <c r="BH732" i="1"/>
  <c r="BI732" i="1" s="1"/>
  <c r="BK732" i="1" s="1"/>
  <c r="BF732" i="1"/>
  <c r="BG732" i="1" s="1"/>
  <c r="BO731" i="1"/>
  <c r="BH731" i="1"/>
  <c r="BI731" i="1" s="1"/>
  <c r="BK731" i="1" s="1"/>
  <c r="BF731" i="1"/>
  <c r="BG731" i="1" s="1"/>
  <c r="BO730" i="1"/>
  <c r="BH730" i="1"/>
  <c r="BI730" i="1" s="1"/>
  <c r="BK730" i="1" s="1"/>
  <c r="BF730" i="1"/>
  <c r="BG730" i="1" s="1"/>
  <c r="BO729" i="1"/>
  <c r="BH729" i="1"/>
  <c r="BI729" i="1" s="1"/>
  <c r="BK729" i="1" s="1"/>
  <c r="BF729" i="1"/>
  <c r="BG729" i="1" s="1"/>
  <c r="BO728" i="1"/>
  <c r="BH728" i="1"/>
  <c r="BI728" i="1" s="1"/>
  <c r="BK728" i="1" s="1"/>
  <c r="BF728" i="1"/>
  <c r="BG728" i="1" s="1"/>
  <c r="BO727" i="1"/>
  <c r="BH727" i="1"/>
  <c r="BI727" i="1" s="1"/>
  <c r="BK727" i="1" s="1"/>
  <c r="BF727" i="1"/>
  <c r="BG727" i="1" s="1"/>
  <c r="BO726" i="1"/>
  <c r="BH726" i="1"/>
  <c r="BI726" i="1" s="1"/>
  <c r="BK726" i="1" s="1"/>
  <c r="BF726" i="1"/>
  <c r="BG726" i="1" s="1"/>
  <c r="BO725" i="1"/>
  <c r="BH725" i="1"/>
  <c r="BI725" i="1" s="1"/>
  <c r="BK725" i="1" s="1"/>
  <c r="BF725" i="1"/>
  <c r="BG725" i="1" s="1"/>
  <c r="BO724" i="1"/>
  <c r="BH724" i="1"/>
  <c r="BI724" i="1" s="1"/>
  <c r="BK724" i="1" s="1"/>
  <c r="BF724" i="1"/>
  <c r="BG724" i="1" s="1"/>
  <c r="BO723" i="1"/>
  <c r="BH723" i="1"/>
  <c r="BI723" i="1" s="1"/>
  <c r="BK723" i="1" s="1"/>
  <c r="BF723" i="1"/>
  <c r="BG723" i="1" s="1"/>
  <c r="BO722" i="1"/>
  <c r="BH722" i="1"/>
  <c r="BI722" i="1" s="1"/>
  <c r="BK722" i="1" s="1"/>
  <c r="BF722" i="1"/>
  <c r="BG722" i="1" s="1"/>
  <c r="BO721" i="1"/>
  <c r="BH721" i="1"/>
  <c r="BI721" i="1" s="1"/>
  <c r="BK721" i="1" s="1"/>
  <c r="BF721" i="1"/>
  <c r="BG721" i="1" s="1"/>
  <c r="BO720" i="1"/>
  <c r="BH720" i="1"/>
  <c r="BI720" i="1" s="1"/>
  <c r="BK720" i="1" s="1"/>
  <c r="BF720" i="1"/>
  <c r="BG720" i="1" s="1"/>
  <c r="BO719" i="1"/>
  <c r="BH719" i="1"/>
  <c r="BI719" i="1" s="1"/>
  <c r="BK719" i="1" s="1"/>
  <c r="BF719" i="1"/>
  <c r="BG719" i="1" s="1"/>
  <c r="BO718" i="1"/>
  <c r="BH718" i="1"/>
  <c r="BI718" i="1" s="1"/>
  <c r="BK718" i="1" s="1"/>
  <c r="BF718" i="1"/>
  <c r="BG718" i="1" s="1"/>
  <c r="BO717" i="1"/>
  <c r="BH717" i="1"/>
  <c r="BI717" i="1" s="1"/>
  <c r="BK717" i="1" s="1"/>
  <c r="BF717" i="1"/>
  <c r="BG717" i="1" s="1"/>
  <c r="BO716" i="1"/>
  <c r="BH716" i="1"/>
  <c r="BI716" i="1" s="1"/>
  <c r="BK716" i="1" s="1"/>
  <c r="BF716" i="1"/>
  <c r="BG716" i="1" s="1"/>
  <c r="BO715" i="1"/>
  <c r="BH715" i="1"/>
  <c r="BI715" i="1" s="1"/>
  <c r="BK715" i="1" s="1"/>
  <c r="BF715" i="1"/>
  <c r="BG715" i="1" s="1"/>
  <c r="BO714" i="1"/>
  <c r="BH714" i="1"/>
  <c r="BI714" i="1" s="1"/>
  <c r="BK714" i="1" s="1"/>
  <c r="BF714" i="1"/>
  <c r="BG714" i="1" s="1"/>
  <c r="BO713" i="1"/>
  <c r="BH713" i="1"/>
  <c r="BI713" i="1" s="1"/>
  <c r="BK713" i="1" s="1"/>
  <c r="BF713" i="1"/>
  <c r="BG713" i="1" s="1"/>
  <c r="BO712" i="1"/>
  <c r="BH712" i="1"/>
  <c r="BI712" i="1" s="1"/>
  <c r="BK712" i="1" s="1"/>
  <c r="BF712" i="1"/>
  <c r="BG712" i="1" s="1"/>
  <c r="BO711" i="1"/>
  <c r="BH711" i="1"/>
  <c r="BI711" i="1" s="1"/>
  <c r="BK711" i="1" s="1"/>
  <c r="BF711" i="1"/>
  <c r="BG711" i="1" s="1"/>
  <c r="BO710" i="1"/>
  <c r="BH710" i="1"/>
  <c r="BI710" i="1" s="1"/>
  <c r="BK710" i="1" s="1"/>
  <c r="BF710" i="1"/>
  <c r="BG710" i="1" s="1"/>
  <c r="BO709" i="1"/>
  <c r="BH709" i="1"/>
  <c r="BI709" i="1" s="1"/>
  <c r="BK709" i="1" s="1"/>
  <c r="BF709" i="1"/>
  <c r="BG709" i="1" s="1"/>
  <c r="BO708" i="1"/>
  <c r="BH708" i="1"/>
  <c r="BI708" i="1" s="1"/>
  <c r="BK708" i="1" s="1"/>
  <c r="BF708" i="1"/>
  <c r="BG708" i="1" s="1"/>
  <c r="BO707" i="1"/>
  <c r="BH707" i="1"/>
  <c r="BI707" i="1" s="1"/>
  <c r="BK707" i="1" s="1"/>
  <c r="BF707" i="1"/>
  <c r="BG707" i="1" s="1"/>
  <c r="BO706" i="1"/>
  <c r="BH706" i="1"/>
  <c r="BI706" i="1" s="1"/>
  <c r="BK706" i="1" s="1"/>
  <c r="BF706" i="1"/>
  <c r="BG706" i="1" s="1"/>
  <c r="BO705" i="1"/>
  <c r="BH705" i="1"/>
  <c r="BI705" i="1" s="1"/>
  <c r="BK705" i="1" s="1"/>
  <c r="BF705" i="1"/>
  <c r="BG705" i="1" s="1"/>
  <c r="BO704" i="1"/>
  <c r="BH704" i="1"/>
  <c r="BI704" i="1" s="1"/>
  <c r="BK704" i="1" s="1"/>
  <c r="BF704" i="1"/>
  <c r="BG704" i="1" s="1"/>
  <c r="BO703" i="1"/>
  <c r="BH703" i="1"/>
  <c r="BI703" i="1" s="1"/>
  <c r="BK703" i="1" s="1"/>
  <c r="BF703" i="1"/>
  <c r="BG703" i="1" s="1"/>
  <c r="BO702" i="1"/>
  <c r="BH702" i="1"/>
  <c r="BI702" i="1" s="1"/>
  <c r="BK702" i="1" s="1"/>
  <c r="BF702" i="1"/>
  <c r="BG702" i="1" s="1"/>
  <c r="BO701" i="1"/>
  <c r="BH701" i="1"/>
  <c r="BI701" i="1" s="1"/>
  <c r="BK701" i="1" s="1"/>
  <c r="BF701" i="1"/>
  <c r="BG701" i="1" s="1"/>
  <c r="BO700" i="1"/>
  <c r="BH700" i="1"/>
  <c r="BI700" i="1" s="1"/>
  <c r="BK700" i="1" s="1"/>
  <c r="BF700" i="1"/>
  <c r="BG700" i="1" s="1"/>
  <c r="BO699" i="1"/>
  <c r="BH699" i="1"/>
  <c r="BI699" i="1" s="1"/>
  <c r="BK699" i="1" s="1"/>
  <c r="BF699" i="1"/>
  <c r="BG699" i="1" s="1"/>
  <c r="BO698" i="1"/>
  <c r="BH698" i="1"/>
  <c r="BI698" i="1" s="1"/>
  <c r="BK698" i="1" s="1"/>
  <c r="BF698" i="1"/>
  <c r="BG698" i="1" s="1"/>
  <c r="AZ732" i="1"/>
  <c r="AW732" i="1"/>
  <c r="BB732" i="1" s="1"/>
  <c r="AZ731" i="1"/>
  <c r="AW731" i="1"/>
  <c r="BB731" i="1" s="1"/>
  <c r="AZ730" i="1"/>
  <c r="AW730" i="1"/>
  <c r="AY730" i="1" s="1"/>
  <c r="AZ729" i="1"/>
  <c r="AW729" i="1"/>
  <c r="AO729" i="1" s="1"/>
  <c r="AZ728" i="1"/>
  <c r="AW728" i="1"/>
  <c r="BB728" i="1" s="1"/>
  <c r="AZ727" i="1"/>
  <c r="AW727" i="1"/>
  <c r="BB727" i="1" s="1"/>
  <c r="AZ726" i="1"/>
  <c r="AW726" i="1"/>
  <c r="AY726" i="1" s="1"/>
  <c r="AZ725" i="1"/>
  <c r="AW725" i="1"/>
  <c r="AY725" i="1" s="1"/>
  <c r="AZ724" i="1"/>
  <c r="AW724" i="1"/>
  <c r="AO724" i="1" s="1"/>
  <c r="AZ723" i="1"/>
  <c r="AW723" i="1"/>
  <c r="AY723" i="1" s="1"/>
  <c r="AZ722" i="1"/>
  <c r="AW722" i="1"/>
  <c r="BB722" i="1" s="1"/>
  <c r="AZ721" i="1"/>
  <c r="AW721" i="1"/>
  <c r="AY721" i="1" s="1"/>
  <c r="AZ720" i="1"/>
  <c r="AW720" i="1"/>
  <c r="BB720" i="1" s="1"/>
  <c r="AZ719" i="1"/>
  <c r="AW719" i="1"/>
  <c r="BB719" i="1" s="1"/>
  <c r="AZ718" i="1"/>
  <c r="AW718" i="1"/>
  <c r="AY718" i="1" s="1"/>
  <c r="AZ717" i="1"/>
  <c r="AW717" i="1"/>
  <c r="AO717" i="1" s="1"/>
  <c r="AZ716" i="1"/>
  <c r="AW716" i="1"/>
  <c r="AY716" i="1" s="1"/>
  <c r="AZ715" i="1"/>
  <c r="AW715" i="1"/>
  <c r="BB715" i="1" s="1"/>
  <c r="AZ714" i="1"/>
  <c r="AW714" i="1"/>
  <c r="BB714" i="1" s="1"/>
  <c r="AZ713" i="1"/>
  <c r="AW713" i="1"/>
  <c r="AY713" i="1" s="1"/>
  <c r="AZ712" i="1"/>
  <c r="AW712" i="1"/>
  <c r="AO712" i="1" s="1"/>
  <c r="AZ711" i="1"/>
  <c r="AW711" i="1"/>
  <c r="AY711" i="1" s="1"/>
  <c r="AZ710" i="1"/>
  <c r="AW710" i="1"/>
  <c r="BB710" i="1" s="1"/>
  <c r="AZ709" i="1"/>
  <c r="AW709" i="1"/>
  <c r="AY709" i="1" s="1"/>
  <c r="AZ708" i="1"/>
  <c r="AW708" i="1"/>
  <c r="BB708" i="1" s="1"/>
  <c r="AZ707" i="1"/>
  <c r="AW707" i="1"/>
  <c r="BB707" i="1" s="1"/>
  <c r="AZ706" i="1"/>
  <c r="AW706" i="1"/>
  <c r="AY706" i="1" s="1"/>
  <c r="AZ705" i="1"/>
  <c r="AW705" i="1"/>
  <c r="AO705" i="1" s="1"/>
  <c r="AZ704" i="1"/>
  <c r="AW704" i="1"/>
  <c r="AY704" i="1" s="1"/>
  <c r="AZ703" i="1"/>
  <c r="AW703" i="1"/>
  <c r="BB703" i="1" s="1"/>
  <c r="AZ702" i="1"/>
  <c r="AW702" i="1"/>
  <c r="BB702" i="1" s="1"/>
  <c r="AZ701" i="1"/>
  <c r="AW701" i="1"/>
  <c r="AY701" i="1" s="1"/>
  <c r="AZ700" i="1"/>
  <c r="AW700" i="1"/>
  <c r="AO700" i="1" s="1"/>
  <c r="AZ699" i="1"/>
  <c r="AW699" i="1"/>
  <c r="AY699" i="1" s="1"/>
  <c r="AZ698" i="1"/>
  <c r="AW698" i="1"/>
  <c r="BB698" i="1" s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BA701" i="1" l="1"/>
  <c r="BA713" i="1"/>
  <c r="BA725" i="1"/>
  <c r="BA718" i="1"/>
  <c r="BA730" i="1"/>
  <c r="AO725" i="1"/>
  <c r="AR725" i="1" s="1"/>
  <c r="AO704" i="1"/>
  <c r="BM704" i="1" s="1"/>
  <c r="AO720" i="1"/>
  <c r="AR720" i="1" s="1"/>
  <c r="AS720" i="1" s="1"/>
  <c r="BB716" i="1"/>
  <c r="AO716" i="1"/>
  <c r="BM716" i="1" s="1"/>
  <c r="BA721" i="1"/>
  <c r="BA723" i="1"/>
  <c r="BM724" i="1"/>
  <c r="AO706" i="1"/>
  <c r="BM706" i="1" s="1"/>
  <c r="AO719" i="1"/>
  <c r="AR719" i="1" s="1"/>
  <c r="AS719" i="1" s="1"/>
  <c r="BM729" i="1"/>
  <c r="AO703" i="1"/>
  <c r="BM703" i="1" s="1"/>
  <c r="BM700" i="1"/>
  <c r="AO732" i="1"/>
  <c r="BM732" i="1" s="1"/>
  <c r="AO715" i="1"/>
  <c r="BM715" i="1" s="1"/>
  <c r="BA699" i="1"/>
  <c r="BA711" i="1"/>
  <c r="BM717" i="1"/>
  <c r="AO718" i="1"/>
  <c r="BM718" i="1" s="1"/>
  <c r="BA706" i="1"/>
  <c r="AO711" i="1"/>
  <c r="BM711" i="1" s="1"/>
  <c r="AO730" i="1"/>
  <c r="BM730" i="1" s="1"/>
  <c r="BB730" i="1"/>
  <c r="BM705" i="1"/>
  <c r="BA709" i="1"/>
  <c r="BA704" i="1"/>
  <c r="BA716" i="1"/>
  <c r="BM712" i="1"/>
  <c r="BB699" i="1"/>
  <c r="BB704" i="1"/>
  <c r="AO708" i="1"/>
  <c r="BM708" i="1" s="1"/>
  <c r="AO713" i="1"/>
  <c r="BM713" i="1" s="1"/>
  <c r="BB713" i="1"/>
  <c r="AY728" i="1"/>
  <c r="BA728" i="1" s="1"/>
  <c r="BB718" i="1"/>
  <c r="AO727" i="1"/>
  <c r="BM727" i="1" s="1"/>
  <c r="AO699" i="1"/>
  <c r="BM699" i="1" s="1"/>
  <c r="AO728" i="1"/>
  <c r="AR728" i="1" s="1"/>
  <c r="BB723" i="1"/>
  <c r="AO723" i="1"/>
  <c r="BM723" i="1" s="1"/>
  <c r="AY729" i="1"/>
  <c r="BA729" i="1" s="1"/>
  <c r="AO701" i="1"/>
  <c r="BM701" i="1" s="1"/>
  <c r="AO731" i="1"/>
  <c r="BM731" i="1" s="1"/>
  <c r="BB701" i="1"/>
  <c r="BB725" i="1"/>
  <c r="BB706" i="1"/>
  <c r="BB711" i="1"/>
  <c r="BA726" i="1"/>
  <c r="AY714" i="1"/>
  <c r="BA714" i="1" s="1"/>
  <c r="AY707" i="1"/>
  <c r="BA707" i="1" s="1"/>
  <c r="BB726" i="1"/>
  <c r="AO726" i="1"/>
  <c r="BM726" i="1" s="1"/>
  <c r="AY702" i="1"/>
  <c r="BA702" i="1" s="1"/>
  <c r="AO707" i="1"/>
  <c r="AO714" i="1"/>
  <c r="AR714" i="1" s="1"/>
  <c r="AY719" i="1"/>
  <c r="BA719" i="1" s="1"/>
  <c r="AY731" i="1"/>
  <c r="BA731" i="1" s="1"/>
  <c r="BB700" i="1"/>
  <c r="AY700" i="1"/>
  <c r="BA700" i="1" s="1"/>
  <c r="BB712" i="1"/>
  <c r="AY712" i="1"/>
  <c r="BA712" i="1" s="1"/>
  <c r="BB724" i="1"/>
  <c r="AY724" i="1"/>
  <c r="BA724" i="1" s="1"/>
  <c r="AO702" i="1"/>
  <c r="AO709" i="1"/>
  <c r="BB709" i="1"/>
  <c r="BB721" i="1"/>
  <c r="AO721" i="1"/>
  <c r="BM721" i="1" s="1"/>
  <c r="AY698" i="1"/>
  <c r="BA698" i="1" s="1"/>
  <c r="AY705" i="1"/>
  <c r="BA705" i="1" s="1"/>
  <c r="AY717" i="1"/>
  <c r="BA717" i="1" s="1"/>
  <c r="AY710" i="1"/>
  <c r="BA710" i="1" s="1"/>
  <c r="AY722" i="1"/>
  <c r="BA722" i="1" s="1"/>
  <c r="AY703" i="1"/>
  <c r="BA703" i="1" s="1"/>
  <c r="AY715" i="1"/>
  <c r="BA715" i="1" s="1"/>
  <c r="AY727" i="1"/>
  <c r="BA727" i="1" s="1"/>
  <c r="AO698" i="1"/>
  <c r="AR698" i="1" s="1"/>
  <c r="AO710" i="1"/>
  <c r="BM710" i="1" s="1"/>
  <c r="AO722" i="1"/>
  <c r="BM722" i="1" s="1"/>
  <c r="BB705" i="1"/>
  <c r="AY708" i="1"/>
  <c r="BA708" i="1" s="1"/>
  <c r="BB717" i="1"/>
  <c r="AY720" i="1"/>
  <c r="BA720" i="1" s="1"/>
  <c r="BB729" i="1"/>
  <c r="AY732" i="1"/>
  <c r="BA732" i="1" s="1"/>
  <c r="AR705" i="1"/>
  <c r="AR717" i="1"/>
  <c r="AR729" i="1"/>
  <c r="AR700" i="1"/>
  <c r="AR712" i="1"/>
  <c r="AR724" i="1"/>
  <c r="AM692" i="1"/>
  <c r="AL692" i="1"/>
  <c r="AN691" i="1"/>
  <c r="BM725" i="1" l="1"/>
  <c r="AR716" i="1"/>
  <c r="AS716" i="1" s="1"/>
  <c r="AR704" i="1"/>
  <c r="AS704" i="1" s="1"/>
  <c r="AR721" i="1"/>
  <c r="AS721" i="1" s="1"/>
  <c r="BM719" i="1"/>
  <c r="AR726" i="1"/>
  <c r="BP726" i="1" s="1"/>
  <c r="BM720" i="1"/>
  <c r="AR706" i="1"/>
  <c r="BP706" i="1" s="1"/>
  <c r="AR715" i="1"/>
  <c r="AS715" i="1" s="1"/>
  <c r="AR718" i="1"/>
  <c r="AS718" i="1" s="1"/>
  <c r="BP720" i="1"/>
  <c r="BP719" i="1"/>
  <c r="AR711" i="1"/>
  <c r="BP711" i="1" s="1"/>
  <c r="AR732" i="1"/>
  <c r="AS732" i="1" s="1"/>
  <c r="AR703" i="1"/>
  <c r="AS703" i="1" s="1"/>
  <c r="AR730" i="1"/>
  <c r="BP730" i="1" s="1"/>
  <c r="AR708" i="1"/>
  <c r="BP708" i="1" s="1"/>
  <c r="BM728" i="1"/>
  <c r="AR713" i="1"/>
  <c r="AS713" i="1" s="1"/>
  <c r="AR699" i="1"/>
  <c r="AS699" i="1" s="1"/>
  <c r="AR727" i="1"/>
  <c r="BP727" i="1" s="1"/>
  <c r="AS712" i="1"/>
  <c r="BP712" i="1"/>
  <c r="AS700" i="1"/>
  <c r="BP700" i="1"/>
  <c r="AS698" i="1"/>
  <c r="BP698" i="1"/>
  <c r="AS729" i="1"/>
  <c r="BP729" i="1"/>
  <c r="AS728" i="1"/>
  <c r="BP728" i="1"/>
  <c r="AS717" i="1"/>
  <c r="BP717" i="1"/>
  <c r="AS714" i="1"/>
  <c r="BP714" i="1"/>
  <c r="AR722" i="1"/>
  <c r="AR731" i="1"/>
  <c r="AS724" i="1"/>
  <c r="BP724" i="1"/>
  <c r="AS705" i="1"/>
  <c r="BP705" i="1"/>
  <c r="AR709" i="1"/>
  <c r="BM709" i="1"/>
  <c r="AR707" i="1"/>
  <c r="BM707" i="1"/>
  <c r="AS725" i="1"/>
  <c r="BP725" i="1"/>
  <c r="AR723" i="1"/>
  <c r="AR710" i="1"/>
  <c r="AR702" i="1"/>
  <c r="BM702" i="1"/>
  <c r="BM698" i="1"/>
  <c r="AR701" i="1"/>
  <c r="BM714" i="1"/>
  <c r="AM691" i="1"/>
  <c r="AL691" i="1"/>
  <c r="AN690" i="1"/>
  <c r="AM690" i="1"/>
  <c r="AL690" i="1"/>
  <c r="BP716" i="1" l="1"/>
  <c r="AS726" i="1"/>
  <c r="BP704" i="1"/>
  <c r="BP721" i="1"/>
  <c r="BP732" i="1"/>
  <c r="BP715" i="1"/>
  <c r="BP703" i="1"/>
  <c r="AS711" i="1"/>
  <c r="AS706" i="1"/>
  <c r="BP718" i="1"/>
  <c r="AS730" i="1"/>
  <c r="AS708" i="1"/>
  <c r="BP713" i="1"/>
  <c r="AS727" i="1"/>
  <c r="BP699" i="1"/>
  <c r="AS710" i="1"/>
  <c r="BP710" i="1"/>
  <c r="AS723" i="1"/>
  <c r="BP723" i="1"/>
  <c r="AS701" i="1"/>
  <c r="BP701" i="1"/>
  <c r="AS731" i="1"/>
  <c r="BP731" i="1"/>
  <c r="AS702" i="1"/>
  <c r="BP702" i="1"/>
  <c r="AS722" i="1"/>
  <c r="BP722" i="1"/>
  <c r="AS707" i="1"/>
  <c r="BP707" i="1"/>
  <c r="AS709" i="1"/>
  <c r="BP709" i="1"/>
  <c r="AL682" i="1"/>
  <c r="AK682" i="1"/>
  <c r="AM681" i="1" l="1"/>
  <c r="AL681" i="1"/>
  <c r="BO697" i="1" l="1"/>
  <c r="BH697" i="1"/>
  <c r="BI697" i="1" s="1"/>
  <c r="BK697" i="1" s="1"/>
  <c r="BF697" i="1"/>
  <c r="BG697" i="1" s="1"/>
  <c r="BO696" i="1"/>
  <c r="BH696" i="1"/>
  <c r="BI696" i="1" s="1"/>
  <c r="BK696" i="1" s="1"/>
  <c r="BF696" i="1"/>
  <c r="BG696" i="1" s="1"/>
  <c r="BO695" i="1"/>
  <c r="BH695" i="1"/>
  <c r="BI695" i="1" s="1"/>
  <c r="BK695" i="1" s="1"/>
  <c r="BF695" i="1"/>
  <c r="BG695" i="1" s="1"/>
  <c r="BO694" i="1"/>
  <c r="BH694" i="1"/>
  <c r="BI694" i="1" s="1"/>
  <c r="BK694" i="1" s="1"/>
  <c r="BF694" i="1"/>
  <c r="BG694" i="1" s="1"/>
  <c r="BO693" i="1"/>
  <c r="BH693" i="1"/>
  <c r="BI693" i="1" s="1"/>
  <c r="BK693" i="1" s="1"/>
  <c r="BF693" i="1"/>
  <c r="BG693" i="1" s="1"/>
  <c r="BO692" i="1"/>
  <c r="BH692" i="1"/>
  <c r="BI692" i="1" s="1"/>
  <c r="BK692" i="1" s="1"/>
  <c r="BF692" i="1"/>
  <c r="BG692" i="1" s="1"/>
  <c r="BO691" i="1"/>
  <c r="BH691" i="1"/>
  <c r="BI691" i="1" s="1"/>
  <c r="BK691" i="1" s="1"/>
  <c r="BF691" i="1"/>
  <c r="BG691" i="1" s="1"/>
  <c r="BO690" i="1"/>
  <c r="BH690" i="1"/>
  <c r="BI690" i="1" s="1"/>
  <c r="BK690" i="1" s="1"/>
  <c r="BF690" i="1"/>
  <c r="BG690" i="1" s="1"/>
  <c r="BO689" i="1"/>
  <c r="BH689" i="1"/>
  <c r="BI689" i="1" s="1"/>
  <c r="BK689" i="1" s="1"/>
  <c r="BF689" i="1"/>
  <c r="BG689" i="1" s="1"/>
  <c r="BO688" i="1"/>
  <c r="BH688" i="1"/>
  <c r="BI688" i="1" s="1"/>
  <c r="BK688" i="1" s="1"/>
  <c r="BF688" i="1"/>
  <c r="BG688" i="1" s="1"/>
  <c r="BO687" i="1"/>
  <c r="BH687" i="1"/>
  <c r="BI687" i="1" s="1"/>
  <c r="BK687" i="1" s="1"/>
  <c r="BF687" i="1"/>
  <c r="BG687" i="1" s="1"/>
  <c r="BO686" i="1"/>
  <c r="BH686" i="1"/>
  <c r="BI686" i="1" s="1"/>
  <c r="BK686" i="1" s="1"/>
  <c r="BF686" i="1"/>
  <c r="BG686" i="1" s="1"/>
  <c r="BO685" i="1"/>
  <c r="BH685" i="1"/>
  <c r="BI685" i="1" s="1"/>
  <c r="BK685" i="1" s="1"/>
  <c r="BF685" i="1"/>
  <c r="BG685" i="1" s="1"/>
  <c r="BO684" i="1"/>
  <c r="BH684" i="1"/>
  <c r="BI684" i="1" s="1"/>
  <c r="BK684" i="1" s="1"/>
  <c r="BF684" i="1"/>
  <c r="BG684" i="1" s="1"/>
  <c r="BO683" i="1"/>
  <c r="BH683" i="1"/>
  <c r="BI683" i="1" s="1"/>
  <c r="BK683" i="1" s="1"/>
  <c r="BF683" i="1"/>
  <c r="BG683" i="1" s="1"/>
  <c r="BO682" i="1"/>
  <c r="BH682" i="1"/>
  <c r="BI682" i="1" s="1"/>
  <c r="BK682" i="1" s="1"/>
  <c r="BF682" i="1"/>
  <c r="BG682" i="1" s="1"/>
  <c r="BO681" i="1"/>
  <c r="BH681" i="1"/>
  <c r="BI681" i="1" s="1"/>
  <c r="BK681" i="1" s="1"/>
  <c r="BF681" i="1"/>
  <c r="BG681" i="1" s="1"/>
  <c r="AZ697" i="1"/>
  <c r="AW697" i="1"/>
  <c r="BB697" i="1" s="1"/>
  <c r="AZ696" i="1"/>
  <c r="AW696" i="1"/>
  <c r="AO696" i="1" s="1"/>
  <c r="AZ695" i="1"/>
  <c r="AW695" i="1"/>
  <c r="AY695" i="1" s="1"/>
  <c r="AZ694" i="1"/>
  <c r="AW694" i="1"/>
  <c r="BB694" i="1" s="1"/>
  <c r="AZ693" i="1"/>
  <c r="AW693" i="1"/>
  <c r="AY693" i="1" s="1"/>
  <c r="AZ692" i="1"/>
  <c r="AW692" i="1"/>
  <c r="BB692" i="1" s="1"/>
  <c r="AZ691" i="1"/>
  <c r="AW691" i="1"/>
  <c r="AO691" i="1" s="1"/>
  <c r="AZ690" i="1"/>
  <c r="AW690" i="1"/>
  <c r="AY690" i="1" s="1"/>
  <c r="AZ689" i="1"/>
  <c r="AW689" i="1"/>
  <c r="BB689" i="1" s="1"/>
  <c r="AZ688" i="1"/>
  <c r="AW688" i="1"/>
  <c r="AY688" i="1" s="1"/>
  <c r="AZ687" i="1"/>
  <c r="AW687" i="1"/>
  <c r="BB687" i="1" s="1"/>
  <c r="AZ686" i="1"/>
  <c r="AW686" i="1"/>
  <c r="BB686" i="1" s="1"/>
  <c r="AZ685" i="1"/>
  <c r="AW685" i="1"/>
  <c r="BB685" i="1" s="1"/>
  <c r="AZ684" i="1"/>
  <c r="AW684" i="1"/>
  <c r="AO684" i="1" s="1"/>
  <c r="AZ683" i="1"/>
  <c r="AW683" i="1"/>
  <c r="AY683" i="1" s="1"/>
  <c r="AZ682" i="1"/>
  <c r="AW682" i="1"/>
  <c r="BB682" i="1" s="1"/>
  <c r="AZ681" i="1"/>
  <c r="AW681" i="1"/>
  <c r="BB681" i="1" s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1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O688" i="1" l="1"/>
  <c r="AR688" i="1" s="1"/>
  <c r="AS688" i="1" s="1"/>
  <c r="BA695" i="1"/>
  <c r="AO682" i="1"/>
  <c r="BM682" i="1" s="1"/>
  <c r="AO694" i="1"/>
  <c r="BM694" i="1" s="1"/>
  <c r="BM696" i="1"/>
  <c r="BA693" i="1"/>
  <c r="AO681" i="1"/>
  <c r="BM681" i="1" s="1"/>
  <c r="BA688" i="1"/>
  <c r="AO683" i="1"/>
  <c r="AR683" i="1" s="1"/>
  <c r="BM684" i="1"/>
  <c r="BM691" i="1"/>
  <c r="AO695" i="1"/>
  <c r="BM695" i="1" s="1"/>
  <c r="AO692" i="1"/>
  <c r="BM692" i="1" s="1"/>
  <c r="BB693" i="1"/>
  <c r="AO693" i="1"/>
  <c r="AR693" i="1" s="1"/>
  <c r="BB688" i="1"/>
  <c r="BB683" i="1"/>
  <c r="AO687" i="1"/>
  <c r="AR687" i="1" s="1"/>
  <c r="BA690" i="1"/>
  <c r="AO690" i="1"/>
  <c r="AR690" i="1" s="1"/>
  <c r="BB690" i="1"/>
  <c r="AY681" i="1"/>
  <c r="BA681" i="1" s="1"/>
  <c r="BB695" i="1"/>
  <c r="AO686" i="1"/>
  <c r="BM686" i="1" s="1"/>
  <c r="BA683" i="1"/>
  <c r="AY686" i="1"/>
  <c r="BA686" i="1" s="1"/>
  <c r="AY691" i="1"/>
  <c r="BA691" i="1" s="1"/>
  <c r="AY684" i="1"/>
  <c r="BA684" i="1" s="1"/>
  <c r="AY696" i="1"/>
  <c r="BA696" i="1" s="1"/>
  <c r="AY689" i="1"/>
  <c r="BA689" i="1" s="1"/>
  <c r="AY682" i="1"/>
  <c r="BA682" i="1" s="1"/>
  <c r="BB691" i="1"/>
  <c r="AY694" i="1"/>
  <c r="BA694" i="1" s="1"/>
  <c r="AO689" i="1"/>
  <c r="AR689" i="1" s="1"/>
  <c r="BB684" i="1"/>
  <c r="AY687" i="1"/>
  <c r="BA687" i="1" s="1"/>
  <c r="BB696" i="1"/>
  <c r="AR684" i="1"/>
  <c r="AR696" i="1"/>
  <c r="AY692" i="1"/>
  <c r="BA692" i="1" s="1"/>
  <c r="AY685" i="1"/>
  <c r="BA685" i="1" s="1"/>
  <c r="AY697" i="1"/>
  <c r="BA697" i="1" s="1"/>
  <c r="AR691" i="1"/>
  <c r="AO685" i="1"/>
  <c r="AR685" i="1" s="1"/>
  <c r="AO697" i="1"/>
  <c r="AR697" i="1" s="1"/>
  <c r="AM655" i="1"/>
  <c r="AL655" i="1"/>
  <c r="AR682" i="1" l="1"/>
  <c r="AS682" i="1" s="1"/>
  <c r="AR694" i="1"/>
  <c r="BP694" i="1" s="1"/>
  <c r="BM688" i="1"/>
  <c r="BM693" i="1"/>
  <c r="AR681" i="1"/>
  <c r="AS681" i="1" s="1"/>
  <c r="BM683" i="1"/>
  <c r="AR695" i="1"/>
  <c r="AS695" i="1" s="1"/>
  <c r="AS683" i="1"/>
  <c r="BP683" i="1"/>
  <c r="BM690" i="1"/>
  <c r="BM687" i="1"/>
  <c r="BP688" i="1"/>
  <c r="AR692" i="1"/>
  <c r="BP692" i="1" s="1"/>
  <c r="AS693" i="1"/>
  <c r="BP693" i="1"/>
  <c r="AR686" i="1"/>
  <c r="AS686" i="1" s="1"/>
  <c r="AS690" i="1"/>
  <c r="BP690" i="1"/>
  <c r="AS684" i="1"/>
  <c r="BP684" i="1"/>
  <c r="AS689" i="1"/>
  <c r="BP689" i="1"/>
  <c r="AS697" i="1"/>
  <c r="BP697" i="1"/>
  <c r="AS696" i="1"/>
  <c r="BP696" i="1"/>
  <c r="BM689" i="1"/>
  <c r="BM697" i="1"/>
  <c r="AS687" i="1"/>
  <c r="BP687" i="1"/>
  <c r="AS685" i="1"/>
  <c r="BP685" i="1"/>
  <c r="AS691" i="1"/>
  <c r="BP691" i="1"/>
  <c r="BM685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6" i="1"/>
  <c r="AK633" i="1"/>
  <c r="AK632" i="1"/>
  <c r="AK631" i="1"/>
  <c r="BP682" i="1" l="1"/>
  <c r="AS694" i="1"/>
  <c r="BP681" i="1"/>
  <c r="BP695" i="1"/>
  <c r="AS692" i="1"/>
  <c r="BP686" i="1"/>
  <c r="BO680" i="1"/>
  <c r="BH680" i="1"/>
  <c r="BI680" i="1" s="1"/>
  <c r="BK680" i="1" s="1"/>
  <c r="BF680" i="1"/>
  <c r="BG680" i="1" s="1"/>
  <c r="BO679" i="1"/>
  <c r="BH679" i="1"/>
  <c r="BI679" i="1" s="1"/>
  <c r="BK679" i="1" s="1"/>
  <c r="BF679" i="1"/>
  <c r="BG679" i="1" s="1"/>
  <c r="BO678" i="1"/>
  <c r="BH678" i="1"/>
  <c r="BI678" i="1" s="1"/>
  <c r="BK678" i="1" s="1"/>
  <c r="BF678" i="1"/>
  <c r="BG678" i="1" s="1"/>
  <c r="BO677" i="1"/>
  <c r="BH677" i="1"/>
  <c r="BI677" i="1" s="1"/>
  <c r="BK677" i="1" s="1"/>
  <c r="BF677" i="1"/>
  <c r="BG677" i="1" s="1"/>
  <c r="BH676" i="1"/>
  <c r="BI676" i="1" s="1"/>
  <c r="BK676" i="1" s="1"/>
  <c r="BF676" i="1"/>
  <c r="BG676" i="1" s="1"/>
  <c r="BH675" i="1"/>
  <c r="BI675" i="1" s="1"/>
  <c r="BK675" i="1" s="1"/>
  <c r="BF675" i="1"/>
  <c r="BG675" i="1" s="1"/>
  <c r="BH674" i="1"/>
  <c r="BI674" i="1" s="1"/>
  <c r="BK674" i="1" s="1"/>
  <c r="BF674" i="1"/>
  <c r="BG674" i="1" s="1"/>
  <c r="BH673" i="1"/>
  <c r="BI673" i="1" s="1"/>
  <c r="BK673" i="1" s="1"/>
  <c r="BF673" i="1"/>
  <c r="BG673" i="1" s="1"/>
  <c r="BH672" i="1"/>
  <c r="BI672" i="1" s="1"/>
  <c r="BK672" i="1" s="1"/>
  <c r="BF672" i="1"/>
  <c r="BG672" i="1" s="1"/>
  <c r="BH671" i="1"/>
  <c r="BI671" i="1" s="1"/>
  <c r="BK671" i="1" s="1"/>
  <c r="BF671" i="1"/>
  <c r="BG671" i="1" s="1"/>
  <c r="BH670" i="1"/>
  <c r="BI670" i="1" s="1"/>
  <c r="BK670" i="1" s="1"/>
  <c r="BF670" i="1"/>
  <c r="BG670" i="1" s="1"/>
  <c r="BO669" i="1"/>
  <c r="BH669" i="1"/>
  <c r="BI669" i="1" s="1"/>
  <c r="BK669" i="1" s="1"/>
  <c r="BF669" i="1"/>
  <c r="BG669" i="1" s="1"/>
  <c r="BO668" i="1"/>
  <c r="BH668" i="1"/>
  <c r="BI668" i="1" s="1"/>
  <c r="BK668" i="1" s="1"/>
  <c r="BF668" i="1"/>
  <c r="BG668" i="1" s="1"/>
  <c r="BO667" i="1"/>
  <c r="BH667" i="1"/>
  <c r="BI667" i="1" s="1"/>
  <c r="BK667" i="1" s="1"/>
  <c r="BF667" i="1"/>
  <c r="BG667" i="1" s="1"/>
  <c r="BO666" i="1"/>
  <c r="BH666" i="1"/>
  <c r="BI666" i="1" s="1"/>
  <c r="BK666" i="1" s="1"/>
  <c r="BF666" i="1"/>
  <c r="BG666" i="1" s="1"/>
  <c r="BO665" i="1"/>
  <c r="BH665" i="1"/>
  <c r="BI665" i="1" s="1"/>
  <c r="BK665" i="1" s="1"/>
  <c r="BF665" i="1"/>
  <c r="BG665" i="1" s="1"/>
  <c r="BO664" i="1"/>
  <c r="BH664" i="1"/>
  <c r="BI664" i="1" s="1"/>
  <c r="BK664" i="1" s="1"/>
  <c r="BF664" i="1"/>
  <c r="BG664" i="1" s="1"/>
  <c r="BO663" i="1"/>
  <c r="BH663" i="1"/>
  <c r="BI663" i="1" s="1"/>
  <c r="BK663" i="1" s="1"/>
  <c r="BF663" i="1"/>
  <c r="BG663" i="1" s="1"/>
  <c r="BO662" i="1"/>
  <c r="BH662" i="1"/>
  <c r="BI662" i="1" s="1"/>
  <c r="BK662" i="1" s="1"/>
  <c r="BF662" i="1"/>
  <c r="BG662" i="1" s="1"/>
  <c r="BO661" i="1"/>
  <c r="BH661" i="1"/>
  <c r="BI661" i="1" s="1"/>
  <c r="BK661" i="1" s="1"/>
  <c r="BF661" i="1"/>
  <c r="BG661" i="1" s="1"/>
  <c r="BO660" i="1"/>
  <c r="BH660" i="1"/>
  <c r="BI660" i="1" s="1"/>
  <c r="BK660" i="1" s="1"/>
  <c r="BF660" i="1"/>
  <c r="BG660" i="1" s="1"/>
  <c r="BO659" i="1"/>
  <c r="BH659" i="1"/>
  <c r="BI659" i="1" s="1"/>
  <c r="BK659" i="1" s="1"/>
  <c r="BF659" i="1"/>
  <c r="BG659" i="1" s="1"/>
  <c r="BO658" i="1"/>
  <c r="BH658" i="1"/>
  <c r="BI658" i="1" s="1"/>
  <c r="BK658" i="1" s="1"/>
  <c r="BF658" i="1"/>
  <c r="BG658" i="1" s="1"/>
  <c r="BO657" i="1"/>
  <c r="BH657" i="1"/>
  <c r="BI657" i="1" s="1"/>
  <c r="BK657" i="1" s="1"/>
  <c r="BF657" i="1"/>
  <c r="BG657" i="1" s="1"/>
  <c r="BO656" i="1"/>
  <c r="BH656" i="1"/>
  <c r="BI656" i="1" s="1"/>
  <c r="BK656" i="1" s="1"/>
  <c r="BF656" i="1"/>
  <c r="BG656" i="1" s="1"/>
  <c r="BO655" i="1"/>
  <c r="BH655" i="1"/>
  <c r="BI655" i="1" s="1"/>
  <c r="BK655" i="1" s="1"/>
  <c r="BF655" i="1"/>
  <c r="BG655" i="1" s="1"/>
  <c r="BH654" i="1"/>
  <c r="BI654" i="1" s="1"/>
  <c r="BK654" i="1" s="1"/>
  <c r="BF654" i="1"/>
  <c r="BG654" i="1" s="1"/>
  <c r="BO653" i="1"/>
  <c r="BH653" i="1"/>
  <c r="BI653" i="1" s="1"/>
  <c r="BK653" i="1" s="1"/>
  <c r="BF653" i="1"/>
  <c r="BG653" i="1" s="1"/>
  <c r="BO652" i="1"/>
  <c r="BH652" i="1"/>
  <c r="BI652" i="1" s="1"/>
  <c r="BK652" i="1" s="1"/>
  <c r="BF652" i="1"/>
  <c r="BG652" i="1" s="1"/>
  <c r="BO651" i="1"/>
  <c r="BH651" i="1"/>
  <c r="BI651" i="1" s="1"/>
  <c r="BK651" i="1" s="1"/>
  <c r="BF651" i="1"/>
  <c r="BG651" i="1" s="1"/>
  <c r="BO650" i="1"/>
  <c r="BH650" i="1"/>
  <c r="BI650" i="1" s="1"/>
  <c r="BK650" i="1" s="1"/>
  <c r="BF650" i="1"/>
  <c r="BG650" i="1" s="1"/>
  <c r="BO649" i="1"/>
  <c r="BH649" i="1"/>
  <c r="BI649" i="1" s="1"/>
  <c r="BK649" i="1" s="1"/>
  <c r="BF649" i="1"/>
  <c r="BG649" i="1" s="1"/>
  <c r="BH648" i="1"/>
  <c r="BI648" i="1" s="1"/>
  <c r="BK648" i="1" s="1"/>
  <c r="BF648" i="1"/>
  <c r="BG648" i="1" s="1"/>
  <c r="BO647" i="1"/>
  <c r="BH647" i="1"/>
  <c r="BI647" i="1" s="1"/>
  <c r="BK647" i="1" s="1"/>
  <c r="BF647" i="1"/>
  <c r="BG647" i="1" s="1"/>
  <c r="BO646" i="1"/>
  <c r="BH646" i="1"/>
  <c r="BI646" i="1" s="1"/>
  <c r="BK646" i="1" s="1"/>
  <c r="BF646" i="1"/>
  <c r="BG646" i="1" s="1"/>
  <c r="BH645" i="1"/>
  <c r="BI645" i="1" s="1"/>
  <c r="BK645" i="1" s="1"/>
  <c r="BF645" i="1"/>
  <c r="BG645" i="1" s="1"/>
  <c r="BO644" i="1"/>
  <c r="BH644" i="1"/>
  <c r="BI644" i="1" s="1"/>
  <c r="BK644" i="1" s="1"/>
  <c r="BF644" i="1"/>
  <c r="BG644" i="1" s="1"/>
  <c r="BO643" i="1"/>
  <c r="BH643" i="1"/>
  <c r="BI643" i="1" s="1"/>
  <c r="BK643" i="1" s="1"/>
  <c r="BF643" i="1"/>
  <c r="BG643" i="1" s="1"/>
  <c r="BO642" i="1"/>
  <c r="BH642" i="1"/>
  <c r="BI642" i="1" s="1"/>
  <c r="BK642" i="1" s="1"/>
  <c r="BF642" i="1"/>
  <c r="BG642" i="1" s="1"/>
  <c r="BO641" i="1"/>
  <c r="BH641" i="1"/>
  <c r="BI641" i="1" s="1"/>
  <c r="BK641" i="1" s="1"/>
  <c r="BF641" i="1"/>
  <c r="BG641" i="1" s="1"/>
  <c r="BO640" i="1"/>
  <c r="BH640" i="1"/>
  <c r="BI640" i="1" s="1"/>
  <c r="BK640" i="1" s="1"/>
  <c r="BF640" i="1"/>
  <c r="BG640" i="1" s="1"/>
  <c r="BO639" i="1"/>
  <c r="BH639" i="1"/>
  <c r="BI639" i="1" s="1"/>
  <c r="BK639" i="1" s="1"/>
  <c r="BF639" i="1"/>
  <c r="BG639" i="1" s="1"/>
  <c r="BO638" i="1"/>
  <c r="BH638" i="1"/>
  <c r="BI638" i="1" s="1"/>
  <c r="BK638" i="1" s="1"/>
  <c r="BF638" i="1"/>
  <c r="BG638" i="1" s="1"/>
  <c r="AZ680" i="1"/>
  <c r="AW680" i="1"/>
  <c r="BB680" i="1" s="1"/>
  <c r="AZ679" i="1"/>
  <c r="AW679" i="1"/>
  <c r="AO679" i="1" s="1"/>
  <c r="AZ678" i="1"/>
  <c r="AW678" i="1"/>
  <c r="AY678" i="1" s="1"/>
  <c r="AZ677" i="1"/>
  <c r="AW677" i="1"/>
  <c r="AO677" i="1" s="1"/>
  <c r="AR677" i="1" s="1"/>
  <c r="AS677" i="1" s="1"/>
  <c r="AZ676" i="1"/>
  <c r="AW676" i="1"/>
  <c r="BB676" i="1" s="1"/>
  <c r="AZ675" i="1"/>
  <c r="AW675" i="1"/>
  <c r="BB675" i="1" s="1"/>
  <c r="AZ674" i="1"/>
  <c r="AW674" i="1"/>
  <c r="AZ673" i="1"/>
  <c r="AW673" i="1"/>
  <c r="AY673" i="1" s="1"/>
  <c r="AZ672" i="1"/>
  <c r="AW672" i="1"/>
  <c r="AZ671" i="1"/>
  <c r="AW671" i="1"/>
  <c r="AY671" i="1" s="1"/>
  <c r="AZ670" i="1"/>
  <c r="AW670" i="1"/>
  <c r="BB670" i="1" s="1"/>
  <c r="AZ669" i="1"/>
  <c r="AW669" i="1"/>
  <c r="BB669" i="1" s="1"/>
  <c r="AZ668" i="1"/>
  <c r="AW668" i="1"/>
  <c r="BB668" i="1" s="1"/>
  <c r="AZ667" i="1"/>
  <c r="AW667" i="1"/>
  <c r="AZ666" i="1"/>
  <c r="AW666" i="1"/>
  <c r="AY666" i="1" s="1"/>
  <c r="AZ665" i="1"/>
  <c r="AW665" i="1"/>
  <c r="AO665" i="1" s="1"/>
  <c r="AR665" i="1" s="1"/>
  <c r="AS665" i="1" s="1"/>
  <c r="AZ664" i="1"/>
  <c r="AW664" i="1"/>
  <c r="AY664" i="1" s="1"/>
  <c r="AZ663" i="1"/>
  <c r="AW663" i="1"/>
  <c r="BB663" i="1" s="1"/>
  <c r="AZ662" i="1"/>
  <c r="AW662" i="1"/>
  <c r="AZ661" i="1"/>
  <c r="AW661" i="1"/>
  <c r="AY661" i="1" s="1"/>
  <c r="AZ660" i="1"/>
  <c r="AW660" i="1"/>
  <c r="AO660" i="1" s="1"/>
  <c r="AR660" i="1" s="1"/>
  <c r="AS660" i="1" s="1"/>
  <c r="AZ659" i="1"/>
  <c r="AW659" i="1"/>
  <c r="AY659" i="1" s="1"/>
  <c r="AZ658" i="1"/>
  <c r="AW658" i="1"/>
  <c r="BB658" i="1" s="1"/>
  <c r="AZ657" i="1"/>
  <c r="AW657" i="1"/>
  <c r="BB657" i="1" s="1"/>
  <c r="AZ656" i="1"/>
  <c r="AW656" i="1"/>
  <c r="BB656" i="1" s="1"/>
  <c r="AZ655" i="1"/>
  <c r="AW655" i="1"/>
  <c r="AZ654" i="1"/>
  <c r="AW654" i="1"/>
  <c r="AY654" i="1" s="1"/>
  <c r="AZ653" i="1"/>
  <c r="AW653" i="1"/>
  <c r="AZ652" i="1"/>
  <c r="AW652" i="1"/>
  <c r="BB652" i="1" s="1"/>
  <c r="AZ651" i="1"/>
  <c r="AW651" i="1"/>
  <c r="BB651" i="1" s="1"/>
  <c r="AZ650" i="1"/>
  <c r="AW650" i="1"/>
  <c r="AY650" i="1" s="1"/>
  <c r="AZ649" i="1"/>
  <c r="AW649" i="1"/>
  <c r="AY649" i="1" s="1"/>
  <c r="AZ648" i="1"/>
  <c r="AW648" i="1"/>
  <c r="BB648" i="1" s="1"/>
  <c r="AZ647" i="1"/>
  <c r="AW647" i="1"/>
  <c r="AY647" i="1" s="1"/>
  <c r="AZ646" i="1"/>
  <c r="AW646" i="1"/>
  <c r="BB646" i="1" s="1"/>
  <c r="AZ645" i="1"/>
  <c r="AW645" i="1"/>
  <c r="AY645" i="1" s="1"/>
  <c r="AZ644" i="1"/>
  <c r="AW644" i="1"/>
  <c r="BB644" i="1" s="1"/>
  <c r="AZ643" i="1"/>
  <c r="AW643" i="1"/>
  <c r="AZ642" i="1"/>
  <c r="AW642" i="1"/>
  <c r="AY642" i="1" s="1"/>
  <c r="AZ641" i="1"/>
  <c r="AW641" i="1"/>
  <c r="AZ640" i="1"/>
  <c r="AW640" i="1"/>
  <c r="AO640" i="1" s="1"/>
  <c r="AZ639" i="1"/>
  <c r="AW639" i="1"/>
  <c r="BB639" i="1" s="1"/>
  <c r="AZ638" i="1"/>
  <c r="AW638" i="1"/>
  <c r="AY638" i="1" s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BA664" i="1" l="1"/>
  <c r="BA671" i="1"/>
  <c r="BA666" i="1"/>
  <c r="BA678" i="1"/>
  <c r="AO644" i="1"/>
  <c r="AR644" i="1" s="1"/>
  <c r="AS644" i="1" s="1"/>
  <c r="AO649" i="1"/>
  <c r="AR649" i="1" s="1"/>
  <c r="AS649" i="1" s="1"/>
  <c r="AO652" i="1"/>
  <c r="AR652" i="1" s="1"/>
  <c r="AS652" i="1" s="1"/>
  <c r="AO659" i="1"/>
  <c r="AR659" i="1" s="1"/>
  <c r="AS659" i="1" s="1"/>
  <c r="BA673" i="1"/>
  <c r="AO658" i="1"/>
  <c r="AR658" i="1" s="1"/>
  <c r="AS658" i="1" s="1"/>
  <c r="AO664" i="1"/>
  <c r="AR664" i="1" s="1"/>
  <c r="AS664" i="1" s="1"/>
  <c r="AO680" i="1"/>
  <c r="AR680" i="1" s="1"/>
  <c r="AS680" i="1" s="1"/>
  <c r="BA638" i="1"/>
  <c r="BB649" i="1"/>
  <c r="BA661" i="1"/>
  <c r="BB664" i="1"/>
  <c r="BB659" i="1"/>
  <c r="BA645" i="1"/>
  <c r="AR640" i="1"/>
  <c r="BM640" i="1"/>
  <c r="BM665" i="1"/>
  <c r="BB654" i="1"/>
  <c r="AY640" i="1"/>
  <c r="BA640" i="1" s="1"/>
  <c r="AY652" i="1"/>
  <c r="BA652" i="1" s="1"/>
  <c r="BB647" i="1"/>
  <c r="BB640" i="1"/>
  <c r="BB642" i="1"/>
  <c r="BB645" i="1"/>
  <c r="BA649" i="1"/>
  <c r="BA659" i="1"/>
  <c r="AO656" i="1"/>
  <c r="BA642" i="1"/>
  <c r="BA647" i="1"/>
  <c r="BB661" i="1"/>
  <c r="BB671" i="1"/>
  <c r="AY676" i="1"/>
  <c r="BA676" i="1" s="1"/>
  <c r="AT676" i="1" s="1"/>
  <c r="BO676" i="1" s="1"/>
  <c r="BM660" i="1"/>
  <c r="BM677" i="1"/>
  <c r="BB673" i="1"/>
  <c r="BP660" i="1"/>
  <c r="AO668" i="1"/>
  <c r="BA654" i="1"/>
  <c r="BB678" i="1"/>
  <c r="BP665" i="1"/>
  <c r="BP677" i="1"/>
  <c r="BB666" i="1"/>
  <c r="AO661" i="1"/>
  <c r="AO646" i="1"/>
  <c r="AO647" i="1"/>
  <c r="BA650" i="1"/>
  <c r="AO653" i="1"/>
  <c r="BB653" i="1"/>
  <c r="AY653" i="1"/>
  <c r="BA653" i="1" s="1"/>
  <c r="AY657" i="1"/>
  <c r="BA657" i="1" s="1"/>
  <c r="AY669" i="1"/>
  <c r="BA669" i="1" s="1"/>
  <c r="BB674" i="1"/>
  <c r="AO643" i="1"/>
  <c r="BB643" i="1"/>
  <c r="AY674" i="1"/>
  <c r="BA674" i="1" s="1"/>
  <c r="AO667" i="1"/>
  <c r="BB667" i="1"/>
  <c r="BB650" i="1"/>
  <c r="AO650" i="1"/>
  <c r="AO662" i="1"/>
  <c r="BB662" i="1"/>
  <c r="AO669" i="1"/>
  <c r="AY662" i="1"/>
  <c r="BA662" i="1" s="1"/>
  <c r="AY643" i="1"/>
  <c r="BA643" i="1" s="1"/>
  <c r="AO655" i="1"/>
  <c r="BB655" i="1"/>
  <c r="BB679" i="1"/>
  <c r="AY655" i="1"/>
  <c r="BA655" i="1" s="1"/>
  <c r="AY667" i="1"/>
  <c r="BA667" i="1" s="1"/>
  <c r="AY679" i="1"/>
  <c r="BA679" i="1" s="1"/>
  <c r="AO657" i="1"/>
  <c r="AY648" i="1"/>
  <c r="BA648" i="1" s="1"/>
  <c r="AT648" i="1" s="1"/>
  <c r="BO648" i="1" s="1"/>
  <c r="AO641" i="1"/>
  <c r="BB641" i="1"/>
  <c r="AY641" i="1"/>
  <c r="BA641" i="1" s="1"/>
  <c r="BB660" i="1"/>
  <c r="AY660" i="1"/>
  <c r="BA660" i="1" s="1"/>
  <c r="AY672" i="1"/>
  <c r="BA672" i="1" s="1"/>
  <c r="BB672" i="1"/>
  <c r="AO638" i="1"/>
  <c r="BB638" i="1"/>
  <c r="AY665" i="1"/>
  <c r="BA665" i="1" s="1"/>
  <c r="AY677" i="1"/>
  <c r="BA677" i="1" s="1"/>
  <c r="AY670" i="1"/>
  <c r="BA670" i="1" s="1"/>
  <c r="AT670" i="1" s="1"/>
  <c r="BO670" i="1" s="1"/>
  <c r="AO663" i="1"/>
  <c r="AY646" i="1"/>
  <c r="BA646" i="1" s="1"/>
  <c r="AY658" i="1"/>
  <c r="BA658" i="1" s="1"/>
  <c r="AO639" i="1"/>
  <c r="AO651" i="1"/>
  <c r="AY639" i="1"/>
  <c r="BA639" i="1" s="1"/>
  <c r="AY651" i="1"/>
  <c r="BA651" i="1" s="1"/>
  <c r="AY663" i="1"/>
  <c r="BA663" i="1" s="1"/>
  <c r="AY675" i="1"/>
  <c r="BA675" i="1" s="1"/>
  <c r="AT675" i="1" s="1"/>
  <c r="BO675" i="1" s="1"/>
  <c r="AY644" i="1"/>
  <c r="BA644" i="1" s="1"/>
  <c r="AY656" i="1"/>
  <c r="BA656" i="1" s="1"/>
  <c r="BB665" i="1"/>
  <c r="AY668" i="1"/>
  <c r="BA668" i="1" s="1"/>
  <c r="BB677" i="1"/>
  <c r="AY680" i="1"/>
  <c r="BA680" i="1" s="1"/>
  <c r="AO642" i="1"/>
  <c r="AO666" i="1"/>
  <c r="AO678" i="1"/>
  <c r="CA612" i="1"/>
  <c r="CA613" i="1"/>
  <c r="CA630" i="1"/>
  <c r="CA629" i="1"/>
  <c r="CA628" i="1"/>
  <c r="CA627" i="1"/>
  <c r="CA626" i="1"/>
  <c r="CA625" i="1"/>
  <c r="CA624" i="1"/>
  <c r="CA623" i="1"/>
  <c r="CA622" i="1"/>
  <c r="CA621" i="1"/>
  <c r="CA620" i="1"/>
  <c r="CA619" i="1"/>
  <c r="CA618" i="1"/>
  <c r="CA617" i="1"/>
  <c r="CA616" i="1"/>
  <c r="CA615" i="1"/>
  <c r="CA614" i="1"/>
  <c r="BM652" i="1" l="1"/>
  <c r="BM659" i="1"/>
  <c r="BM644" i="1"/>
  <c r="AT645" i="1"/>
  <c r="BO645" i="1" s="1"/>
  <c r="BM658" i="1"/>
  <c r="AO670" i="1"/>
  <c r="AR670" i="1" s="1"/>
  <c r="AS670" i="1" s="1"/>
  <c r="AT674" i="1"/>
  <c r="BO674" i="1" s="1"/>
  <c r="AO675" i="1"/>
  <c r="AR675" i="1" s="1"/>
  <c r="AT673" i="1"/>
  <c r="AT671" i="1"/>
  <c r="AT672" i="1"/>
  <c r="AO676" i="1"/>
  <c r="BM676" i="1" s="1"/>
  <c r="BP658" i="1"/>
  <c r="AO648" i="1"/>
  <c r="AR648" i="1" s="1"/>
  <c r="AT654" i="1"/>
  <c r="BP649" i="1"/>
  <c r="BP644" i="1"/>
  <c r="BM649" i="1"/>
  <c r="BM680" i="1"/>
  <c r="BP659" i="1"/>
  <c r="BP652" i="1"/>
  <c r="BP664" i="1"/>
  <c r="BP680" i="1"/>
  <c r="BM664" i="1"/>
  <c r="AS640" i="1"/>
  <c r="BP640" i="1"/>
  <c r="AR663" i="1"/>
  <c r="BM663" i="1"/>
  <c r="AR661" i="1"/>
  <c r="BM661" i="1"/>
  <c r="AR678" i="1"/>
  <c r="BM678" i="1"/>
  <c r="AR638" i="1"/>
  <c r="BM638" i="1"/>
  <c r="AR647" i="1"/>
  <c r="BM647" i="1"/>
  <c r="AR666" i="1"/>
  <c r="BM666" i="1"/>
  <c r="AR667" i="1"/>
  <c r="BM667" i="1"/>
  <c r="AR656" i="1"/>
  <c r="BM656" i="1"/>
  <c r="AR669" i="1"/>
  <c r="BM669" i="1"/>
  <c r="AR679" i="1"/>
  <c r="BM679" i="1"/>
  <c r="AR641" i="1"/>
  <c r="BM641" i="1"/>
  <c r="AR646" i="1"/>
  <c r="BM646" i="1"/>
  <c r="AR657" i="1"/>
  <c r="BM657" i="1"/>
  <c r="AR668" i="1"/>
  <c r="BM668" i="1"/>
  <c r="AR650" i="1"/>
  <c r="BM650" i="1"/>
  <c r="AR653" i="1"/>
  <c r="BM653" i="1"/>
  <c r="AR642" i="1"/>
  <c r="BM642" i="1"/>
  <c r="AR662" i="1"/>
  <c r="BM662" i="1"/>
  <c r="AR651" i="1"/>
  <c r="BM651" i="1"/>
  <c r="AR639" i="1"/>
  <c r="BM639" i="1"/>
  <c r="AR655" i="1"/>
  <c r="BM655" i="1"/>
  <c r="AR643" i="1"/>
  <c r="BM643" i="1"/>
  <c r="AN606" i="1"/>
  <c r="AM606" i="1"/>
  <c r="AL606" i="1"/>
  <c r="CA611" i="1"/>
  <c r="CA610" i="1"/>
  <c r="CA609" i="1"/>
  <c r="CA608" i="1"/>
  <c r="CA607" i="1"/>
  <c r="CA606" i="1"/>
  <c r="CA605" i="1"/>
  <c r="CA604" i="1"/>
  <c r="CA603" i="1"/>
  <c r="CA602" i="1"/>
  <c r="CA601" i="1"/>
  <c r="CA600" i="1"/>
  <c r="CA599" i="1"/>
  <c r="BM670" i="1" l="1"/>
  <c r="BP670" i="1"/>
  <c r="AO645" i="1"/>
  <c r="AR645" i="1" s="1"/>
  <c r="AS645" i="1" s="1"/>
  <c r="AR676" i="1"/>
  <c r="BP676" i="1" s="1"/>
  <c r="AO674" i="1"/>
  <c r="BM675" i="1"/>
  <c r="BM648" i="1"/>
  <c r="BO672" i="1"/>
  <c r="AO672" i="1"/>
  <c r="BO671" i="1"/>
  <c r="AO671" i="1"/>
  <c r="BO673" i="1"/>
  <c r="AO673" i="1"/>
  <c r="BO654" i="1"/>
  <c r="AO654" i="1"/>
  <c r="AS646" i="1"/>
  <c r="BP646" i="1"/>
  <c r="AS647" i="1"/>
  <c r="BP647" i="1"/>
  <c r="AS643" i="1"/>
  <c r="BP643" i="1"/>
  <c r="AS641" i="1"/>
  <c r="BP641" i="1"/>
  <c r="AS638" i="1"/>
  <c r="BP638" i="1"/>
  <c r="AS639" i="1"/>
  <c r="BP639" i="1"/>
  <c r="AS650" i="1"/>
  <c r="BP650" i="1"/>
  <c r="AS648" i="1"/>
  <c r="BP648" i="1"/>
  <c r="AS656" i="1"/>
  <c r="BP656" i="1"/>
  <c r="AS661" i="1"/>
  <c r="BP661" i="1"/>
  <c r="AS651" i="1"/>
  <c r="BP651" i="1"/>
  <c r="AS668" i="1"/>
  <c r="BP668" i="1"/>
  <c r="AS679" i="1"/>
  <c r="BP679" i="1"/>
  <c r="AS667" i="1"/>
  <c r="BP667" i="1"/>
  <c r="AS663" i="1"/>
  <c r="BP663" i="1"/>
  <c r="AS653" i="1"/>
  <c r="BP653" i="1"/>
  <c r="AS669" i="1"/>
  <c r="BP669" i="1"/>
  <c r="AS642" i="1"/>
  <c r="BP642" i="1"/>
  <c r="AS655" i="1"/>
  <c r="BP655" i="1"/>
  <c r="AS678" i="1"/>
  <c r="BP678" i="1"/>
  <c r="AS662" i="1"/>
  <c r="BP662" i="1"/>
  <c r="AS657" i="1"/>
  <c r="BP657" i="1"/>
  <c r="AS675" i="1"/>
  <c r="BP675" i="1"/>
  <c r="AS666" i="1"/>
  <c r="BP666" i="1"/>
  <c r="BO637" i="1"/>
  <c r="BH637" i="1"/>
  <c r="BI637" i="1" s="1"/>
  <c r="BK637" i="1" s="1"/>
  <c r="BF637" i="1"/>
  <c r="BG637" i="1" s="1"/>
  <c r="BO636" i="1"/>
  <c r="BH636" i="1"/>
  <c r="BI636" i="1" s="1"/>
  <c r="BK636" i="1" s="1"/>
  <c r="BF636" i="1"/>
  <c r="BG636" i="1" s="1"/>
  <c r="BO635" i="1"/>
  <c r="BH635" i="1"/>
  <c r="BI635" i="1" s="1"/>
  <c r="BK635" i="1" s="1"/>
  <c r="BF635" i="1"/>
  <c r="BG635" i="1" s="1"/>
  <c r="BO634" i="1"/>
  <c r="BH634" i="1"/>
  <c r="BI634" i="1" s="1"/>
  <c r="BK634" i="1" s="1"/>
  <c r="BF634" i="1"/>
  <c r="BG634" i="1" s="1"/>
  <c r="BO633" i="1"/>
  <c r="BH633" i="1"/>
  <c r="BI633" i="1" s="1"/>
  <c r="BK633" i="1" s="1"/>
  <c r="BF633" i="1"/>
  <c r="BG633" i="1" s="1"/>
  <c r="BO632" i="1"/>
  <c r="BH632" i="1"/>
  <c r="BI632" i="1" s="1"/>
  <c r="BK632" i="1" s="1"/>
  <c r="BF632" i="1"/>
  <c r="BG632" i="1" s="1"/>
  <c r="BO631" i="1"/>
  <c r="BH631" i="1"/>
  <c r="BI631" i="1" s="1"/>
  <c r="BK631" i="1" s="1"/>
  <c r="BF631" i="1"/>
  <c r="BG631" i="1" s="1"/>
  <c r="BO630" i="1"/>
  <c r="BH630" i="1"/>
  <c r="BI630" i="1" s="1"/>
  <c r="BK630" i="1" s="1"/>
  <c r="BF630" i="1"/>
  <c r="BG630" i="1" s="1"/>
  <c r="BO629" i="1"/>
  <c r="BH629" i="1"/>
  <c r="BI629" i="1" s="1"/>
  <c r="BK629" i="1" s="1"/>
  <c r="BF629" i="1"/>
  <c r="BG629" i="1" s="1"/>
  <c r="BO628" i="1"/>
  <c r="BH628" i="1"/>
  <c r="BI628" i="1" s="1"/>
  <c r="BK628" i="1" s="1"/>
  <c r="BF628" i="1"/>
  <c r="BG628" i="1" s="1"/>
  <c r="BO627" i="1"/>
  <c r="BH627" i="1"/>
  <c r="BI627" i="1" s="1"/>
  <c r="BK627" i="1" s="1"/>
  <c r="BF627" i="1"/>
  <c r="BG627" i="1" s="1"/>
  <c r="BH626" i="1"/>
  <c r="BI626" i="1" s="1"/>
  <c r="BK626" i="1" s="1"/>
  <c r="BF626" i="1"/>
  <c r="BG626" i="1" s="1"/>
  <c r="BO625" i="1"/>
  <c r="BH625" i="1"/>
  <c r="BI625" i="1" s="1"/>
  <c r="BK625" i="1" s="1"/>
  <c r="BF625" i="1"/>
  <c r="BG625" i="1" s="1"/>
  <c r="BO624" i="1"/>
  <c r="BH624" i="1"/>
  <c r="BI624" i="1" s="1"/>
  <c r="BK624" i="1" s="1"/>
  <c r="BF624" i="1"/>
  <c r="BG624" i="1" s="1"/>
  <c r="BO623" i="1"/>
  <c r="BH623" i="1"/>
  <c r="BI623" i="1" s="1"/>
  <c r="BK623" i="1" s="1"/>
  <c r="BF623" i="1"/>
  <c r="BG623" i="1" s="1"/>
  <c r="BO622" i="1"/>
  <c r="BH622" i="1"/>
  <c r="BI622" i="1" s="1"/>
  <c r="BK622" i="1" s="1"/>
  <c r="BF622" i="1"/>
  <c r="BG622" i="1" s="1"/>
  <c r="BO621" i="1"/>
  <c r="BH621" i="1"/>
  <c r="BI621" i="1" s="1"/>
  <c r="BK621" i="1" s="1"/>
  <c r="BF621" i="1"/>
  <c r="BG621" i="1" s="1"/>
  <c r="BH620" i="1"/>
  <c r="BI620" i="1" s="1"/>
  <c r="BK620" i="1" s="1"/>
  <c r="BF620" i="1"/>
  <c r="BG620" i="1" s="1"/>
  <c r="BO619" i="1"/>
  <c r="BH619" i="1"/>
  <c r="BI619" i="1" s="1"/>
  <c r="BK619" i="1" s="1"/>
  <c r="BF619" i="1"/>
  <c r="BG619" i="1" s="1"/>
  <c r="BO618" i="1"/>
  <c r="BH618" i="1"/>
  <c r="BI618" i="1" s="1"/>
  <c r="BK618" i="1" s="1"/>
  <c r="BF618" i="1"/>
  <c r="BG618" i="1" s="1"/>
  <c r="BH617" i="1"/>
  <c r="BI617" i="1" s="1"/>
  <c r="BK617" i="1" s="1"/>
  <c r="BF617" i="1"/>
  <c r="BG617" i="1" s="1"/>
  <c r="BO616" i="1"/>
  <c r="BH616" i="1"/>
  <c r="BI616" i="1" s="1"/>
  <c r="BK616" i="1" s="1"/>
  <c r="BF616" i="1"/>
  <c r="BG616" i="1" s="1"/>
  <c r="BO615" i="1"/>
  <c r="BH615" i="1"/>
  <c r="BI615" i="1" s="1"/>
  <c r="BK615" i="1" s="1"/>
  <c r="BF615" i="1"/>
  <c r="BG615" i="1" s="1"/>
  <c r="BH614" i="1"/>
  <c r="BI614" i="1" s="1"/>
  <c r="BK614" i="1" s="1"/>
  <c r="BF614" i="1"/>
  <c r="BG614" i="1" s="1"/>
  <c r="BO613" i="1"/>
  <c r="BH613" i="1"/>
  <c r="BI613" i="1" s="1"/>
  <c r="BK613" i="1" s="1"/>
  <c r="BF613" i="1"/>
  <c r="BG613" i="1" s="1"/>
  <c r="BO612" i="1"/>
  <c r="BH612" i="1"/>
  <c r="BI612" i="1" s="1"/>
  <c r="BK612" i="1" s="1"/>
  <c r="BF612" i="1"/>
  <c r="BG612" i="1" s="1"/>
  <c r="BO611" i="1"/>
  <c r="BH611" i="1"/>
  <c r="BI611" i="1" s="1"/>
  <c r="BK611" i="1" s="1"/>
  <c r="BF611" i="1"/>
  <c r="BG611" i="1" s="1"/>
  <c r="BO610" i="1"/>
  <c r="BH610" i="1"/>
  <c r="BI610" i="1" s="1"/>
  <c r="BK610" i="1" s="1"/>
  <c r="BF610" i="1"/>
  <c r="BG610" i="1" s="1"/>
  <c r="BH609" i="1"/>
  <c r="BI609" i="1" s="1"/>
  <c r="BK609" i="1" s="1"/>
  <c r="BF609" i="1"/>
  <c r="BG609" i="1" s="1"/>
  <c r="BO608" i="1"/>
  <c r="BH608" i="1"/>
  <c r="BI608" i="1" s="1"/>
  <c r="BK608" i="1" s="1"/>
  <c r="BF608" i="1"/>
  <c r="BG608" i="1" s="1"/>
  <c r="BH607" i="1"/>
  <c r="BI607" i="1" s="1"/>
  <c r="BK607" i="1" s="1"/>
  <c r="BF607" i="1"/>
  <c r="BG607" i="1" s="1"/>
  <c r="BO606" i="1"/>
  <c r="BH606" i="1"/>
  <c r="BI606" i="1" s="1"/>
  <c r="BK606" i="1" s="1"/>
  <c r="BF606" i="1"/>
  <c r="BG606" i="1" s="1"/>
  <c r="BH605" i="1"/>
  <c r="BI605" i="1" s="1"/>
  <c r="BK605" i="1" s="1"/>
  <c r="BF605" i="1"/>
  <c r="BG605" i="1" s="1"/>
  <c r="BH604" i="1"/>
  <c r="BI604" i="1" s="1"/>
  <c r="BK604" i="1" s="1"/>
  <c r="BF604" i="1"/>
  <c r="BG604" i="1" s="1"/>
  <c r="BH603" i="1"/>
  <c r="BI603" i="1" s="1"/>
  <c r="BK603" i="1" s="1"/>
  <c r="BF603" i="1"/>
  <c r="BG603" i="1" s="1"/>
  <c r="BO602" i="1"/>
  <c r="BH602" i="1"/>
  <c r="BI602" i="1" s="1"/>
  <c r="BK602" i="1" s="1"/>
  <c r="BF602" i="1"/>
  <c r="BG602" i="1" s="1"/>
  <c r="BH601" i="1"/>
  <c r="BI601" i="1" s="1"/>
  <c r="BK601" i="1" s="1"/>
  <c r="BF601" i="1"/>
  <c r="BG601" i="1" s="1"/>
  <c r="BO600" i="1"/>
  <c r="BH600" i="1"/>
  <c r="BI600" i="1" s="1"/>
  <c r="BK600" i="1" s="1"/>
  <c r="BF600" i="1"/>
  <c r="BG600" i="1" s="1"/>
  <c r="BO599" i="1"/>
  <c r="BH599" i="1"/>
  <c r="BI599" i="1" s="1"/>
  <c r="BK599" i="1" s="1"/>
  <c r="BF599" i="1"/>
  <c r="BG599" i="1" s="1"/>
  <c r="BO598" i="1"/>
  <c r="BH598" i="1"/>
  <c r="BI598" i="1" s="1"/>
  <c r="BK598" i="1" s="1"/>
  <c r="BF598" i="1"/>
  <c r="BG598" i="1" s="1"/>
  <c r="BO597" i="1"/>
  <c r="BH597" i="1"/>
  <c r="BI597" i="1" s="1"/>
  <c r="BK597" i="1" s="1"/>
  <c r="BF597" i="1"/>
  <c r="BG597" i="1" s="1"/>
  <c r="AZ637" i="1"/>
  <c r="AW637" i="1"/>
  <c r="BB637" i="1" s="1"/>
  <c r="AZ636" i="1"/>
  <c r="AW636" i="1"/>
  <c r="AZ635" i="1"/>
  <c r="AW635" i="1"/>
  <c r="AY635" i="1" s="1"/>
  <c r="AZ634" i="1"/>
  <c r="AW634" i="1"/>
  <c r="BB634" i="1" s="1"/>
  <c r="AZ633" i="1"/>
  <c r="AW633" i="1"/>
  <c r="AY633" i="1" s="1"/>
  <c r="AZ632" i="1"/>
  <c r="AW632" i="1"/>
  <c r="BB632" i="1" s="1"/>
  <c r="AZ631" i="1"/>
  <c r="AW631" i="1"/>
  <c r="AO631" i="1" s="1"/>
  <c r="AZ630" i="1"/>
  <c r="AW630" i="1"/>
  <c r="AY630" i="1" s="1"/>
  <c r="AZ629" i="1"/>
  <c r="AW629" i="1"/>
  <c r="BB629" i="1" s="1"/>
  <c r="AZ628" i="1"/>
  <c r="AW628" i="1"/>
  <c r="AY628" i="1" s="1"/>
  <c r="AZ627" i="1"/>
  <c r="AW627" i="1"/>
  <c r="AO627" i="1" s="1"/>
  <c r="AZ626" i="1"/>
  <c r="AW626" i="1"/>
  <c r="BB626" i="1" s="1"/>
  <c r="AZ625" i="1"/>
  <c r="AW625" i="1"/>
  <c r="BB625" i="1" s="1"/>
  <c r="AZ624" i="1"/>
  <c r="AW624" i="1"/>
  <c r="AZ623" i="1"/>
  <c r="AW623" i="1"/>
  <c r="AY623" i="1" s="1"/>
  <c r="AZ622" i="1"/>
  <c r="AW622" i="1"/>
  <c r="BB622" i="1" s="1"/>
  <c r="AZ621" i="1"/>
  <c r="AW621" i="1"/>
  <c r="AY621" i="1" s="1"/>
  <c r="AZ620" i="1"/>
  <c r="AW620" i="1"/>
  <c r="BB620" i="1" s="1"/>
  <c r="AZ619" i="1"/>
  <c r="AW619" i="1"/>
  <c r="AO619" i="1" s="1"/>
  <c r="AZ618" i="1"/>
  <c r="AW618" i="1"/>
  <c r="AY618" i="1" s="1"/>
  <c r="AZ617" i="1"/>
  <c r="AW617" i="1"/>
  <c r="BB617" i="1" s="1"/>
  <c r="AZ616" i="1"/>
  <c r="AW616" i="1"/>
  <c r="AY616" i="1" s="1"/>
  <c r="AZ615" i="1"/>
  <c r="AW615" i="1"/>
  <c r="AZ614" i="1"/>
  <c r="AW614" i="1"/>
  <c r="AZ613" i="1"/>
  <c r="AW613" i="1"/>
  <c r="BB613" i="1" s="1"/>
  <c r="AZ612" i="1"/>
  <c r="AW612" i="1"/>
  <c r="AZ611" i="1"/>
  <c r="AW611" i="1"/>
  <c r="AY611" i="1" s="1"/>
  <c r="AZ610" i="1"/>
  <c r="AW610" i="1"/>
  <c r="BB610" i="1" s="1"/>
  <c r="AZ609" i="1"/>
  <c r="AW609" i="1"/>
  <c r="BB609" i="1" s="1"/>
  <c r="AZ608" i="1"/>
  <c r="AW608" i="1"/>
  <c r="BB608" i="1" s="1"/>
  <c r="AZ607" i="1"/>
  <c r="AW607" i="1"/>
  <c r="AZ606" i="1"/>
  <c r="AW606" i="1"/>
  <c r="AY606" i="1" s="1"/>
  <c r="AZ605" i="1"/>
  <c r="AW605" i="1"/>
  <c r="BB605" i="1" s="1"/>
  <c r="AZ604" i="1"/>
  <c r="AW604" i="1"/>
  <c r="AY604" i="1" s="1"/>
  <c r="AZ603" i="1"/>
  <c r="AW603" i="1"/>
  <c r="AZ602" i="1"/>
  <c r="AW602" i="1"/>
  <c r="BB602" i="1" s="1"/>
  <c r="AZ601" i="1"/>
  <c r="AW601" i="1"/>
  <c r="BB601" i="1" s="1"/>
  <c r="AZ600" i="1"/>
  <c r="AW600" i="1"/>
  <c r="AZ599" i="1"/>
  <c r="AW599" i="1"/>
  <c r="AY599" i="1" s="1"/>
  <c r="AZ598" i="1"/>
  <c r="AW598" i="1"/>
  <c r="BB598" i="1" s="1"/>
  <c r="AZ597" i="1"/>
  <c r="AW597" i="1"/>
  <c r="AO597" i="1" s="1"/>
  <c r="AK630" i="1"/>
  <c r="AK629" i="1"/>
  <c r="AK628" i="1"/>
  <c r="AK627" i="1"/>
  <c r="AK626" i="1"/>
  <c r="AK625" i="1"/>
  <c r="AK624" i="1"/>
  <c r="AK622" i="1"/>
  <c r="AK621" i="1"/>
  <c r="AK620" i="1"/>
  <c r="AK619" i="1"/>
  <c r="AK618" i="1"/>
  <c r="AK617" i="1"/>
  <c r="AK616" i="1"/>
  <c r="AK615" i="1"/>
  <c r="AK614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BP645" i="1" l="1"/>
  <c r="AS676" i="1"/>
  <c r="BM645" i="1"/>
  <c r="AR674" i="1"/>
  <c r="BM674" i="1"/>
  <c r="AR673" i="1"/>
  <c r="BM673" i="1"/>
  <c r="BM671" i="1"/>
  <c r="AR671" i="1"/>
  <c r="AR672" i="1"/>
  <c r="BM672" i="1"/>
  <c r="AR654" i="1"/>
  <c r="BM654" i="1"/>
  <c r="AO618" i="1"/>
  <c r="BM618" i="1" s="1"/>
  <c r="BA616" i="1"/>
  <c r="BA628" i="1"/>
  <c r="BM631" i="1"/>
  <c r="BA606" i="1"/>
  <c r="BA618" i="1"/>
  <c r="BM619" i="1"/>
  <c r="AO630" i="1"/>
  <c r="AR630" i="1" s="1"/>
  <c r="BA611" i="1"/>
  <c r="AO623" i="1"/>
  <c r="BM623" i="1" s="1"/>
  <c r="AO610" i="1"/>
  <c r="AR610" i="1" s="1"/>
  <c r="AO606" i="1"/>
  <c r="AR606" i="1" s="1"/>
  <c r="BM597" i="1"/>
  <c r="BA633" i="1"/>
  <c r="BA604" i="1"/>
  <c r="BA621" i="1"/>
  <c r="AY610" i="1"/>
  <c r="BA610" i="1" s="1"/>
  <c r="AO633" i="1"/>
  <c r="AR633" i="1" s="1"/>
  <c r="AS633" i="1" s="1"/>
  <c r="AO632" i="1"/>
  <c r="BM632" i="1" s="1"/>
  <c r="BB623" i="1"/>
  <c r="BB633" i="1"/>
  <c r="AO616" i="1"/>
  <c r="BM616" i="1" s="1"/>
  <c r="BB606" i="1"/>
  <c r="AO599" i="1"/>
  <c r="BM599" i="1" s="1"/>
  <c r="AO608" i="1"/>
  <c r="BM608" i="1" s="1"/>
  <c r="BA630" i="1"/>
  <c r="BA635" i="1"/>
  <c r="AY607" i="1"/>
  <c r="BA607" i="1" s="1"/>
  <c r="BB630" i="1"/>
  <c r="BB597" i="1"/>
  <c r="AY597" i="1"/>
  <c r="BA597" i="1" s="1"/>
  <c r="AR597" i="1"/>
  <c r="AR627" i="1"/>
  <c r="BA599" i="1"/>
  <c r="BB631" i="1"/>
  <c r="BB635" i="1"/>
  <c r="AY617" i="1"/>
  <c r="BA617" i="1" s="1"/>
  <c r="AT617" i="1" s="1"/>
  <c r="BO617" i="1" s="1"/>
  <c r="BB621" i="1"/>
  <c r="AO611" i="1"/>
  <c r="AR611" i="1" s="1"/>
  <c r="AO634" i="1"/>
  <c r="AR634" i="1" s="1"/>
  <c r="BB604" i="1"/>
  <c r="BM627" i="1"/>
  <c r="BB607" i="1"/>
  <c r="BB599" i="1"/>
  <c r="AY609" i="1"/>
  <c r="BA609" i="1" s="1"/>
  <c r="AT609" i="1" s="1"/>
  <c r="BO609" i="1" s="1"/>
  <c r="BA623" i="1"/>
  <c r="BB611" i="1"/>
  <c r="AY631" i="1"/>
  <c r="BA631" i="1" s="1"/>
  <c r="AO598" i="1"/>
  <c r="BM598" i="1" s="1"/>
  <c r="AO628" i="1"/>
  <c r="BM628" i="1" s="1"/>
  <c r="AO635" i="1"/>
  <c r="BM635" i="1" s="1"/>
  <c r="BB618" i="1"/>
  <c r="BB628" i="1"/>
  <c r="BB616" i="1"/>
  <c r="AO621" i="1"/>
  <c r="BM621" i="1" s="1"/>
  <c r="AY634" i="1"/>
  <c r="BA634" i="1" s="1"/>
  <c r="AO600" i="1"/>
  <c r="BM600" i="1" s="1"/>
  <c r="BB600" i="1"/>
  <c r="AO624" i="1"/>
  <c r="AR624" i="1" s="1"/>
  <c r="BB624" i="1"/>
  <c r="AY614" i="1"/>
  <c r="BA614" i="1" s="1"/>
  <c r="AY624" i="1"/>
  <c r="BA624" i="1" s="1"/>
  <c r="BB614" i="1"/>
  <c r="AY598" i="1"/>
  <c r="BA598" i="1" s="1"/>
  <c r="AY605" i="1"/>
  <c r="BA605" i="1" s="1"/>
  <c r="AT605" i="1" s="1"/>
  <c r="BO605" i="1" s="1"/>
  <c r="AY619" i="1"/>
  <c r="BA619" i="1" s="1"/>
  <c r="AY600" i="1"/>
  <c r="BA600" i="1" s="1"/>
  <c r="BB615" i="1"/>
  <c r="AY615" i="1"/>
  <c r="BA615" i="1" s="1"/>
  <c r="AO612" i="1"/>
  <c r="BM612" i="1" s="1"/>
  <c r="BB612" i="1"/>
  <c r="AY622" i="1"/>
  <c r="BA622" i="1" s="1"/>
  <c r="AY629" i="1"/>
  <c r="BA629" i="1" s="1"/>
  <c r="AO636" i="1"/>
  <c r="BB636" i="1"/>
  <c r="AY602" i="1"/>
  <c r="BA602" i="1" s="1"/>
  <c r="AY612" i="1"/>
  <c r="BA612" i="1" s="1"/>
  <c r="AY626" i="1"/>
  <c r="BA626" i="1" s="1"/>
  <c r="AT626" i="1" s="1"/>
  <c r="BO626" i="1" s="1"/>
  <c r="AY636" i="1"/>
  <c r="BA636" i="1" s="1"/>
  <c r="AO615" i="1"/>
  <c r="AR615" i="1" s="1"/>
  <c r="BB619" i="1"/>
  <c r="AO602" i="1"/>
  <c r="AR602" i="1" s="1"/>
  <c r="AO622" i="1"/>
  <c r="AR622" i="1" s="1"/>
  <c r="AO629" i="1"/>
  <c r="BB603" i="1"/>
  <c r="AY603" i="1"/>
  <c r="BA603" i="1" s="1"/>
  <c r="BB627" i="1"/>
  <c r="AY627" i="1"/>
  <c r="BA627" i="1" s="1"/>
  <c r="AY608" i="1"/>
  <c r="BA608" i="1" s="1"/>
  <c r="AY620" i="1"/>
  <c r="BA620" i="1" s="1"/>
  <c r="AT620" i="1" s="1"/>
  <c r="BO620" i="1" s="1"/>
  <c r="AY632" i="1"/>
  <c r="BA632" i="1" s="1"/>
  <c r="AY601" i="1"/>
  <c r="BA601" i="1" s="1"/>
  <c r="AT601" i="1" s="1"/>
  <c r="BO601" i="1" s="1"/>
  <c r="AY613" i="1"/>
  <c r="BA613" i="1" s="1"/>
  <c r="AY625" i="1"/>
  <c r="BA625" i="1" s="1"/>
  <c r="AY637" i="1"/>
  <c r="BA637" i="1" s="1"/>
  <c r="AR619" i="1"/>
  <c r="AR631" i="1"/>
  <c r="AO613" i="1"/>
  <c r="AR613" i="1" s="1"/>
  <c r="AO625" i="1"/>
  <c r="AR625" i="1" s="1"/>
  <c r="AO637" i="1"/>
  <c r="AR637" i="1" s="1"/>
  <c r="CB596" i="1"/>
  <c r="CB595" i="1"/>
  <c r="CB594" i="1"/>
  <c r="CB593" i="1"/>
  <c r="CB592" i="1"/>
  <c r="CB591" i="1"/>
  <c r="CB590" i="1"/>
  <c r="CB589" i="1"/>
  <c r="CB588" i="1"/>
  <c r="CB587" i="1"/>
  <c r="CB586" i="1"/>
  <c r="CB582" i="1"/>
  <c r="CB581" i="1"/>
  <c r="CB580" i="1"/>
  <c r="CB579" i="1"/>
  <c r="CB578" i="1"/>
  <c r="CB577" i="1"/>
  <c r="CB576" i="1"/>
  <c r="CB572" i="1"/>
  <c r="CB570" i="1"/>
  <c r="CB569" i="1"/>
  <c r="CB568" i="1"/>
  <c r="CB567" i="1"/>
  <c r="AS674" i="1" l="1"/>
  <c r="BP674" i="1"/>
  <c r="AS672" i="1"/>
  <c r="BP672" i="1"/>
  <c r="BP671" i="1"/>
  <c r="AS671" i="1"/>
  <c r="AS673" i="1"/>
  <c r="BP673" i="1"/>
  <c r="BP654" i="1"/>
  <c r="AS654" i="1"/>
  <c r="AO620" i="1"/>
  <c r="AR620" i="1" s="1"/>
  <c r="AS620" i="1" s="1"/>
  <c r="AO626" i="1"/>
  <c r="BM626" i="1" s="1"/>
  <c r="AT614" i="1"/>
  <c r="AO617" i="1"/>
  <c r="AR617" i="1" s="1"/>
  <c r="BP617" i="1" s="1"/>
  <c r="BM630" i="1"/>
  <c r="AR618" i="1"/>
  <c r="BP618" i="1" s="1"/>
  <c r="AT607" i="1"/>
  <c r="BO607" i="1" s="1"/>
  <c r="AR635" i="1"/>
  <c r="BP635" i="1" s="1"/>
  <c r="BM633" i="1"/>
  <c r="AT603" i="1"/>
  <c r="AO605" i="1"/>
  <c r="BM605" i="1" s="1"/>
  <c r="AO601" i="1"/>
  <c r="AR601" i="1" s="1"/>
  <c r="AS601" i="1" s="1"/>
  <c r="AO609" i="1"/>
  <c r="BM609" i="1" s="1"/>
  <c r="AR628" i="1"/>
  <c r="BP628" i="1" s="1"/>
  <c r="AR623" i="1"/>
  <c r="AS623" i="1" s="1"/>
  <c r="BM610" i="1"/>
  <c r="BM606" i="1"/>
  <c r="AT604" i="1"/>
  <c r="AS610" i="1"/>
  <c r="BP610" i="1"/>
  <c r="AR598" i="1"/>
  <c r="BP598" i="1" s="1"/>
  <c r="AR599" i="1"/>
  <c r="AS599" i="1" s="1"/>
  <c r="AR632" i="1"/>
  <c r="BP632" i="1" s="1"/>
  <c r="AR608" i="1"/>
  <c r="AS608" i="1" s="1"/>
  <c r="BP633" i="1"/>
  <c r="AR616" i="1"/>
  <c r="AS611" i="1"/>
  <c r="BP611" i="1"/>
  <c r="AS615" i="1"/>
  <c r="BP615" i="1"/>
  <c r="AS602" i="1"/>
  <c r="BP602" i="1"/>
  <c r="AS634" i="1"/>
  <c r="BP634" i="1"/>
  <c r="AS613" i="1"/>
  <c r="BP613" i="1"/>
  <c r="BM615" i="1"/>
  <c r="AS624" i="1"/>
  <c r="BP624" i="1"/>
  <c r="AS625" i="1"/>
  <c r="BP625" i="1"/>
  <c r="AS627" i="1"/>
  <c r="BP627" i="1"/>
  <c r="AR612" i="1"/>
  <c r="AR600" i="1"/>
  <c r="AR621" i="1"/>
  <c r="BM634" i="1"/>
  <c r="BM602" i="1"/>
  <c r="AR636" i="1"/>
  <c r="BM636" i="1"/>
  <c r="AS606" i="1"/>
  <c r="BP606" i="1"/>
  <c r="BM622" i="1"/>
  <c r="BM624" i="1"/>
  <c r="AS630" i="1"/>
  <c r="BP630" i="1"/>
  <c r="AS637" i="1"/>
  <c r="BP637" i="1"/>
  <c r="BM637" i="1"/>
  <c r="AS631" i="1"/>
  <c r="BP631" i="1"/>
  <c r="BM611" i="1"/>
  <c r="AS597" i="1"/>
  <c r="BP597" i="1"/>
  <c r="BM625" i="1"/>
  <c r="AS619" i="1"/>
  <c r="BP619" i="1"/>
  <c r="AR629" i="1"/>
  <c r="BM629" i="1"/>
  <c r="AS622" i="1"/>
  <c r="BP622" i="1"/>
  <c r="BM613" i="1"/>
  <c r="AD551" i="1"/>
  <c r="AK551" i="1"/>
  <c r="AW551" i="1"/>
  <c r="AO551" i="1" s="1"/>
  <c r="AZ551" i="1"/>
  <c r="BF551" i="1"/>
  <c r="BG551" i="1" s="1"/>
  <c r="BH551" i="1"/>
  <c r="BI551" i="1" s="1"/>
  <c r="BK551" i="1" s="1"/>
  <c r="AD552" i="1"/>
  <c r="AK552" i="1"/>
  <c r="AW552" i="1"/>
  <c r="AO552" i="1" s="1"/>
  <c r="AZ552" i="1"/>
  <c r="BF552" i="1"/>
  <c r="BG552" i="1" s="1"/>
  <c r="BH552" i="1"/>
  <c r="BI552" i="1" s="1"/>
  <c r="BK552" i="1" s="1"/>
  <c r="AD553" i="1"/>
  <c r="AK553" i="1"/>
  <c r="AW553" i="1"/>
  <c r="AO553" i="1" s="1"/>
  <c r="AZ553" i="1"/>
  <c r="BF553" i="1"/>
  <c r="BG553" i="1" s="1"/>
  <c r="BH553" i="1"/>
  <c r="BI553" i="1" s="1"/>
  <c r="BK553" i="1" s="1"/>
  <c r="AD554" i="1"/>
  <c r="AK554" i="1"/>
  <c r="AW554" i="1"/>
  <c r="AY554" i="1" s="1"/>
  <c r="AZ554" i="1"/>
  <c r="BF554" i="1"/>
  <c r="BG554" i="1" s="1"/>
  <c r="BH554" i="1"/>
  <c r="BI554" i="1" s="1"/>
  <c r="BK554" i="1" s="1"/>
  <c r="AD555" i="1"/>
  <c r="AK555" i="1"/>
  <c r="AW555" i="1"/>
  <c r="AY555" i="1" s="1"/>
  <c r="AZ555" i="1"/>
  <c r="BF555" i="1"/>
  <c r="BG555" i="1" s="1"/>
  <c r="BH555" i="1"/>
  <c r="BI555" i="1" s="1"/>
  <c r="BK555" i="1" s="1"/>
  <c r="AD556" i="1"/>
  <c r="AK556" i="1"/>
  <c r="AW556" i="1"/>
  <c r="AO556" i="1" s="1"/>
  <c r="AZ556" i="1"/>
  <c r="BF556" i="1"/>
  <c r="BG556" i="1" s="1"/>
  <c r="BH556" i="1"/>
  <c r="BI556" i="1" s="1"/>
  <c r="BK556" i="1" s="1"/>
  <c r="AD557" i="1"/>
  <c r="AK557" i="1"/>
  <c r="AW557" i="1"/>
  <c r="AO557" i="1" s="1"/>
  <c r="AZ557" i="1"/>
  <c r="BF557" i="1"/>
  <c r="BG557" i="1" s="1"/>
  <c r="BH557" i="1"/>
  <c r="BI557" i="1" s="1"/>
  <c r="BK557" i="1" s="1"/>
  <c r="AD558" i="1"/>
  <c r="AK558" i="1"/>
  <c r="AW558" i="1"/>
  <c r="AO558" i="1" s="1"/>
  <c r="AZ558" i="1"/>
  <c r="BF558" i="1"/>
  <c r="BG558" i="1" s="1"/>
  <c r="BH558" i="1"/>
  <c r="BI558" i="1" s="1"/>
  <c r="BK558" i="1" s="1"/>
  <c r="AD559" i="1"/>
  <c r="AK559" i="1"/>
  <c r="AW559" i="1"/>
  <c r="AO559" i="1" s="1"/>
  <c r="AZ559" i="1"/>
  <c r="BF559" i="1"/>
  <c r="BG559" i="1" s="1"/>
  <c r="BH559" i="1"/>
  <c r="BI559" i="1" s="1"/>
  <c r="BK559" i="1" s="1"/>
  <c r="AD560" i="1"/>
  <c r="AK560" i="1"/>
  <c r="AW560" i="1"/>
  <c r="AY560" i="1" s="1"/>
  <c r="AZ560" i="1"/>
  <c r="BF560" i="1"/>
  <c r="BG560" i="1" s="1"/>
  <c r="BH560" i="1"/>
  <c r="BI560" i="1" s="1"/>
  <c r="BK560" i="1" s="1"/>
  <c r="AD561" i="1"/>
  <c r="AK561" i="1"/>
  <c r="AW561" i="1"/>
  <c r="AY561" i="1" s="1"/>
  <c r="AZ561" i="1"/>
  <c r="BF561" i="1"/>
  <c r="BG561" i="1" s="1"/>
  <c r="BH561" i="1"/>
  <c r="BI561" i="1" s="1"/>
  <c r="BK561" i="1" s="1"/>
  <c r="AD562" i="1"/>
  <c r="AK562" i="1"/>
  <c r="AW562" i="1"/>
  <c r="AO562" i="1" s="1"/>
  <c r="AZ562" i="1"/>
  <c r="BF562" i="1"/>
  <c r="BG562" i="1" s="1"/>
  <c r="BH562" i="1"/>
  <c r="BI562" i="1" s="1"/>
  <c r="BK562" i="1" s="1"/>
  <c r="AD563" i="1"/>
  <c r="AK563" i="1"/>
  <c r="AW563" i="1"/>
  <c r="AO563" i="1" s="1"/>
  <c r="AZ563" i="1"/>
  <c r="BF563" i="1"/>
  <c r="BG563" i="1" s="1"/>
  <c r="BH563" i="1"/>
  <c r="BI563" i="1" s="1"/>
  <c r="BK563" i="1" s="1"/>
  <c r="AD564" i="1"/>
  <c r="AK564" i="1"/>
  <c r="AW564" i="1"/>
  <c r="AO564" i="1" s="1"/>
  <c r="AZ564" i="1"/>
  <c r="BF564" i="1"/>
  <c r="BG564" i="1" s="1"/>
  <c r="BH564" i="1"/>
  <c r="BI564" i="1" s="1"/>
  <c r="BK564" i="1" s="1"/>
  <c r="AD565" i="1"/>
  <c r="AK565" i="1"/>
  <c r="AW565" i="1"/>
  <c r="AO565" i="1" s="1"/>
  <c r="AZ565" i="1"/>
  <c r="BF565" i="1"/>
  <c r="BG565" i="1" s="1"/>
  <c r="BH565" i="1"/>
  <c r="BI565" i="1" s="1"/>
  <c r="BK565" i="1" s="1"/>
  <c r="AD566" i="1"/>
  <c r="AK566" i="1"/>
  <c r="AW566" i="1"/>
  <c r="AY566" i="1" s="1"/>
  <c r="AZ566" i="1"/>
  <c r="BF566" i="1"/>
  <c r="BG566" i="1" s="1"/>
  <c r="BH566" i="1"/>
  <c r="BI566" i="1" s="1"/>
  <c r="BK566" i="1" s="1"/>
  <c r="AD567" i="1"/>
  <c r="AK567" i="1"/>
  <c r="AW567" i="1"/>
  <c r="AZ567" i="1"/>
  <c r="BF567" i="1"/>
  <c r="BG567" i="1" s="1"/>
  <c r="BH567" i="1"/>
  <c r="BI567" i="1" s="1"/>
  <c r="BK567" i="1" s="1"/>
  <c r="AD568" i="1"/>
  <c r="AK568" i="1"/>
  <c r="AW568" i="1"/>
  <c r="AZ568" i="1"/>
  <c r="BF568" i="1"/>
  <c r="BG568" i="1" s="1"/>
  <c r="BH568" i="1"/>
  <c r="BI568" i="1" s="1"/>
  <c r="BK568" i="1" s="1"/>
  <c r="AD569" i="1"/>
  <c r="AK569" i="1"/>
  <c r="AW569" i="1"/>
  <c r="AZ569" i="1"/>
  <c r="BF569" i="1"/>
  <c r="BG569" i="1" s="1"/>
  <c r="BH569" i="1"/>
  <c r="BI569" i="1" s="1"/>
  <c r="BK569" i="1" s="1"/>
  <c r="AD570" i="1"/>
  <c r="AK570" i="1"/>
  <c r="AW570" i="1"/>
  <c r="AZ570" i="1"/>
  <c r="BF570" i="1"/>
  <c r="BG570" i="1" s="1"/>
  <c r="BH570" i="1"/>
  <c r="BI570" i="1" s="1"/>
  <c r="BK570" i="1" s="1"/>
  <c r="AD571" i="1"/>
  <c r="AK571" i="1"/>
  <c r="AW571" i="1"/>
  <c r="AZ571" i="1"/>
  <c r="BF571" i="1"/>
  <c r="BG571" i="1" s="1"/>
  <c r="BH571" i="1"/>
  <c r="BI571" i="1" s="1"/>
  <c r="BK571" i="1" s="1"/>
  <c r="AD572" i="1"/>
  <c r="AK572" i="1"/>
  <c r="AW572" i="1"/>
  <c r="AZ572" i="1"/>
  <c r="BF572" i="1"/>
  <c r="BG572" i="1" s="1"/>
  <c r="BH572" i="1"/>
  <c r="BI572" i="1" s="1"/>
  <c r="BK572" i="1" s="1"/>
  <c r="AD573" i="1"/>
  <c r="AK573" i="1"/>
  <c r="AW573" i="1"/>
  <c r="AZ573" i="1"/>
  <c r="BF573" i="1"/>
  <c r="BG573" i="1" s="1"/>
  <c r="BH573" i="1"/>
  <c r="BI573" i="1" s="1"/>
  <c r="BK573" i="1" s="1"/>
  <c r="AD574" i="1"/>
  <c r="AW574" i="1"/>
  <c r="AZ574" i="1"/>
  <c r="BF574" i="1"/>
  <c r="BG574" i="1" s="1"/>
  <c r="BH574" i="1"/>
  <c r="BI574" i="1" s="1"/>
  <c r="BK574" i="1" s="1"/>
  <c r="AD575" i="1"/>
  <c r="AK575" i="1"/>
  <c r="AW575" i="1"/>
  <c r="AZ575" i="1"/>
  <c r="BF575" i="1"/>
  <c r="BG575" i="1" s="1"/>
  <c r="BH575" i="1"/>
  <c r="BI575" i="1" s="1"/>
  <c r="BK575" i="1" s="1"/>
  <c r="AD576" i="1"/>
  <c r="AK576" i="1"/>
  <c r="AW576" i="1"/>
  <c r="AZ576" i="1"/>
  <c r="BF576" i="1"/>
  <c r="BG576" i="1" s="1"/>
  <c r="BH576" i="1"/>
  <c r="BI576" i="1" s="1"/>
  <c r="BK576" i="1" s="1"/>
  <c r="AD577" i="1"/>
  <c r="AK577" i="1"/>
  <c r="AW577" i="1"/>
  <c r="AZ577" i="1"/>
  <c r="BF577" i="1"/>
  <c r="BG577" i="1" s="1"/>
  <c r="BH577" i="1"/>
  <c r="BI577" i="1" s="1"/>
  <c r="BK577" i="1" s="1"/>
  <c r="AD578" i="1"/>
  <c r="AK578" i="1"/>
  <c r="AW578" i="1"/>
  <c r="AZ578" i="1"/>
  <c r="BF578" i="1"/>
  <c r="BG578" i="1" s="1"/>
  <c r="BH578" i="1"/>
  <c r="BI578" i="1" s="1"/>
  <c r="BK578" i="1" s="1"/>
  <c r="AD579" i="1"/>
  <c r="AK579" i="1"/>
  <c r="AW579" i="1"/>
  <c r="AZ579" i="1"/>
  <c r="BF579" i="1"/>
  <c r="BG579" i="1" s="1"/>
  <c r="BH579" i="1"/>
  <c r="BI579" i="1" s="1"/>
  <c r="BK579" i="1" s="1"/>
  <c r="AD580" i="1"/>
  <c r="AK580" i="1"/>
  <c r="AW580" i="1"/>
  <c r="AZ580" i="1"/>
  <c r="BF580" i="1"/>
  <c r="BG580" i="1" s="1"/>
  <c r="BH580" i="1"/>
  <c r="BI580" i="1" s="1"/>
  <c r="BK580" i="1" s="1"/>
  <c r="AD581" i="1"/>
  <c r="AK581" i="1"/>
  <c r="AW581" i="1"/>
  <c r="AZ581" i="1"/>
  <c r="BF581" i="1"/>
  <c r="BG581" i="1" s="1"/>
  <c r="BH581" i="1"/>
  <c r="BI581" i="1" s="1"/>
  <c r="BK581" i="1" s="1"/>
  <c r="AD582" i="1"/>
  <c r="AK582" i="1"/>
  <c r="AW582" i="1"/>
  <c r="AZ582" i="1"/>
  <c r="BF582" i="1"/>
  <c r="BG582" i="1" s="1"/>
  <c r="BH582" i="1"/>
  <c r="BI582" i="1" s="1"/>
  <c r="BK582" i="1" s="1"/>
  <c r="AD583" i="1"/>
  <c r="AK583" i="1"/>
  <c r="AW583" i="1"/>
  <c r="AZ583" i="1"/>
  <c r="BF583" i="1"/>
  <c r="BG583" i="1" s="1"/>
  <c r="BH583" i="1"/>
  <c r="BI583" i="1" s="1"/>
  <c r="BK583" i="1" s="1"/>
  <c r="AD584" i="1"/>
  <c r="AK584" i="1"/>
  <c r="AW584" i="1"/>
  <c r="AZ584" i="1"/>
  <c r="BF584" i="1"/>
  <c r="BG584" i="1" s="1"/>
  <c r="BH584" i="1"/>
  <c r="BI584" i="1" s="1"/>
  <c r="BK584" i="1" s="1"/>
  <c r="AD585" i="1"/>
  <c r="AK585" i="1"/>
  <c r="AW585" i="1"/>
  <c r="AZ585" i="1"/>
  <c r="BF585" i="1"/>
  <c r="BG585" i="1" s="1"/>
  <c r="BH585" i="1"/>
  <c r="BI585" i="1" s="1"/>
  <c r="BK585" i="1" s="1"/>
  <c r="AD586" i="1"/>
  <c r="AK586" i="1"/>
  <c r="AW586" i="1"/>
  <c r="AZ586" i="1"/>
  <c r="BF586" i="1"/>
  <c r="BG586" i="1" s="1"/>
  <c r="BH586" i="1"/>
  <c r="BI586" i="1" s="1"/>
  <c r="BK586" i="1" s="1"/>
  <c r="AD587" i="1"/>
  <c r="AK587" i="1"/>
  <c r="AW587" i="1"/>
  <c r="AZ587" i="1"/>
  <c r="BF587" i="1"/>
  <c r="BG587" i="1" s="1"/>
  <c r="BH587" i="1"/>
  <c r="BI587" i="1" s="1"/>
  <c r="BK587" i="1" s="1"/>
  <c r="AD588" i="1"/>
  <c r="AK588" i="1"/>
  <c r="AW588" i="1"/>
  <c r="AY588" i="1" s="1"/>
  <c r="AZ588" i="1"/>
  <c r="BF588" i="1"/>
  <c r="BG588" i="1" s="1"/>
  <c r="BH588" i="1"/>
  <c r="BI588" i="1" s="1"/>
  <c r="BK588" i="1" s="1"/>
  <c r="AD589" i="1"/>
  <c r="AK589" i="1"/>
  <c r="AW589" i="1"/>
  <c r="AZ589" i="1"/>
  <c r="BF589" i="1"/>
  <c r="BG589" i="1" s="1"/>
  <c r="BH589" i="1"/>
  <c r="BI589" i="1" s="1"/>
  <c r="BK589" i="1" s="1"/>
  <c r="AD590" i="1"/>
  <c r="AK590" i="1"/>
  <c r="AW590" i="1"/>
  <c r="AZ590" i="1"/>
  <c r="BF590" i="1"/>
  <c r="BG590" i="1" s="1"/>
  <c r="BH590" i="1"/>
  <c r="BI590" i="1" s="1"/>
  <c r="BK590" i="1" s="1"/>
  <c r="AD591" i="1"/>
  <c r="AK591" i="1"/>
  <c r="AW591" i="1"/>
  <c r="AZ591" i="1"/>
  <c r="BF591" i="1"/>
  <c r="BG591" i="1" s="1"/>
  <c r="BH591" i="1"/>
  <c r="BI591" i="1" s="1"/>
  <c r="BK591" i="1" s="1"/>
  <c r="AD592" i="1"/>
  <c r="AK592" i="1"/>
  <c r="AW592" i="1"/>
  <c r="AZ592" i="1"/>
  <c r="BF592" i="1"/>
  <c r="BG592" i="1" s="1"/>
  <c r="BH592" i="1"/>
  <c r="BI592" i="1" s="1"/>
  <c r="BK592" i="1" s="1"/>
  <c r="AD593" i="1"/>
  <c r="AK593" i="1"/>
  <c r="AW593" i="1"/>
  <c r="AZ593" i="1"/>
  <c r="BF593" i="1"/>
  <c r="BG593" i="1" s="1"/>
  <c r="BH593" i="1"/>
  <c r="BI593" i="1" s="1"/>
  <c r="BK593" i="1" s="1"/>
  <c r="AD594" i="1"/>
  <c r="AK594" i="1"/>
  <c r="AW594" i="1"/>
  <c r="AZ594" i="1"/>
  <c r="BF594" i="1"/>
  <c r="BG594" i="1" s="1"/>
  <c r="BH594" i="1"/>
  <c r="BI594" i="1" s="1"/>
  <c r="BK594" i="1" s="1"/>
  <c r="AD595" i="1"/>
  <c r="AK595" i="1"/>
  <c r="AW595" i="1"/>
  <c r="AZ595" i="1"/>
  <c r="BF595" i="1"/>
  <c r="BG595" i="1" s="1"/>
  <c r="BH595" i="1"/>
  <c r="BI595" i="1" s="1"/>
  <c r="BK595" i="1" s="1"/>
  <c r="AD596" i="1"/>
  <c r="AK596" i="1"/>
  <c r="AW596" i="1"/>
  <c r="AZ596" i="1"/>
  <c r="BF596" i="1"/>
  <c r="BG596" i="1" s="1"/>
  <c r="BH596" i="1"/>
  <c r="BI596" i="1" s="1"/>
  <c r="BK596" i="1" s="1"/>
  <c r="BP620" i="1" l="1"/>
  <c r="BM617" i="1"/>
  <c r="AR626" i="1"/>
  <c r="AS626" i="1" s="1"/>
  <c r="AS635" i="1"/>
  <c r="BM620" i="1"/>
  <c r="AS618" i="1"/>
  <c r="AS617" i="1"/>
  <c r="BO614" i="1"/>
  <c r="AO614" i="1"/>
  <c r="AS598" i="1"/>
  <c r="AR609" i="1"/>
  <c r="AS609" i="1" s="1"/>
  <c r="BP623" i="1"/>
  <c r="AO607" i="1"/>
  <c r="BM607" i="1" s="1"/>
  <c r="BP601" i="1"/>
  <c r="AS628" i="1"/>
  <c r="BO603" i="1"/>
  <c r="AO603" i="1"/>
  <c r="BM601" i="1"/>
  <c r="AR605" i="1"/>
  <c r="BP605" i="1" s="1"/>
  <c r="BO604" i="1"/>
  <c r="AO604" i="1"/>
  <c r="AS632" i="1"/>
  <c r="BP599" i="1"/>
  <c r="BP608" i="1"/>
  <c r="AS616" i="1"/>
  <c r="BP616" i="1"/>
  <c r="AS629" i="1"/>
  <c r="BP629" i="1"/>
  <c r="AS636" i="1"/>
  <c r="BP636" i="1"/>
  <c r="AS612" i="1"/>
  <c r="BP612" i="1"/>
  <c r="AR565" i="1"/>
  <c r="AS565" i="1" s="1"/>
  <c r="AR563" i="1"/>
  <c r="AS563" i="1" s="1"/>
  <c r="AR559" i="1"/>
  <c r="AS559" i="1" s="1"/>
  <c r="AS621" i="1"/>
  <c r="BP621" i="1"/>
  <c r="AS600" i="1"/>
  <c r="BP600" i="1"/>
  <c r="AY585" i="1"/>
  <c r="BA585" i="1" s="1"/>
  <c r="BB585" i="1"/>
  <c r="AO583" i="1"/>
  <c r="AR583" i="1" s="1"/>
  <c r="AS583" i="1" s="1"/>
  <c r="BB583" i="1"/>
  <c r="AY573" i="1"/>
  <c r="BA573" i="1" s="1"/>
  <c r="BB573" i="1"/>
  <c r="AO571" i="1"/>
  <c r="AR571" i="1" s="1"/>
  <c r="AS571" i="1" s="1"/>
  <c r="BB571" i="1"/>
  <c r="AO575" i="1"/>
  <c r="AR575" i="1" s="1"/>
  <c r="AS575" i="1" s="1"/>
  <c r="BB575" i="1"/>
  <c r="AY584" i="1"/>
  <c r="BA584" i="1" s="1"/>
  <c r="BB584" i="1"/>
  <c r="AO574" i="1"/>
  <c r="AR574" i="1" s="1"/>
  <c r="AS574" i="1" s="1"/>
  <c r="BB574" i="1"/>
  <c r="AY564" i="1"/>
  <c r="BA564" i="1" s="1"/>
  <c r="AY558" i="1"/>
  <c r="BA558" i="1" s="1"/>
  <c r="AY591" i="1"/>
  <c r="BA591" i="1" s="1"/>
  <c r="BB591" i="1"/>
  <c r="AO589" i="1"/>
  <c r="AR589" i="1" s="1"/>
  <c r="AS589" i="1" s="1"/>
  <c r="BB589" i="1"/>
  <c r="AO580" i="1"/>
  <c r="AR580" i="1" s="1"/>
  <c r="AS580" i="1" s="1"/>
  <c r="BB580" i="1"/>
  <c r="AO587" i="1"/>
  <c r="AR587" i="1" s="1"/>
  <c r="AS587" i="1" s="1"/>
  <c r="BB587" i="1"/>
  <c r="AY567" i="1"/>
  <c r="BA567" i="1" s="1"/>
  <c r="BB567" i="1"/>
  <c r="AY553" i="1"/>
  <c r="BA553" i="1" s="1"/>
  <c r="BB570" i="1"/>
  <c r="BB582" i="1"/>
  <c r="BB569" i="1"/>
  <c r="AY590" i="1"/>
  <c r="BA590" i="1" s="1"/>
  <c r="BB590" i="1"/>
  <c r="AY565" i="1"/>
  <c r="BA565" i="1" s="1"/>
  <c r="BB568" i="1"/>
  <c r="AO594" i="1"/>
  <c r="AR594" i="1" s="1"/>
  <c r="AS594" i="1" s="1"/>
  <c r="BB594" i="1"/>
  <c r="BB577" i="1"/>
  <c r="AY572" i="1"/>
  <c r="BA572" i="1" s="1"/>
  <c r="BB572" i="1"/>
  <c r="AO586" i="1"/>
  <c r="AR586" i="1" s="1"/>
  <c r="AS586" i="1" s="1"/>
  <c r="BB586" i="1"/>
  <c r="AY579" i="1"/>
  <c r="BA579" i="1" s="1"/>
  <c r="BB579" i="1"/>
  <c r="AY596" i="1"/>
  <c r="BA596" i="1" s="1"/>
  <c r="BB596" i="1"/>
  <c r="AO592" i="1"/>
  <c r="AR592" i="1" s="1"/>
  <c r="AS592" i="1" s="1"/>
  <c r="BB592" i="1"/>
  <c r="AO595" i="1"/>
  <c r="AR595" i="1" s="1"/>
  <c r="AS595" i="1" s="1"/>
  <c r="BB595" i="1"/>
  <c r="BB593" i="1"/>
  <c r="AO588" i="1"/>
  <c r="AR588" i="1" s="1"/>
  <c r="AS588" i="1" s="1"/>
  <c r="BB588" i="1"/>
  <c r="BB581" i="1"/>
  <c r="AY578" i="1"/>
  <c r="BA578" i="1" s="1"/>
  <c r="BB578" i="1"/>
  <c r="BB576" i="1"/>
  <c r="AY592" i="1"/>
  <c r="BA592" i="1" s="1"/>
  <c r="AY582" i="1"/>
  <c r="BA582" i="1" s="1"/>
  <c r="AY568" i="1"/>
  <c r="BA568" i="1" s="1"/>
  <c r="AR558" i="1"/>
  <c r="AS558" i="1" s="1"/>
  <c r="BA588" i="1"/>
  <c r="AY577" i="1"/>
  <c r="BA577" i="1" s="1"/>
  <c r="AY563" i="1"/>
  <c r="BA563" i="1" s="1"/>
  <c r="BA566" i="1"/>
  <c r="AO561" i="1"/>
  <c r="AR561" i="1" s="1"/>
  <c r="AS561" i="1" s="1"/>
  <c r="AO585" i="1"/>
  <c r="AR585" i="1" s="1"/>
  <c r="AS585" i="1" s="1"/>
  <c r="AY589" i="1"/>
  <c r="BA589" i="1" s="1"/>
  <c r="AY569" i="1"/>
  <c r="BA569" i="1" s="1"/>
  <c r="AY559" i="1"/>
  <c r="BA559" i="1" s="1"/>
  <c r="AY556" i="1"/>
  <c r="BA556" i="1" s="1"/>
  <c r="AO555" i="1"/>
  <c r="AR555" i="1" s="1"/>
  <c r="AS555" i="1" s="1"/>
  <c r="AR556" i="1"/>
  <c r="AS556" i="1" s="1"/>
  <c r="AY593" i="1"/>
  <c r="BA593" i="1" s="1"/>
  <c r="AY583" i="1"/>
  <c r="BA583" i="1" s="1"/>
  <c r="AY580" i="1"/>
  <c r="BA580" i="1" s="1"/>
  <c r="AO579" i="1"/>
  <c r="AR579" i="1" s="1"/>
  <c r="AS579" i="1" s="1"/>
  <c r="AY574" i="1"/>
  <c r="BA574" i="1" s="1"/>
  <c r="AR553" i="1"/>
  <c r="AS553" i="1" s="1"/>
  <c r="AY587" i="1"/>
  <c r="BA587" i="1" s="1"/>
  <c r="AR551" i="1"/>
  <c r="AS551" i="1" s="1"/>
  <c r="AR564" i="1"/>
  <c r="AS564" i="1" s="1"/>
  <c r="AY595" i="1"/>
  <c r="BA595" i="1" s="1"/>
  <c r="AY571" i="1"/>
  <c r="BA571" i="1" s="1"/>
  <c r="AR557" i="1"/>
  <c r="AS557" i="1" s="1"/>
  <c r="AR552" i="1"/>
  <c r="AS552" i="1" s="1"/>
  <c r="AY586" i="1"/>
  <c r="BA586" i="1" s="1"/>
  <c r="AY562" i="1"/>
  <c r="BA562" i="1" s="1"/>
  <c r="AO573" i="1"/>
  <c r="AR573" i="1" s="1"/>
  <c r="AS573" i="1" s="1"/>
  <c r="BA554" i="1"/>
  <c r="AY594" i="1"/>
  <c r="BA594" i="1" s="1"/>
  <c r="AY575" i="1"/>
  <c r="BA575" i="1" s="1"/>
  <c r="AY570" i="1"/>
  <c r="BA570" i="1" s="1"/>
  <c r="BA555" i="1"/>
  <c r="AY551" i="1"/>
  <c r="BA551" i="1" s="1"/>
  <c r="AO591" i="1"/>
  <c r="AR591" i="1" s="1"/>
  <c r="AS591" i="1" s="1"/>
  <c r="BA560" i="1"/>
  <c r="AY581" i="1"/>
  <c r="BA581" i="1" s="1"/>
  <c r="AY576" i="1"/>
  <c r="BA576" i="1" s="1"/>
  <c r="BA561" i="1"/>
  <c r="AY557" i="1"/>
  <c r="BA557" i="1" s="1"/>
  <c r="AY552" i="1"/>
  <c r="BA552" i="1" s="1"/>
  <c r="AR562" i="1"/>
  <c r="AS562" i="1" s="1"/>
  <c r="AO590" i="1"/>
  <c r="AR590" i="1" s="1"/>
  <c r="AS590" i="1" s="1"/>
  <c r="AO566" i="1"/>
  <c r="AR566" i="1" s="1"/>
  <c r="AS566" i="1" s="1"/>
  <c r="AO560" i="1"/>
  <c r="AR560" i="1" s="1"/>
  <c r="AS560" i="1" s="1"/>
  <c r="AO584" i="1"/>
  <c r="AR584" i="1" s="1"/>
  <c r="AS584" i="1" s="1"/>
  <c r="AO554" i="1"/>
  <c r="AR554" i="1" s="1"/>
  <c r="AS554" i="1" s="1"/>
  <c r="AO596" i="1"/>
  <c r="AR596" i="1" s="1"/>
  <c r="AS596" i="1" s="1"/>
  <c r="AN546" i="1"/>
  <c r="AL546" i="1"/>
  <c r="Y546" i="1"/>
  <c r="AM546" i="1" s="1"/>
  <c r="Y545" i="1"/>
  <c r="AM545" i="1" s="1"/>
  <c r="AN545" i="1"/>
  <c r="AL545" i="1"/>
  <c r="BO596" i="1"/>
  <c r="BO595" i="1"/>
  <c r="BO594" i="1"/>
  <c r="BO592" i="1"/>
  <c r="BO591" i="1"/>
  <c r="BO590" i="1"/>
  <c r="BO589" i="1"/>
  <c r="BO588" i="1"/>
  <c r="BO587" i="1"/>
  <c r="BO586" i="1"/>
  <c r="BO585" i="1"/>
  <c r="BO584" i="1"/>
  <c r="BO583" i="1"/>
  <c r="BO580" i="1"/>
  <c r="BO579" i="1"/>
  <c r="BO575" i="1"/>
  <c r="BO574" i="1"/>
  <c r="BO573" i="1"/>
  <c r="BO571" i="1"/>
  <c r="BO566" i="1"/>
  <c r="AM533" i="1"/>
  <c r="AL533" i="1"/>
  <c r="BP626" i="1" l="1"/>
  <c r="BP609" i="1"/>
  <c r="AR614" i="1"/>
  <c r="BM614" i="1"/>
  <c r="AR607" i="1"/>
  <c r="BP607" i="1" s="1"/>
  <c r="AS605" i="1"/>
  <c r="AR603" i="1"/>
  <c r="BM603" i="1"/>
  <c r="BM604" i="1"/>
  <c r="AR604" i="1"/>
  <c r="AT570" i="1"/>
  <c r="AT572" i="1"/>
  <c r="AO572" i="1" s="1"/>
  <c r="AR572" i="1" s="1"/>
  <c r="AS572" i="1" s="1"/>
  <c r="AT582" i="1"/>
  <c r="BO582" i="1" s="1"/>
  <c r="AT593" i="1"/>
  <c r="AO593" i="1" s="1"/>
  <c r="AR593" i="1" s="1"/>
  <c r="AS593" i="1" s="1"/>
  <c r="AT576" i="1"/>
  <c r="AT577" i="1"/>
  <c r="AT578" i="1"/>
  <c r="BO578" i="1" s="1"/>
  <c r="AT567" i="1"/>
  <c r="AO567" i="1" s="1"/>
  <c r="AR567" i="1" s="1"/>
  <c r="AS567" i="1" s="1"/>
  <c r="AT568" i="1"/>
  <c r="BO568" i="1" s="1"/>
  <c r="AT581" i="1"/>
  <c r="AT569" i="1"/>
  <c r="BM584" i="1"/>
  <c r="BM573" i="1"/>
  <c r="BM586" i="1"/>
  <c r="BM588" i="1"/>
  <c r="BM574" i="1"/>
  <c r="BM595" i="1"/>
  <c r="BM571" i="1"/>
  <c r="BM596" i="1"/>
  <c r="BM587" i="1"/>
  <c r="BM592" i="1"/>
  <c r="BM589" i="1"/>
  <c r="BM591" i="1"/>
  <c r="BM583" i="1"/>
  <c r="BM580" i="1"/>
  <c r="BM585" i="1"/>
  <c r="BM594" i="1"/>
  <c r="AL532" i="1"/>
  <c r="AN532" i="1"/>
  <c r="AM532" i="1"/>
  <c r="AS614" i="1" l="1"/>
  <c r="BP614" i="1"/>
  <c r="AS607" i="1"/>
  <c r="AS603" i="1"/>
  <c r="BP603" i="1"/>
  <c r="AO582" i="1"/>
  <c r="AR582" i="1" s="1"/>
  <c r="AS582" i="1" s="1"/>
  <c r="BO567" i="1"/>
  <c r="AS604" i="1"/>
  <c r="BP604" i="1"/>
  <c r="BM572" i="1"/>
  <c r="BO572" i="1"/>
  <c r="BM593" i="1"/>
  <c r="BO593" i="1"/>
  <c r="AO570" i="1"/>
  <c r="AR570" i="1" s="1"/>
  <c r="AS570" i="1" s="1"/>
  <c r="BO570" i="1"/>
  <c r="AO578" i="1"/>
  <c r="AO577" i="1"/>
  <c r="BO577" i="1"/>
  <c r="AO568" i="1"/>
  <c r="AR568" i="1" s="1"/>
  <c r="BO576" i="1"/>
  <c r="AO576" i="1"/>
  <c r="BM567" i="1"/>
  <c r="BO581" i="1"/>
  <c r="AO581" i="1"/>
  <c r="AO569" i="1"/>
  <c r="BO569" i="1"/>
  <c r="BM579" i="1"/>
  <c r="BP573" i="1"/>
  <c r="BM575" i="1"/>
  <c r="BP571" i="1"/>
  <c r="BM566" i="1"/>
  <c r="BP592" i="1"/>
  <c r="BP575" i="1"/>
  <c r="BP589" i="1"/>
  <c r="BP566" i="1"/>
  <c r="BP583" i="1"/>
  <c r="BP594" i="1"/>
  <c r="BM590" i="1"/>
  <c r="BP579" i="1"/>
  <c r="BP595" i="1"/>
  <c r="BP593" i="1"/>
  <c r="BP586" i="1"/>
  <c r="BP590" i="1"/>
  <c r="BP580" i="1"/>
  <c r="BP567" i="1"/>
  <c r="BP584" i="1"/>
  <c r="BP574" i="1"/>
  <c r="BO565" i="1"/>
  <c r="BO564" i="1"/>
  <c r="BO563" i="1"/>
  <c r="BO562" i="1"/>
  <c r="BO561" i="1"/>
  <c r="BO560" i="1"/>
  <c r="BO559" i="1"/>
  <c r="BO558" i="1"/>
  <c r="BO557" i="1"/>
  <c r="BO556" i="1"/>
  <c r="BO555" i="1"/>
  <c r="BO554" i="1"/>
  <c r="BO553" i="1"/>
  <c r="BO552" i="1"/>
  <c r="BO551" i="1"/>
  <c r="BO550" i="1"/>
  <c r="BH550" i="1"/>
  <c r="BI550" i="1" s="1"/>
  <c r="BK550" i="1" s="1"/>
  <c r="BF550" i="1"/>
  <c r="BG550" i="1" s="1"/>
  <c r="BO549" i="1"/>
  <c r="BH549" i="1"/>
  <c r="BI549" i="1" s="1"/>
  <c r="BK549" i="1" s="1"/>
  <c r="BF549" i="1"/>
  <c r="BG549" i="1" s="1"/>
  <c r="BO548" i="1"/>
  <c r="BH548" i="1"/>
  <c r="BI548" i="1" s="1"/>
  <c r="BK548" i="1" s="1"/>
  <c r="BF548" i="1"/>
  <c r="BG548" i="1" s="1"/>
  <c r="BO547" i="1"/>
  <c r="BH547" i="1"/>
  <c r="BI547" i="1" s="1"/>
  <c r="BK547" i="1" s="1"/>
  <c r="BF547" i="1"/>
  <c r="BG547" i="1" s="1"/>
  <c r="BO546" i="1"/>
  <c r="BH546" i="1"/>
  <c r="BI546" i="1" s="1"/>
  <c r="BK546" i="1" s="1"/>
  <c r="BF546" i="1"/>
  <c r="BG546" i="1" s="1"/>
  <c r="BO545" i="1"/>
  <c r="BH545" i="1"/>
  <c r="BI545" i="1" s="1"/>
  <c r="BK545" i="1" s="1"/>
  <c r="BF545" i="1"/>
  <c r="BG545" i="1" s="1"/>
  <c r="BO544" i="1"/>
  <c r="BH544" i="1"/>
  <c r="BI544" i="1" s="1"/>
  <c r="BK544" i="1" s="1"/>
  <c r="BF544" i="1"/>
  <c r="BG544" i="1" s="1"/>
  <c r="BO543" i="1"/>
  <c r="BH543" i="1"/>
  <c r="BI543" i="1" s="1"/>
  <c r="BK543" i="1" s="1"/>
  <c r="BF543" i="1"/>
  <c r="BG543" i="1" s="1"/>
  <c r="BO542" i="1"/>
  <c r="BH542" i="1"/>
  <c r="BI542" i="1" s="1"/>
  <c r="BK542" i="1" s="1"/>
  <c r="BF542" i="1"/>
  <c r="BG542" i="1" s="1"/>
  <c r="BO541" i="1"/>
  <c r="BH541" i="1"/>
  <c r="BI541" i="1" s="1"/>
  <c r="BK541" i="1" s="1"/>
  <c r="BF541" i="1"/>
  <c r="BG541" i="1" s="1"/>
  <c r="BO540" i="1"/>
  <c r="BH540" i="1"/>
  <c r="BI540" i="1" s="1"/>
  <c r="BK540" i="1" s="1"/>
  <c r="BF540" i="1"/>
  <c r="BG540" i="1" s="1"/>
  <c r="BO539" i="1"/>
  <c r="BH539" i="1"/>
  <c r="BI539" i="1" s="1"/>
  <c r="BK539" i="1" s="1"/>
  <c r="BF539" i="1"/>
  <c r="BG539" i="1" s="1"/>
  <c r="BO538" i="1"/>
  <c r="BH538" i="1"/>
  <c r="BI538" i="1" s="1"/>
  <c r="BK538" i="1" s="1"/>
  <c r="BF538" i="1"/>
  <c r="BG538" i="1" s="1"/>
  <c r="BO537" i="1"/>
  <c r="BH537" i="1"/>
  <c r="BI537" i="1" s="1"/>
  <c r="BK537" i="1" s="1"/>
  <c r="BF537" i="1"/>
  <c r="BG537" i="1" s="1"/>
  <c r="BO536" i="1"/>
  <c r="BH536" i="1"/>
  <c r="BI536" i="1" s="1"/>
  <c r="BK536" i="1" s="1"/>
  <c r="BF536" i="1"/>
  <c r="BG536" i="1" s="1"/>
  <c r="BO535" i="1"/>
  <c r="BH535" i="1"/>
  <c r="BI535" i="1" s="1"/>
  <c r="BK535" i="1" s="1"/>
  <c r="BF535" i="1"/>
  <c r="BG535" i="1" s="1"/>
  <c r="BO534" i="1"/>
  <c r="BH534" i="1"/>
  <c r="BI534" i="1" s="1"/>
  <c r="BK534" i="1" s="1"/>
  <c r="BF534" i="1"/>
  <c r="BG534" i="1" s="1"/>
  <c r="BO533" i="1"/>
  <c r="BH533" i="1"/>
  <c r="BI533" i="1" s="1"/>
  <c r="BK533" i="1" s="1"/>
  <c r="BF533" i="1"/>
  <c r="BG533" i="1" s="1"/>
  <c r="BO532" i="1"/>
  <c r="BH532" i="1"/>
  <c r="BI532" i="1" s="1"/>
  <c r="BK532" i="1" s="1"/>
  <c r="BF532" i="1"/>
  <c r="BG532" i="1" s="1"/>
  <c r="BO531" i="1"/>
  <c r="BH531" i="1"/>
  <c r="BI531" i="1" s="1"/>
  <c r="BK531" i="1" s="1"/>
  <c r="BF531" i="1"/>
  <c r="BG531" i="1" s="1"/>
  <c r="AZ550" i="1"/>
  <c r="AW550" i="1"/>
  <c r="AY550" i="1" s="1"/>
  <c r="AZ549" i="1"/>
  <c r="AW549" i="1"/>
  <c r="AO549" i="1" s="1"/>
  <c r="AZ548" i="1"/>
  <c r="AW548" i="1"/>
  <c r="AO548" i="1" s="1"/>
  <c r="AZ547" i="1"/>
  <c r="AW547" i="1"/>
  <c r="AO547" i="1" s="1"/>
  <c r="AZ546" i="1"/>
  <c r="AW546" i="1"/>
  <c r="AO546" i="1" s="1"/>
  <c r="AZ545" i="1"/>
  <c r="AW545" i="1"/>
  <c r="AY545" i="1" s="1"/>
  <c r="AZ544" i="1"/>
  <c r="AW544" i="1"/>
  <c r="AY544" i="1" s="1"/>
  <c r="AZ543" i="1"/>
  <c r="AW543" i="1"/>
  <c r="AY543" i="1" s="1"/>
  <c r="AZ542" i="1"/>
  <c r="AW542" i="1"/>
  <c r="AO542" i="1" s="1"/>
  <c r="AZ541" i="1"/>
  <c r="AW541" i="1"/>
  <c r="AO541" i="1" s="1"/>
  <c r="AZ540" i="1"/>
  <c r="AW540" i="1"/>
  <c r="AO540" i="1" s="1"/>
  <c r="AZ539" i="1"/>
  <c r="AW539" i="1"/>
  <c r="AY539" i="1" s="1"/>
  <c r="AZ538" i="1"/>
  <c r="AW538" i="1"/>
  <c r="AY538" i="1" s="1"/>
  <c r="AZ537" i="1"/>
  <c r="AW537" i="1"/>
  <c r="AY537" i="1" s="1"/>
  <c r="AZ536" i="1"/>
  <c r="AW536" i="1"/>
  <c r="AO536" i="1" s="1"/>
  <c r="AZ535" i="1"/>
  <c r="AW535" i="1"/>
  <c r="AO535" i="1" s="1"/>
  <c r="AZ534" i="1"/>
  <c r="AW534" i="1"/>
  <c r="AO534" i="1" s="1"/>
  <c r="AZ533" i="1"/>
  <c r="AW533" i="1"/>
  <c r="AY533" i="1" s="1"/>
  <c r="AZ532" i="1"/>
  <c r="AW532" i="1"/>
  <c r="AZ531" i="1"/>
  <c r="AW531" i="1"/>
  <c r="AY531" i="1" s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BM582" i="1" l="1"/>
  <c r="BP570" i="1"/>
  <c r="BM570" i="1"/>
  <c r="BM568" i="1"/>
  <c r="AR578" i="1"/>
  <c r="AS578" i="1" s="1"/>
  <c r="BM578" i="1"/>
  <c r="AR576" i="1"/>
  <c r="AS576" i="1" s="1"/>
  <c r="BM576" i="1"/>
  <c r="AS568" i="1"/>
  <c r="BP568" i="1"/>
  <c r="AR577" i="1"/>
  <c r="BM577" i="1"/>
  <c r="AR569" i="1"/>
  <c r="BM569" i="1"/>
  <c r="AR581" i="1"/>
  <c r="BM581" i="1"/>
  <c r="AO544" i="1"/>
  <c r="BM544" i="1" s="1"/>
  <c r="BP596" i="1"/>
  <c r="AO539" i="1"/>
  <c r="AR539" i="1" s="1"/>
  <c r="AS539" i="1" s="1"/>
  <c r="AO538" i="1"/>
  <c r="BM538" i="1" s="1"/>
  <c r="BA531" i="1"/>
  <c r="BP588" i="1"/>
  <c r="BP582" i="1"/>
  <c r="BM554" i="1"/>
  <c r="BP591" i="1"/>
  <c r="BP587" i="1"/>
  <c r="BM555" i="1"/>
  <c r="AO545" i="1"/>
  <c r="AR545" i="1" s="1"/>
  <c r="AS545" i="1" s="1"/>
  <c r="BP585" i="1"/>
  <c r="BP572" i="1"/>
  <c r="AO533" i="1"/>
  <c r="AR533" i="1" s="1"/>
  <c r="AO543" i="1"/>
  <c r="AR543" i="1" s="1"/>
  <c r="AY532" i="1"/>
  <c r="BA532" i="1" s="1"/>
  <c r="AO532" i="1"/>
  <c r="AR532" i="1" s="1"/>
  <c r="BM552" i="1"/>
  <c r="BA550" i="1"/>
  <c r="BM553" i="1"/>
  <c r="BM548" i="1"/>
  <c r="BM559" i="1"/>
  <c r="AO531" i="1"/>
  <c r="AR531" i="1" s="1"/>
  <c r="BM549" i="1"/>
  <c r="BM560" i="1"/>
  <c r="BM541" i="1"/>
  <c r="BM564" i="1"/>
  <c r="BM565" i="1"/>
  <c r="BM542" i="1"/>
  <c r="BM534" i="1"/>
  <c r="BM535" i="1"/>
  <c r="BM546" i="1"/>
  <c r="BM547" i="1"/>
  <c r="BM558" i="1"/>
  <c r="BM536" i="1"/>
  <c r="BM540" i="1"/>
  <c r="BM557" i="1"/>
  <c r="AO550" i="1"/>
  <c r="BM550" i="1" s="1"/>
  <c r="BA537" i="1"/>
  <c r="BA543" i="1"/>
  <c r="AY546" i="1"/>
  <c r="BA546" i="1" s="1"/>
  <c r="BM563" i="1"/>
  <c r="BM551" i="1"/>
  <c r="BA538" i="1"/>
  <c r="BA544" i="1"/>
  <c r="BM561" i="1"/>
  <c r="BA533" i="1"/>
  <c r="BA539" i="1"/>
  <c r="BA545" i="1"/>
  <c r="AO537" i="1"/>
  <c r="AR537" i="1" s="1"/>
  <c r="AY549" i="1"/>
  <c r="BA549" i="1" s="1"/>
  <c r="AR549" i="1"/>
  <c r="AY534" i="1"/>
  <c r="BA534" i="1" s="1"/>
  <c r="AY540" i="1"/>
  <c r="BA540" i="1" s="1"/>
  <c r="AY535" i="1"/>
  <c r="BA535" i="1" s="1"/>
  <c r="AY541" i="1"/>
  <c r="BA541" i="1" s="1"/>
  <c r="AY547" i="1"/>
  <c r="BA547" i="1" s="1"/>
  <c r="AR534" i="1"/>
  <c r="AR540" i="1"/>
  <c r="AR546" i="1"/>
  <c r="AR535" i="1"/>
  <c r="AR541" i="1"/>
  <c r="AR547" i="1"/>
  <c r="AY536" i="1"/>
  <c r="BA536" i="1" s="1"/>
  <c r="AY542" i="1"/>
  <c r="BA542" i="1" s="1"/>
  <c r="AY548" i="1"/>
  <c r="BA548" i="1" s="1"/>
  <c r="AR536" i="1"/>
  <c r="AR542" i="1"/>
  <c r="AR548" i="1"/>
  <c r="AN530" i="1"/>
  <c r="BM539" i="1" l="1"/>
  <c r="BP578" i="1"/>
  <c r="AR544" i="1"/>
  <c r="AS544" i="1" s="1"/>
  <c r="BP576" i="1"/>
  <c r="AS577" i="1"/>
  <c r="BP577" i="1"/>
  <c r="AS581" i="1"/>
  <c r="BP581" i="1"/>
  <c r="AS569" i="1"/>
  <c r="BP569" i="1"/>
  <c r="AR538" i="1"/>
  <c r="AS538" i="1" s="1"/>
  <c r="BM543" i="1"/>
  <c r="BM545" i="1"/>
  <c r="BM562" i="1"/>
  <c r="BM533" i="1"/>
  <c r="BP545" i="1"/>
  <c r="BP539" i="1"/>
  <c r="BP562" i="1"/>
  <c r="BM531" i="1"/>
  <c r="AS531" i="1"/>
  <c r="BP531" i="1"/>
  <c r="BM532" i="1"/>
  <c r="BP556" i="1"/>
  <c r="BM556" i="1"/>
  <c r="AS532" i="1"/>
  <c r="BP532" i="1"/>
  <c r="AS542" i="1"/>
  <c r="BP542" i="1"/>
  <c r="AS536" i="1"/>
  <c r="BP536" i="1"/>
  <c r="BP559" i="1"/>
  <c r="AS543" i="1"/>
  <c r="BP543" i="1"/>
  <c r="BP552" i="1"/>
  <c r="AS533" i="1"/>
  <c r="BP533" i="1"/>
  <c r="AS540" i="1"/>
  <c r="BP540" i="1"/>
  <c r="AS549" i="1"/>
  <c r="BP549" i="1"/>
  <c r="AR550" i="1"/>
  <c r="AS534" i="1"/>
  <c r="BP534" i="1"/>
  <c r="BP565" i="1"/>
  <c r="AS537" i="1"/>
  <c r="BP537" i="1"/>
  <c r="BP560" i="1"/>
  <c r="BP553" i="1"/>
  <c r="BM537" i="1"/>
  <c r="AS546" i="1"/>
  <c r="BP546" i="1"/>
  <c r="BP554" i="1"/>
  <c r="AS547" i="1"/>
  <c r="BP547" i="1"/>
  <c r="BP558" i="1"/>
  <c r="AS535" i="1"/>
  <c r="BP535" i="1"/>
  <c r="BP564" i="1"/>
  <c r="AS548" i="1"/>
  <c r="BP548" i="1"/>
  <c r="AS541" i="1"/>
  <c r="BP541" i="1"/>
  <c r="AM530" i="1"/>
  <c r="AL530" i="1"/>
  <c r="BP544" i="1" l="1"/>
  <c r="BP538" i="1"/>
  <c r="BP555" i="1"/>
  <c r="BP557" i="1"/>
  <c r="BP563" i="1"/>
  <c r="BP561" i="1"/>
  <c r="BP551" i="1"/>
  <c r="AS550" i="1"/>
  <c r="BP550" i="1"/>
  <c r="AN526" i="1"/>
  <c r="AM526" i="1"/>
  <c r="AL526" i="1"/>
  <c r="AL521" i="1"/>
  <c r="AL520" i="1"/>
  <c r="AN517" i="1"/>
  <c r="AN511" i="1" l="1"/>
  <c r="BO530" i="1" l="1"/>
  <c r="BH530" i="1"/>
  <c r="BI530" i="1" s="1"/>
  <c r="BK530" i="1" s="1"/>
  <c r="BF530" i="1"/>
  <c r="BG530" i="1" s="1"/>
  <c r="BO529" i="1"/>
  <c r="BH529" i="1"/>
  <c r="BI529" i="1" s="1"/>
  <c r="BK529" i="1" s="1"/>
  <c r="BF529" i="1"/>
  <c r="BG529" i="1" s="1"/>
  <c r="BO528" i="1"/>
  <c r="BH528" i="1"/>
  <c r="BI528" i="1" s="1"/>
  <c r="BK528" i="1" s="1"/>
  <c r="BF528" i="1"/>
  <c r="BG528" i="1" s="1"/>
  <c r="BO527" i="1"/>
  <c r="BH527" i="1"/>
  <c r="BI527" i="1" s="1"/>
  <c r="BK527" i="1" s="1"/>
  <c r="BF527" i="1"/>
  <c r="BG527" i="1" s="1"/>
  <c r="BO526" i="1"/>
  <c r="BH526" i="1"/>
  <c r="BI526" i="1" s="1"/>
  <c r="BK526" i="1" s="1"/>
  <c r="BF526" i="1"/>
  <c r="BG526" i="1" s="1"/>
  <c r="BO525" i="1"/>
  <c r="BH525" i="1"/>
  <c r="BI525" i="1" s="1"/>
  <c r="BK525" i="1" s="1"/>
  <c r="BF525" i="1"/>
  <c r="BG525" i="1" s="1"/>
  <c r="BO524" i="1"/>
  <c r="BH524" i="1"/>
  <c r="BI524" i="1" s="1"/>
  <c r="BK524" i="1" s="1"/>
  <c r="BF524" i="1"/>
  <c r="BG524" i="1" s="1"/>
  <c r="BO523" i="1"/>
  <c r="BH523" i="1"/>
  <c r="BI523" i="1" s="1"/>
  <c r="BK523" i="1" s="1"/>
  <c r="BF523" i="1"/>
  <c r="BG523" i="1" s="1"/>
  <c r="BO522" i="1"/>
  <c r="BH522" i="1"/>
  <c r="BI522" i="1" s="1"/>
  <c r="BK522" i="1" s="1"/>
  <c r="BF522" i="1"/>
  <c r="BG522" i="1" s="1"/>
  <c r="BO521" i="1"/>
  <c r="BH521" i="1"/>
  <c r="BI521" i="1" s="1"/>
  <c r="BK521" i="1" s="1"/>
  <c r="BF521" i="1"/>
  <c r="BG521" i="1" s="1"/>
  <c r="BO520" i="1"/>
  <c r="BH520" i="1"/>
  <c r="BI520" i="1" s="1"/>
  <c r="BK520" i="1" s="1"/>
  <c r="BF520" i="1"/>
  <c r="BG520" i="1" s="1"/>
  <c r="BO519" i="1"/>
  <c r="BH519" i="1"/>
  <c r="BI519" i="1" s="1"/>
  <c r="BK519" i="1" s="1"/>
  <c r="BF519" i="1"/>
  <c r="BG519" i="1" s="1"/>
  <c r="BO518" i="1"/>
  <c r="BH518" i="1"/>
  <c r="BI518" i="1" s="1"/>
  <c r="BK518" i="1" s="1"/>
  <c r="BF518" i="1"/>
  <c r="BG518" i="1" s="1"/>
  <c r="BO517" i="1"/>
  <c r="BH517" i="1"/>
  <c r="BI517" i="1" s="1"/>
  <c r="BK517" i="1" s="1"/>
  <c r="BF517" i="1"/>
  <c r="BG517" i="1" s="1"/>
  <c r="BO516" i="1"/>
  <c r="BH516" i="1"/>
  <c r="BI516" i="1" s="1"/>
  <c r="BK516" i="1" s="1"/>
  <c r="BF516" i="1"/>
  <c r="BG516" i="1" s="1"/>
  <c r="BO515" i="1"/>
  <c r="BH515" i="1"/>
  <c r="BI515" i="1" s="1"/>
  <c r="BK515" i="1" s="1"/>
  <c r="BF515" i="1"/>
  <c r="BG515" i="1" s="1"/>
  <c r="BO514" i="1"/>
  <c r="BH514" i="1"/>
  <c r="BI514" i="1" s="1"/>
  <c r="BK514" i="1" s="1"/>
  <c r="BF514" i="1"/>
  <c r="BG514" i="1" s="1"/>
  <c r="BO513" i="1"/>
  <c r="BH513" i="1"/>
  <c r="BI513" i="1" s="1"/>
  <c r="BK513" i="1" s="1"/>
  <c r="BF513" i="1"/>
  <c r="BG513" i="1" s="1"/>
  <c r="BO512" i="1"/>
  <c r="BH512" i="1"/>
  <c r="BI512" i="1" s="1"/>
  <c r="BK512" i="1" s="1"/>
  <c r="BF512" i="1"/>
  <c r="BG512" i="1" s="1"/>
  <c r="BO511" i="1"/>
  <c r="BH511" i="1"/>
  <c r="BI511" i="1" s="1"/>
  <c r="BK511" i="1" s="1"/>
  <c r="BF511" i="1"/>
  <c r="BG511" i="1" s="1"/>
  <c r="BO510" i="1"/>
  <c r="BH510" i="1"/>
  <c r="BI510" i="1" s="1"/>
  <c r="BK510" i="1" s="1"/>
  <c r="BF510" i="1"/>
  <c r="BG510" i="1" s="1"/>
  <c r="BO509" i="1"/>
  <c r="BH509" i="1"/>
  <c r="BI509" i="1" s="1"/>
  <c r="BK509" i="1" s="1"/>
  <c r="BF509" i="1"/>
  <c r="BG509" i="1" s="1"/>
  <c r="BO508" i="1"/>
  <c r="BH508" i="1"/>
  <c r="BI508" i="1" s="1"/>
  <c r="BK508" i="1" s="1"/>
  <c r="BF508" i="1"/>
  <c r="BG508" i="1" s="1"/>
  <c r="BO507" i="1"/>
  <c r="BH507" i="1"/>
  <c r="BI507" i="1" s="1"/>
  <c r="BK507" i="1" s="1"/>
  <c r="BF507" i="1"/>
  <c r="BG507" i="1" s="1"/>
  <c r="BO506" i="1"/>
  <c r="BH506" i="1"/>
  <c r="BI506" i="1" s="1"/>
  <c r="BK506" i="1" s="1"/>
  <c r="BF506" i="1"/>
  <c r="BG506" i="1" s="1"/>
  <c r="BO505" i="1"/>
  <c r="BH505" i="1"/>
  <c r="BI505" i="1" s="1"/>
  <c r="BK505" i="1" s="1"/>
  <c r="BF505" i="1"/>
  <c r="BG505" i="1" s="1"/>
  <c r="BO504" i="1"/>
  <c r="BH504" i="1"/>
  <c r="BI504" i="1" s="1"/>
  <c r="BK504" i="1" s="1"/>
  <c r="BF504" i="1"/>
  <c r="BG504" i="1" s="1"/>
  <c r="AZ530" i="1"/>
  <c r="AW530" i="1"/>
  <c r="AY530" i="1" s="1"/>
  <c r="AK530" i="1"/>
  <c r="AZ529" i="1"/>
  <c r="AW529" i="1"/>
  <c r="AO529" i="1" s="1"/>
  <c r="AK529" i="1"/>
  <c r="AZ528" i="1"/>
  <c r="AW528" i="1"/>
  <c r="AY528" i="1" s="1"/>
  <c r="AK528" i="1"/>
  <c r="AZ527" i="1"/>
  <c r="AW527" i="1"/>
  <c r="AY527" i="1" s="1"/>
  <c r="AK527" i="1"/>
  <c r="AZ526" i="1"/>
  <c r="AW526" i="1"/>
  <c r="AO526" i="1" s="1"/>
  <c r="AK526" i="1"/>
  <c r="AZ525" i="1"/>
  <c r="AW525" i="1"/>
  <c r="AY525" i="1" s="1"/>
  <c r="AK525" i="1"/>
  <c r="AZ524" i="1"/>
  <c r="AW524" i="1"/>
  <c r="AY524" i="1" s="1"/>
  <c r="AK524" i="1"/>
  <c r="AZ523" i="1"/>
  <c r="AW523" i="1"/>
  <c r="AO523" i="1" s="1"/>
  <c r="AK523" i="1"/>
  <c r="AZ522" i="1"/>
  <c r="AW522" i="1"/>
  <c r="AY522" i="1" s="1"/>
  <c r="AZ521" i="1"/>
  <c r="AW521" i="1"/>
  <c r="AY521" i="1" s="1"/>
  <c r="AZ520" i="1"/>
  <c r="AW520" i="1"/>
  <c r="AO520" i="1" s="1"/>
  <c r="AK520" i="1"/>
  <c r="AZ519" i="1"/>
  <c r="AW519" i="1"/>
  <c r="AY519" i="1" s="1"/>
  <c r="AK519" i="1"/>
  <c r="AZ518" i="1"/>
  <c r="AW518" i="1"/>
  <c r="AY518" i="1" s="1"/>
  <c r="AK518" i="1"/>
  <c r="AZ517" i="1"/>
  <c r="AW517" i="1"/>
  <c r="AO517" i="1" s="1"/>
  <c r="AK517" i="1"/>
  <c r="AZ516" i="1"/>
  <c r="AW516" i="1"/>
  <c r="AY516" i="1" s="1"/>
  <c r="AK516" i="1"/>
  <c r="AZ515" i="1"/>
  <c r="AW515" i="1"/>
  <c r="AY515" i="1" s="1"/>
  <c r="AK515" i="1"/>
  <c r="AZ514" i="1"/>
  <c r="AW514" i="1"/>
  <c r="AO514" i="1" s="1"/>
  <c r="AK514" i="1"/>
  <c r="AZ513" i="1"/>
  <c r="AW513" i="1"/>
  <c r="AY513" i="1" s="1"/>
  <c r="AK513" i="1"/>
  <c r="AZ512" i="1"/>
  <c r="AW512" i="1"/>
  <c r="AY512" i="1" s="1"/>
  <c r="AK512" i="1"/>
  <c r="AZ511" i="1"/>
  <c r="AW511" i="1"/>
  <c r="AO511" i="1" s="1"/>
  <c r="AK511" i="1"/>
  <c r="AZ510" i="1"/>
  <c r="AW510" i="1"/>
  <c r="AY510" i="1" s="1"/>
  <c r="AK510" i="1"/>
  <c r="AZ509" i="1"/>
  <c r="AW509" i="1"/>
  <c r="AY509" i="1" s="1"/>
  <c r="AK509" i="1"/>
  <c r="AZ508" i="1"/>
  <c r="AW508" i="1"/>
  <c r="AO508" i="1" s="1"/>
  <c r="AK508" i="1"/>
  <c r="AZ507" i="1"/>
  <c r="AW507" i="1"/>
  <c r="AY507" i="1" s="1"/>
  <c r="AK507" i="1"/>
  <c r="AZ506" i="1"/>
  <c r="AW506" i="1"/>
  <c r="AY506" i="1" s="1"/>
  <c r="AK506" i="1"/>
  <c r="AZ505" i="1"/>
  <c r="AW505" i="1"/>
  <c r="AO505" i="1" s="1"/>
  <c r="BM505" i="1" s="1"/>
  <c r="AZ504" i="1"/>
  <c r="AW504" i="1"/>
  <c r="AY504" i="1" s="1"/>
  <c r="AK504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O525" i="1" l="1"/>
  <c r="AR525" i="1" s="1"/>
  <c r="AR529" i="1"/>
  <c r="AS529" i="1" s="1"/>
  <c r="AO506" i="1"/>
  <c r="BM506" i="1" s="1"/>
  <c r="AO516" i="1"/>
  <c r="BM516" i="1" s="1"/>
  <c r="AR520" i="1"/>
  <c r="AS520" i="1" s="1"/>
  <c r="BA525" i="1"/>
  <c r="AO519" i="1"/>
  <c r="AR519" i="1" s="1"/>
  <c r="AO527" i="1"/>
  <c r="AR527" i="1" s="1"/>
  <c r="AO510" i="1"/>
  <c r="AR510" i="1" s="1"/>
  <c r="AS510" i="1" s="1"/>
  <c r="AR505" i="1"/>
  <c r="AS505" i="1" s="1"/>
  <c r="BA512" i="1"/>
  <c r="BA519" i="1"/>
  <c r="AO513" i="1"/>
  <c r="BM513" i="1" s="1"/>
  <c r="BM514" i="1"/>
  <c r="BA507" i="1"/>
  <c r="BM511" i="1"/>
  <c r="AO518" i="1"/>
  <c r="AR518" i="1" s="1"/>
  <c r="BA522" i="1"/>
  <c r="BA530" i="1"/>
  <c r="AR526" i="1"/>
  <c r="AS526" i="1" s="1"/>
  <c r="BM517" i="1"/>
  <c r="BA515" i="1"/>
  <c r="AO522" i="1"/>
  <c r="BM522" i="1" s="1"/>
  <c r="AO509" i="1"/>
  <c r="BM509" i="1" s="1"/>
  <c r="AR523" i="1"/>
  <c r="BA509" i="1"/>
  <c r="BA516" i="1"/>
  <c r="BA506" i="1"/>
  <c r="BA513" i="1"/>
  <c r="BM508" i="1"/>
  <c r="AO512" i="1"/>
  <c r="BM512" i="1" s="1"/>
  <c r="AR514" i="1"/>
  <c r="BM526" i="1"/>
  <c r="AO504" i="1"/>
  <c r="AR504" i="1" s="1"/>
  <c r="BA521" i="1"/>
  <c r="BA528" i="1"/>
  <c r="AO507" i="1"/>
  <c r="BM507" i="1" s="1"/>
  <c r="BA510" i="1"/>
  <c r="AR517" i="1"/>
  <c r="AO530" i="1"/>
  <c r="AR530" i="1" s="1"/>
  <c r="BM529" i="1"/>
  <c r="BM520" i="1"/>
  <c r="BA504" i="1"/>
  <c r="AO524" i="1"/>
  <c r="BM524" i="1" s="1"/>
  <c r="BA527" i="1"/>
  <c r="AR508" i="1"/>
  <c r="AO521" i="1"/>
  <c r="BM521" i="1" s="1"/>
  <c r="BA524" i="1"/>
  <c r="BM523" i="1"/>
  <c r="AO515" i="1"/>
  <c r="BM515" i="1" s="1"/>
  <c r="BA518" i="1"/>
  <c r="AO528" i="1"/>
  <c r="BM528" i="1" s="1"/>
  <c r="AR511" i="1"/>
  <c r="AY523" i="1"/>
  <c r="BA523" i="1" s="1"/>
  <c r="AY526" i="1"/>
  <c r="BA526" i="1" s="1"/>
  <c r="AY505" i="1"/>
  <c r="BA505" i="1" s="1"/>
  <c r="AY508" i="1"/>
  <c r="BA508" i="1" s="1"/>
  <c r="AY514" i="1"/>
  <c r="BA514" i="1" s="1"/>
  <c r="AY517" i="1"/>
  <c r="BA517" i="1" s="1"/>
  <c r="AY520" i="1"/>
  <c r="BA520" i="1" s="1"/>
  <c r="AY529" i="1"/>
  <c r="BA529" i="1" s="1"/>
  <c r="AY511" i="1"/>
  <c r="BA511" i="1" s="1"/>
  <c r="AL502" i="1"/>
  <c r="AL501" i="1"/>
  <c r="BM525" i="1" l="1"/>
  <c r="BM510" i="1"/>
  <c r="AR516" i="1"/>
  <c r="AS516" i="1" s="1"/>
  <c r="BP529" i="1"/>
  <c r="BM518" i="1"/>
  <c r="BP520" i="1"/>
  <c r="BM527" i="1"/>
  <c r="AR506" i="1"/>
  <c r="AS506" i="1" s="1"/>
  <c r="BM519" i="1"/>
  <c r="BP505" i="1"/>
  <c r="AS519" i="1"/>
  <c r="BP519" i="1"/>
  <c r="AR522" i="1"/>
  <c r="AS522" i="1" s="1"/>
  <c r="AR513" i="1"/>
  <c r="AS513" i="1" s="1"/>
  <c r="BM530" i="1"/>
  <c r="BP526" i="1"/>
  <c r="AS523" i="1"/>
  <c r="BP523" i="1"/>
  <c r="AR509" i="1"/>
  <c r="BP510" i="1"/>
  <c r="BM504" i="1"/>
  <c r="AR512" i="1"/>
  <c r="AS512" i="1" s="1"/>
  <c r="AS514" i="1"/>
  <c r="BP514" i="1"/>
  <c r="AR515" i="1"/>
  <c r="AS515" i="1" s="1"/>
  <c r="AR521" i="1"/>
  <c r="BP521" i="1" s="1"/>
  <c r="AS530" i="1"/>
  <c r="BP530" i="1"/>
  <c r="AS527" i="1"/>
  <c r="BP527" i="1"/>
  <c r="AS517" i="1"/>
  <c r="BP517" i="1"/>
  <c r="AS518" i="1"/>
  <c r="BP518" i="1"/>
  <c r="AS508" i="1"/>
  <c r="BP508" i="1"/>
  <c r="AS504" i="1"/>
  <c r="BP504" i="1"/>
  <c r="AS511" i="1"/>
  <c r="BP511" i="1"/>
  <c r="AR528" i="1"/>
  <c r="AR524" i="1"/>
  <c r="AS525" i="1"/>
  <c r="BP525" i="1"/>
  <c r="AR507" i="1"/>
  <c r="BO503" i="1"/>
  <c r="BH503" i="1"/>
  <c r="BI503" i="1" s="1"/>
  <c r="BK503" i="1" s="1"/>
  <c r="BF503" i="1"/>
  <c r="BG503" i="1" s="1"/>
  <c r="BO502" i="1"/>
  <c r="BH502" i="1"/>
  <c r="BI502" i="1" s="1"/>
  <c r="BK502" i="1" s="1"/>
  <c r="BF502" i="1"/>
  <c r="BG502" i="1" s="1"/>
  <c r="BO501" i="1"/>
  <c r="BH501" i="1"/>
  <c r="BI501" i="1" s="1"/>
  <c r="BK501" i="1" s="1"/>
  <c r="BF501" i="1"/>
  <c r="BG501" i="1" s="1"/>
  <c r="AZ503" i="1"/>
  <c r="AW503" i="1"/>
  <c r="AO503" i="1" s="1"/>
  <c r="AZ502" i="1"/>
  <c r="AW502" i="1"/>
  <c r="AO502" i="1" s="1"/>
  <c r="BM502" i="1" s="1"/>
  <c r="AZ501" i="1"/>
  <c r="AW501" i="1"/>
  <c r="AO501" i="1" s="1"/>
  <c r="AK503" i="1"/>
  <c r="AK501" i="1"/>
  <c r="AD503" i="1"/>
  <c r="AD502" i="1"/>
  <c r="AD501" i="1"/>
  <c r="BP516" i="1" l="1"/>
  <c r="BP506" i="1"/>
  <c r="BP522" i="1"/>
  <c r="BP513" i="1"/>
  <c r="BP512" i="1"/>
  <c r="BP515" i="1"/>
  <c r="AS521" i="1"/>
  <c r="AS509" i="1"/>
  <c r="BP509" i="1"/>
  <c r="BM501" i="1"/>
  <c r="AS524" i="1"/>
  <c r="BP524" i="1"/>
  <c r="AS528" i="1"/>
  <c r="BP528" i="1"/>
  <c r="AS507" i="1"/>
  <c r="BP507" i="1"/>
  <c r="BM503" i="1"/>
  <c r="AY501" i="1"/>
  <c r="BA501" i="1" s="1"/>
  <c r="AR501" i="1"/>
  <c r="AY502" i="1"/>
  <c r="BA502" i="1" s="1"/>
  <c r="AR502" i="1"/>
  <c r="AR503" i="1"/>
  <c r="AY503" i="1"/>
  <c r="BA503" i="1" s="1"/>
  <c r="AK500" i="1"/>
  <c r="AK499" i="1"/>
  <c r="AS503" i="1" l="1"/>
  <c r="BP503" i="1"/>
  <c r="AS502" i="1"/>
  <c r="BP502" i="1"/>
  <c r="AS501" i="1"/>
  <c r="BP501" i="1"/>
  <c r="AL500" i="1"/>
  <c r="AL499" i="1"/>
  <c r="AL498" i="1" l="1"/>
  <c r="AL497" i="1"/>
  <c r="AL494" i="1"/>
  <c r="AL490" i="1"/>
  <c r="AL489" i="1"/>
  <c r="AL488" i="1"/>
  <c r="AL487" i="1"/>
  <c r="AL486" i="1" l="1"/>
  <c r="BO500" i="1" l="1"/>
  <c r="BO499" i="1"/>
  <c r="BO498" i="1"/>
  <c r="BO497" i="1"/>
  <c r="BO496" i="1"/>
  <c r="BO495" i="1"/>
  <c r="BO494" i="1"/>
  <c r="BO493" i="1"/>
  <c r="BO492" i="1"/>
  <c r="BO491" i="1"/>
  <c r="BO490" i="1"/>
  <c r="BO489" i="1"/>
  <c r="BO488" i="1"/>
  <c r="BO487" i="1"/>
  <c r="BO486" i="1"/>
  <c r="BO485" i="1"/>
  <c r="BO484" i="1"/>
  <c r="BO483" i="1"/>
  <c r="BO482" i="1"/>
  <c r="BO481" i="1"/>
  <c r="BO480" i="1"/>
  <c r="BO479" i="1"/>
  <c r="BO478" i="1"/>
  <c r="BO477" i="1"/>
  <c r="BO476" i="1"/>
  <c r="BO475" i="1"/>
  <c r="BO474" i="1"/>
  <c r="BO473" i="1"/>
  <c r="BO472" i="1"/>
  <c r="BO471" i="1"/>
  <c r="BO470" i="1"/>
  <c r="BO469" i="1"/>
  <c r="BO468" i="1"/>
  <c r="BO467" i="1"/>
  <c r="BO466" i="1"/>
  <c r="BO465" i="1"/>
  <c r="BO464" i="1"/>
  <c r="BO463" i="1"/>
  <c r="BO462" i="1"/>
  <c r="BO461" i="1"/>
  <c r="BO460" i="1"/>
  <c r="BO459" i="1"/>
  <c r="BO458" i="1"/>
  <c r="BO457" i="1"/>
  <c r="BO456" i="1"/>
  <c r="BO455" i="1"/>
  <c r="BO454" i="1"/>
  <c r="BO453" i="1"/>
  <c r="BO452" i="1"/>
  <c r="BO451" i="1"/>
  <c r="BO450" i="1"/>
  <c r="BO449" i="1"/>
  <c r="BO448" i="1"/>
  <c r="BO447" i="1"/>
  <c r="BO446" i="1"/>
  <c r="BO445" i="1"/>
  <c r="BO444" i="1"/>
  <c r="BO443" i="1"/>
  <c r="BO442" i="1"/>
  <c r="BO441" i="1"/>
  <c r="BO440" i="1"/>
  <c r="BO439" i="1"/>
  <c r="BO438" i="1"/>
  <c r="BO437" i="1"/>
  <c r="BO436" i="1"/>
  <c r="BO435" i="1"/>
  <c r="BO434" i="1"/>
  <c r="BO433" i="1"/>
  <c r="BO432" i="1"/>
  <c r="BO431" i="1"/>
  <c r="BO430" i="1"/>
  <c r="BO429" i="1"/>
  <c r="BO428" i="1"/>
  <c r="BO427" i="1"/>
  <c r="BO426" i="1"/>
  <c r="BO425" i="1"/>
  <c r="BO424" i="1"/>
  <c r="BO423" i="1"/>
  <c r="BO422" i="1"/>
  <c r="BO421" i="1"/>
  <c r="BO420" i="1"/>
  <c r="BO419" i="1"/>
  <c r="BO418" i="1"/>
  <c r="BO417" i="1"/>
  <c r="BO416" i="1"/>
  <c r="BO415" i="1"/>
  <c r="BO414" i="1"/>
  <c r="BO413" i="1"/>
  <c r="BO412" i="1"/>
  <c r="BO411" i="1"/>
  <c r="BO410" i="1"/>
  <c r="BO409" i="1"/>
  <c r="BO408" i="1"/>
  <c r="BO407" i="1"/>
  <c r="BO406" i="1"/>
  <c r="BO405" i="1"/>
  <c r="BO404" i="1"/>
  <c r="BO403" i="1"/>
  <c r="BO402" i="1"/>
  <c r="BO401" i="1"/>
  <c r="BO400" i="1"/>
  <c r="BO399" i="1"/>
  <c r="BO398" i="1"/>
  <c r="BO397" i="1"/>
  <c r="BO396" i="1"/>
  <c r="BO395" i="1"/>
  <c r="BO394" i="1"/>
  <c r="BO393" i="1"/>
  <c r="BO392" i="1"/>
  <c r="BO391" i="1"/>
  <c r="BO390" i="1"/>
  <c r="BO389" i="1"/>
  <c r="BO388" i="1"/>
  <c r="BO387" i="1"/>
  <c r="BO386" i="1"/>
  <c r="BO385" i="1"/>
  <c r="BO384" i="1"/>
  <c r="BO383" i="1"/>
  <c r="BO382" i="1"/>
  <c r="BO381" i="1"/>
  <c r="BO380" i="1"/>
  <c r="BO379" i="1"/>
  <c r="BO378" i="1"/>
  <c r="BO377" i="1"/>
  <c r="BO376" i="1"/>
  <c r="BO375" i="1"/>
  <c r="BO374" i="1"/>
  <c r="BO373" i="1"/>
  <c r="BO372" i="1"/>
  <c r="BO371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3" i="1"/>
  <c r="BO172" i="1"/>
  <c r="BO171" i="1"/>
  <c r="BO170" i="1"/>
  <c r="BO169" i="1"/>
  <c r="BO168" i="1"/>
  <c r="BO167" i="1"/>
  <c r="BO166" i="1"/>
  <c r="BO163" i="1"/>
  <c r="BO162" i="1"/>
  <c r="BO157" i="1"/>
  <c r="BO156" i="1"/>
  <c r="BO155" i="1"/>
  <c r="BO154" i="1"/>
  <c r="BO151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95" i="1"/>
  <c r="BO93" i="1"/>
  <c r="BO90" i="1"/>
  <c r="BO89" i="1"/>
  <c r="BO86" i="1"/>
  <c r="BO85" i="1"/>
  <c r="BO84" i="1"/>
  <c r="BO83" i="1"/>
  <c r="BO82" i="1"/>
  <c r="BO81" i="1"/>
  <c r="BO80" i="1"/>
  <c r="BO79" i="1"/>
  <c r="BO78" i="1"/>
  <c r="BO74" i="1"/>
  <c r="BO73" i="1"/>
  <c r="BO71" i="1"/>
  <c r="BO70" i="1"/>
  <c r="BO69" i="1"/>
  <c r="BO68" i="1"/>
  <c r="BO67" i="1"/>
  <c r="BO66" i="1"/>
  <c r="BO64" i="1"/>
  <c r="BO63" i="1"/>
  <c r="BO62" i="1"/>
  <c r="BO61" i="1"/>
  <c r="BO60" i="1"/>
  <c r="BO59" i="1"/>
  <c r="BO57" i="1"/>
  <c r="BO56" i="1"/>
  <c r="BO51" i="1"/>
  <c r="BO48" i="1"/>
  <c r="BO47" i="1"/>
  <c r="BO43" i="1"/>
  <c r="BO42" i="1"/>
  <c r="BO41" i="1"/>
  <c r="BO40" i="1"/>
  <c r="BO39" i="1"/>
  <c r="BO38" i="1"/>
  <c r="BO35" i="1"/>
  <c r="BO33" i="1"/>
  <c r="BO30" i="1"/>
  <c r="BO25" i="1"/>
  <c r="BO24" i="1"/>
  <c r="BO19" i="1"/>
  <c r="BO17" i="1"/>
  <c r="BO14" i="1"/>
  <c r="BO13" i="1"/>
  <c r="BO12" i="1"/>
  <c r="BO11" i="1"/>
  <c r="BO10" i="1"/>
  <c r="BO9" i="1"/>
  <c r="BO7" i="1"/>
  <c r="BO4" i="1"/>
  <c r="BO2" i="1"/>
  <c r="AD500" i="1" l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Z500" i="1"/>
  <c r="AW500" i="1"/>
  <c r="AY500" i="1" s="1"/>
  <c r="AZ499" i="1"/>
  <c r="AW499" i="1"/>
  <c r="AO499" i="1" s="1"/>
  <c r="AZ498" i="1"/>
  <c r="AW498" i="1"/>
  <c r="AY498" i="1" s="1"/>
  <c r="AK498" i="1"/>
  <c r="AZ497" i="1"/>
  <c r="AW497" i="1"/>
  <c r="AY497" i="1" s="1"/>
  <c r="AZ496" i="1"/>
  <c r="AW496" i="1"/>
  <c r="AO496" i="1" s="1"/>
  <c r="AK496" i="1"/>
  <c r="AZ495" i="1"/>
  <c r="AW495" i="1"/>
  <c r="AY495" i="1" s="1"/>
  <c r="AZ494" i="1"/>
  <c r="AW494" i="1"/>
  <c r="AY494" i="1" s="1"/>
  <c r="AK494" i="1"/>
  <c r="AZ493" i="1"/>
  <c r="AW493" i="1"/>
  <c r="AO493" i="1" s="1"/>
  <c r="AK493" i="1"/>
  <c r="AZ492" i="1"/>
  <c r="AW492" i="1"/>
  <c r="AY492" i="1" s="1"/>
  <c r="AZ491" i="1"/>
  <c r="AW491" i="1"/>
  <c r="AY491" i="1" s="1"/>
  <c r="AZ490" i="1"/>
  <c r="AW490" i="1"/>
  <c r="AO490" i="1" s="1"/>
  <c r="AK490" i="1"/>
  <c r="AZ489" i="1"/>
  <c r="AW489" i="1"/>
  <c r="AY489" i="1" s="1"/>
  <c r="AK489" i="1"/>
  <c r="AZ488" i="1"/>
  <c r="AW488" i="1"/>
  <c r="AY488" i="1" s="1"/>
  <c r="AK488" i="1"/>
  <c r="AZ487" i="1"/>
  <c r="AW487" i="1"/>
  <c r="AO487" i="1" s="1"/>
  <c r="AK487" i="1"/>
  <c r="AZ486" i="1"/>
  <c r="AW486" i="1"/>
  <c r="AY486" i="1" s="1"/>
  <c r="AK486" i="1"/>
  <c r="BA491" i="1" l="1"/>
  <c r="AR496" i="1"/>
  <c r="AS496" i="1" s="1"/>
  <c r="AO492" i="1"/>
  <c r="AR492" i="1" s="1"/>
  <c r="AS492" i="1" s="1"/>
  <c r="AO495" i="1"/>
  <c r="AR495" i="1" s="1"/>
  <c r="AS495" i="1" s="1"/>
  <c r="BA498" i="1"/>
  <c r="BA495" i="1"/>
  <c r="AO500" i="1"/>
  <c r="AR500" i="1" s="1"/>
  <c r="AS500" i="1" s="1"/>
  <c r="AO488" i="1"/>
  <c r="AR488" i="1" s="1"/>
  <c r="AS488" i="1" s="1"/>
  <c r="AO489" i="1"/>
  <c r="BM489" i="1" s="1"/>
  <c r="AR493" i="1"/>
  <c r="AS493" i="1" s="1"/>
  <c r="BA500" i="1"/>
  <c r="BA492" i="1"/>
  <c r="BA497" i="1"/>
  <c r="AR499" i="1"/>
  <c r="AS499" i="1" s="1"/>
  <c r="AO486" i="1"/>
  <c r="AR486" i="1" s="1"/>
  <c r="AS486" i="1" s="1"/>
  <c r="BA489" i="1"/>
  <c r="AO497" i="1"/>
  <c r="AR497" i="1" s="1"/>
  <c r="AS497" i="1" s="1"/>
  <c r="AR490" i="1"/>
  <c r="AS490" i="1" s="1"/>
  <c r="BA486" i="1"/>
  <c r="AO494" i="1"/>
  <c r="BM494" i="1" s="1"/>
  <c r="AO491" i="1"/>
  <c r="AR491" i="1" s="1"/>
  <c r="AS491" i="1" s="1"/>
  <c r="BA494" i="1"/>
  <c r="BA488" i="1"/>
  <c r="AO498" i="1"/>
  <c r="AR498" i="1" s="1"/>
  <c r="AR487" i="1"/>
  <c r="AS487" i="1" s="1"/>
  <c r="AY487" i="1"/>
  <c r="BA487" i="1" s="1"/>
  <c r="AY493" i="1"/>
  <c r="BA493" i="1" s="1"/>
  <c r="AY496" i="1"/>
  <c r="BA496" i="1" s="1"/>
  <c r="AY499" i="1"/>
  <c r="BA499" i="1" s="1"/>
  <c r="AY490" i="1"/>
  <c r="BA490" i="1" s="1"/>
  <c r="BH500" i="1"/>
  <c r="BI500" i="1" s="1"/>
  <c r="BK500" i="1" s="1"/>
  <c r="BF500" i="1"/>
  <c r="BG500" i="1" s="1"/>
  <c r="BM499" i="1"/>
  <c r="BH499" i="1"/>
  <c r="BI499" i="1" s="1"/>
  <c r="BK499" i="1" s="1"/>
  <c r="BF499" i="1"/>
  <c r="BG499" i="1" s="1"/>
  <c r="BH498" i="1"/>
  <c r="BI498" i="1" s="1"/>
  <c r="BK498" i="1" s="1"/>
  <c r="BF498" i="1"/>
  <c r="BG498" i="1" s="1"/>
  <c r="BH497" i="1"/>
  <c r="BI497" i="1" s="1"/>
  <c r="BK497" i="1" s="1"/>
  <c r="BF497" i="1"/>
  <c r="BG497" i="1" s="1"/>
  <c r="BM496" i="1"/>
  <c r="BH496" i="1"/>
  <c r="BI496" i="1" s="1"/>
  <c r="BK496" i="1" s="1"/>
  <c r="BF496" i="1"/>
  <c r="BG496" i="1" s="1"/>
  <c r="BH495" i="1"/>
  <c r="BI495" i="1" s="1"/>
  <c r="BK495" i="1" s="1"/>
  <c r="BF495" i="1"/>
  <c r="BG495" i="1" s="1"/>
  <c r="BH494" i="1"/>
  <c r="BI494" i="1" s="1"/>
  <c r="BK494" i="1" s="1"/>
  <c r="BF494" i="1"/>
  <c r="BG494" i="1" s="1"/>
  <c r="BM493" i="1"/>
  <c r="BH493" i="1"/>
  <c r="BI493" i="1" s="1"/>
  <c r="BK493" i="1" s="1"/>
  <c r="BF493" i="1"/>
  <c r="BG493" i="1" s="1"/>
  <c r="BH492" i="1"/>
  <c r="BI492" i="1" s="1"/>
  <c r="BK492" i="1" s="1"/>
  <c r="BF492" i="1"/>
  <c r="BG492" i="1" s="1"/>
  <c r="BH491" i="1"/>
  <c r="BI491" i="1" s="1"/>
  <c r="BK491" i="1" s="1"/>
  <c r="BF491" i="1"/>
  <c r="BG491" i="1" s="1"/>
  <c r="BM490" i="1"/>
  <c r="BH490" i="1"/>
  <c r="BI490" i="1" s="1"/>
  <c r="BK490" i="1" s="1"/>
  <c r="BF490" i="1"/>
  <c r="BG490" i="1" s="1"/>
  <c r="BH489" i="1"/>
  <c r="BI489" i="1" s="1"/>
  <c r="BK489" i="1" s="1"/>
  <c r="BF489" i="1"/>
  <c r="BG489" i="1" s="1"/>
  <c r="BH488" i="1"/>
  <c r="BI488" i="1" s="1"/>
  <c r="BK488" i="1" s="1"/>
  <c r="BF488" i="1"/>
  <c r="BG488" i="1" s="1"/>
  <c r="BM487" i="1"/>
  <c r="BH487" i="1"/>
  <c r="BI487" i="1" s="1"/>
  <c r="BK487" i="1" s="1"/>
  <c r="BF487" i="1"/>
  <c r="BG487" i="1" s="1"/>
  <c r="BH486" i="1"/>
  <c r="BI486" i="1" s="1"/>
  <c r="BK486" i="1" s="1"/>
  <c r="BF486" i="1"/>
  <c r="BG486" i="1" s="1"/>
  <c r="BM495" i="1" l="1"/>
  <c r="BM492" i="1"/>
  <c r="BP492" i="1"/>
  <c r="BP496" i="1"/>
  <c r="AR489" i="1"/>
  <c r="AS489" i="1" s="1"/>
  <c r="BP495" i="1"/>
  <c r="BP493" i="1"/>
  <c r="BM488" i="1"/>
  <c r="BM500" i="1"/>
  <c r="BP500" i="1"/>
  <c r="BM486" i="1"/>
  <c r="BM497" i="1"/>
  <c r="BP497" i="1"/>
  <c r="BP488" i="1"/>
  <c r="BP486" i="1"/>
  <c r="BP499" i="1"/>
  <c r="BP490" i="1"/>
  <c r="AR494" i="1"/>
  <c r="BM491" i="1"/>
  <c r="BP491" i="1"/>
  <c r="BM498" i="1"/>
  <c r="AS498" i="1"/>
  <c r="BP498" i="1"/>
  <c r="BP487" i="1"/>
  <c r="AL462" i="1"/>
  <c r="BP489" i="1" l="1"/>
  <c r="AS494" i="1"/>
  <c r="BP494" i="1"/>
  <c r="AL484" i="1"/>
  <c r="AL483" i="1"/>
  <c r="AL482" i="1"/>
  <c r="AL478" i="1"/>
  <c r="AL475" i="1"/>
  <c r="AL470" i="1" l="1"/>
  <c r="AL469" i="1"/>
  <c r="AL467" i="1"/>
  <c r="AL466" i="1"/>
  <c r="AL463" i="1"/>
  <c r="AL461" i="1"/>
  <c r="AL460" i="1"/>
  <c r="AL459" i="1"/>
  <c r="AL457" i="1"/>
  <c r="AL456" i="1"/>
  <c r="AL455" i="1"/>
  <c r="AL454" i="1"/>
  <c r="AL453" i="1"/>
  <c r="BH485" i="1" l="1"/>
  <c r="BI485" i="1" s="1"/>
  <c r="BK485" i="1" s="1"/>
  <c r="BF485" i="1"/>
  <c r="BG485" i="1" s="1"/>
  <c r="BH484" i="1"/>
  <c r="BI484" i="1" s="1"/>
  <c r="BK484" i="1" s="1"/>
  <c r="BF484" i="1"/>
  <c r="BG484" i="1" s="1"/>
  <c r="BH483" i="1"/>
  <c r="BI483" i="1" s="1"/>
  <c r="BK483" i="1" s="1"/>
  <c r="BF483" i="1"/>
  <c r="BG483" i="1" s="1"/>
  <c r="BH482" i="1"/>
  <c r="BI482" i="1" s="1"/>
  <c r="BK482" i="1" s="1"/>
  <c r="BF482" i="1"/>
  <c r="BG482" i="1" s="1"/>
  <c r="BH481" i="1"/>
  <c r="BI481" i="1" s="1"/>
  <c r="BK481" i="1" s="1"/>
  <c r="BF481" i="1"/>
  <c r="BG481" i="1" s="1"/>
  <c r="BH480" i="1"/>
  <c r="BI480" i="1" s="1"/>
  <c r="BK480" i="1" s="1"/>
  <c r="BF480" i="1"/>
  <c r="BG480" i="1" s="1"/>
  <c r="BH479" i="1"/>
  <c r="BI479" i="1" s="1"/>
  <c r="BK479" i="1" s="1"/>
  <c r="BF479" i="1"/>
  <c r="BG479" i="1" s="1"/>
  <c r="BH478" i="1"/>
  <c r="BI478" i="1" s="1"/>
  <c r="BK478" i="1" s="1"/>
  <c r="BF478" i="1"/>
  <c r="BG478" i="1" s="1"/>
  <c r="BH477" i="1"/>
  <c r="BI477" i="1" s="1"/>
  <c r="BK477" i="1" s="1"/>
  <c r="BF477" i="1"/>
  <c r="BG477" i="1" s="1"/>
  <c r="BH476" i="1"/>
  <c r="BI476" i="1" s="1"/>
  <c r="BK476" i="1" s="1"/>
  <c r="BF476" i="1"/>
  <c r="BG476" i="1" s="1"/>
  <c r="BH475" i="1"/>
  <c r="BI475" i="1" s="1"/>
  <c r="BK475" i="1" s="1"/>
  <c r="BF475" i="1"/>
  <c r="BG475" i="1" s="1"/>
  <c r="BH474" i="1"/>
  <c r="BI474" i="1" s="1"/>
  <c r="BK474" i="1" s="1"/>
  <c r="BF474" i="1"/>
  <c r="BG474" i="1" s="1"/>
  <c r="BH473" i="1"/>
  <c r="BI473" i="1" s="1"/>
  <c r="BK473" i="1" s="1"/>
  <c r="BF473" i="1"/>
  <c r="BG473" i="1" s="1"/>
  <c r="BH472" i="1"/>
  <c r="BI472" i="1" s="1"/>
  <c r="BK472" i="1" s="1"/>
  <c r="BF472" i="1"/>
  <c r="BG472" i="1" s="1"/>
  <c r="BH471" i="1"/>
  <c r="BI471" i="1" s="1"/>
  <c r="BK471" i="1" s="1"/>
  <c r="BF471" i="1"/>
  <c r="BG471" i="1" s="1"/>
  <c r="BH470" i="1"/>
  <c r="BI470" i="1" s="1"/>
  <c r="BK470" i="1" s="1"/>
  <c r="BF470" i="1"/>
  <c r="BG470" i="1" s="1"/>
  <c r="BH469" i="1"/>
  <c r="BI469" i="1" s="1"/>
  <c r="BK469" i="1" s="1"/>
  <c r="BF469" i="1"/>
  <c r="BG469" i="1" s="1"/>
  <c r="BH468" i="1"/>
  <c r="BI468" i="1" s="1"/>
  <c r="BK468" i="1" s="1"/>
  <c r="BF468" i="1"/>
  <c r="BG468" i="1" s="1"/>
  <c r="BH467" i="1"/>
  <c r="BI467" i="1" s="1"/>
  <c r="BK467" i="1" s="1"/>
  <c r="BF467" i="1"/>
  <c r="BG467" i="1" s="1"/>
  <c r="BH466" i="1"/>
  <c r="BI466" i="1" s="1"/>
  <c r="BK466" i="1" s="1"/>
  <c r="BF466" i="1"/>
  <c r="BG466" i="1" s="1"/>
  <c r="BH465" i="1"/>
  <c r="BI465" i="1" s="1"/>
  <c r="BK465" i="1" s="1"/>
  <c r="BF465" i="1"/>
  <c r="BG465" i="1" s="1"/>
  <c r="BH464" i="1"/>
  <c r="BI464" i="1" s="1"/>
  <c r="BK464" i="1" s="1"/>
  <c r="BF464" i="1"/>
  <c r="BG464" i="1" s="1"/>
  <c r="BH463" i="1"/>
  <c r="BI463" i="1" s="1"/>
  <c r="BK463" i="1" s="1"/>
  <c r="BF463" i="1"/>
  <c r="BG463" i="1" s="1"/>
  <c r="BH462" i="1"/>
  <c r="BI462" i="1" s="1"/>
  <c r="BK462" i="1" s="1"/>
  <c r="BF462" i="1"/>
  <c r="BG462" i="1" s="1"/>
  <c r="BH461" i="1"/>
  <c r="BI461" i="1" s="1"/>
  <c r="BK461" i="1" s="1"/>
  <c r="BF461" i="1"/>
  <c r="BG461" i="1" s="1"/>
  <c r="BH460" i="1"/>
  <c r="BI460" i="1" s="1"/>
  <c r="BK460" i="1" s="1"/>
  <c r="BF460" i="1"/>
  <c r="BG460" i="1" s="1"/>
  <c r="BH459" i="1"/>
  <c r="BI459" i="1" s="1"/>
  <c r="BK459" i="1" s="1"/>
  <c r="BF459" i="1"/>
  <c r="BG459" i="1" s="1"/>
  <c r="BH458" i="1"/>
  <c r="BI458" i="1" s="1"/>
  <c r="BK458" i="1" s="1"/>
  <c r="BF458" i="1"/>
  <c r="BG458" i="1" s="1"/>
  <c r="BH457" i="1"/>
  <c r="BI457" i="1" s="1"/>
  <c r="BK457" i="1" s="1"/>
  <c r="BF457" i="1"/>
  <c r="BG457" i="1" s="1"/>
  <c r="BH456" i="1"/>
  <c r="BI456" i="1" s="1"/>
  <c r="BK456" i="1" s="1"/>
  <c r="BF456" i="1"/>
  <c r="BG456" i="1" s="1"/>
  <c r="BH455" i="1"/>
  <c r="BI455" i="1" s="1"/>
  <c r="BK455" i="1" s="1"/>
  <c r="BF455" i="1"/>
  <c r="BG455" i="1" s="1"/>
  <c r="BH454" i="1"/>
  <c r="BI454" i="1" s="1"/>
  <c r="BK454" i="1" s="1"/>
  <c r="BF454" i="1"/>
  <c r="BG454" i="1" s="1"/>
  <c r="BH453" i="1"/>
  <c r="BI453" i="1" s="1"/>
  <c r="BK453" i="1" s="1"/>
  <c r="BF453" i="1"/>
  <c r="BG453" i="1" s="1"/>
  <c r="AZ485" i="1"/>
  <c r="AW485" i="1"/>
  <c r="AO485" i="1" s="1"/>
  <c r="AK485" i="1"/>
  <c r="AZ484" i="1"/>
  <c r="AW484" i="1"/>
  <c r="AY484" i="1" s="1"/>
  <c r="AK484" i="1"/>
  <c r="AZ483" i="1"/>
  <c r="AW483" i="1"/>
  <c r="AY483" i="1" s="1"/>
  <c r="AK483" i="1"/>
  <c r="AZ482" i="1"/>
  <c r="AW482" i="1"/>
  <c r="AO482" i="1" s="1"/>
  <c r="AK482" i="1"/>
  <c r="AZ481" i="1"/>
  <c r="AW481" i="1"/>
  <c r="AY481" i="1" s="1"/>
  <c r="AK481" i="1"/>
  <c r="AZ480" i="1"/>
  <c r="AW480" i="1"/>
  <c r="AY480" i="1" s="1"/>
  <c r="AK480" i="1"/>
  <c r="AZ479" i="1"/>
  <c r="AW479" i="1"/>
  <c r="AO479" i="1" s="1"/>
  <c r="AK479" i="1"/>
  <c r="AZ478" i="1"/>
  <c r="AW478" i="1"/>
  <c r="AY478" i="1" s="1"/>
  <c r="AZ477" i="1"/>
  <c r="AW477" i="1"/>
  <c r="AY477" i="1" s="1"/>
  <c r="AK477" i="1"/>
  <c r="AZ476" i="1"/>
  <c r="AW476" i="1"/>
  <c r="AO476" i="1" s="1"/>
  <c r="AK476" i="1"/>
  <c r="AZ475" i="1"/>
  <c r="AW475" i="1"/>
  <c r="AY475" i="1" s="1"/>
  <c r="AZ474" i="1"/>
  <c r="AW474" i="1"/>
  <c r="AY474" i="1" s="1"/>
  <c r="AK474" i="1"/>
  <c r="AZ473" i="1"/>
  <c r="AW473" i="1"/>
  <c r="AO473" i="1" s="1"/>
  <c r="AZ472" i="1"/>
  <c r="AW472" i="1"/>
  <c r="AY472" i="1" s="1"/>
  <c r="AZ471" i="1"/>
  <c r="AW471" i="1"/>
  <c r="AY471" i="1" s="1"/>
  <c r="AZ470" i="1"/>
  <c r="AW470" i="1"/>
  <c r="AO470" i="1" s="1"/>
  <c r="AK470" i="1"/>
  <c r="AZ469" i="1"/>
  <c r="AW469" i="1"/>
  <c r="AY469" i="1" s="1"/>
  <c r="AK469" i="1"/>
  <c r="AZ468" i="1"/>
  <c r="AW468" i="1"/>
  <c r="AY468" i="1" s="1"/>
  <c r="AK468" i="1"/>
  <c r="AZ467" i="1"/>
  <c r="AW467" i="1"/>
  <c r="AO467" i="1" s="1"/>
  <c r="AK467" i="1"/>
  <c r="AZ466" i="1"/>
  <c r="AW466" i="1"/>
  <c r="AY466" i="1" s="1"/>
  <c r="AK466" i="1"/>
  <c r="AZ465" i="1"/>
  <c r="AW465" i="1"/>
  <c r="AY465" i="1" s="1"/>
  <c r="AZ464" i="1"/>
  <c r="AW464" i="1"/>
  <c r="AO464" i="1" s="1"/>
  <c r="AK464" i="1"/>
  <c r="AZ463" i="1"/>
  <c r="AW463" i="1"/>
  <c r="AY463" i="1" s="1"/>
  <c r="AK463" i="1"/>
  <c r="AZ462" i="1"/>
  <c r="AW462" i="1"/>
  <c r="AY462" i="1" s="1"/>
  <c r="AK462" i="1"/>
  <c r="AZ461" i="1"/>
  <c r="AW461" i="1"/>
  <c r="AO461" i="1" s="1"/>
  <c r="AK461" i="1"/>
  <c r="AZ460" i="1"/>
  <c r="AW460" i="1"/>
  <c r="AY460" i="1" s="1"/>
  <c r="AK460" i="1"/>
  <c r="AZ459" i="1"/>
  <c r="AW459" i="1"/>
  <c r="AY459" i="1" s="1"/>
  <c r="AK459" i="1"/>
  <c r="AZ458" i="1"/>
  <c r="AW458" i="1"/>
  <c r="AO458" i="1" s="1"/>
  <c r="AK458" i="1"/>
  <c r="AZ457" i="1"/>
  <c r="AW457" i="1"/>
  <c r="AY457" i="1" s="1"/>
  <c r="AK457" i="1"/>
  <c r="AZ456" i="1"/>
  <c r="AW456" i="1"/>
  <c r="AY456" i="1" s="1"/>
  <c r="AK456" i="1"/>
  <c r="AZ455" i="1"/>
  <c r="AW455" i="1"/>
  <c r="AO455" i="1" s="1"/>
  <c r="AK455" i="1"/>
  <c r="AZ454" i="1"/>
  <c r="AW454" i="1"/>
  <c r="AY454" i="1" s="1"/>
  <c r="AK454" i="1"/>
  <c r="AZ453" i="1"/>
  <c r="AW453" i="1"/>
  <c r="AY453" i="1" s="1"/>
  <c r="AK453" i="1"/>
  <c r="AR464" i="1" l="1"/>
  <c r="AS464" i="1" s="1"/>
  <c r="AR482" i="1"/>
  <c r="AS482" i="1" s="1"/>
  <c r="BA472" i="1"/>
  <c r="AR476" i="1"/>
  <c r="AS476" i="1" s="1"/>
  <c r="AO468" i="1"/>
  <c r="BM468" i="1" s="1"/>
  <c r="AO483" i="1"/>
  <c r="AR483" i="1" s="1"/>
  <c r="AR461" i="1"/>
  <c r="AS461" i="1" s="1"/>
  <c r="BA457" i="1"/>
  <c r="AO469" i="1"/>
  <c r="AR469" i="1" s="1"/>
  <c r="AO454" i="1"/>
  <c r="BM454" i="1" s="1"/>
  <c r="BM458" i="1"/>
  <c r="BA454" i="1"/>
  <c r="BA462" i="1"/>
  <c r="BA475" i="1"/>
  <c r="AO462" i="1"/>
  <c r="AR462" i="1" s="1"/>
  <c r="AO459" i="1"/>
  <c r="AR459" i="1" s="1"/>
  <c r="BA478" i="1"/>
  <c r="AO456" i="1"/>
  <c r="AR456" i="1" s="1"/>
  <c r="AS456" i="1" s="1"/>
  <c r="BA471" i="1"/>
  <c r="AO475" i="1"/>
  <c r="AR475" i="1" s="1"/>
  <c r="AR479" i="1"/>
  <c r="AS479" i="1" s="1"/>
  <c r="AR455" i="1"/>
  <c r="BA465" i="1"/>
  <c r="AO472" i="1"/>
  <c r="AR472" i="1" s="1"/>
  <c r="AS472" i="1" s="1"/>
  <c r="BM476" i="1"/>
  <c r="BA459" i="1"/>
  <c r="AO466" i="1"/>
  <c r="BM466" i="1" s="1"/>
  <c r="BA469" i="1"/>
  <c r="AR473" i="1"/>
  <c r="AS473" i="1" s="1"/>
  <c r="BA480" i="1"/>
  <c r="AO463" i="1"/>
  <c r="AR463" i="1" s="1"/>
  <c r="AS463" i="1" s="1"/>
  <c r="AR470" i="1"/>
  <c r="AS470" i="1" s="1"/>
  <c r="AO477" i="1"/>
  <c r="BM477" i="1" s="1"/>
  <c r="BA453" i="1"/>
  <c r="AO460" i="1"/>
  <c r="BM460" i="1" s="1"/>
  <c r="BA463" i="1"/>
  <c r="AR467" i="1"/>
  <c r="AS467" i="1" s="1"/>
  <c r="AO481" i="1"/>
  <c r="BM481" i="1" s="1"/>
  <c r="BM455" i="1"/>
  <c r="AR485" i="1"/>
  <c r="AS485" i="1" s="1"/>
  <c r="AO453" i="1"/>
  <c r="AR453" i="1" s="1"/>
  <c r="BA456" i="1"/>
  <c r="BA466" i="1"/>
  <c r="AO480" i="1"/>
  <c r="AR480" i="1" s="1"/>
  <c r="BA483" i="1"/>
  <c r="BM464" i="1"/>
  <c r="BM467" i="1"/>
  <c r="AO457" i="1"/>
  <c r="BM457" i="1" s="1"/>
  <c r="BA460" i="1"/>
  <c r="AO474" i="1"/>
  <c r="BM474" i="1" s="1"/>
  <c r="BA477" i="1"/>
  <c r="BA484" i="1"/>
  <c r="BM479" i="1"/>
  <c r="BM482" i="1"/>
  <c r="BM470" i="1"/>
  <c r="AR458" i="1"/>
  <c r="AO471" i="1"/>
  <c r="AR471" i="1" s="1"/>
  <c r="BA474" i="1"/>
  <c r="AO484" i="1"/>
  <c r="BM484" i="1" s="1"/>
  <c r="BM461" i="1"/>
  <c r="BM473" i="1"/>
  <c r="BM485" i="1"/>
  <c r="AO465" i="1"/>
  <c r="BM465" i="1" s="1"/>
  <c r="BA468" i="1"/>
  <c r="AO478" i="1"/>
  <c r="BM478" i="1" s="1"/>
  <c r="BA481" i="1"/>
  <c r="AY461" i="1"/>
  <c r="BA461" i="1" s="1"/>
  <c r="AY455" i="1"/>
  <c r="BA455" i="1" s="1"/>
  <c r="AY458" i="1"/>
  <c r="BA458" i="1" s="1"/>
  <c r="AY464" i="1"/>
  <c r="BA464" i="1" s="1"/>
  <c r="AY467" i="1"/>
  <c r="BA467" i="1" s="1"/>
  <c r="AY470" i="1"/>
  <c r="BA470" i="1" s="1"/>
  <c r="AY473" i="1"/>
  <c r="BA473" i="1" s="1"/>
  <c r="AY476" i="1"/>
  <c r="BA476" i="1" s="1"/>
  <c r="AY479" i="1"/>
  <c r="BA479" i="1" s="1"/>
  <c r="AY482" i="1"/>
  <c r="BA482" i="1" s="1"/>
  <c r="AY485" i="1"/>
  <c r="BA485" i="1" s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BP464" i="1" l="1"/>
  <c r="AR468" i="1"/>
  <c r="AS468" i="1" s="1"/>
  <c r="BM483" i="1"/>
  <c r="BP482" i="1"/>
  <c r="BP476" i="1"/>
  <c r="AR454" i="1"/>
  <c r="AS454" i="1" s="1"/>
  <c r="BM469" i="1"/>
  <c r="BP461" i="1"/>
  <c r="BM459" i="1"/>
  <c r="AS469" i="1"/>
  <c r="BP469" i="1"/>
  <c r="AR481" i="1"/>
  <c r="AS481" i="1" s="1"/>
  <c r="BP473" i="1"/>
  <c r="BM456" i="1"/>
  <c r="AR477" i="1"/>
  <c r="AS477" i="1" s="1"/>
  <c r="BM462" i="1"/>
  <c r="BM472" i="1"/>
  <c r="BM480" i="1"/>
  <c r="AS459" i="1"/>
  <c r="BP459" i="1"/>
  <c r="BM475" i="1"/>
  <c r="AR466" i="1"/>
  <c r="BP466" i="1" s="1"/>
  <c r="BM463" i="1"/>
  <c r="BP485" i="1"/>
  <c r="BM453" i="1"/>
  <c r="BP479" i="1"/>
  <c r="BP470" i="1"/>
  <c r="AS483" i="1"/>
  <c r="BP483" i="1"/>
  <c r="BP456" i="1"/>
  <c r="BP472" i="1"/>
  <c r="BP467" i="1"/>
  <c r="AR460" i="1"/>
  <c r="AS455" i="1"/>
  <c r="BP455" i="1"/>
  <c r="AS480" i="1"/>
  <c r="BP480" i="1"/>
  <c r="AS453" i="1"/>
  <c r="BP453" i="1"/>
  <c r="AR474" i="1"/>
  <c r="AR457" i="1"/>
  <c r="BP463" i="1"/>
  <c r="AS471" i="1"/>
  <c r="BP471" i="1"/>
  <c r="AS475" i="1"/>
  <c r="BP475" i="1"/>
  <c r="AS462" i="1"/>
  <c r="BP462" i="1"/>
  <c r="AR465" i="1"/>
  <c r="AR484" i="1"/>
  <c r="BM471" i="1"/>
  <c r="AS458" i="1"/>
  <c r="BP458" i="1"/>
  <c r="AR478" i="1"/>
  <c r="AP416" i="1"/>
  <c r="BP468" i="1" l="1"/>
  <c r="BP454" i="1"/>
  <c r="BP481" i="1"/>
  <c r="BP477" i="1"/>
  <c r="AS466" i="1"/>
  <c r="AS460" i="1"/>
  <c r="BP460" i="1"/>
  <c r="AS457" i="1"/>
  <c r="BP457" i="1"/>
  <c r="AS474" i="1"/>
  <c r="BP474" i="1"/>
  <c r="AS484" i="1"/>
  <c r="BP484" i="1"/>
  <c r="AS465" i="1"/>
  <c r="BP465" i="1"/>
  <c r="AS478" i="1"/>
  <c r="BP478" i="1"/>
  <c r="AL451" i="1"/>
  <c r="AL450" i="1"/>
  <c r="X451" i="1"/>
  <c r="X450" i="1"/>
  <c r="AL449" i="1" l="1"/>
  <c r="AL448" i="1"/>
  <c r="AL447" i="1"/>
  <c r="AL446" i="1"/>
  <c r="AL443" i="1"/>
  <c r="AL442" i="1"/>
  <c r="AL441" i="1"/>
  <c r="AL437" i="1"/>
  <c r="AL434" i="1" l="1"/>
  <c r="BH452" i="1" l="1"/>
  <c r="BI452" i="1" s="1"/>
  <c r="BK452" i="1" s="1"/>
  <c r="BF452" i="1"/>
  <c r="BG452" i="1" s="1"/>
  <c r="BH451" i="1"/>
  <c r="BI451" i="1" s="1"/>
  <c r="BK451" i="1" s="1"/>
  <c r="BF451" i="1"/>
  <c r="BG451" i="1" s="1"/>
  <c r="BH450" i="1"/>
  <c r="BI450" i="1" s="1"/>
  <c r="BK450" i="1" s="1"/>
  <c r="BF450" i="1"/>
  <c r="BG450" i="1" s="1"/>
  <c r="BH449" i="1"/>
  <c r="BI449" i="1" s="1"/>
  <c r="BK449" i="1" s="1"/>
  <c r="BF449" i="1"/>
  <c r="BG449" i="1" s="1"/>
  <c r="BH448" i="1"/>
  <c r="BI448" i="1" s="1"/>
  <c r="BK448" i="1" s="1"/>
  <c r="BF448" i="1"/>
  <c r="BG448" i="1" s="1"/>
  <c r="BH447" i="1"/>
  <c r="BI447" i="1" s="1"/>
  <c r="BK447" i="1" s="1"/>
  <c r="BF447" i="1"/>
  <c r="BG447" i="1" s="1"/>
  <c r="BH446" i="1"/>
  <c r="BI446" i="1" s="1"/>
  <c r="BK446" i="1" s="1"/>
  <c r="BF446" i="1"/>
  <c r="BG446" i="1" s="1"/>
  <c r="BH445" i="1"/>
  <c r="BI445" i="1" s="1"/>
  <c r="BK445" i="1" s="1"/>
  <c r="BF445" i="1"/>
  <c r="BG445" i="1" s="1"/>
  <c r="BH444" i="1"/>
  <c r="BI444" i="1" s="1"/>
  <c r="BK444" i="1" s="1"/>
  <c r="BF444" i="1"/>
  <c r="BG444" i="1" s="1"/>
  <c r="BH443" i="1"/>
  <c r="BI443" i="1" s="1"/>
  <c r="BK443" i="1" s="1"/>
  <c r="BF443" i="1"/>
  <c r="BG443" i="1" s="1"/>
  <c r="BH442" i="1"/>
  <c r="BI442" i="1" s="1"/>
  <c r="BK442" i="1" s="1"/>
  <c r="BF442" i="1"/>
  <c r="BG442" i="1" s="1"/>
  <c r="BH441" i="1"/>
  <c r="BI441" i="1" s="1"/>
  <c r="BK441" i="1" s="1"/>
  <c r="BF441" i="1"/>
  <c r="BG441" i="1" s="1"/>
  <c r="BH440" i="1"/>
  <c r="BI440" i="1" s="1"/>
  <c r="BK440" i="1" s="1"/>
  <c r="BF440" i="1"/>
  <c r="BG440" i="1" s="1"/>
  <c r="BH439" i="1"/>
  <c r="BI439" i="1" s="1"/>
  <c r="BK439" i="1" s="1"/>
  <c r="BF439" i="1"/>
  <c r="BG439" i="1" s="1"/>
  <c r="BH438" i="1"/>
  <c r="BI438" i="1" s="1"/>
  <c r="BK438" i="1" s="1"/>
  <c r="BF438" i="1"/>
  <c r="BG438" i="1" s="1"/>
  <c r="BH437" i="1"/>
  <c r="BI437" i="1" s="1"/>
  <c r="BK437" i="1" s="1"/>
  <c r="BF437" i="1"/>
  <c r="BG437" i="1" s="1"/>
  <c r="BH436" i="1"/>
  <c r="BI436" i="1" s="1"/>
  <c r="BK436" i="1" s="1"/>
  <c r="BF436" i="1"/>
  <c r="BG436" i="1" s="1"/>
  <c r="BH435" i="1"/>
  <c r="BI435" i="1" s="1"/>
  <c r="BK435" i="1" s="1"/>
  <c r="BF435" i="1"/>
  <c r="BG435" i="1" s="1"/>
  <c r="BH434" i="1"/>
  <c r="BI434" i="1" s="1"/>
  <c r="BK434" i="1" s="1"/>
  <c r="BF434" i="1"/>
  <c r="BG434" i="1" s="1"/>
  <c r="AZ452" i="1"/>
  <c r="AW452" i="1"/>
  <c r="AY452" i="1" s="1"/>
  <c r="AZ451" i="1"/>
  <c r="AW451" i="1"/>
  <c r="AY451" i="1" s="1"/>
  <c r="AZ450" i="1"/>
  <c r="AW450" i="1"/>
  <c r="AO450" i="1" s="1"/>
  <c r="AZ449" i="1"/>
  <c r="AW449" i="1"/>
  <c r="AO449" i="1" s="1"/>
  <c r="AZ448" i="1"/>
  <c r="AW448" i="1"/>
  <c r="AY448" i="1" s="1"/>
  <c r="AZ447" i="1"/>
  <c r="AW447" i="1"/>
  <c r="AY447" i="1" s="1"/>
  <c r="AZ446" i="1"/>
  <c r="AW446" i="1"/>
  <c r="AY446" i="1" s="1"/>
  <c r="AZ445" i="1"/>
  <c r="AW445" i="1"/>
  <c r="AY445" i="1" s="1"/>
  <c r="AZ444" i="1"/>
  <c r="AW444" i="1"/>
  <c r="AO444" i="1" s="1"/>
  <c r="AZ443" i="1"/>
  <c r="AW443" i="1"/>
  <c r="AO443" i="1" s="1"/>
  <c r="AZ442" i="1"/>
  <c r="AW442" i="1"/>
  <c r="AY442" i="1" s="1"/>
  <c r="AZ441" i="1"/>
  <c r="AW441" i="1"/>
  <c r="AO441" i="1" s="1"/>
  <c r="AZ440" i="1"/>
  <c r="AW440" i="1"/>
  <c r="AY440" i="1" s="1"/>
  <c r="AZ439" i="1"/>
  <c r="AW439" i="1"/>
  <c r="AY439" i="1" s="1"/>
  <c r="AZ438" i="1"/>
  <c r="AW438" i="1"/>
  <c r="AO438" i="1" s="1"/>
  <c r="AZ437" i="1"/>
  <c r="AW437" i="1"/>
  <c r="AO437" i="1" s="1"/>
  <c r="AZ436" i="1"/>
  <c r="AW436" i="1"/>
  <c r="AY436" i="1" s="1"/>
  <c r="AZ435" i="1"/>
  <c r="AW435" i="1"/>
  <c r="AY435" i="1" s="1"/>
  <c r="AZ434" i="1"/>
  <c r="AW434" i="1"/>
  <c r="AY434" i="1" s="1"/>
  <c r="AK452" i="1"/>
  <c r="AK451" i="1"/>
  <c r="AK450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BM450" i="1" l="1"/>
  <c r="AO451" i="1"/>
  <c r="AR451" i="1" s="1"/>
  <c r="AS451" i="1" s="1"/>
  <c r="BM444" i="1"/>
  <c r="BM443" i="1"/>
  <c r="BA435" i="1"/>
  <c r="BA447" i="1"/>
  <c r="BM449" i="1"/>
  <c r="AO436" i="1"/>
  <c r="AR436" i="1" s="1"/>
  <c r="BM437" i="1"/>
  <c r="AO435" i="1"/>
  <c r="AR435" i="1" s="1"/>
  <c r="AS435" i="1" s="1"/>
  <c r="BA442" i="1"/>
  <c r="BA448" i="1"/>
  <c r="BA445" i="1"/>
  <c r="BA451" i="1"/>
  <c r="AO442" i="1"/>
  <c r="AR442" i="1" s="1"/>
  <c r="BA440" i="1"/>
  <c r="BA446" i="1"/>
  <c r="BA452" i="1"/>
  <c r="BM441" i="1"/>
  <c r="AO445" i="1"/>
  <c r="BM445" i="1" s="1"/>
  <c r="BM438" i="1"/>
  <c r="AO447" i="1"/>
  <c r="BM447" i="1" s="1"/>
  <c r="AO439" i="1"/>
  <c r="BM439" i="1" s="1"/>
  <c r="BA434" i="1"/>
  <c r="BA439" i="1"/>
  <c r="AY444" i="1"/>
  <c r="BA444" i="1" s="1"/>
  <c r="BA436" i="1"/>
  <c r="AY441" i="1"/>
  <c r="BA441" i="1" s="1"/>
  <c r="AR441" i="1"/>
  <c r="AO448" i="1"/>
  <c r="BM448" i="1" s="1"/>
  <c r="AY438" i="1"/>
  <c r="BA438" i="1" s="1"/>
  <c r="AY450" i="1"/>
  <c r="BA450" i="1" s="1"/>
  <c r="AO434" i="1"/>
  <c r="BM434" i="1" s="1"/>
  <c r="AO446" i="1"/>
  <c r="AR446" i="1" s="1"/>
  <c r="AY437" i="1"/>
  <c r="BA437" i="1" s="1"/>
  <c r="AO440" i="1"/>
  <c r="AO452" i="1"/>
  <c r="AR452" i="1" s="1"/>
  <c r="AY443" i="1"/>
  <c r="BA443" i="1" s="1"/>
  <c r="AY449" i="1"/>
  <c r="BA449" i="1" s="1"/>
  <c r="AR437" i="1"/>
  <c r="AR443" i="1"/>
  <c r="AR449" i="1"/>
  <c r="AR438" i="1"/>
  <c r="AR444" i="1"/>
  <c r="AR450" i="1"/>
  <c r="AL432" i="1"/>
  <c r="AL427" i="1"/>
  <c r="AL425" i="1"/>
  <c r="AL422" i="1"/>
  <c r="AL421" i="1"/>
  <c r="AN420" i="1"/>
  <c r="AL420" i="1"/>
  <c r="AN419" i="1"/>
  <c r="AL419" i="1"/>
  <c r="AL418" i="1"/>
  <c r="BM451" i="1" l="1"/>
  <c r="BM436" i="1"/>
  <c r="BM435" i="1"/>
  <c r="BP435" i="1"/>
  <c r="AR445" i="1"/>
  <c r="AS445" i="1" s="1"/>
  <c r="BM442" i="1"/>
  <c r="AR439" i="1"/>
  <c r="AS439" i="1" s="1"/>
  <c r="AR448" i="1"/>
  <c r="AS448" i="1" s="1"/>
  <c r="BP451" i="1"/>
  <c r="AR447" i="1"/>
  <c r="AR434" i="1"/>
  <c r="AS438" i="1"/>
  <c r="BP438" i="1"/>
  <c r="AS449" i="1"/>
  <c r="BP449" i="1"/>
  <c r="AS443" i="1"/>
  <c r="BP443" i="1"/>
  <c r="BM446" i="1"/>
  <c r="AS446" i="1"/>
  <c r="BP446" i="1"/>
  <c r="AS437" i="1"/>
  <c r="BP437" i="1"/>
  <c r="AS452" i="1"/>
  <c r="BP452" i="1"/>
  <c r="AR440" i="1"/>
  <c r="BM440" i="1"/>
  <c r="AS442" i="1"/>
  <c r="BP442" i="1"/>
  <c r="AS450" i="1"/>
  <c r="BP450" i="1"/>
  <c r="AS436" i="1"/>
  <c r="BP436" i="1"/>
  <c r="AS444" i="1"/>
  <c r="BP444" i="1"/>
  <c r="AS441" i="1"/>
  <c r="BP441" i="1"/>
  <c r="BM452" i="1"/>
  <c r="AL413" i="1"/>
  <c r="BP448" i="1" l="1"/>
  <c r="BP445" i="1"/>
  <c r="BP439" i="1"/>
  <c r="AS447" i="1"/>
  <c r="BP447" i="1"/>
  <c r="AS440" i="1"/>
  <c r="BP440" i="1"/>
  <c r="AS434" i="1"/>
  <c r="BP434" i="1"/>
  <c r="AL408" i="1"/>
  <c r="AL402" i="1" l="1"/>
  <c r="AL401" i="1"/>
  <c r="AL398" i="1" l="1"/>
  <c r="AL396" i="1"/>
  <c r="AL394" i="1"/>
  <c r="AL393" i="1"/>
  <c r="AL392" i="1"/>
  <c r="AL389" i="1" l="1"/>
  <c r="AL382" i="1"/>
  <c r="AL380" i="1"/>
  <c r="AL379" i="1"/>
  <c r="AL376" i="1"/>
  <c r="AL371" i="1"/>
  <c r="AL370" i="1"/>
  <c r="AL368" i="1"/>
  <c r="AL367" i="1"/>
  <c r="BH433" i="1" l="1"/>
  <c r="BI433" i="1" s="1"/>
  <c r="BK433" i="1" s="1"/>
  <c r="BF433" i="1"/>
  <c r="BG433" i="1" s="1"/>
  <c r="BH432" i="1"/>
  <c r="BI432" i="1" s="1"/>
  <c r="BK432" i="1" s="1"/>
  <c r="BF432" i="1"/>
  <c r="BG432" i="1" s="1"/>
  <c r="BH431" i="1"/>
  <c r="BI431" i="1" s="1"/>
  <c r="BK431" i="1" s="1"/>
  <c r="BF431" i="1"/>
  <c r="BG431" i="1" s="1"/>
  <c r="BH430" i="1"/>
  <c r="BI430" i="1" s="1"/>
  <c r="BK430" i="1" s="1"/>
  <c r="BF430" i="1"/>
  <c r="BG430" i="1" s="1"/>
  <c r="BH429" i="1"/>
  <c r="BI429" i="1" s="1"/>
  <c r="BK429" i="1" s="1"/>
  <c r="BF429" i="1"/>
  <c r="BG429" i="1" s="1"/>
  <c r="BH428" i="1"/>
  <c r="BI428" i="1" s="1"/>
  <c r="BK428" i="1" s="1"/>
  <c r="BF428" i="1"/>
  <c r="BG428" i="1" s="1"/>
  <c r="BH427" i="1"/>
  <c r="BI427" i="1" s="1"/>
  <c r="BK427" i="1" s="1"/>
  <c r="BF427" i="1"/>
  <c r="BG427" i="1" s="1"/>
  <c r="BH426" i="1"/>
  <c r="BI426" i="1" s="1"/>
  <c r="BK426" i="1" s="1"/>
  <c r="BF426" i="1"/>
  <c r="BG426" i="1" s="1"/>
  <c r="BH425" i="1"/>
  <c r="BI425" i="1" s="1"/>
  <c r="BK425" i="1" s="1"/>
  <c r="BF425" i="1"/>
  <c r="BG425" i="1" s="1"/>
  <c r="BH424" i="1"/>
  <c r="BI424" i="1" s="1"/>
  <c r="BK424" i="1" s="1"/>
  <c r="BF424" i="1"/>
  <c r="BG424" i="1" s="1"/>
  <c r="BH423" i="1"/>
  <c r="BI423" i="1" s="1"/>
  <c r="BK423" i="1" s="1"/>
  <c r="BF423" i="1"/>
  <c r="BG423" i="1" s="1"/>
  <c r="BH422" i="1"/>
  <c r="BI422" i="1" s="1"/>
  <c r="BK422" i="1" s="1"/>
  <c r="BF422" i="1"/>
  <c r="BG422" i="1" s="1"/>
  <c r="BH421" i="1"/>
  <c r="BI421" i="1" s="1"/>
  <c r="BK421" i="1" s="1"/>
  <c r="BF421" i="1"/>
  <c r="BG421" i="1" s="1"/>
  <c r="BH420" i="1"/>
  <c r="BI420" i="1" s="1"/>
  <c r="BK420" i="1" s="1"/>
  <c r="BF420" i="1"/>
  <c r="BG420" i="1" s="1"/>
  <c r="BH419" i="1"/>
  <c r="BI419" i="1" s="1"/>
  <c r="BK419" i="1" s="1"/>
  <c r="BF419" i="1"/>
  <c r="BG419" i="1" s="1"/>
  <c r="BH418" i="1"/>
  <c r="BI418" i="1" s="1"/>
  <c r="BK418" i="1" s="1"/>
  <c r="BF418" i="1"/>
  <c r="BG418" i="1" s="1"/>
  <c r="BH417" i="1"/>
  <c r="BI417" i="1" s="1"/>
  <c r="BK417" i="1" s="1"/>
  <c r="BF417" i="1"/>
  <c r="BG417" i="1" s="1"/>
  <c r="BH416" i="1"/>
  <c r="BI416" i="1" s="1"/>
  <c r="BK416" i="1" s="1"/>
  <c r="BF416" i="1"/>
  <c r="BG416" i="1" s="1"/>
  <c r="BH415" i="1"/>
  <c r="BI415" i="1" s="1"/>
  <c r="BK415" i="1" s="1"/>
  <c r="BF415" i="1"/>
  <c r="BG415" i="1" s="1"/>
  <c r="BH414" i="1"/>
  <c r="BI414" i="1" s="1"/>
  <c r="BK414" i="1" s="1"/>
  <c r="BF414" i="1"/>
  <c r="BG414" i="1" s="1"/>
  <c r="BH413" i="1"/>
  <c r="BI413" i="1" s="1"/>
  <c r="BK413" i="1" s="1"/>
  <c r="BF413" i="1"/>
  <c r="BG413" i="1" s="1"/>
  <c r="BH412" i="1"/>
  <c r="BI412" i="1" s="1"/>
  <c r="BK412" i="1" s="1"/>
  <c r="BF412" i="1"/>
  <c r="BG412" i="1" s="1"/>
  <c r="BH411" i="1"/>
  <c r="BI411" i="1" s="1"/>
  <c r="BK411" i="1" s="1"/>
  <c r="BF411" i="1"/>
  <c r="BG411" i="1" s="1"/>
  <c r="BH410" i="1"/>
  <c r="BI410" i="1" s="1"/>
  <c r="BK410" i="1" s="1"/>
  <c r="BF410" i="1"/>
  <c r="BG410" i="1" s="1"/>
  <c r="BH409" i="1"/>
  <c r="BI409" i="1" s="1"/>
  <c r="BK409" i="1" s="1"/>
  <c r="BF409" i="1"/>
  <c r="BG409" i="1" s="1"/>
  <c r="BH408" i="1"/>
  <c r="BI408" i="1" s="1"/>
  <c r="BK408" i="1" s="1"/>
  <c r="BF408" i="1"/>
  <c r="BG408" i="1" s="1"/>
  <c r="BH407" i="1"/>
  <c r="BI407" i="1" s="1"/>
  <c r="BK407" i="1" s="1"/>
  <c r="BF407" i="1"/>
  <c r="BG407" i="1" s="1"/>
  <c r="BH406" i="1"/>
  <c r="BI406" i="1" s="1"/>
  <c r="BK406" i="1" s="1"/>
  <c r="BF406" i="1"/>
  <c r="BG406" i="1" s="1"/>
  <c r="BH405" i="1"/>
  <c r="BI405" i="1" s="1"/>
  <c r="BK405" i="1" s="1"/>
  <c r="BF405" i="1"/>
  <c r="BG405" i="1" s="1"/>
  <c r="BH404" i="1"/>
  <c r="BI404" i="1" s="1"/>
  <c r="BK404" i="1" s="1"/>
  <c r="BF404" i="1"/>
  <c r="BG404" i="1" s="1"/>
  <c r="BH403" i="1"/>
  <c r="BI403" i="1" s="1"/>
  <c r="BK403" i="1" s="1"/>
  <c r="BF403" i="1"/>
  <c r="BG403" i="1" s="1"/>
  <c r="BH402" i="1"/>
  <c r="BI402" i="1" s="1"/>
  <c r="BK402" i="1" s="1"/>
  <c r="BF402" i="1"/>
  <c r="BG402" i="1" s="1"/>
  <c r="BH401" i="1"/>
  <c r="BI401" i="1" s="1"/>
  <c r="BK401" i="1" s="1"/>
  <c r="BF401" i="1"/>
  <c r="BG401" i="1" s="1"/>
  <c r="BH400" i="1"/>
  <c r="BI400" i="1" s="1"/>
  <c r="BK400" i="1" s="1"/>
  <c r="BF400" i="1"/>
  <c r="BG400" i="1" s="1"/>
  <c r="BH399" i="1"/>
  <c r="BI399" i="1" s="1"/>
  <c r="BK399" i="1" s="1"/>
  <c r="BF399" i="1"/>
  <c r="BG399" i="1" s="1"/>
  <c r="BH398" i="1"/>
  <c r="BI398" i="1" s="1"/>
  <c r="BK398" i="1" s="1"/>
  <c r="BF398" i="1"/>
  <c r="BG398" i="1" s="1"/>
  <c r="BH397" i="1"/>
  <c r="BI397" i="1" s="1"/>
  <c r="BK397" i="1" s="1"/>
  <c r="BF397" i="1"/>
  <c r="BG397" i="1" s="1"/>
  <c r="BH396" i="1"/>
  <c r="BI396" i="1" s="1"/>
  <c r="BK396" i="1" s="1"/>
  <c r="BF396" i="1"/>
  <c r="BG396" i="1" s="1"/>
  <c r="BH395" i="1"/>
  <c r="BI395" i="1" s="1"/>
  <c r="BK395" i="1" s="1"/>
  <c r="BF395" i="1"/>
  <c r="BG395" i="1" s="1"/>
  <c r="BH394" i="1"/>
  <c r="BI394" i="1" s="1"/>
  <c r="BK394" i="1" s="1"/>
  <c r="BF394" i="1"/>
  <c r="BG394" i="1" s="1"/>
  <c r="BH393" i="1"/>
  <c r="BI393" i="1" s="1"/>
  <c r="BK393" i="1" s="1"/>
  <c r="BF393" i="1"/>
  <c r="BG393" i="1" s="1"/>
  <c r="BH392" i="1"/>
  <c r="BI392" i="1" s="1"/>
  <c r="BK392" i="1" s="1"/>
  <c r="BF392" i="1"/>
  <c r="BG392" i="1" s="1"/>
  <c r="BH391" i="1"/>
  <c r="BI391" i="1" s="1"/>
  <c r="BK391" i="1" s="1"/>
  <c r="BF391" i="1"/>
  <c r="BG391" i="1" s="1"/>
  <c r="BH390" i="1"/>
  <c r="BI390" i="1" s="1"/>
  <c r="BK390" i="1" s="1"/>
  <c r="BF390" i="1"/>
  <c r="BG390" i="1" s="1"/>
  <c r="BH389" i="1"/>
  <c r="BI389" i="1" s="1"/>
  <c r="BK389" i="1" s="1"/>
  <c r="BF389" i="1"/>
  <c r="BG389" i="1" s="1"/>
  <c r="BH388" i="1"/>
  <c r="BI388" i="1" s="1"/>
  <c r="BK388" i="1" s="1"/>
  <c r="BF388" i="1"/>
  <c r="BG388" i="1" s="1"/>
  <c r="BH387" i="1"/>
  <c r="BI387" i="1" s="1"/>
  <c r="BK387" i="1" s="1"/>
  <c r="BF387" i="1"/>
  <c r="BG387" i="1" s="1"/>
  <c r="BH386" i="1"/>
  <c r="BI386" i="1" s="1"/>
  <c r="BK386" i="1" s="1"/>
  <c r="BF386" i="1"/>
  <c r="BG386" i="1" s="1"/>
  <c r="BH385" i="1"/>
  <c r="BI385" i="1" s="1"/>
  <c r="BK385" i="1" s="1"/>
  <c r="BF385" i="1"/>
  <c r="BG385" i="1" s="1"/>
  <c r="BH384" i="1"/>
  <c r="BI384" i="1" s="1"/>
  <c r="BK384" i="1" s="1"/>
  <c r="BF384" i="1"/>
  <c r="BG384" i="1" s="1"/>
  <c r="BH383" i="1"/>
  <c r="BI383" i="1" s="1"/>
  <c r="BK383" i="1" s="1"/>
  <c r="BF383" i="1"/>
  <c r="BG383" i="1" s="1"/>
  <c r="BH382" i="1"/>
  <c r="BI382" i="1" s="1"/>
  <c r="BK382" i="1" s="1"/>
  <c r="BF382" i="1"/>
  <c r="BG382" i="1" s="1"/>
  <c r="BH381" i="1"/>
  <c r="BI381" i="1" s="1"/>
  <c r="BK381" i="1" s="1"/>
  <c r="BF381" i="1"/>
  <c r="BG381" i="1" s="1"/>
  <c r="BH380" i="1"/>
  <c r="BI380" i="1" s="1"/>
  <c r="BK380" i="1" s="1"/>
  <c r="BF380" i="1"/>
  <c r="BG380" i="1" s="1"/>
  <c r="BH379" i="1"/>
  <c r="BI379" i="1" s="1"/>
  <c r="BK379" i="1" s="1"/>
  <c r="BF379" i="1"/>
  <c r="BG379" i="1" s="1"/>
  <c r="BH378" i="1"/>
  <c r="BI378" i="1" s="1"/>
  <c r="BK378" i="1" s="1"/>
  <c r="BF378" i="1"/>
  <c r="BG378" i="1" s="1"/>
  <c r="BH377" i="1"/>
  <c r="BI377" i="1" s="1"/>
  <c r="BK377" i="1" s="1"/>
  <c r="BF377" i="1"/>
  <c r="BG377" i="1" s="1"/>
  <c r="BH376" i="1"/>
  <c r="BI376" i="1" s="1"/>
  <c r="BK376" i="1" s="1"/>
  <c r="BF376" i="1"/>
  <c r="BG376" i="1" s="1"/>
  <c r="BH375" i="1"/>
  <c r="BI375" i="1" s="1"/>
  <c r="BK375" i="1" s="1"/>
  <c r="BF375" i="1"/>
  <c r="BG375" i="1" s="1"/>
  <c r="BH374" i="1"/>
  <c r="BI374" i="1" s="1"/>
  <c r="BK374" i="1" s="1"/>
  <c r="BF374" i="1"/>
  <c r="BG374" i="1" s="1"/>
  <c r="BH373" i="1"/>
  <c r="BI373" i="1" s="1"/>
  <c r="BK373" i="1" s="1"/>
  <c r="BF373" i="1"/>
  <c r="BG373" i="1" s="1"/>
  <c r="BH372" i="1"/>
  <c r="BI372" i="1" s="1"/>
  <c r="BK372" i="1" s="1"/>
  <c r="BF372" i="1"/>
  <c r="BG372" i="1" s="1"/>
  <c r="BH371" i="1"/>
  <c r="BI371" i="1" s="1"/>
  <c r="BK371" i="1" s="1"/>
  <c r="BF371" i="1"/>
  <c r="BG371" i="1" s="1"/>
  <c r="BH370" i="1"/>
  <c r="BI370" i="1" s="1"/>
  <c r="BK370" i="1" s="1"/>
  <c r="BF370" i="1"/>
  <c r="BG370" i="1" s="1"/>
  <c r="BH369" i="1"/>
  <c r="BI369" i="1" s="1"/>
  <c r="BK369" i="1" s="1"/>
  <c r="BF369" i="1"/>
  <c r="BG369" i="1" s="1"/>
  <c r="BH368" i="1"/>
  <c r="BI368" i="1" s="1"/>
  <c r="BK368" i="1" s="1"/>
  <c r="BF368" i="1"/>
  <c r="BG368" i="1" s="1"/>
  <c r="BH367" i="1"/>
  <c r="BI367" i="1" s="1"/>
  <c r="BK367" i="1" s="1"/>
  <c r="BF367" i="1"/>
  <c r="BG367" i="1" s="1"/>
  <c r="AZ433" i="1"/>
  <c r="AW433" i="1"/>
  <c r="AY433" i="1" s="1"/>
  <c r="AZ432" i="1"/>
  <c r="AW432" i="1"/>
  <c r="AY432" i="1" s="1"/>
  <c r="AZ431" i="1"/>
  <c r="AW431" i="1"/>
  <c r="AO431" i="1" s="1"/>
  <c r="AZ430" i="1"/>
  <c r="AW430" i="1"/>
  <c r="AO430" i="1" s="1"/>
  <c r="AZ429" i="1"/>
  <c r="AW429" i="1"/>
  <c r="AY429" i="1" s="1"/>
  <c r="AZ428" i="1"/>
  <c r="AW428" i="1"/>
  <c r="AO428" i="1" s="1"/>
  <c r="AZ427" i="1"/>
  <c r="AW427" i="1"/>
  <c r="AY427" i="1" s="1"/>
  <c r="AZ426" i="1"/>
  <c r="AW426" i="1"/>
  <c r="AY426" i="1" s="1"/>
  <c r="AZ425" i="1"/>
  <c r="AW425" i="1"/>
  <c r="AO425" i="1" s="1"/>
  <c r="AZ424" i="1"/>
  <c r="AW424" i="1"/>
  <c r="AO424" i="1" s="1"/>
  <c r="AZ423" i="1"/>
  <c r="AW423" i="1"/>
  <c r="AY423" i="1" s="1"/>
  <c r="AZ422" i="1"/>
  <c r="AW422" i="1"/>
  <c r="AO422" i="1" s="1"/>
  <c r="AZ421" i="1"/>
  <c r="AW421" i="1"/>
  <c r="AO421" i="1" s="1"/>
  <c r="AZ420" i="1"/>
  <c r="AW420" i="1"/>
  <c r="AY420" i="1" s="1"/>
  <c r="AZ419" i="1"/>
  <c r="AW419" i="1"/>
  <c r="AY419" i="1" s="1"/>
  <c r="AZ418" i="1"/>
  <c r="AW418" i="1"/>
  <c r="AY418" i="1" s="1"/>
  <c r="AZ417" i="1"/>
  <c r="AW417" i="1"/>
  <c r="AY417" i="1" s="1"/>
  <c r="AZ416" i="1"/>
  <c r="AW416" i="1"/>
  <c r="AO416" i="1" s="1"/>
  <c r="AZ415" i="1"/>
  <c r="AW415" i="1"/>
  <c r="AY415" i="1" s="1"/>
  <c r="AZ414" i="1"/>
  <c r="AW414" i="1"/>
  <c r="AY414" i="1" s="1"/>
  <c r="AZ413" i="1"/>
  <c r="AW413" i="1"/>
  <c r="AO413" i="1" s="1"/>
  <c r="AZ412" i="1"/>
  <c r="AW412" i="1"/>
  <c r="AO412" i="1" s="1"/>
  <c r="AZ411" i="1"/>
  <c r="AW411" i="1"/>
  <c r="AY411" i="1" s="1"/>
  <c r="AZ410" i="1"/>
  <c r="AW410" i="1"/>
  <c r="AO410" i="1" s="1"/>
  <c r="AZ409" i="1"/>
  <c r="AW409" i="1"/>
  <c r="AY409" i="1" s="1"/>
  <c r="AZ408" i="1"/>
  <c r="AW408" i="1"/>
  <c r="AO408" i="1" s="1"/>
  <c r="AZ407" i="1"/>
  <c r="AW407" i="1"/>
  <c r="AY407" i="1" s="1"/>
  <c r="AZ406" i="1"/>
  <c r="AW406" i="1"/>
  <c r="AY406" i="1" s="1"/>
  <c r="AZ405" i="1"/>
  <c r="AW405" i="1"/>
  <c r="AY405" i="1" s="1"/>
  <c r="AZ404" i="1"/>
  <c r="AW404" i="1"/>
  <c r="AO404" i="1" s="1"/>
  <c r="AZ403" i="1"/>
  <c r="AW403" i="1"/>
  <c r="AO403" i="1" s="1"/>
  <c r="AZ402" i="1"/>
  <c r="AW402" i="1"/>
  <c r="AY402" i="1" s="1"/>
  <c r="AZ401" i="1"/>
  <c r="AW401" i="1"/>
  <c r="AO401" i="1" s="1"/>
  <c r="AZ400" i="1"/>
  <c r="AW400" i="1"/>
  <c r="AO400" i="1" s="1"/>
  <c r="AZ399" i="1"/>
  <c r="AW399" i="1"/>
  <c r="AY399" i="1" s="1"/>
  <c r="AZ398" i="1"/>
  <c r="AW398" i="1"/>
  <c r="AO398" i="1" s="1"/>
  <c r="AZ397" i="1"/>
  <c r="AW397" i="1"/>
  <c r="AY397" i="1" s="1"/>
  <c r="AZ396" i="1"/>
  <c r="AW396" i="1"/>
  <c r="AO396" i="1" s="1"/>
  <c r="AZ395" i="1"/>
  <c r="AW395" i="1"/>
  <c r="AY395" i="1" s="1"/>
  <c r="AZ394" i="1"/>
  <c r="AW394" i="1"/>
  <c r="AY394" i="1" s="1"/>
  <c r="AZ393" i="1"/>
  <c r="AW393" i="1"/>
  <c r="AY393" i="1" s="1"/>
  <c r="AZ392" i="1"/>
  <c r="AW392" i="1"/>
  <c r="AO392" i="1" s="1"/>
  <c r="AZ391" i="1"/>
  <c r="AW391" i="1"/>
  <c r="AO391" i="1" s="1"/>
  <c r="BM391" i="1" s="1"/>
  <c r="AZ390" i="1"/>
  <c r="AW390" i="1"/>
  <c r="AO390" i="1" s="1"/>
  <c r="AZ389" i="1"/>
  <c r="AW389" i="1"/>
  <c r="AO389" i="1" s="1"/>
  <c r="AZ388" i="1"/>
  <c r="AW388" i="1"/>
  <c r="AY388" i="1" s="1"/>
  <c r="AZ387" i="1"/>
  <c r="AW387" i="1"/>
  <c r="AY387" i="1" s="1"/>
  <c r="AZ386" i="1"/>
  <c r="AW386" i="1"/>
  <c r="AO386" i="1" s="1"/>
  <c r="AZ385" i="1"/>
  <c r="AW385" i="1"/>
  <c r="AY385" i="1" s="1"/>
  <c r="AZ384" i="1"/>
  <c r="AW384" i="1"/>
  <c r="AY384" i="1" s="1"/>
  <c r="AZ383" i="1"/>
  <c r="AW383" i="1"/>
  <c r="AO383" i="1" s="1"/>
  <c r="AZ382" i="1"/>
  <c r="AW382" i="1"/>
  <c r="AO382" i="1" s="1"/>
  <c r="AZ381" i="1"/>
  <c r="AW381" i="1"/>
  <c r="AY381" i="1" s="1"/>
  <c r="AZ380" i="1"/>
  <c r="AW380" i="1"/>
  <c r="AO380" i="1" s="1"/>
  <c r="AZ379" i="1"/>
  <c r="AW379" i="1"/>
  <c r="AY379" i="1" s="1"/>
  <c r="AZ378" i="1"/>
  <c r="AW378" i="1"/>
  <c r="AO378" i="1" s="1"/>
  <c r="AZ377" i="1"/>
  <c r="AW377" i="1"/>
  <c r="AY377" i="1" s="1"/>
  <c r="AZ376" i="1"/>
  <c r="AW376" i="1"/>
  <c r="AO376" i="1" s="1"/>
  <c r="AZ375" i="1"/>
  <c r="AW375" i="1"/>
  <c r="AY375" i="1" s="1"/>
  <c r="AZ374" i="1"/>
  <c r="AW374" i="1"/>
  <c r="AO374" i="1" s="1"/>
  <c r="BM374" i="1" s="1"/>
  <c r="AZ373" i="1"/>
  <c r="AW373" i="1"/>
  <c r="AO373" i="1" s="1"/>
  <c r="AZ372" i="1"/>
  <c r="AW372" i="1"/>
  <c r="AY372" i="1" s="1"/>
  <c r="AZ371" i="1"/>
  <c r="AW371" i="1"/>
  <c r="AO371" i="1" s="1"/>
  <c r="AZ370" i="1"/>
  <c r="AW370" i="1"/>
  <c r="AY370" i="1" s="1"/>
  <c r="AZ369" i="1"/>
  <c r="AW369" i="1"/>
  <c r="AO369" i="1" s="1"/>
  <c r="AZ368" i="1"/>
  <c r="AW368" i="1"/>
  <c r="AY368" i="1" s="1"/>
  <c r="AZ367" i="1"/>
  <c r="AW367" i="1"/>
  <c r="AO367" i="1" s="1"/>
  <c r="AK433" i="1"/>
  <c r="AK432" i="1"/>
  <c r="AK431" i="1"/>
  <c r="AK430" i="1"/>
  <c r="AK429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0" i="1"/>
  <c r="AK409" i="1"/>
  <c r="AK408" i="1"/>
  <c r="AK406" i="1"/>
  <c r="AK405" i="1"/>
  <c r="AK403" i="1"/>
  <c r="AK402" i="1"/>
  <c r="AK401" i="1"/>
  <c r="AK400" i="1"/>
  <c r="AK399" i="1"/>
  <c r="AK398" i="1"/>
  <c r="AK397" i="1"/>
  <c r="AK396" i="1"/>
  <c r="AK394" i="1"/>
  <c r="AK393" i="1"/>
  <c r="AK392" i="1"/>
  <c r="AK390" i="1"/>
  <c r="AK389" i="1"/>
  <c r="AK388" i="1"/>
  <c r="AK387" i="1"/>
  <c r="AK385" i="1"/>
  <c r="AK384" i="1"/>
  <c r="AK383" i="1"/>
  <c r="AK382" i="1"/>
  <c r="AK381" i="1"/>
  <c r="AK380" i="1"/>
  <c r="AK379" i="1"/>
  <c r="AK376" i="1"/>
  <c r="AK375" i="1"/>
  <c r="AK373" i="1"/>
  <c r="AK372" i="1"/>
  <c r="AK371" i="1"/>
  <c r="AK370" i="1"/>
  <c r="AK369" i="1"/>
  <c r="AK368" i="1"/>
  <c r="AK367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BA381" i="1" l="1"/>
  <c r="BA387" i="1"/>
  <c r="BA399" i="1"/>
  <c r="BA405" i="1"/>
  <c r="BA417" i="1"/>
  <c r="BA423" i="1"/>
  <c r="BM383" i="1"/>
  <c r="BM425" i="1"/>
  <c r="BM371" i="1"/>
  <c r="BM401" i="1"/>
  <c r="BM422" i="1"/>
  <c r="BA379" i="1"/>
  <c r="BA385" i="1"/>
  <c r="BM431" i="1"/>
  <c r="BA397" i="1"/>
  <c r="BA409" i="1"/>
  <c r="BA415" i="1"/>
  <c r="BA427" i="1"/>
  <c r="BA433" i="1"/>
  <c r="BA368" i="1"/>
  <c r="BA372" i="1"/>
  <c r="BA414" i="1"/>
  <c r="BA426" i="1"/>
  <c r="BA432" i="1"/>
  <c r="AO393" i="1"/>
  <c r="BM393" i="1" s="1"/>
  <c r="AO405" i="1"/>
  <c r="AR405" i="1" s="1"/>
  <c r="BM412" i="1"/>
  <c r="AO417" i="1"/>
  <c r="BM417" i="1" s="1"/>
  <c r="BM416" i="1"/>
  <c r="AO375" i="1"/>
  <c r="BM375" i="1" s="1"/>
  <c r="BM386" i="1"/>
  <c r="BM428" i="1"/>
  <c r="BM410" i="1"/>
  <c r="AO429" i="1"/>
  <c r="AR429" i="1" s="1"/>
  <c r="BA370" i="1"/>
  <c r="BM376" i="1"/>
  <c r="BA388" i="1"/>
  <c r="BA394" i="1"/>
  <c r="BM400" i="1"/>
  <c r="BA406" i="1"/>
  <c r="BA418" i="1"/>
  <c r="BM424" i="1"/>
  <c r="AO387" i="1"/>
  <c r="BM387" i="1" s="1"/>
  <c r="AO411" i="1"/>
  <c r="AR411" i="1" s="1"/>
  <c r="BM389" i="1"/>
  <c r="BM369" i="1"/>
  <c r="AO415" i="1"/>
  <c r="BM415" i="1" s="1"/>
  <c r="BM392" i="1"/>
  <c r="BM408" i="1"/>
  <c r="AO385" i="1"/>
  <c r="BM385" i="1" s="1"/>
  <c r="BM403" i="1"/>
  <c r="BM404" i="1"/>
  <c r="AO423" i="1"/>
  <c r="BM423" i="1" s="1"/>
  <c r="AO433" i="1"/>
  <c r="AR433" i="1" s="1"/>
  <c r="AR371" i="1"/>
  <c r="AS371" i="1" s="1"/>
  <c r="BA377" i="1"/>
  <c r="BA395" i="1"/>
  <c r="BA407" i="1"/>
  <c r="BM413" i="1"/>
  <c r="BA419" i="1"/>
  <c r="BM396" i="1"/>
  <c r="AO397" i="1"/>
  <c r="BM397" i="1" s="1"/>
  <c r="BM367" i="1"/>
  <c r="AO379" i="1"/>
  <c r="BM379" i="1" s="1"/>
  <c r="AO388" i="1"/>
  <c r="BM388" i="1" s="1"/>
  <c r="AR392" i="1"/>
  <c r="AS392" i="1" s="1"/>
  <c r="BM398" i="1"/>
  <c r="AO370" i="1"/>
  <c r="AR370" i="1" s="1"/>
  <c r="BM380" i="1"/>
  <c r="AO409" i="1"/>
  <c r="BM409" i="1" s="1"/>
  <c r="AO427" i="1"/>
  <c r="AR427" i="1" s="1"/>
  <c r="AS427" i="1" s="1"/>
  <c r="BM378" i="1"/>
  <c r="BM390" i="1"/>
  <c r="AO418" i="1"/>
  <c r="AR418" i="1" s="1"/>
  <c r="BM430" i="1"/>
  <c r="BM382" i="1"/>
  <c r="AY367" i="1"/>
  <c r="BA367" i="1" s="1"/>
  <c r="AY376" i="1"/>
  <c r="BA376" i="1" s="1"/>
  <c r="AY412" i="1"/>
  <c r="BA412" i="1" s="1"/>
  <c r="AY421" i="1"/>
  <c r="BA421" i="1" s="1"/>
  <c r="AY430" i="1"/>
  <c r="BA430" i="1" s="1"/>
  <c r="AR412" i="1"/>
  <c r="AY373" i="1"/>
  <c r="BA373" i="1" s="1"/>
  <c r="AY382" i="1"/>
  <c r="BA382" i="1" s="1"/>
  <c r="AY391" i="1"/>
  <c r="BA391" i="1" s="1"/>
  <c r="AY400" i="1"/>
  <c r="BA400" i="1" s="1"/>
  <c r="AO394" i="1"/>
  <c r="AR394" i="1" s="1"/>
  <c r="AY403" i="1"/>
  <c r="BA403" i="1" s="1"/>
  <c r="AR382" i="1"/>
  <c r="AR430" i="1"/>
  <c r="AR373" i="1"/>
  <c r="AR391" i="1"/>
  <c r="AO406" i="1"/>
  <c r="BM406" i="1" s="1"/>
  <c r="AR421" i="1"/>
  <c r="AO399" i="1"/>
  <c r="AR399" i="1" s="1"/>
  <c r="BM373" i="1"/>
  <c r="BM421" i="1"/>
  <c r="AR403" i="1"/>
  <c r="AO381" i="1"/>
  <c r="BM381" i="1" s="1"/>
  <c r="AR367" i="1"/>
  <c r="AR376" i="1"/>
  <c r="AR400" i="1"/>
  <c r="AR424" i="1"/>
  <c r="AY424" i="1"/>
  <c r="BA424" i="1" s="1"/>
  <c r="BA375" i="1"/>
  <c r="BA384" i="1"/>
  <c r="BA393" i="1"/>
  <c r="BA402" i="1"/>
  <c r="BA411" i="1"/>
  <c r="BA420" i="1"/>
  <c r="BA429" i="1"/>
  <c r="AY371" i="1"/>
  <c r="BA371" i="1" s="1"/>
  <c r="AY374" i="1"/>
  <c r="BA374" i="1" s="1"/>
  <c r="AY380" i="1"/>
  <c r="BA380" i="1" s="1"/>
  <c r="AY386" i="1"/>
  <c r="BA386" i="1" s="1"/>
  <c r="AY392" i="1"/>
  <c r="BA392" i="1" s="1"/>
  <c r="AY398" i="1"/>
  <c r="BA398" i="1" s="1"/>
  <c r="AY404" i="1"/>
  <c r="BA404" i="1" s="1"/>
  <c r="AY413" i="1"/>
  <c r="BA413" i="1" s="1"/>
  <c r="AY422" i="1"/>
  <c r="BA422" i="1" s="1"/>
  <c r="AY431" i="1"/>
  <c r="BA431" i="1" s="1"/>
  <c r="AR383" i="1"/>
  <c r="AR431" i="1"/>
  <c r="AO377" i="1"/>
  <c r="BM377" i="1" s="1"/>
  <c r="AO395" i="1"/>
  <c r="BM395" i="1" s="1"/>
  <c r="AO407" i="1"/>
  <c r="BM407" i="1" s="1"/>
  <c r="AO419" i="1"/>
  <c r="AR419" i="1" s="1"/>
  <c r="AR378" i="1"/>
  <c r="AR396" i="1"/>
  <c r="AR408" i="1"/>
  <c r="AO372" i="1"/>
  <c r="BM372" i="1" s="1"/>
  <c r="AO384" i="1"/>
  <c r="BM384" i="1" s="1"/>
  <c r="AO402" i="1"/>
  <c r="AR402" i="1" s="1"/>
  <c r="AO414" i="1"/>
  <c r="AR414" i="1" s="1"/>
  <c r="AO426" i="1"/>
  <c r="AR426" i="1" s="1"/>
  <c r="AY369" i="1"/>
  <c r="BA369" i="1" s="1"/>
  <c r="AY378" i="1"/>
  <c r="BA378" i="1" s="1"/>
  <c r="AY390" i="1"/>
  <c r="BA390" i="1" s="1"/>
  <c r="AY396" i="1"/>
  <c r="BA396" i="1" s="1"/>
  <c r="AY408" i="1"/>
  <c r="BA408" i="1" s="1"/>
  <c r="AO368" i="1"/>
  <c r="AR368" i="1" s="1"/>
  <c r="AR374" i="1"/>
  <c r="AR380" i="1"/>
  <c r="AR386" i="1"/>
  <c r="AR398" i="1"/>
  <c r="AR404" i="1"/>
  <c r="AR410" i="1"/>
  <c r="AR416" i="1"/>
  <c r="AR422" i="1"/>
  <c r="AR428" i="1"/>
  <c r="AY416" i="1"/>
  <c r="BA416" i="1" s="1"/>
  <c r="AR413" i="1"/>
  <c r="AY383" i="1"/>
  <c r="BA383" i="1" s="1"/>
  <c r="AY389" i="1"/>
  <c r="BA389" i="1" s="1"/>
  <c r="AY401" i="1"/>
  <c r="BA401" i="1" s="1"/>
  <c r="AY410" i="1"/>
  <c r="BA410" i="1" s="1"/>
  <c r="AY425" i="1"/>
  <c r="BA425" i="1" s="1"/>
  <c r="AY428" i="1"/>
  <c r="BA428" i="1" s="1"/>
  <c r="AR389" i="1"/>
  <c r="AR401" i="1"/>
  <c r="AR425" i="1"/>
  <c r="AR390" i="1"/>
  <c r="AO420" i="1"/>
  <c r="AR420" i="1" s="1"/>
  <c r="AO432" i="1"/>
  <c r="BM432" i="1" s="1"/>
  <c r="AR369" i="1"/>
  <c r="AL364" i="1"/>
  <c r="AL361" i="1"/>
  <c r="AL360" i="1"/>
  <c r="AL358" i="1"/>
  <c r="AR385" i="1" l="1"/>
  <c r="AS385" i="1" s="1"/>
  <c r="BM429" i="1"/>
  <c r="AR415" i="1"/>
  <c r="BP415" i="1" s="1"/>
  <c r="BM399" i="1"/>
  <c r="BM411" i="1"/>
  <c r="BM405" i="1"/>
  <c r="AR397" i="1"/>
  <c r="AS397" i="1" s="1"/>
  <c r="BM427" i="1"/>
  <c r="AR393" i="1"/>
  <c r="BP393" i="1" s="1"/>
  <c r="BM394" i="1"/>
  <c r="AR417" i="1"/>
  <c r="BP417" i="1" s="1"/>
  <c r="AR375" i="1"/>
  <c r="AS375" i="1" s="1"/>
  <c r="AR387" i="1"/>
  <c r="BP387" i="1" s="1"/>
  <c r="AR423" i="1"/>
  <c r="BP423" i="1" s="1"/>
  <c r="BP371" i="1"/>
  <c r="AR388" i="1"/>
  <c r="AS388" i="1" s="1"/>
  <c r="AR379" i="1"/>
  <c r="AS379" i="1" s="1"/>
  <c r="BM433" i="1"/>
  <c r="BM420" i="1"/>
  <c r="BM402" i="1"/>
  <c r="AS418" i="1"/>
  <c r="BP418" i="1"/>
  <c r="AR409" i="1"/>
  <c r="AS409" i="1" s="1"/>
  <c r="BM370" i="1"/>
  <c r="BP427" i="1"/>
  <c r="BM418" i="1"/>
  <c r="AR377" i="1"/>
  <c r="AS377" i="1" s="1"/>
  <c r="BP392" i="1"/>
  <c r="AR381" i="1"/>
  <c r="AS381" i="1" s="1"/>
  <c r="BM414" i="1"/>
  <c r="AS394" i="1"/>
  <c r="BP394" i="1"/>
  <c r="AS399" i="1"/>
  <c r="BP399" i="1"/>
  <c r="AS402" i="1"/>
  <c r="BP402" i="1"/>
  <c r="AS420" i="1"/>
  <c r="BP420" i="1"/>
  <c r="AS404" i="1"/>
  <c r="BP404" i="1"/>
  <c r="AS414" i="1"/>
  <c r="BP414" i="1"/>
  <c r="AS433" i="1"/>
  <c r="BP433" i="1"/>
  <c r="AS391" i="1"/>
  <c r="BP391" i="1"/>
  <c r="AS430" i="1"/>
  <c r="BP430" i="1"/>
  <c r="AS429" i="1"/>
  <c r="BP429" i="1"/>
  <c r="AR432" i="1"/>
  <c r="AS383" i="1"/>
  <c r="BP383" i="1"/>
  <c r="AS382" i="1"/>
  <c r="BP382" i="1"/>
  <c r="AS398" i="1"/>
  <c r="BP398" i="1"/>
  <c r="AS373" i="1"/>
  <c r="BP373" i="1"/>
  <c r="AS370" i="1"/>
  <c r="BP370" i="1"/>
  <c r="AS390" i="1"/>
  <c r="BP390" i="1"/>
  <c r="AS413" i="1"/>
  <c r="BP413" i="1"/>
  <c r="AS408" i="1"/>
  <c r="BP408" i="1"/>
  <c r="BM368" i="1"/>
  <c r="AS416" i="1"/>
  <c r="BP416" i="1"/>
  <c r="AS374" i="1"/>
  <c r="BP374" i="1"/>
  <c r="AR395" i="1"/>
  <c r="AR406" i="1"/>
  <c r="AS421" i="1"/>
  <c r="BP421" i="1"/>
  <c r="BM419" i="1"/>
  <c r="AS419" i="1"/>
  <c r="BP419" i="1"/>
  <c r="AS426" i="1"/>
  <c r="BP426" i="1"/>
  <c r="AS367" i="1"/>
  <c r="BP367" i="1"/>
  <c r="AS380" i="1"/>
  <c r="BP380" i="1"/>
  <c r="AR407" i="1"/>
  <c r="AS389" i="1"/>
  <c r="BP389" i="1"/>
  <c r="AS376" i="1"/>
  <c r="BP376" i="1"/>
  <c r="AS410" i="1"/>
  <c r="BP410" i="1"/>
  <c r="AS403" i="1"/>
  <c r="BP403" i="1"/>
  <c r="AS412" i="1"/>
  <c r="BP412" i="1"/>
  <c r="AS369" i="1"/>
  <c r="BP369" i="1"/>
  <c r="AS386" i="1"/>
  <c r="BP386" i="1"/>
  <c r="AS431" i="1"/>
  <c r="BP431" i="1"/>
  <c r="AS368" i="1"/>
  <c r="BP368" i="1"/>
  <c r="AS411" i="1"/>
  <c r="BP411" i="1"/>
  <c r="AR372" i="1"/>
  <c r="AS396" i="1"/>
  <c r="BP396" i="1"/>
  <c r="AS405" i="1"/>
  <c r="BP405" i="1"/>
  <c r="AS425" i="1"/>
  <c r="BP425" i="1"/>
  <c r="AS428" i="1"/>
  <c r="BP428" i="1"/>
  <c r="AR384" i="1"/>
  <c r="AS424" i="1"/>
  <c r="BP424" i="1"/>
  <c r="AS401" i="1"/>
  <c r="BP401" i="1"/>
  <c r="AS422" i="1"/>
  <c r="BP422" i="1"/>
  <c r="AS378" i="1"/>
  <c r="BP378" i="1"/>
  <c r="AS400" i="1"/>
  <c r="BP400" i="1"/>
  <c r="BM426" i="1"/>
  <c r="AL356" i="1"/>
  <c r="AN350" i="1"/>
  <c r="AL350" i="1"/>
  <c r="AL347" i="1"/>
  <c r="AL346" i="1"/>
  <c r="AS415" i="1" l="1"/>
  <c r="BP385" i="1"/>
  <c r="AS387" i="1"/>
  <c r="AS417" i="1"/>
  <c r="BP397" i="1"/>
  <c r="AS393" i="1"/>
  <c r="AS423" i="1"/>
  <c r="BP375" i="1"/>
  <c r="BP409" i="1"/>
  <c r="BP379" i="1"/>
  <c r="BP388" i="1"/>
  <c r="BP381" i="1"/>
  <c r="BP377" i="1"/>
  <c r="AS432" i="1"/>
  <c r="BP432" i="1"/>
  <c r="AS407" i="1"/>
  <c r="BP407" i="1"/>
  <c r="AS384" i="1"/>
  <c r="BP384" i="1"/>
  <c r="AS406" i="1"/>
  <c r="BP406" i="1"/>
  <c r="AS395" i="1"/>
  <c r="BP395" i="1"/>
  <c r="AS372" i="1"/>
  <c r="BP372" i="1"/>
  <c r="AN345" i="1"/>
  <c r="AL345" i="1" l="1"/>
  <c r="AL344" i="1"/>
  <c r="AL343" i="1"/>
  <c r="AL342" i="1"/>
  <c r="AL340" i="1"/>
  <c r="AL339" i="1"/>
  <c r="AL338" i="1"/>
  <c r="AL337" i="1"/>
  <c r="AL336" i="1"/>
  <c r="AL335" i="1"/>
  <c r="AL334" i="1"/>
  <c r="AL332" i="1"/>
  <c r="AL329" i="1"/>
  <c r="AL327" i="1"/>
  <c r="AL331" i="1"/>
  <c r="AL328" i="1"/>
  <c r="BH366" i="1" l="1"/>
  <c r="BI366" i="1" s="1"/>
  <c r="BK366" i="1" s="1"/>
  <c r="BF366" i="1"/>
  <c r="BG366" i="1" s="1"/>
  <c r="BH365" i="1"/>
  <c r="BI365" i="1" s="1"/>
  <c r="BK365" i="1" s="1"/>
  <c r="BF365" i="1"/>
  <c r="BG365" i="1" s="1"/>
  <c r="BH364" i="1"/>
  <c r="BI364" i="1" s="1"/>
  <c r="BK364" i="1" s="1"/>
  <c r="BF364" i="1"/>
  <c r="BG364" i="1" s="1"/>
  <c r="BH363" i="1"/>
  <c r="BI363" i="1" s="1"/>
  <c r="BK363" i="1" s="1"/>
  <c r="BF363" i="1"/>
  <c r="BG363" i="1" s="1"/>
  <c r="BH362" i="1"/>
  <c r="BI362" i="1" s="1"/>
  <c r="BK362" i="1" s="1"/>
  <c r="BF362" i="1"/>
  <c r="BG362" i="1" s="1"/>
  <c r="BH361" i="1"/>
  <c r="BI361" i="1" s="1"/>
  <c r="BK361" i="1" s="1"/>
  <c r="BF361" i="1"/>
  <c r="BG361" i="1" s="1"/>
  <c r="BH360" i="1"/>
  <c r="BI360" i="1" s="1"/>
  <c r="BK360" i="1" s="1"/>
  <c r="BF360" i="1"/>
  <c r="BG360" i="1" s="1"/>
  <c r="BH359" i="1"/>
  <c r="BI359" i="1" s="1"/>
  <c r="BK359" i="1" s="1"/>
  <c r="BF359" i="1"/>
  <c r="BG359" i="1" s="1"/>
  <c r="BH358" i="1"/>
  <c r="BI358" i="1" s="1"/>
  <c r="BK358" i="1" s="1"/>
  <c r="BF358" i="1"/>
  <c r="BG358" i="1" s="1"/>
  <c r="BH357" i="1"/>
  <c r="BI357" i="1" s="1"/>
  <c r="BK357" i="1" s="1"/>
  <c r="BF357" i="1"/>
  <c r="BG357" i="1" s="1"/>
  <c r="BH356" i="1"/>
  <c r="BI356" i="1" s="1"/>
  <c r="BK356" i="1" s="1"/>
  <c r="BF356" i="1"/>
  <c r="BG356" i="1" s="1"/>
  <c r="BH355" i="1"/>
  <c r="BI355" i="1" s="1"/>
  <c r="BK355" i="1" s="1"/>
  <c r="BF355" i="1"/>
  <c r="BG355" i="1" s="1"/>
  <c r="BH354" i="1"/>
  <c r="BI354" i="1" s="1"/>
  <c r="BK354" i="1" s="1"/>
  <c r="BF354" i="1"/>
  <c r="BG354" i="1" s="1"/>
  <c r="BH353" i="1"/>
  <c r="BI353" i="1" s="1"/>
  <c r="BK353" i="1" s="1"/>
  <c r="BF353" i="1"/>
  <c r="BG353" i="1" s="1"/>
  <c r="BH352" i="1"/>
  <c r="BI352" i="1" s="1"/>
  <c r="BK352" i="1" s="1"/>
  <c r="BF352" i="1"/>
  <c r="BG352" i="1" s="1"/>
  <c r="BH351" i="1"/>
  <c r="BI351" i="1" s="1"/>
  <c r="BK351" i="1" s="1"/>
  <c r="BF351" i="1"/>
  <c r="BG351" i="1" s="1"/>
  <c r="BH350" i="1"/>
  <c r="BI350" i="1" s="1"/>
  <c r="BK350" i="1" s="1"/>
  <c r="BF350" i="1"/>
  <c r="BG350" i="1" s="1"/>
  <c r="BH349" i="1"/>
  <c r="BI349" i="1" s="1"/>
  <c r="BK349" i="1" s="1"/>
  <c r="BF349" i="1"/>
  <c r="BG349" i="1" s="1"/>
  <c r="BH348" i="1"/>
  <c r="BI348" i="1" s="1"/>
  <c r="BK348" i="1" s="1"/>
  <c r="BF348" i="1"/>
  <c r="BG348" i="1" s="1"/>
  <c r="BH347" i="1"/>
  <c r="BI347" i="1" s="1"/>
  <c r="BK347" i="1" s="1"/>
  <c r="BF347" i="1"/>
  <c r="BG347" i="1" s="1"/>
  <c r="BH346" i="1"/>
  <c r="BI346" i="1" s="1"/>
  <c r="BK346" i="1" s="1"/>
  <c r="BF346" i="1"/>
  <c r="BG346" i="1" s="1"/>
  <c r="BH345" i="1"/>
  <c r="BI345" i="1" s="1"/>
  <c r="BK345" i="1" s="1"/>
  <c r="BF345" i="1"/>
  <c r="BG345" i="1" s="1"/>
  <c r="BH344" i="1"/>
  <c r="BI344" i="1" s="1"/>
  <c r="BK344" i="1" s="1"/>
  <c r="BF344" i="1"/>
  <c r="BG344" i="1" s="1"/>
  <c r="BH343" i="1"/>
  <c r="BI343" i="1" s="1"/>
  <c r="BK343" i="1" s="1"/>
  <c r="BF343" i="1"/>
  <c r="BG343" i="1" s="1"/>
  <c r="BH342" i="1"/>
  <c r="BI342" i="1" s="1"/>
  <c r="BK342" i="1" s="1"/>
  <c r="BF342" i="1"/>
  <c r="BG342" i="1" s="1"/>
  <c r="BH341" i="1"/>
  <c r="BI341" i="1" s="1"/>
  <c r="BK341" i="1" s="1"/>
  <c r="BF341" i="1"/>
  <c r="BG341" i="1" s="1"/>
  <c r="BH340" i="1"/>
  <c r="BI340" i="1" s="1"/>
  <c r="BK340" i="1" s="1"/>
  <c r="BF340" i="1"/>
  <c r="BG340" i="1" s="1"/>
  <c r="BH339" i="1"/>
  <c r="BI339" i="1" s="1"/>
  <c r="BK339" i="1" s="1"/>
  <c r="BF339" i="1"/>
  <c r="BG339" i="1" s="1"/>
  <c r="BH338" i="1"/>
  <c r="BI338" i="1" s="1"/>
  <c r="BK338" i="1" s="1"/>
  <c r="BF338" i="1"/>
  <c r="BG338" i="1" s="1"/>
  <c r="BH337" i="1"/>
  <c r="BI337" i="1" s="1"/>
  <c r="BK337" i="1" s="1"/>
  <c r="BF337" i="1"/>
  <c r="BG337" i="1" s="1"/>
  <c r="BH336" i="1"/>
  <c r="BI336" i="1" s="1"/>
  <c r="BK336" i="1" s="1"/>
  <c r="BF336" i="1"/>
  <c r="BG336" i="1" s="1"/>
  <c r="BH335" i="1"/>
  <c r="BI335" i="1" s="1"/>
  <c r="BK335" i="1" s="1"/>
  <c r="BF335" i="1"/>
  <c r="BG335" i="1" s="1"/>
  <c r="BH334" i="1"/>
  <c r="BI334" i="1" s="1"/>
  <c r="BK334" i="1" s="1"/>
  <c r="BF334" i="1"/>
  <c r="BG334" i="1" s="1"/>
  <c r="BH333" i="1"/>
  <c r="BI333" i="1" s="1"/>
  <c r="BK333" i="1" s="1"/>
  <c r="BF333" i="1"/>
  <c r="BG333" i="1" s="1"/>
  <c r="BH332" i="1"/>
  <c r="BI332" i="1" s="1"/>
  <c r="BK332" i="1" s="1"/>
  <c r="BF332" i="1"/>
  <c r="BG332" i="1" s="1"/>
  <c r="BH331" i="1"/>
  <c r="BI331" i="1" s="1"/>
  <c r="BK331" i="1" s="1"/>
  <c r="BF331" i="1"/>
  <c r="BG331" i="1" s="1"/>
  <c r="BH330" i="1"/>
  <c r="BI330" i="1" s="1"/>
  <c r="BK330" i="1" s="1"/>
  <c r="BF330" i="1"/>
  <c r="BG330" i="1" s="1"/>
  <c r="BH329" i="1"/>
  <c r="BI329" i="1" s="1"/>
  <c r="BK329" i="1" s="1"/>
  <c r="BF329" i="1"/>
  <c r="BG329" i="1" s="1"/>
  <c r="BH328" i="1"/>
  <c r="BI328" i="1" s="1"/>
  <c r="BK328" i="1" s="1"/>
  <c r="BF328" i="1"/>
  <c r="BG328" i="1" s="1"/>
  <c r="BH327" i="1"/>
  <c r="BI327" i="1" s="1"/>
  <c r="BK327" i="1" s="1"/>
  <c r="BF327" i="1"/>
  <c r="BG327" i="1" s="1"/>
  <c r="AZ366" i="1"/>
  <c r="AW366" i="1"/>
  <c r="AY366" i="1" s="1"/>
  <c r="AK366" i="1"/>
  <c r="AZ365" i="1"/>
  <c r="AW365" i="1"/>
  <c r="AO365" i="1" s="1"/>
  <c r="AK365" i="1"/>
  <c r="AZ364" i="1"/>
  <c r="AW364" i="1"/>
  <c r="AO364" i="1" s="1"/>
  <c r="AK364" i="1"/>
  <c r="AZ363" i="1"/>
  <c r="AW363" i="1"/>
  <c r="AY363" i="1" s="1"/>
  <c r="AK363" i="1"/>
  <c r="AZ362" i="1"/>
  <c r="AW362" i="1"/>
  <c r="AO362" i="1" s="1"/>
  <c r="AK362" i="1"/>
  <c r="AZ361" i="1"/>
  <c r="AW361" i="1"/>
  <c r="AY361" i="1" s="1"/>
  <c r="AK361" i="1"/>
  <c r="AZ360" i="1"/>
  <c r="AW360" i="1"/>
  <c r="AY360" i="1" s="1"/>
  <c r="AK360" i="1"/>
  <c r="AZ359" i="1"/>
  <c r="AW359" i="1"/>
  <c r="AO359" i="1" s="1"/>
  <c r="AK359" i="1"/>
  <c r="AZ358" i="1"/>
  <c r="AW358" i="1"/>
  <c r="AO358" i="1" s="1"/>
  <c r="AK358" i="1"/>
  <c r="AZ357" i="1"/>
  <c r="AW357" i="1"/>
  <c r="AY357" i="1" s="1"/>
  <c r="AK357" i="1"/>
  <c r="AZ356" i="1"/>
  <c r="AW356" i="1"/>
  <c r="AO356" i="1" s="1"/>
  <c r="AK356" i="1"/>
  <c r="AZ355" i="1"/>
  <c r="AW355" i="1"/>
  <c r="AY355" i="1" s="1"/>
  <c r="AZ354" i="1"/>
  <c r="AW354" i="1"/>
  <c r="AY354" i="1" s="1"/>
  <c r="AZ353" i="1"/>
  <c r="AW353" i="1"/>
  <c r="AO353" i="1" s="1"/>
  <c r="AK353" i="1"/>
  <c r="AZ352" i="1"/>
  <c r="AW352" i="1"/>
  <c r="AY352" i="1" s="1"/>
  <c r="AK352" i="1"/>
  <c r="AZ351" i="1"/>
  <c r="AW351" i="1"/>
  <c r="AY351" i="1" s="1"/>
  <c r="AK351" i="1"/>
  <c r="AZ350" i="1"/>
  <c r="AW350" i="1"/>
  <c r="AO350" i="1" s="1"/>
  <c r="AK350" i="1"/>
  <c r="AZ349" i="1"/>
  <c r="AW349" i="1"/>
  <c r="AY349" i="1" s="1"/>
  <c r="AK349" i="1"/>
  <c r="AZ348" i="1"/>
  <c r="AW348" i="1"/>
  <c r="AY348" i="1" s="1"/>
  <c r="AK348" i="1"/>
  <c r="AZ347" i="1"/>
  <c r="AW347" i="1"/>
  <c r="AO347" i="1" s="1"/>
  <c r="AK347" i="1"/>
  <c r="AZ346" i="1"/>
  <c r="AW346" i="1"/>
  <c r="AY346" i="1" s="1"/>
  <c r="AK346" i="1"/>
  <c r="AZ345" i="1"/>
  <c r="AW345" i="1"/>
  <c r="AY345" i="1" s="1"/>
  <c r="AK345" i="1"/>
  <c r="AZ344" i="1"/>
  <c r="AW344" i="1"/>
  <c r="AO344" i="1" s="1"/>
  <c r="AK344" i="1"/>
  <c r="AZ343" i="1"/>
  <c r="AW343" i="1"/>
  <c r="AO343" i="1" s="1"/>
  <c r="AK343" i="1"/>
  <c r="AZ342" i="1"/>
  <c r="AW342" i="1"/>
  <c r="AY342" i="1" s="1"/>
  <c r="AK342" i="1"/>
  <c r="AZ341" i="1"/>
  <c r="AW341" i="1"/>
  <c r="AO341" i="1" s="1"/>
  <c r="AK341" i="1"/>
  <c r="AZ340" i="1"/>
  <c r="AW340" i="1"/>
  <c r="AY340" i="1" s="1"/>
  <c r="AK340" i="1"/>
  <c r="AZ339" i="1"/>
  <c r="AW339" i="1"/>
  <c r="AY339" i="1" s="1"/>
  <c r="AZ338" i="1"/>
  <c r="AW338" i="1"/>
  <c r="AO338" i="1" s="1"/>
  <c r="AK338" i="1"/>
  <c r="AZ337" i="1"/>
  <c r="AW337" i="1"/>
  <c r="AO337" i="1" s="1"/>
  <c r="AK337" i="1"/>
  <c r="AZ336" i="1"/>
  <c r="AW336" i="1"/>
  <c r="AY336" i="1" s="1"/>
  <c r="AK336" i="1"/>
  <c r="AZ335" i="1"/>
  <c r="AW335" i="1"/>
  <c r="AO335" i="1" s="1"/>
  <c r="AR335" i="1" s="1"/>
  <c r="AS335" i="1" s="1"/>
  <c r="AZ334" i="1"/>
  <c r="AW334" i="1"/>
  <c r="AY334" i="1" s="1"/>
  <c r="AK334" i="1"/>
  <c r="AZ333" i="1"/>
  <c r="AW333" i="1"/>
  <c r="AY333" i="1" s="1"/>
  <c r="AK333" i="1"/>
  <c r="AZ332" i="1"/>
  <c r="AW332" i="1"/>
  <c r="AO332" i="1" s="1"/>
  <c r="AK332" i="1"/>
  <c r="AZ331" i="1"/>
  <c r="AW331" i="1"/>
  <c r="AY331" i="1" s="1"/>
  <c r="AK331" i="1"/>
  <c r="AZ330" i="1"/>
  <c r="AW330" i="1"/>
  <c r="AY330" i="1" s="1"/>
  <c r="AK330" i="1"/>
  <c r="AZ329" i="1"/>
  <c r="AW329" i="1"/>
  <c r="AO329" i="1" s="1"/>
  <c r="AK329" i="1"/>
  <c r="AZ328" i="1"/>
  <c r="AW328" i="1"/>
  <c r="AY328" i="1" s="1"/>
  <c r="AK328" i="1"/>
  <c r="AZ327" i="1"/>
  <c r="AW327" i="1"/>
  <c r="AY327" i="1" s="1"/>
  <c r="AK32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O345" i="1" l="1"/>
  <c r="AR345" i="1" s="1"/>
  <c r="AS345" i="1" s="1"/>
  <c r="AR362" i="1"/>
  <c r="AS362" i="1" s="1"/>
  <c r="AR329" i="1"/>
  <c r="AS329" i="1" s="1"/>
  <c r="BA333" i="1"/>
  <c r="BA345" i="1"/>
  <c r="AO334" i="1"/>
  <c r="BM334" i="1" s="1"/>
  <c r="AO352" i="1"/>
  <c r="BM352" i="1" s="1"/>
  <c r="BA361" i="1"/>
  <c r="BM350" i="1"/>
  <c r="AO366" i="1"/>
  <c r="AR366" i="1" s="1"/>
  <c r="AR344" i="1"/>
  <c r="AS344" i="1" s="1"/>
  <c r="AO351" i="1"/>
  <c r="AR351" i="1" s="1"/>
  <c r="AO328" i="1"/>
  <c r="BM328" i="1" s="1"/>
  <c r="AR332" i="1"/>
  <c r="AS332" i="1" s="1"/>
  <c r="BA340" i="1"/>
  <c r="BA351" i="1"/>
  <c r="BA328" i="1"/>
  <c r="AO348" i="1"/>
  <c r="BM348" i="1" s="1"/>
  <c r="AO355" i="1"/>
  <c r="AR355" i="1" s="1"/>
  <c r="AR359" i="1"/>
  <c r="AS359" i="1" s="1"/>
  <c r="AO330" i="1"/>
  <c r="AR330" i="1" s="1"/>
  <c r="AO342" i="1"/>
  <c r="AR342" i="1" s="1"/>
  <c r="BM343" i="1"/>
  <c r="BM347" i="1"/>
  <c r="BM337" i="1"/>
  <c r="BA348" i="1"/>
  <c r="BA355" i="1"/>
  <c r="BA354" i="1"/>
  <c r="AR358" i="1"/>
  <c r="AS358" i="1" s="1"/>
  <c r="BA327" i="1"/>
  <c r="BA342" i="1"/>
  <c r="AR353" i="1"/>
  <c r="AS353" i="1" s="1"/>
  <c r="BA346" i="1"/>
  <c r="BA331" i="1"/>
  <c r="BA339" i="1"/>
  <c r="AR343" i="1"/>
  <c r="AS343" i="1" s="1"/>
  <c r="AO361" i="1"/>
  <c r="AR361" i="1" s="1"/>
  <c r="AR365" i="1"/>
  <c r="AS365" i="1" s="1"/>
  <c r="BM332" i="1"/>
  <c r="BM341" i="1"/>
  <c r="AO349" i="1"/>
  <c r="AR349" i="1" s="1"/>
  <c r="BA352" i="1"/>
  <c r="BM356" i="1"/>
  <c r="AO363" i="1"/>
  <c r="AR363" i="1" s="1"/>
  <c r="BM338" i="1"/>
  <c r="AO339" i="1"/>
  <c r="BM339" i="1" s="1"/>
  <c r="AO346" i="1"/>
  <c r="AR346" i="1" s="1"/>
  <c r="BA349" i="1"/>
  <c r="AO336" i="1"/>
  <c r="AR336" i="1" s="1"/>
  <c r="BM362" i="1"/>
  <c r="AR337" i="1"/>
  <c r="AS337" i="1" s="1"/>
  <c r="AO333" i="1"/>
  <c r="AR333" i="1" s="1"/>
  <c r="BA336" i="1"/>
  <c r="AR347" i="1"/>
  <c r="AO357" i="1"/>
  <c r="BM357" i="1" s="1"/>
  <c r="AY341" i="1"/>
  <c r="BA341" i="1" s="1"/>
  <c r="BM365" i="1"/>
  <c r="BM335" i="1"/>
  <c r="BM353" i="1"/>
  <c r="AO327" i="1"/>
  <c r="BM327" i="1" s="1"/>
  <c r="BA330" i="1"/>
  <c r="AO340" i="1"/>
  <c r="BM340" i="1" s="1"/>
  <c r="AR350" i="1"/>
  <c r="AO360" i="1"/>
  <c r="BM360" i="1" s="1"/>
  <c r="BA363" i="1"/>
  <c r="BA366" i="1"/>
  <c r="BM358" i="1"/>
  <c r="BA360" i="1"/>
  <c r="BM329" i="1"/>
  <c r="BM344" i="1"/>
  <c r="AY364" i="1"/>
  <c r="BA364" i="1" s="1"/>
  <c r="BP335" i="1"/>
  <c r="AR364" i="1"/>
  <c r="BM359" i="1"/>
  <c r="AO331" i="1"/>
  <c r="BM331" i="1" s="1"/>
  <c r="BA334" i="1"/>
  <c r="AR338" i="1"/>
  <c r="AR341" i="1"/>
  <c r="AO354" i="1"/>
  <c r="AR354" i="1" s="1"/>
  <c r="AS354" i="1" s="1"/>
  <c r="BA357" i="1"/>
  <c r="BM364" i="1"/>
  <c r="AY356" i="1"/>
  <c r="BA356" i="1" s="1"/>
  <c r="AY335" i="1"/>
  <c r="BA335" i="1" s="1"/>
  <c r="AY350" i="1"/>
  <c r="BA350" i="1" s="1"/>
  <c r="AY359" i="1"/>
  <c r="BA359" i="1" s="1"/>
  <c r="AY338" i="1"/>
  <c r="BA338" i="1" s="1"/>
  <c r="AY353" i="1"/>
  <c r="BA353" i="1" s="1"/>
  <c r="AY343" i="1"/>
  <c r="BA343" i="1" s="1"/>
  <c r="AY358" i="1"/>
  <c r="BA358" i="1" s="1"/>
  <c r="AY329" i="1"/>
  <c r="BA329" i="1" s="1"/>
  <c r="AY337" i="1"/>
  <c r="BA337" i="1" s="1"/>
  <c r="AY365" i="1"/>
  <c r="BA365" i="1" s="1"/>
  <c r="AY344" i="1"/>
  <c r="BA344" i="1" s="1"/>
  <c r="AY332" i="1"/>
  <c r="BA332" i="1" s="1"/>
  <c r="AY347" i="1"/>
  <c r="BA347" i="1" s="1"/>
  <c r="AR356" i="1"/>
  <c r="AY362" i="1"/>
  <c r="BA362" i="1" s="1"/>
  <c r="AL326" i="1"/>
  <c r="AL324" i="1"/>
  <c r="AL323" i="1"/>
  <c r="AL321" i="1"/>
  <c r="BM345" i="1" l="1"/>
  <c r="BP362" i="1"/>
  <c r="BP329" i="1"/>
  <c r="BP332" i="1"/>
  <c r="BP359" i="1"/>
  <c r="BM351" i="1"/>
  <c r="AR334" i="1"/>
  <c r="AS334" i="1" s="1"/>
  <c r="AR352" i="1"/>
  <c r="BP352" i="1" s="1"/>
  <c r="BM366" i="1"/>
  <c r="AR328" i="1"/>
  <c r="BP328" i="1" s="1"/>
  <c r="BM330" i="1"/>
  <c r="BP358" i="1"/>
  <c r="BP344" i="1"/>
  <c r="AS366" i="1"/>
  <c r="BP366" i="1"/>
  <c r="AR360" i="1"/>
  <c r="AS360" i="1" s="1"/>
  <c r="AS355" i="1"/>
  <c r="BP355" i="1"/>
  <c r="BM355" i="1"/>
  <c r="BM336" i="1"/>
  <c r="AR348" i="1"/>
  <c r="BP343" i="1"/>
  <c r="BM361" i="1"/>
  <c r="AS342" i="1"/>
  <c r="BP342" i="1"/>
  <c r="AS330" i="1"/>
  <c r="BP330" i="1"/>
  <c r="BM342" i="1"/>
  <c r="BP345" i="1"/>
  <c r="BM363" i="1"/>
  <c r="AR357" i="1"/>
  <c r="BP357" i="1" s="1"/>
  <c r="BM349" i="1"/>
  <c r="BP353" i="1"/>
  <c r="BP365" i="1"/>
  <c r="AR327" i="1"/>
  <c r="AS327" i="1" s="1"/>
  <c r="AR331" i="1"/>
  <c r="BP331" i="1" s="1"/>
  <c r="AS346" i="1"/>
  <c r="BP346" i="1"/>
  <c r="AS333" i="1"/>
  <c r="BP333" i="1"/>
  <c r="AS349" i="1"/>
  <c r="BP349" i="1"/>
  <c r="AS336" i="1"/>
  <c r="BP336" i="1"/>
  <c r="AS363" i="1"/>
  <c r="BP363" i="1"/>
  <c r="AR339" i="1"/>
  <c r="AS339" i="1" s="1"/>
  <c r="BP337" i="1"/>
  <c r="BM333" i="1"/>
  <c r="BM346" i="1"/>
  <c r="AS347" i="1"/>
  <c r="BP347" i="1"/>
  <c r="AS364" i="1"/>
  <c r="BP364" i="1"/>
  <c r="AS350" i="1"/>
  <c r="BP350" i="1"/>
  <c r="AS351" i="1"/>
  <c r="BP351" i="1"/>
  <c r="AS341" i="1"/>
  <c r="BP341" i="1"/>
  <c r="AS338" i="1"/>
  <c r="BP338" i="1"/>
  <c r="AR340" i="1"/>
  <c r="BM354" i="1"/>
  <c r="AS361" i="1"/>
  <c r="BP361" i="1"/>
  <c r="BP354" i="1"/>
  <c r="AS356" i="1"/>
  <c r="BP356" i="1"/>
  <c r="AL318" i="1"/>
  <c r="AL312" i="1"/>
  <c r="AS352" i="1" l="1"/>
  <c r="BP334" i="1"/>
  <c r="AS328" i="1"/>
  <c r="AS331" i="1"/>
  <c r="AS357" i="1"/>
  <c r="BP360" i="1"/>
  <c r="AS348" i="1"/>
  <c r="BP348" i="1"/>
  <c r="BP327" i="1"/>
  <c r="BP339" i="1"/>
  <c r="AS340" i="1"/>
  <c r="BP340" i="1"/>
  <c r="AL307" i="1"/>
  <c r="AL299" i="1"/>
  <c r="AL298" i="1"/>
  <c r="AL29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6" i="1"/>
  <c r="AK304" i="1"/>
  <c r="AK303" i="1"/>
  <c r="AK302" i="1"/>
  <c r="AK301" i="1"/>
  <c r="AK300" i="1"/>
  <c r="AK299" i="1"/>
  <c r="AK298" i="1"/>
  <c r="AK297" i="1"/>
  <c r="BH326" i="1" l="1"/>
  <c r="BI326" i="1" s="1"/>
  <c r="BK326" i="1" s="1"/>
  <c r="BF326" i="1"/>
  <c r="BG326" i="1" s="1"/>
  <c r="BH325" i="1"/>
  <c r="BI325" i="1" s="1"/>
  <c r="BK325" i="1" s="1"/>
  <c r="BF325" i="1"/>
  <c r="BG325" i="1" s="1"/>
  <c r="BH324" i="1"/>
  <c r="BI324" i="1" s="1"/>
  <c r="BK324" i="1" s="1"/>
  <c r="BF324" i="1"/>
  <c r="BG324" i="1" s="1"/>
  <c r="BH323" i="1"/>
  <c r="BI323" i="1" s="1"/>
  <c r="BK323" i="1" s="1"/>
  <c r="BF323" i="1"/>
  <c r="BG323" i="1" s="1"/>
  <c r="BH322" i="1"/>
  <c r="BI322" i="1" s="1"/>
  <c r="BK322" i="1" s="1"/>
  <c r="BF322" i="1"/>
  <c r="BG322" i="1" s="1"/>
  <c r="BH321" i="1"/>
  <c r="BI321" i="1" s="1"/>
  <c r="BK321" i="1" s="1"/>
  <c r="BF321" i="1"/>
  <c r="BG321" i="1" s="1"/>
  <c r="BH320" i="1"/>
  <c r="BI320" i="1" s="1"/>
  <c r="BK320" i="1" s="1"/>
  <c r="BF320" i="1"/>
  <c r="BG320" i="1" s="1"/>
  <c r="BH319" i="1"/>
  <c r="BI319" i="1" s="1"/>
  <c r="BK319" i="1" s="1"/>
  <c r="BF319" i="1"/>
  <c r="BG319" i="1" s="1"/>
  <c r="BH318" i="1"/>
  <c r="BI318" i="1" s="1"/>
  <c r="BK318" i="1" s="1"/>
  <c r="BF318" i="1"/>
  <c r="BG318" i="1" s="1"/>
  <c r="BH317" i="1"/>
  <c r="BI317" i="1" s="1"/>
  <c r="BK317" i="1" s="1"/>
  <c r="BF317" i="1"/>
  <c r="BG317" i="1" s="1"/>
  <c r="BH316" i="1"/>
  <c r="BI316" i="1" s="1"/>
  <c r="BK316" i="1" s="1"/>
  <c r="BF316" i="1"/>
  <c r="BG316" i="1" s="1"/>
  <c r="BH315" i="1"/>
  <c r="BI315" i="1" s="1"/>
  <c r="BK315" i="1" s="1"/>
  <c r="BF315" i="1"/>
  <c r="BG315" i="1" s="1"/>
  <c r="BH314" i="1"/>
  <c r="BI314" i="1" s="1"/>
  <c r="BK314" i="1" s="1"/>
  <c r="BF314" i="1"/>
  <c r="BG314" i="1" s="1"/>
  <c r="BH313" i="1"/>
  <c r="BI313" i="1" s="1"/>
  <c r="BK313" i="1" s="1"/>
  <c r="BF313" i="1"/>
  <c r="BG313" i="1" s="1"/>
  <c r="BH312" i="1"/>
  <c r="BI312" i="1" s="1"/>
  <c r="BK312" i="1" s="1"/>
  <c r="BF312" i="1"/>
  <c r="BG312" i="1" s="1"/>
  <c r="BH311" i="1"/>
  <c r="BI311" i="1" s="1"/>
  <c r="BK311" i="1" s="1"/>
  <c r="BF311" i="1"/>
  <c r="BG311" i="1" s="1"/>
  <c r="BH310" i="1"/>
  <c r="BI310" i="1" s="1"/>
  <c r="BK310" i="1" s="1"/>
  <c r="BF310" i="1"/>
  <c r="BG310" i="1" s="1"/>
  <c r="BH309" i="1"/>
  <c r="BI309" i="1" s="1"/>
  <c r="BK309" i="1" s="1"/>
  <c r="BF309" i="1"/>
  <c r="BG309" i="1" s="1"/>
  <c r="BH308" i="1"/>
  <c r="BI308" i="1" s="1"/>
  <c r="BK308" i="1" s="1"/>
  <c r="BF308" i="1"/>
  <c r="BG308" i="1" s="1"/>
  <c r="BH307" i="1"/>
  <c r="BI307" i="1" s="1"/>
  <c r="BK307" i="1" s="1"/>
  <c r="BF307" i="1"/>
  <c r="BG307" i="1" s="1"/>
  <c r="BH306" i="1"/>
  <c r="BI306" i="1" s="1"/>
  <c r="BK306" i="1" s="1"/>
  <c r="BF306" i="1"/>
  <c r="BG306" i="1" s="1"/>
  <c r="BH305" i="1"/>
  <c r="BI305" i="1" s="1"/>
  <c r="BK305" i="1" s="1"/>
  <c r="BF305" i="1"/>
  <c r="BG305" i="1" s="1"/>
  <c r="BH304" i="1"/>
  <c r="BI304" i="1" s="1"/>
  <c r="BK304" i="1" s="1"/>
  <c r="BF304" i="1"/>
  <c r="BG304" i="1" s="1"/>
  <c r="BH303" i="1"/>
  <c r="BI303" i="1" s="1"/>
  <c r="BK303" i="1" s="1"/>
  <c r="BF303" i="1"/>
  <c r="BG303" i="1" s="1"/>
  <c r="AZ326" i="1"/>
  <c r="AW326" i="1"/>
  <c r="AZ325" i="1"/>
  <c r="AW325" i="1"/>
  <c r="AO325" i="1" s="1"/>
  <c r="AR325" i="1" s="1"/>
  <c r="AZ324" i="1"/>
  <c r="AW324" i="1"/>
  <c r="AZ323" i="1"/>
  <c r="AW323" i="1"/>
  <c r="AZ322" i="1"/>
  <c r="AW322" i="1"/>
  <c r="AO322" i="1" s="1"/>
  <c r="AR322" i="1" s="1"/>
  <c r="AS322" i="1" s="1"/>
  <c r="AZ321" i="1"/>
  <c r="AW321" i="1"/>
  <c r="AZ320" i="1"/>
  <c r="AW320" i="1"/>
  <c r="AZ319" i="1"/>
  <c r="AW319" i="1"/>
  <c r="AO319" i="1" s="1"/>
  <c r="AR319" i="1" s="1"/>
  <c r="AS319" i="1" s="1"/>
  <c r="AZ318" i="1"/>
  <c r="AW318" i="1"/>
  <c r="AZ317" i="1"/>
  <c r="AW317" i="1"/>
  <c r="AZ316" i="1"/>
  <c r="AW316" i="1"/>
  <c r="AO316" i="1" s="1"/>
  <c r="AR316" i="1" s="1"/>
  <c r="AS316" i="1" s="1"/>
  <c r="AZ315" i="1"/>
  <c r="AW315" i="1"/>
  <c r="AZ314" i="1"/>
  <c r="AW314" i="1"/>
  <c r="AZ313" i="1"/>
  <c r="AW313" i="1"/>
  <c r="AO313" i="1" s="1"/>
  <c r="AR313" i="1" s="1"/>
  <c r="AS313" i="1" s="1"/>
  <c r="AZ312" i="1"/>
  <c r="AW312" i="1"/>
  <c r="AZ311" i="1"/>
  <c r="AW311" i="1"/>
  <c r="AZ310" i="1"/>
  <c r="AW310" i="1"/>
  <c r="AZ309" i="1"/>
  <c r="AW309" i="1"/>
  <c r="AZ308" i="1"/>
  <c r="AW308" i="1"/>
  <c r="AZ307" i="1"/>
  <c r="AW307" i="1"/>
  <c r="AO307" i="1" s="1"/>
  <c r="AR307" i="1" s="1"/>
  <c r="AS307" i="1" s="1"/>
  <c r="AZ306" i="1"/>
  <c r="AW306" i="1"/>
  <c r="AZ305" i="1"/>
  <c r="AW305" i="1"/>
  <c r="AZ304" i="1"/>
  <c r="AW304" i="1"/>
  <c r="AO304" i="1" s="1"/>
  <c r="AR304" i="1" s="1"/>
  <c r="AS304" i="1" s="1"/>
  <c r="AZ303" i="1"/>
  <c r="AW303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BM307" i="1" l="1"/>
  <c r="BM313" i="1"/>
  <c r="BM319" i="1"/>
  <c r="BM325" i="1"/>
  <c r="AS325" i="1"/>
  <c r="BP325" i="1"/>
  <c r="BM322" i="1"/>
  <c r="AY305" i="1"/>
  <c r="BA305" i="1" s="1"/>
  <c r="AO305" i="1"/>
  <c r="AY321" i="1"/>
  <c r="BA321" i="1" s="1"/>
  <c r="AO321" i="1"/>
  <c r="AR321" i="1" s="1"/>
  <c r="AS321" i="1" s="1"/>
  <c r="AY312" i="1"/>
  <c r="BA312" i="1" s="1"/>
  <c r="AO312" i="1"/>
  <c r="AR312" i="1" s="1"/>
  <c r="AS312" i="1" s="1"/>
  <c r="AY303" i="1"/>
  <c r="BA303" i="1" s="1"/>
  <c r="AO303" i="1"/>
  <c r="AR303" i="1" s="1"/>
  <c r="AS303" i="1" s="1"/>
  <c r="AY314" i="1"/>
  <c r="BA314" i="1" s="1"/>
  <c r="AO314" i="1"/>
  <c r="AY317" i="1"/>
  <c r="BA317" i="1" s="1"/>
  <c r="AO317" i="1"/>
  <c r="AR317" i="1" s="1"/>
  <c r="AS317" i="1" s="1"/>
  <c r="AY318" i="1"/>
  <c r="BA318" i="1" s="1"/>
  <c r="AO318" i="1"/>
  <c r="AR318" i="1" s="1"/>
  <c r="AS318" i="1" s="1"/>
  <c r="AY323" i="1"/>
  <c r="BA323" i="1" s="1"/>
  <c r="AO323" i="1"/>
  <c r="AR323" i="1" s="1"/>
  <c r="AS323" i="1" s="1"/>
  <c r="AY324" i="1"/>
  <c r="BA324" i="1" s="1"/>
  <c r="AO324" i="1"/>
  <c r="AR324" i="1" s="1"/>
  <c r="AY311" i="1"/>
  <c r="BA311" i="1" s="1"/>
  <c r="AO311" i="1"/>
  <c r="AR311" i="1" s="1"/>
  <c r="AS311" i="1" s="1"/>
  <c r="AY309" i="1"/>
  <c r="BA309" i="1" s="1"/>
  <c r="AO309" i="1"/>
  <c r="AR309" i="1" s="1"/>
  <c r="AS309" i="1" s="1"/>
  <c r="AY306" i="1"/>
  <c r="BA306" i="1" s="1"/>
  <c r="AO306" i="1"/>
  <c r="AY308" i="1"/>
  <c r="BA308" i="1" s="1"/>
  <c r="AO308" i="1"/>
  <c r="AR308" i="1" s="1"/>
  <c r="AS308" i="1" s="1"/>
  <c r="AY315" i="1"/>
  <c r="BA315" i="1" s="1"/>
  <c r="AO315" i="1"/>
  <c r="AY320" i="1"/>
  <c r="BA320" i="1" s="1"/>
  <c r="AO320" i="1"/>
  <c r="AY326" i="1"/>
  <c r="BA326" i="1" s="1"/>
  <c r="AO326" i="1"/>
  <c r="AR326" i="1" s="1"/>
  <c r="AS326" i="1" s="1"/>
  <c r="AO310" i="1"/>
  <c r="AR310" i="1" s="1"/>
  <c r="AS310" i="1" s="1"/>
  <c r="BP304" i="1"/>
  <c r="BP316" i="1"/>
  <c r="BM304" i="1"/>
  <c r="BM316" i="1"/>
  <c r="AY304" i="1"/>
  <c r="BA304" i="1" s="1"/>
  <c r="AY313" i="1"/>
  <c r="BA313" i="1" s="1"/>
  <c r="AY316" i="1"/>
  <c r="BA316" i="1" s="1"/>
  <c r="AY307" i="1"/>
  <c r="BA307" i="1" s="1"/>
  <c r="AY310" i="1"/>
  <c r="BA310" i="1" s="1"/>
  <c r="AY319" i="1"/>
  <c r="BA319" i="1" s="1"/>
  <c r="AY322" i="1"/>
  <c r="BA322" i="1" s="1"/>
  <c r="AY325" i="1"/>
  <c r="BA325" i="1" s="1"/>
  <c r="AL296" i="1"/>
  <c r="AL295" i="1"/>
  <c r="AL294" i="1"/>
  <c r="AL293" i="1"/>
  <c r="AL292" i="1"/>
  <c r="AL290" i="1"/>
  <c r="AL289" i="1"/>
  <c r="AL288" i="1"/>
  <c r="BM317" i="1" l="1"/>
  <c r="BM309" i="1"/>
  <c r="BP317" i="1"/>
  <c r="BM318" i="1"/>
  <c r="BP308" i="1"/>
  <c r="BM310" i="1"/>
  <c r="BM308" i="1"/>
  <c r="BM324" i="1"/>
  <c r="BP311" i="1"/>
  <c r="BM321" i="1"/>
  <c r="BM303" i="1"/>
  <c r="BM320" i="1"/>
  <c r="AR320" i="1"/>
  <c r="AS320" i="1" s="1"/>
  <c r="BM305" i="1"/>
  <c r="AR305" i="1"/>
  <c r="AS324" i="1"/>
  <c r="BP324" i="1"/>
  <c r="BM312" i="1"/>
  <c r="AR315" i="1"/>
  <c r="BM315" i="1"/>
  <c r="BM323" i="1"/>
  <c r="BP321" i="1"/>
  <c r="BM311" i="1"/>
  <c r="AR306" i="1"/>
  <c r="AS306" i="1" s="1"/>
  <c r="BM306" i="1"/>
  <c r="BP318" i="1"/>
  <c r="AR314" i="1"/>
  <c r="BM314" i="1"/>
  <c r="BM326" i="1"/>
  <c r="BP319" i="1"/>
  <c r="BP313" i="1"/>
  <c r="BP322" i="1"/>
  <c r="BP323" i="1"/>
  <c r="BP310" i="1"/>
  <c r="BP326" i="1"/>
  <c r="BP309" i="1"/>
  <c r="BP307" i="1"/>
  <c r="BH302" i="1"/>
  <c r="BI302" i="1" s="1"/>
  <c r="BK302" i="1" s="1"/>
  <c r="BF302" i="1"/>
  <c r="BG302" i="1" s="1"/>
  <c r="AZ302" i="1"/>
  <c r="AW302" i="1"/>
  <c r="AO302" i="1" s="1"/>
  <c r="AR302" i="1" s="1"/>
  <c r="AS302" i="1" s="1"/>
  <c r="AD302" i="1"/>
  <c r="BH301" i="1"/>
  <c r="BI301" i="1" s="1"/>
  <c r="BK301" i="1" s="1"/>
  <c r="BF301" i="1"/>
  <c r="BG301" i="1" s="1"/>
  <c r="AZ301" i="1"/>
  <c r="AW301" i="1"/>
  <c r="AD301" i="1"/>
  <c r="BH300" i="1"/>
  <c r="BI300" i="1" s="1"/>
  <c r="BK300" i="1" s="1"/>
  <c r="BF300" i="1"/>
  <c r="BG300" i="1" s="1"/>
  <c r="AZ300" i="1"/>
  <c r="AW300" i="1"/>
  <c r="AO300" i="1" s="1"/>
  <c r="AR300" i="1" s="1"/>
  <c r="AS300" i="1" s="1"/>
  <c r="AD300" i="1"/>
  <c r="BH299" i="1"/>
  <c r="BI299" i="1" s="1"/>
  <c r="BK299" i="1" s="1"/>
  <c r="BF299" i="1"/>
  <c r="BG299" i="1" s="1"/>
  <c r="AZ299" i="1"/>
  <c r="AW299" i="1"/>
  <c r="AD299" i="1"/>
  <c r="BH298" i="1"/>
  <c r="BI298" i="1" s="1"/>
  <c r="BK298" i="1" s="1"/>
  <c r="BF298" i="1"/>
  <c r="BG298" i="1" s="1"/>
  <c r="AZ298" i="1"/>
  <c r="AW298" i="1"/>
  <c r="AD298" i="1"/>
  <c r="BH297" i="1"/>
  <c r="BI297" i="1" s="1"/>
  <c r="BK297" i="1" s="1"/>
  <c r="BF297" i="1"/>
  <c r="BG297" i="1" s="1"/>
  <c r="AZ297" i="1"/>
  <c r="AW297" i="1"/>
  <c r="AD297" i="1"/>
  <c r="BH296" i="1"/>
  <c r="BI296" i="1" s="1"/>
  <c r="BK296" i="1" s="1"/>
  <c r="BF296" i="1"/>
  <c r="BG296" i="1" s="1"/>
  <c r="AZ296" i="1"/>
  <c r="AW296" i="1"/>
  <c r="AY296" i="1" s="1"/>
  <c r="AK296" i="1"/>
  <c r="AD296" i="1"/>
  <c r="BH295" i="1"/>
  <c r="BI295" i="1" s="1"/>
  <c r="BK295" i="1" s="1"/>
  <c r="BF295" i="1"/>
  <c r="BG295" i="1" s="1"/>
  <c r="AZ295" i="1"/>
  <c r="AW295" i="1"/>
  <c r="AY295" i="1" s="1"/>
  <c r="AK295" i="1"/>
  <c r="AD295" i="1"/>
  <c r="BH294" i="1"/>
  <c r="BI294" i="1" s="1"/>
  <c r="BK294" i="1" s="1"/>
  <c r="BF294" i="1"/>
  <c r="BG294" i="1" s="1"/>
  <c r="AZ294" i="1"/>
  <c r="AW294" i="1"/>
  <c r="AY294" i="1" s="1"/>
  <c r="AK294" i="1"/>
  <c r="AD294" i="1"/>
  <c r="BH293" i="1"/>
  <c r="BI293" i="1" s="1"/>
  <c r="BK293" i="1" s="1"/>
  <c r="BF293" i="1"/>
  <c r="BG293" i="1" s="1"/>
  <c r="AZ293" i="1"/>
  <c r="AW293" i="1"/>
  <c r="AO293" i="1" s="1"/>
  <c r="AK293" i="1"/>
  <c r="AD293" i="1"/>
  <c r="BH292" i="1"/>
  <c r="BI292" i="1" s="1"/>
  <c r="BK292" i="1" s="1"/>
  <c r="BF292" i="1"/>
  <c r="BG292" i="1" s="1"/>
  <c r="AZ292" i="1"/>
  <c r="AW292" i="1"/>
  <c r="AY292" i="1" s="1"/>
  <c r="AK292" i="1"/>
  <c r="AD292" i="1"/>
  <c r="BH291" i="1"/>
  <c r="BI291" i="1" s="1"/>
  <c r="BK291" i="1" s="1"/>
  <c r="BF291" i="1"/>
  <c r="BG291" i="1" s="1"/>
  <c r="AZ291" i="1"/>
  <c r="AW291" i="1"/>
  <c r="AY291" i="1" s="1"/>
  <c r="AK291" i="1"/>
  <c r="AD291" i="1"/>
  <c r="BH290" i="1"/>
  <c r="BI290" i="1" s="1"/>
  <c r="BK290" i="1" s="1"/>
  <c r="AT290" i="1" s="1"/>
  <c r="BO290" i="1" s="1"/>
  <c r="BF290" i="1"/>
  <c r="BG290" i="1" s="1"/>
  <c r="AZ290" i="1"/>
  <c r="AW290" i="1"/>
  <c r="AY290" i="1" s="1"/>
  <c r="AK290" i="1"/>
  <c r="AD290" i="1"/>
  <c r="BH289" i="1"/>
  <c r="BI289" i="1" s="1"/>
  <c r="BK289" i="1" s="1"/>
  <c r="AT289" i="1" s="1"/>
  <c r="BO289" i="1" s="1"/>
  <c r="BF289" i="1"/>
  <c r="BG289" i="1" s="1"/>
  <c r="AZ289" i="1"/>
  <c r="AW289" i="1"/>
  <c r="AY289" i="1" s="1"/>
  <c r="AD289" i="1"/>
  <c r="BH288" i="1"/>
  <c r="BI288" i="1" s="1"/>
  <c r="BK288" i="1" s="1"/>
  <c r="AT288" i="1" s="1"/>
  <c r="BO288" i="1" s="1"/>
  <c r="BF288" i="1"/>
  <c r="BG288" i="1" s="1"/>
  <c r="AZ288" i="1"/>
  <c r="AW288" i="1"/>
  <c r="AY288" i="1" s="1"/>
  <c r="AK288" i="1"/>
  <c r="AD288" i="1"/>
  <c r="AR293" i="1" l="1"/>
  <c r="BP293" i="1" s="1"/>
  <c r="BA289" i="1"/>
  <c r="AO291" i="1"/>
  <c r="AR291" i="1" s="1"/>
  <c r="BP291" i="1" s="1"/>
  <c r="BP320" i="1"/>
  <c r="BA294" i="1"/>
  <c r="BA291" i="1"/>
  <c r="BP306" i="1"/>
  <c r="AY298" i="1"/>
  <c r="BA298" i="1" s="1"/>
  <c r="AO298" i="1"/>
  <c r="AR298" i="1" s="1"/>
  <c r="AS298" i="1" s="1"/>
  <c r="AS314" i="1"/>
  <c r="BP314" i="1"/>
  <c r="AS305" i="1"/>
  <c r="BP305" i="1"/>
  <c r="AS315" i="1"/>
  <c r="BP315" i="1"/>
  <c r="AY301" i="1"/>
  <c r="BA301" i="1" s="1"/>
  <c r="AO301" i="1"/>
  <c r="AR301" i="1" s="1"/>
  <c r="AS301" i="1" s="1"/>
  <c r="AY299" i="1"/>
  <c r="BA299" i="1" s="1"/>
  <c r="AO299" i="1"/>
  <c r="AR299" i="1" s="1"/>
  <c r="AS299" i="1" s="1"/>
  <c r="AY297" i="1"/>
  <c r="BA297" i="1" s="1"/>
  <c r="AO297" i="1"/>
  <c r="AR297" i="1" s="1"/>
  <c r="AS297" i="1" s="1"/>
  <c r="BP303" i="1"/>
  <c r="BP312" i="1"/>
  <c r="BA296" i="1"/>
  <c r="BA288" i="1"/>
  <c r="BA292" i="1"/>
  <c r="AO295" i="1"/>
  <c r="AR295" i="1" s="1"/>
  <c r="AO292" i="1"/>
  <c r="AR292" i="1" s="1"/>
  <c r="AO294" i="1"/>
  <c r="BM294" i="1" s="1"/>
  <c r="BA295" i="1"/>
  <c r="BM302" i="1"/>
  <c r="BA290" i="1"/>
  <c r="AO296" i="1"/>
  <c r="AO290" i="1"/>
  <c r="BM290" i="1" s="1"/>
  <c r="AO288" i="1"/>
  <c r="AR288" i="1" s="1"/>
  <c r="BM300" i="1"/>
  <c r="BP302" i="1"/>
  <c r="AO289" i="1"/>
  <c r="AY302" i="1"/>
  <c r="BA302" i="1" s="1"/>
  <c r="AY300" i="1"/>
  <c r="BA300" i="1" s="1"/>
  <c r="AY293" i="1"/>
  <c r="BA293" i="1" s="1"/>
  <c r="BM293" i="1"/>
  <c r="AN286" i="1"/>
  <c r="BM291" i="1" l="1"/>
  <c r="AS293" i="1"/>
  <c r="BM292" i="1"/>
  <c r="BM297" i="1"/>
  <c r="BM299" i="1"/>
  <c r="BM295" i="1"/>
  <c r="BM301" i="1"/>
  <c r="AS291" i="1"/>
  <c r="AR294" i="1"/>
  <c r="AS294" i="1" s="1"/>
  <c r="AR290" i="1"/>
  <c r="BP290" i="1" s="1"/>
  <c r="BP295" i="1"/>
  <c r="AS295" i="1"/>
  <c r="BP299" i="1"/>
  <c r="AR296" i="1"/>
  <c r="BM296" i="1"/>
  <c r="BM288" i="1"/>
  <c r="BP288" i="1"/>
  <c r="AS288" i="1"/>
  <c r="AR289" i="1"/>
  <c r="BM289" i="1"/>
  <c r="BP297" i="1"/>
  <c r="BM298" i="1"/>
  <c r="BP300" i="1"/>
  <c r="BP292" i="1"/>
  <c r="AS292" i="1"/>
  <c r="AL286" i="1"/>
  <c r="AN285" i="1"/>
  <c r="AL285" i="1"/>
  <c r="AL284" i="1"/>
  <c r="AL283" i="1"/>
  <c r="AN283" i="1"/>
  <c r="AL282" i="1"/>
  <c r="AL281" i="1"/>
  <c r="AL280" i="1"/>
  <c r="AL279" i="1"/>
  <c r="AL274" i="1"/>
  <c r="BP294" i="1" l="1"/>
  <c r="AS290" i="1"/>
  <c r="BP301" i="1"/>
  <c r="BP296" i="1"/>
  <c r="AS296" i="1"/>
  <c r="BP298" i="1"/>
  <c r="AS289" i="1"/>
  <c r="BP289" i="1"/>
  <c r="AL273" i="1"/>
  <c r="AN272" i="1"/>
  <c r="AL272" i="1"/>
  <c r="BH287" i="1" l="1"/>
  <c r="BI287" i="1" s="1"/>
  <c r="BK287" i="1" s="1"/>
  <c r="BF287" i="1"/>
  <c r="BG287" i="1" s="1"/>
  <c r="BH286" i="1"/>
  <c r="BI286" i="1" s="1"/>
  <c r="BK286" i="1" s="1"/>
  <c r="BF286" i="1"/>
  <c r="BG286" i="1" s="1"/>
  <c r="BH285" i="1"/>
  <c r="BI285" i="1" s="1"/>
  <c r="BK285" i="1" s="1"/>
  <c r="BF285" i="1"/>
  <c r="BG285" i="1" s="1"/>
  <c r="BH284" i="1"/>
  <c r="BI284" i="1" s="1"/>
  <c r="BK284" i="1" s="1"/>
  <c r="BF284" i="1"/>
  <c r="BG284" i="1" s="1"/>
  <c r="BH283" i="1"/>
  <c r="BI283" i="1" s="1"/>
  <c r="BK283" i="1" s="1"/>
  <c r="BF283" i="1"/>
  <c r="BG283" i="1" s="1"/>
  <c r="BH282" i="1"/>
  <c r="BI282" i="1" s="1"/>
  <c r="BK282" i="1" s="1"/>
  <c r="BF282" i="1"/>
  <c r="BG282" i="1" s="1"/>
  <c r="BH281" i="1"/>
  <c r="BI281" i="1" s="1"/>
  <c r="BK281" i="1" s="1"/>
  <c r="BF281" i="1"/>
  <c r="BG281" i="1" s="1"/>
  <c r="BH280" i="1"/>
  <c r="BI280" i="1" s="1"/>
  <c r="BK280" i="1" s="1"/>
  <c r="BF280" i="1"/>
  <c r="BG280" i="1" s="1"/>
  <c r="BH279" i="1"/>
  <c r="BI279" i="1" s="1"/>
  <c r="BK279" i="1" s="1"/>
  <c r="BF279" i="1"/>
  <c r="BG279" i="1" s="1"/>
  <c r="BH278" i="1"/>
  <c r="BI278" i="1" s="1"/>
  <c r="BK278" i="1" s="1"/>
  <c r="BF278" i="1"/>
  <c r="BG278" i="1" s="1"/>
  <c r="BH277" i="1"/>
  <c r="BI277" i="1" s="1"/>
  <c r="BK277" i="1" s="1"/>
  <c r="BF277" i="1"/>
  <c r="BG277" i="1" s="1"/>
  <c r="BH276" i="1"/>
  <c r="BI276" i="1" s="1"/>
  <c r="BK276" i="1" s="1"/>
  <c r="BF276" i="1"/>
  <c r="BG276" i="1" s="1"/>
  <c r="BH275" i="1"/>
  <c r="BI275" i="1" s="1"/>
  <c r="BK275" i="1" s="1"/>
  <c r="BF275" i="1"/>
  <c r="BG275" i="1" s="1"/>
  <c r="BH274" i="1"/>
  <c r="BI274" i="1" s="1"/>
  <c r="BK274" i="1" s="1"/>
  <c r="BF274" i="1"/>
  <c r="BG274" i="1" s="1"/>
  <c r="BH273" i="1"/>
  <c r="BI273" i="1" s="1"/>
  <c r="BK273" i="1" s="1"/>
  <c r="BF273" i="1"/>
  <c r="BG273" i="1" s="1"/>
  <c r="BH272" i="1"/>
  <c r="BI272" i="1" s="1"/>
  <c r="BK272" i="1" s="1"/>
  <c r="BF272" i="1"/>
  <c r="BG272" i="1" s="1"/>
  <c r="AZ287" i="1"/>
  <c r="AW287" i="1"/>
  <c r="AY287" i="1" s="1"/>
  <c r="AZ286" i="1"/>
  <c r="AW286" i="1"/>
  <c r="AY286" i="1" s="1"/>
  <c r="AZ285" i="1"/>
  <c r="AW285" i="1"/>
  <c r="AO285" i="1" s="1"/>
  <c r="AZ284" i="1"/>
  <c r="AW284" i="1"/>
  <c r="AY284" i="1" s="1"/>
  <c r="AZ283" i="1"/>
  <c r="AW283" i="1"/>
  <c r="AO283" i="1" s="1"/>
  <c r="AZ282" i="1"/>
  <c r="AW282" i="1"/>
  <c r="AO282" i="1" s="1"/>
  <c r="AZ281" i="1"/>
  <c r="AW281" i="1"/>
  <c r="AY281" i="1" s="1"/>
  <c r="AZ280" i="1"/>
  <c r="AW280" i="1"/>
  <c r="AY280" i="1" s="1"/>
  <c r="AZ279" i="1"/>
  <c r="AW279" i="1"/>
  <c r="AO279" i="1" s="1"/>
  <c r="AZ278" i="1"/>
  <c r="AW278" i="1"/>
  <c r="AY278" i="1" s="1"/>
  <c r="AZ277" i="1"/>
  <c r="AW277" i="1"/>
  <c r="AO277" i="1" s="1"/>
  <c r="AZ276" i="1"/>
  <c r="AW276" i="1"/>
  <c r="AO276" i="1" s="1"/>
  <c r="AZ275" i="1"/>
  <c r="AW275" i="1"/>
  <c r="AY275" i="1" s="1"/>
  <c r="AZ274" i="1"/>
  <c r="AW274" i="1"/>
  <c r="AY274" i="1" s="1"/>
  <c r="AZ273" i="1"/>
  <c r="AW273" i="1"/>
  <c r="AO273" i="1" s="1"/>
  <c r="AZ272" i="1"/>
  <c r="AW272" i="1"/>
  <c r="AY272" i="1" s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BA274" i="1" l="1"/>
  <c r="BA280" i="1"/>
  <c r="BA286" i="1"/>
  <c r="AO278" i="1"/>
  <c r="BM278" i="1" s="1"/>
  <c r="BM279" i="1"/>
  <c r="BM276" i="1"/>
  <c r="BM277" i="1"/>
  <c r="BM282" i="1"/>
  <c r="BA275" i="1"/>
  <c r="BA281" i="1"/>
  <c r="BA287" i="1"/>
  <c r="BM283" i="1"/>
  <c r="AO272" i="1"/>
  <c r="BM272" i="1" s="1"/>
  <c r="BM273" i="1"/>
  <c r="AO284" i="1"/>
  <c r="BM284" i="1" s="1"/>
  <c r="BM285" i="1"/>
  <c r="BA272" i="1"/>
  <c r="BA278" i="1"/>
  <c r="BA284" i="1"/>
  <c r="AO275" i="1"/>
  <c r="AR275" i="1" s="1"/>
  <c r="AO287" i="1"/>
  <c r="BM287" i="1" s="1"/>
  <c r="AO281" i="1"/>
  <c r="BM281" i="1" s="1"/>
  <c r="AY273" i="1"/>
  <c r="BA273" i="1" s="1"/>
  <c r="AY282" i="1"/>
  <c r="BA282" i="1" s="1"/>
  <c r="AY276" i="1"/>
  <c r="BA276" i="1" s="1"/>
  <c r="AY279" i="1"/>
  <c r="BA279" i="1" s="1"/>
  <c r="AY285" i="1"/>
  <c r="BA285" i="1" s="1"/>
  <c r="AR273" i="1"/>
  <c r="AR279" i="1"/>
  <c r="AR285" i="1"/>
  <c r="AO274" i="1"/>
  <c r="AR274" i="1" s="1"/>
  <c r="AO280" i="1"/>
  <c r="BM280" i="1" s="1"/>
  <c r="AO286" i="1"/>
  <c r="BM286" i="1" s="1"/>
  <c r="AY277" i="1"/>
  <c r="BA277" i="1" s="1"/>
  <c r="AY283" i="1"/>
  <c r="BA283" i="1" s="1"/>
  <c r="AR276" i="1"/>
  <c r="AR282" i="1"/>
  <c r="AR277" i="1"/>
  <c r="AR283" i="1"/>
  <c r="AN271" i="1"/>
  <c r="AL271" i="1"/>
  <c r="AN270" i="1"/>
  <c r="AL270" i="1"/>
  <c r="AL269" i="1"/>
  <c r="AN268" i="1"/>
  <c r="AL268" i="1"/>
  <c r="AN267" i="1"/>
  <c r="AL267" i="1"/>
  <c r="AN266" i="1"/>
  <c r="AL266" i="1"/>
  <c r="AL265" i="1"/>
  <c r="AL264" i="1"/>
  <c r="AL263" i="1"/>
  <c r="AL258" i="1"/>
  <c r="AL257" i="1"/>
  <c r="AL256" i="1"/>
  <c r="AL253" i="1"/>
  <c r="AL252" i="1"/>
  <c r="AL251" i="1"/>
  <c r="AR287" i="1" l="1"/>
  <c r="AS287" i="1" s="1"/>
  <c r="AR278" i="1"/>
  <c r="AS278" i="1" s="1"/>
  <c r="AR272" i="1"/>
  <c r="AS272" i="1" s="1"/>
  <c r="AR281" i="1"/>
  <c r="BP281" i="1" s="1"/>
  <c r="AR280" i="1"/>
  <c r="BP280" i="1" s="1"/>
  <c r="BM275" i="1"/>
  <c r="AR284" i="1"/>
  <c r="AR286" i="1"/>
  <c r="AS286" i="1" s="1"/>
  <c r="AS282" i="1"/>
  <c r="BP282" i="1"/>
  <c r="AS276" i="1"/>
  <c r="BP276" i="1"/>
  <c r="AS274" i="1"/>
  <c r="BP274" i="1"/>
  <c r="AS277" i="1"/>
  <c r="BP277" i="1"/>
  <c r="AS275" i="1"/>
  <c r="BP275" i="1"/>
  <c r="AS283" i="1"/>
  <c r="BP283" i="1"/>
  <c r="BM274" i="1"/>
  <c r="AS285" i="1"/>
  <c r="BP285" i="1"/>
  <c r="AS279" i="1"/>
  <c r="BP279" i="1"/>
  <c r="AS273" i="1"/>
  <c r="BP273" i="1"/>
  <c r="BH271" i="1"/>
  <c r="BI271" i="1" s="1"/>
  <c r="BK271" i="1" s="1"/>
  <c r="BF271" i="1"/>
  <c r="BG271" i="1" s="1"/>
  <c r="BH270" i="1"/>
  <c r="BI270" i="1" s="1"/>
  <c r="BK270" i="1" s="1"/>
  <c r="BF270" i="1"/>
  <c r="BG270" i="1" s="1"/>
  <c r="BH269" i="1"/>
  <c r="BI269" i="1" s="1"/>
  <c r="BK269" i="1" s="1"/>
  <c r="BF269" i="1"/>
  <c r="BG269" i="1" s="1"/>
  <c r="BH268" i="1"/>
  <c r="BI268" i="1" s="1"/>
  <c r="BK268" i="1" s="1"/>
  <c r="BF268" i="1"/>
  <c r="BG268" i="1" s="1"/>
  <c r="BH267" i="1"/>
  <c r="BI267" i="1" s="1"/>
  <c r="BK267" i="1" s="1"/>
  <c r="BF267" i="1"/>
  <c r="BG267" i="1" s="1"/>
  <c r="BH266" i="1"/>
  <c r="BI266" i="1" s="1"/>
  <c r="BK266" i="1" s="1"/>
  <c r="BF266" i="1"/>
  <c r="BG266" i="1" s="1"/>
  <c r="BH265" i="1"/>
  <c r="BI265" i="1" s="1"/>
  <c r="BK265" i="1" s="1"/>
  <c r="BF265" i="1"/>
  <c r="BG265" i="1" s="1"/>
  <c r="BH264" i="1"/>
  <c r="BI264" i="1" s="1"/>
  <c r="BK264" i="1" s="1"/>
  <c r="BF264" i="1"/>
  <c r="BG264" i="1" s="1"/>
  <c r="BH263" i="1"/>
  <c r="BI263" i="1" s="1"/>
  <c r="BK263" i="1" s="1"/>
  <c r="BF263" i="1"/>
  <c r="BG263" i="1" s="1"/>
  <c r="BH262" i="1"/>
  <c r="BI262" i="1" s="1"/>
  <c r="BK262" i="1" s="1"/>
  <c r="BF262" i="1"/>
  <c r="BG262" i="1" s="1"/>
  <c r="BH261" i="1"/>
  <c r="BI261" i="1" s="1"/>
  <c r="BK261" i="1" s="1"/>
  <c r="BF261" i="1"/>
  <c r="BG261" i="1" s="1"/>
  <c r="BH260" i="1"/>
  <c r="BI260" i="1" s="1"/>
  <c r="BK260" i="1" s="1"/>
  <c r="BF260" i="1"/>
  <c r="BG260" i="1" s="1"/>
  <c r="BH259" i="1"/>
  <c r="BI259" i="1" s="1"/>
  <c r="BK259" i="1" s="1"/>
  <c r="BF259" i="1"/>
  <c r="BG259" i="1" s="1"/>
  <c r="BH258" i="1"/>
  <c r="BI258" i="1" s="1"/>
  <c r="BK258" i="1" s="1"/>
  <c r="BF258" i="1"/>
  <c r="BG258" i="1" s="1"/>
  <c r="BH257" i="1"/>
  <c r="BI257" i="1" s="1"/>
  <c r="BK257" i="1" s="1"/>
  <c r="BF257" i="1"/>
  <c r="BG257" i="1" s="1"/>
  <c r="BH256" i="1"/>
  <c r="BI256" i="1" s="1"/>
  <c r="BK256" i="1" s="1"/>
  <c r="BF256" i="1"/>
  <c r="BG256" i="1" s="1"/>
  <c r="BH255" i="1"/>
  <c r="BI255" i="1" s="1"/>
  <c r="BK255" i="1" s="1"/>
  <c r="BF255" i="1"/>
  <c r="BG255" i="1" s="1"/>
  <c r="BH254" i="1"/>
  <c r="BI254" i="1" s="1"/>
  <c r="BK254" i="1" s="1"/>
  <c r="BF254" i="1"/>
  <c r="BG254" i="1" s="1"/>
  <c r="BH253" i="1"/>
  <c r="BI253" i="1" s="1"/>
  <c r="BK253" i="1" s="1"/>
  <c r="BF253" i="1"/>
  <c r="BG253" i="1" s="1"/>
  <c r="BH252" i="1"/>
  <c r="BI252" i="1" s="1"/>
  <c r="BK252" i="1" s="1"/>
  <c r="BF252" i="1"/>
  <c r="BG252" i="1" s="1"/>
  <c r="BH251" i="1"/>
  <c r="BI251" i="1" s="1"/>
  <c r="BK251" i="1" s="1"/>
  <c r="BF251" i="1"/>
  <c r="BG251" i="1" s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W271" i="1"/>
  <c r="AY271" i="1" s="1"/>
  <c r="AW270" i="1"/>
  <c r="AY270" i="1" s="1"/>
  <c r="AW269" i="1"/>
  <c r="AY269" i="1" s="1"/>
  <c r="AW268" i="1"/>
  <c r="AO268" i="1" s="1"/>
  <c r="AW267" i="1"/>
  <c r="AO267" i="1" s="1"/>
  <c r="AW266" i="1"/>
  <c r="AO266" i="1" s="1"/>
  <c r="AW265" i="1"/>
  <c r="AY265" i="1" s="1"/>
  <c r="AW264" i="1"/>
  <c r="AY264" i="1" s="1"/>
  <c r="AW263" i="1"/>
  <c r="AY263" i="1" s="1"/>
  <c r="AW262" i="1"/>
  <c r="AO262" i="1" s="1"/>
  <c r="AW261" i="1"/>
  <c r="AO261" i="1" s="1"/>
  <c r="AW260" i="1"/>
  <c r="AO260" i="1" s="1"/>
  <c r="AW259" i="1"/>
  <c r="AY259" i="1" s="1"/>
  <c r="AW258" i="1"/>
  <c r="AY258" i="1" s="1"/>
  <c r="AW257" i="1"/>
  <c r="AY257" i="1" s="1"/>
  <c r="AW256" i="1"/>
  <c r="AO256" i="1" s="1"/>
  <c r="AW255" i="1"/>
  <c r="AO255" i="1" s="1"/>
  <c r="AW254" i="1"/>
  <c r="AO254" i="1" s="1"/>
  <c r="AW253" i="1"/>
  <c r="AY253" i="1" s="1"/>
  <c r="AW252" i="1"/>
  <c r="AY252" i="1" s="1"/>
  <c r="AW251" i="1"/>
  <c r="AY251" i="1" s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BP287" i="1" l="1"/>
  <c r="AS281" i="1"/>
  <c r="AS280" i="1"/>
  <c r="BP272" i="1"/>
  <c r="BP278" i="1"/>
  <c r="BA258" i="1"/>
  <c r="BA270" i="1"/>
  <c r="BP286" i="1"/>
  <c r="AS284" i="1"/>
  <c r="BP284" i="1"/>
  <c r="BA271" i="1"/>
  <c r="BA259" i="1"/>
  <c r="BM256" i="1"/>
  <c r="AO263" i="1"/>
  <c r="BM263" i="1" s="1"/>
  <c r="BM254" i="1"/>
  <c r="BM262" i="1"/>
  <c r="AO253" i="1"/>
  <c r="BM253" i="1" s="1"/>
  <c r="BM255" i="1"/>
  <c r="AO251" i="1"/>
  <c r="BM251" i="1" s="1"/>
  <c r="BA251" i="1"/>
  <c r="BA263" i="1"/>
  <c r="BM267" i="1"/>
  <c r="BM260" i="1"/>
  <c r="BM266" i="1"/>
  <c r="BA252" i="1"/>
  <c r="AO265" i="1"/>
  <c r="BM265" i="1" s="1"/>
  <c r="BM268" i="1"/>
  <c r="AO259" i="1"/>
  <c r="BM259" i="1" s="1"/>
  <c r="BA264" i="1"/>
  <c r="AO252" i="1"/>
  <c r="AR252" i="1" s="1"/>
  <c r="BM261" i="1"/>
  <c r="AO258" i="1"/>
  <c r="BM258" i="1" s="1"/>
  <c r="BA257" i="1"/>
  <c r="BA269" i="1"/>
  <c r="AO270" i="1"/>
  <c r="BM270" i="1" s="1"/>
  <c r="AO271" i="1"/>
  <c r="BM271" i="1" s="1"/>
  <c r="BA253" i="1"/>
  <c r="BA265" i="1"/>
  <c r="AO264" i="1"/>
  <c r="BM264" i="1" s="1"/>
  <c r="AO269" i="1"/>
  <c r="AR269" i="1" s="1"/>
  <c r="AO257" i="1"/>
  <c r="AR257" i="1" s="1"/>
  <c r="AY267" i="1"/>
  <c r="BA267" i="1" s="1"/>
  <c r="AY254" i="1"/>
  <c r="BA254" i="1" s="1"/>
  <c r="AY260" i="1"/>
  <c r="BA260" i="1" s="1"/>
  <c r="AY266" i="1"/>
  <c r="BA266" i="1" s="1"/>
  <c r="AY255" i="1"/>
  <c r="BA255" i="1" s="1"/>
  <c r="AY261" i="1"/>
  <c r="BA261" i="1" s="1"/>
  <c r="AY256" i="1"/>
  <c r="BA256" i="1" s="1"/>
  <c r="AY262" i="1"/>
  <c r="BA262" i="1" s="1"/>
  <c r="AY268" i="1"/>
  <c r="BA268" i="1" s="1"/>
  <c r="AR254" i="1"/>
  <c r="AR260" i="1"/>
  <c r="AR266" i="1"/>
  <c r="AR255" i="1"/>
  <c r="AR261" i="1"/>
  <c r="AR267" i="1"/>
  <c r="AR256" i="1"/>
  <c r="AR262" i="1"/>
  <c r="AR268" i="1"/>
  <c r="AL245" i="1"/>
  <c r="BM252" i="1" l="1"/>
  <c r="AR265" i="1"/>
  <c r="BP265" i="1" s="1"/>
  <c r="AR253" i="1"/>
  <c r="AS253" i="1" s="1"/>
  <c r="AR263" i="1"/>
  <c r="AS263" i="1" s="1"/>
  <c r="BM257" i="1"/>
  <c r="AR251" i="1"/>
  <c r="BP251" i="1" s="1"/>
  <c r="AR264" i="1"/>
  <c r="AS264" i="1" s="1"/>
  <c r="AS252" i="1"/>
  <c r="BP252" i="1"/>
  <c r="BM269" i="1"/>
  <c r="AR259" i="1"/>
  <c r="AR258" i="1"/>
  <c r="AS258" i="1" s="1"/>
  <c r="AS257" i="1"/>
  <c r="BP257" i="1"/>
  <c r="AS269" i="1"/>
  <c r="BP269" i="1"/>
  <c r="AS260" i="1"/>
  <c r="BP260" i="1"/>
  <c r="AS254" i="1"/>
  <c r="BP254" i="1"/>
  <c r="AS262" i="1"/>
  <c r="BP262" i="1"/>
  <c r="AS256" i="1"/>
  <c r="BP256" i="1"/>
  <c r="AS267" i="1"/>
  <c r="BP267" i="1"/>
  <c r="AR271" i="1"/>
  <c r="AS261" i="1"/>
  <c r="BP261" i="1"/>
  <c r="AS266" i="1"/>
  <c r="BP266" i="1"/>
  <c r="AR270" i="1"/>
  <c r="AS268" i="1"/>
  <c r="BP268" i="1"/>
  <c r="AS255" i="1"/>
  <c r="BP255" i="1"/>
  <c r="AL250" i="1"/>
  <c r="AL249" i="1"/>
  <c r="AN248" i="1"/>
  <c r="AS251" i="1" l="1"/>
  <c r="BP253" i="1"/>
  <c r="AS265" i="1"/>
  <c r="BP264" i="1"/>
  <c r="BP263" i="1"/>
  <c r="BP258" i="1"/>
  <c r="AS259" i="1"/>
  <c r="BP259" i="1"/>
  <c r="AS271" i="1"/>
  <c r="BP271" i="1"/>
  <c r="AS270" i="1"/>
  <c r="BP270" i="1"/>
  <c r="AL241" i="1"/>
  <c r="AN239" i="1"/>
  <c r="AL239" i="1" l="1"/>
  <c r="BH250" i="1" l="1"/>
  <c r="BI250" i="1" s="1"/>
  <c r="BK250" i="1" s="1"/>
  <c r="BF250" i="1"/>
  <c r="BG250" i="1" s="1"/>
  <c r="BH249" i="1"/>
  <c r="BI249" i="1" s="1"/>
  <c r="BK249" i="1" s="1"/>
  <c r="BF249" i="1"/>
  <c r="BG249" i="1" s="1"/>
  <c r="BH248" i="1"/>
  <c r="BI248" i="1" s="1"/>
  <c r="BK248" i="1" s="1"/>
  <c r="BF248" i="1"/>
  <c r="BG248" i="1" s="1"/>
  <c r="BH247" i="1"/>
  <c r="BI247" i="1" s="1"/>
  <c r="BK247" i="1" s="1"/>
  <c r="BF247" i="1"/>
  <c r="BG247" i="1" s="1"/>
  <c r="BH246" i="1"/>
  <c r="BI246" i="1" s="1"/>
  <c r="BK246" i="1" s="1"/>
  <c r="BF246" i="1"/>
  <c r="BG246" i="1" s="1"/>
  <c r="BH245" i="1"/>
  <c r="BI245" i="1" s="1"/>
  <c r="BK245" i="1" s="1"/>
  <c r="BF245" i="1"/>
  <c r="BG245" i="1" s="1"/>
  <c r="BH244" i="1"/>
  <c r="BI244" i="1" s="1"/>
  <c r="BK244" i="1" s="1"/>
  <c r="BF244" i="1"/>
  <c r="BG244" i="1" s="1"/>
  <c r="BH243" i="1"/>
  <c r="BI243" i="1" s="1"/>
  <c r="BK243" i="1" s="1"/>
  <c r="BF243" i="1"/>
  <c r="BG243" i="1" s="1"/>
  <c r="BH242" i="1"/>
  <c r="BI242" i="1" s="1"/>
  <c r="BK242" i="1" s="1"/>
  <c r="BF242" i="1"/>
  <c r="BG242" i="1" s="1"/>
  <c r="BH241" i="1"/>
  <c r="BI241" i="1" s="1"/>
  <c r="BK241" i="1" s="1"/>
  <c r="BF241" i="1"/>
  <c r="BG241" i="1" s="1"/>
  <c r="BH240" i="1"/>
  <c r="BI240" i="1" s="1"/>
  <c r="BK240" i="1" s="1"/>
  <c r="BF240" i="1"/>
  <c r="BG240" i="1" s="1"/>
  <c r="BH239" i="1"/>
  <c r="BI239" i="1" s="1"/>
  <c r="BK239" i="1" s="1"/>
  <c r="BF239" i="1"/>
  <c r="BG239" i="1" s="1"/>
  <c r="BH238" i="1"/>
  <c r="BI238" i="1" s="1"/>
  <c r="BK238" i="1" s="1"/>
  <c r="BF238" i="1"/>
  <c r="BG238" i="1" s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W250" i="1"/>
  <c r="AY250" i="1" s="1"/>
  <c r="AK250" i="1"/>
  <c r="AW249" i="1"/>
  <c r="AY249" i="1" s="1"/>
  <c r="AK249" i="1"/>
  <c r="AW248" i="1"/>
  <c r="AY248" i="1" s="1"/>
  <c r="AK248" i="1"/>
  <c r="AW247" i="1"/>
  <c r="AY247" i="1" s="1"/>
  <c r="AK247" i="1"/>
  <c r="AW246" i="1"/>
  <c r="AY246" i="1" s="1"/>
  <c r="AK246" i="1"/>
  <c r="AW245" i="1"/>
  <c r="AY245" i="1" s="1"/>
  <c r="AK245" i="1"/>
  <c r="AW244" i="1"/>
  <c r="AY244" i="1" s="1"/>
  <c r="AK244" i="1"/>
  <c r="AW243" i="1"/>
  <c r="AY243" i="1" s="1"/>
  <c r="AK243" i="1"/>
  <c r="AW242" i="1"/>
  <c r="AY242" i="1" s="1"/>
  <c r="AK242" i="1"/>
  <c r="AW241" i="1"/>
  <c r="AY241" i="1" s="1"/>
  <c r="AK241" i="1"/>
  <c r="AW240" i="1"/>
  <c r="AY240" i="1" s="1"/>
  <c r="AK240" i="1"/>
  <c r="AW239" i="1"/>
  <c r="AY239" i="1" s="1"/>
  <c r="AK239" i="1"/>
  <c r="AW238" i="1"/>
  <c r="AY238" i="1" s="1"/>
  <c r="AK238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BA242" i="1" l="1"/>
  <c r="AO246" i="1"/>
  <c r="BM246" i="1" s="1"/>
  <c r="AO244" i="1"/>
  <c r="AR244" i="1" s="1"/>
  <c r="AO249" i="1"/>
  <c r="BM249" i="1" s="1"/>
  <c r="AO238" i="1"/>
  <c r="AR238" i="1" s="1"/>
  <c r="AS238" i="1" s="1"/>
  <c r="BA243" i="1"/>
  <c r="BA250" i="1"/>
  <c r="BA247" i="1"/>
  <c r="BA241" i="1"/>
  <c r="AO241" i="1"/>
  <c r="BM241" i="1" s="1"/>
  <c r="BA248" i="1"/>
  <c r="BA245" i="1"/>
  <c r="AO242" i="1"/>
  <c r="AR242" i="1" s="1"/>
  <c r="AO250" i="1"/>
  <c r="AR250" i="1" s="1"/>
  <c r="AS250" i="1" s="1"/>
  <c r="BA238" i="1"/>
  <c r="BA240" i="1"/>
  <c r="BA239" i="1"/>
  <c r="AO248" i="1"/>
  <c r="BM248" i="1" s="1"/>
  <c r="AO240" i="1"/>
  <c r="BM240" i="1" s="1"/>
  <c r="BA244" i="1"/>
  <c r="AO245" i="1"/>
  <c r="AR245" i="1" s="1"/>
  <c r="BA246" i="1"/>
  <c r="AO239" i="1"/>
  <c r="BM239" i="1" s="1"/>
  <c r="AO243" i="1"/>
  <c r="AR243" i="1" s="1"/>
  <c r="AO247" i="1"/>
  <c r="AR247" i="1" s="1"/>
  <c r="BA249" i="1"/>
  <c r="AN222" i="1"/>
  <c r="BM238" i="1" l="1"/>
  <c r="AR249" i="1"/>
  <c r="AS249" i="1" s="1"/>
  <c r="BM244" i="1"/>
  <c r="AR246" i="1"/>
  <c r="AS246" i="1" s="1"/>
  <c r="AR241" i="1"/>
  <c r="AS241" i="1" s="1"/>
  <c r="BP238" i="1"/>
  <c r="BM250" i="1"/>
  <c r="BM242" i="1"/>
  <c r="AS242" i="1"/>
  <c r="BP242" i="1"/>
  <c r="AS245" i="1"/>
  <c r="BP245" i="1"/>
  <c r="AR240" i="1"/>
  <c r="BP250" i="1"/>
  <c r="BM245" i="1"/>
  <c r="AR248" i="1"/>
  <c r="BM243" i="1"/>
  <c r="AS244" i="1"/>
  <c r="BP244" i="1"/>
  <c r="AS247" i="1"/>
  <c r="BP247" i="1"/>
  <c r="AS243" i="1"/>
  <c r="BP243" i="1"/>
  <c r="AR239" i="1"/>
  <c r="BM247" i="1"/>
  <c r="AL230" i="1"/>
  <c r="AL228" i="1"/>
  <c r="AL223" i="1"/>
  <c r="AL227" i="1"/>
  <c r="AL224" i="1"/>
  <c r="BP249" i="1" l="1"/>
  <c r="BP246" i="1"/>
  <c r="BP241" i="1"/>
  <c r="AS248" i="1"/>
  <c r="BP248" i="1"/>
  <c r="AS240" i="1"/>
  <c r="BP240" i="1"/>
  <c r="AS239" i="1"/>
  <c r="BP239" i="1"/>
  <c r="BH237" i="1"/>
  <c r="BI237" i="1" s="1"/>
  <c r="BK237" i="1" s="1"/>
  <c r="BF237" i="1"/>
  <c r="BG237" i="1" s="1"/>
  <c r="BH236" i="1"/>
  <c r="BI236" i="1" s="1"/>
  <c r="BK236" i="1" s="1"/>
  <c r="BF236" i="1"/>
  <c r="BG236" i="1" s="1"/>
  <c r="BH235" i="1"/>
  <c r="BI235" i="1" s="1"/>
  <c r="BK235" i="1" s="1"/>
  <c r="BF235" i="1"/>
  <c r="BG235" i="1" s="1"/>
  <c r="BH234" i="1"/>
  <c r="BI234" i="1" s="1"/>
  <c r="BK234" i="1" s="1"/>
  <c r="BF234" i="1"/>
  <c r="BG234" i="1" s="1"/>
  <c r="BH233" i="1"/>
  <c r="BI233" i="1" s="1"/>
  <c r="BK233" i="1" s="1"/>
  <c r="BF233" i="1"/>
  <c r="BG233" i="1" s="1"/>
  <c r="BH232" i="1"/>
  <c r="BI232" i="1" s="1"/>
  <c r="BK232" i="1" s="1"/>
  <c r="BF232" i="1"/>
  <c r="BG232" i="1" s="1"/>
  <c r="BH231" i="1"/>
  <c r="BI231" i="1" s="1"/>
  <c r="BK231" i="1" s="1"/>
  <c r="BF231" i="1"/>
  <c r="BG231" i="1" s="1"/>
  <c r="BH230" i="1"/>
  <c r="BI230" i="1" s="1"/>
  <c r="BK230" i="1" s="1"/>
  <c r="BF230" i="1"/>
  <c r="BG230" i="1" s="1"/>
  <c r="BH229" i="1"/>
  <c r="BI229" i="1" s="1"/>
  <c r="BK229" i="1" s="1"/>
  <c r="BF229" i="1"/>
  <c r="BG229" i="1" s="1"/>
  <c r="BH228" i="1"/>
  <c r="BI228" i="1" s="1"/>
  <c r="BK228" i="1" s="1"/>
  <c r="BF228" i="1"/>
  <c r="BG228" i="1" s="1"/>
  <c r="BH227" i="1"/>
  <c r="BI227" i="1" s="1"/>
  <c r="BK227" i="1" s="1"/>
  <c r="BF227" i="1"/>
  <c r="BG227" i="1" s="1"/>
  <c r="BH226" i="1"/>
  <c r="BI226" i="1" s="1"/>
  <c r="BK226" i="1" s="1"/>
  <c r="BF226" i="1"/>
  <c r="BG226" i="1" s="1"/>
  <c r="BH225" i="1"/>
  <c r="BI225" i="1" s="1"/>
  <c r="BK225" i="1" s="1"/>
  <c r="BF225" i="1"/>
  <c r="BG225" i="1" s="1"/>
  <c r="BH224" i="1"/>
  <c r="BI224" i="1" s="1"/>
  <c r="BK224" i="1" s="1"/>
  <c r="BF224" i="1"/>
  <c r="BG224" i="1" s="1"/>
  <c r="BH223" i="1"/>
  <c r="BI223" i="1" s="1"/>
  <c r="BK223" i="1" s="1"/>
  <c r="BF223" i="1"/>
  <c r="BG223" i="1" s="1"/>
  <c r="AZ237" i="1"/>
  <c r="AW237" i="1"/>
  <c r="AO237" i="1" s="1"/>
  <c r="AZ236" i="1"/>
  <c r="AW236" i="1"/>
  <c r="AO236" i="1" s="1"/>
  <c r="AZ235" i="1"/>
  <c r="AW235" i="1"/>
  <c r="AO235" i="1" s="1"/>
  <c r="AZ234" i="1"/>
  <c r="AW234" i="1"/>
  <c r="AY234" i="1" s="1"/>
  <c r="AZ233" i="1"/>
  <c r="AW233" i="1"/>
  <c r="AO233" i="1" s="1"/>
  <c r="AZ232" i="1"/>
  <c r="AW232" i="1"/>
  <c r="AO232" i="1" s="1"/>
  <c r="AZ231" i="1"/>
  <c r="AW231" i="1"/>
  <c r="AY231" i="1" s="1"/>
  <c r="AZ230" i="1"/>
  <c r="AW230" i="1"/>
  <c r="AY230" i="1" s="1"/>
  <c r="AZ229" i="1"/>
  <c r="AW229" i="1"/>
  <c r="AO229" i="1" s="1"/>
  <c r="AZ228" i="1"/>
  <c r="AW228" i="1"/>
  <c r="AY228" i="1" s="1"/>
  <c r="AZ227" i="1"/>
  <c r="AW227" i="1"/>
  <c r="AY227" i="1" s="1"/>
  <c r="AZ226" i="1"/>
  <c r="AW226" i="1"/>
  <c r="AO226" i="1" s="1"/>
  <c r="AZ225" i="1"/>
  <c r="AW225" i="1"/>
  <c r="AO225" i="1" s="1"/>
  <c r="AZ224" i="1"/>
  <c r="AW224" i="1"/>
  <c r="AO224" i="1" s="1"/>
  <c r="AZ223" i="1"/>
  <c r="AW223" i="1"/>
  <c r="AO223" i="1" s="1"/>
  <c r="AK237" i="1"/>
  <c r="AK236" i="1"/>
  <c r="AK235" i="1"/>
  <c r="AK234" i="1"/>
  <c r="AK233" i="1"/>
  <c r="AK232" i="1"/>
  <c r="BM232" i="1" s="1"/>
  <c r="AK231" i="1"/>
  <c r="AK230" i="1"/>
  <c r="AK229" i="1"/>
  <c r="AK228" i="1"/>
  <c r="AK227" i="1"/>
  <c r="AK226" i="1"/>
  <c r="AK225" i="1"/>
  <c r="AK224" i="1"/>
  <c r="AK223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BM229" i="1" l="1"/>
  <c r="BM233" i="1"/>
  <c r="BM236" i="1"/>
  <c r="BM224" i="1"/>
  <c r="BM237" i="1"/>
  <c r="BM226" i="1"/>
  <c r="AO230" i="1"/>
  <c r="AR230" i="1" s="1"/>
  <c r="AS230" i="1" s="1"/>
  <c r="BA228" i="1"/>
  <c r="BA234" i="1"/>
  <c r="AO231" i="1"/>
  <c r="AR231" i="1" s="1"/>
  <c r="AS231" i="1" s="1"/>
  <c r="BM225" i="1"/>
  <c r="BA230" i="1"/>
  <c r="AO227" i="1"/>
  <c r="AR227" i="1" s="1"/>
  <c r="AS227" i="1" s="1"/>
  <c r="AR224" i="1"/>
  <c r="AS224" i="1" s="1"/>
  <c r="AR236" i="1"/>
  <c r="AS236" i="1" s="1"/>
  <c r="AR225" i="1"/>
  <c r="AS225" i="1" s="1"/>
  <c r="BA231" i="1"/>
  <c r="AR237" i="1"/>
  <c r="AS237" i="1" s="1"/>
  <c r="BM223" i="1"/>
  <c r="BM235" i="1"/>
  <c r="AR223" i="1"/>
  <c r="AR229" i="1"/>
  <c r="AR235" i="1"/>
  <c r="AO234" i="1"/>
  <c r="AR234" i="1" s="1"/>
  <c r="AR226" i="1"/>
  <c r="AR232" i="1"/>
  <c r="AO228" i="1"/>
  <c r="AR228" i="1" s="1"/>
  <c r="BA227" i="1"/>
  <c r="AR233" i="1"/>
  <c r="AY223" i="1"/>
  <c r="BA223" i="1" s="1"/>
  <c r="AY226" i="1"/>
  <c r="BA226" i="1" s="1"/>
  <c r="AY229" i="1"/>
  <c r="BA229" i="1" s="1"/>
  <c r="AY232" i="1"/>
  <c r="BA232" i="1" s="1"/>
  <c r="AY235" i="1"/>
  <c r="BA235" i="1" s="1"/>
  <c r="AY224" i="1"/>
  <c r="BA224" i="1" s="1"/>
  <c r="AY233" i="1"/>
  <c r="BA233" i="1" s="1"/>
  <c r="AY236" i="1"/>
  <c r="BA236" i="1" s="1"/>
  <c r="AY225" i="1"/>
  <c r="BA225" i="1" s="1"/>
  <c r="AY237" i="1"/>
  <c r="BA237" i="1" s="1"/>
  <c r="AL221" i="1"/>
  <c r="AL219" i="1"/>
  <c r="AL218" i="1"/>
  <c r="AN212" i="1"/>
  <c r="AL212" i="1"/>
  <c r="AL210" i="1"/>
  <c r="AL205" i="1"/>
  <c r="BP230" i="1" l="1"/>
  <c r="BM230" i="1"/>
  <c r="BM231" i="1"/>
  <c r="BP231" i="1"/>
  <c r="BM227" i="1"/>
  <c r="BP227" i="1"/>
  <c r="BP224" i="1"/>
  <c r="BP236" i="1"/>
  <c r="BP237" i="1"/>
  <c r="BP225" i="1"/>
  <c r="AS234" i="1"/>
  <c r="BP234" i="1"/>
  <c r="AS235" i="1"/>
  <c r="BP235" i="1"/>
  <c r="AS233" i="1"/>
  <c r="BP233" i="1"/>
  <c r="AS229" i="1"/>
  <c r="BP229" i="1"/>
  <c r="AS226" i="1"/>
  <c r="BP226" i="1"/>
  <c r="AS228" i="1"/>
  <c r="BP228" i="1"/>
  <c r="AS223" i="1"/>
  <c r="BP223" i="1"/>
  <c r="BM234" i="1"/>
  <c r="AS232" i="1"/>
  <c r="BP232" i="1"/>
  <c r="BM228" i="1"/>
  <c r="BH222" i="1"/>
  <c r="BI222" i="1" s="1"/>
  <c r="BK222" i="1" s="1"/>
  <c r="BF222" i="1"/>
  <c r="BG222" i="1" s="1"/>
  <c r="BH221" i="1"/>
  <c r="BI221" i="1" s="1"/>
  <c r="BK221" i="1" s="1"/>
  <c r="BF221" i="1"/>
  <c r="BG221" i="1" s="1"/>
  <c r="BH220" i="1"/>
  <c r="BI220" i="1" s="1"/>
  <c r="BK220" i="1" s="1"/>
  <c r="BF220" i="1"/>
  <c r="BG220" i="1" s="1"/>
  <c r="BH219" i="1"/>
  <c r="BI219" i="1" s="1"/>
  <c r="BK219" i="1" s="1"/>
  <c r="BF219" i="1"/>
  <c r="BG219" i="1" s="1"/>
  <c r="BH218" i="1"/>
  <c r="BI218" i="1" s="1"/>
  <c r="BK218" i="1" s="1"/>
  <c r="BF218" i="1"/>
  <c r="BG218" i="1" s="1"/>
  <c r="BH217" i="1"/>
  <c r="BI217" i="1" s="1"/>
  <c r="BK217" i="1" s="1"/>
  <c r="BF217" i="1"/>
  <c r="BG217" i="1" s="1"/>
  <c r="BH216" i="1"/>
  <c r="BI216" i="1" s="1"/>
  <c r="BK216" i="1" s="1"/>
  <c r="BF216" i="1"/>
  <c r="BG216" i="1" s="1"/>
  <c r="BH215" i="1"/>
  <c r="BI215" i="1" s="1"/>
  <c r="BK215" i="1" s="1"/>
  <c r="BF215" i="1"/>
  <c r="BG215" i="1" s="1"/>
  <c r="BH214" i="1"/>
  <c r="BI214" i="1" s="1"/>
  <c r="BK214" i="1" s="1"/>
  <c r="BF214" i="1"/>
  <c r="BG214" i="1" s="1"/>
  <c r="BH213" i="1"/>
  <c r="BI213" i="1" s="1"/>
  <c r="BK213" i="1" s="1"/>
  <c r="BF213" i="1"/>
  <c r="BG213" i="1" s="1"/>
  <c r="BH212" i="1"/>
  <c r="BI212" i="1" s="1"/>
  <c r="BK212" i="1" s="1"/>
  <c r="BF212" i="1"/>
  <c r="BG212" i="1" s="1"/>
  <c r="BH211" i="1"/>
  <c r="BI211" i="1" s="1"/>
  <c r="BK211" i="1" s="1"/>
  <c r="BF211" i="1"/>
  <c r="BG211" i="1" s="1"/>
  <c r="BH210" i="1"/>
  <c r="BI210" i="1" s="1"/>
  <c r="BK210" i="1" s="1"/>
  <c r="BF210" i="1"/>
  <c r="BG210" i="1" s="1"/>
  <c r="BH209" i="1"/>
  <c r="BI209" i="1" s="1"/>
  <c r="BK209" i="1" s="1"/>
  <c r="BF209" i="1"/>
  <c r="BG209" i="1" s="1"/>
  <c r="BH208" i="1"/>
  <c r="BI208" i="1" s="1"/>
  <c r="BK208" i="1" s="1"/>
  <c r="BF208" i="1"/>
  <c r="BG208" i="1" s="1"/>
  <c r="BH207" i="1"/>
  <c r="BI207" i="1" s="1"/>
  <c r="BK207" i="1" s="1"/>
  <c r="BF207" i="1"/>
  <c r="BG207" i="1" s="1"/>
  <c r="BH206" i="1"/>
  <c r="BI206" i="1" s="1"/>
  <c r="BK206" i="1" s="1"/>
  <c r="BF206" i="1"/>
  <c r="BG206" i="1" s="1"/>
  <c r="BH205" i="1"/>
  <c r="BI205" i="1" s="1"/>
  <c r="BK205" i="1" s="1"/>
  <c r="BF205" i="1"/>
  <c r="BG205" i="1" s="1"/>
  <c r="BH204" i="1"/>
  <c r="BI204" i="1" s="1"/>
  <c r="BK204" i="1" s="1"/>
  <c r="BF204" i="1"/>
  <c r="BG204" i="1" s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L203" i="1" l="1"/>
  <c r="AL198" i="1"/>
  <c r="AL197" i="1"/>
  <c r="AL196" i="1"/>
  <c r="BH203" i="1"/>
  <c r="BI203" i="1" s="1"/>
  <c r="BK203" i="1" s="1"/>
  <c r="BF203" i="1"/>
  <c r="BG203" i="1" s="1"/>
  <c r="BH202" i="1"/>
  <c r="BI202" i="1" s="1"/>
  <c r="BK202" i="1" s="1"/>
  <c r="BF202" i="1"/>
  <c r="BG202" i="1" s="1"/>
  <c r="BH201" i="1"/>
  <c r="BI201" i="1" s="1"/>
  <c r="BK201" i="1" s="1"/>
  <c r="BF201" i="1"/>
  <c r="BG201" i="1" s="1"/>
  <c r="BH200" i="1"/>
  <c r="BI200" i="1" s="1"/>
  <c r="BK200" i="1" s="1"/>
  <c r="BF200" i="1"/>
  <c r="BG200" i="1" s="1"/>
  <c r="BH199" i="1"/>
  <c r="BI199" i="1" s="1"/>
  <c r="BK199" i="1" s="1"/>
  <c r="BF199" i="1"/>
  <c r="BG199" i="1" s="1"/>
  <c r="BH198" i="1"/>
  <c r="BI198" i="1" s="1"/>
  <c r="BK198" i="1" s="1"/>
  <c r="BF198" i="1"/>
  <c r="BG198" i="1" s="1"/>
  <c r="BH197" i="1"/>
  <c r="BI197" i="1" s="1"/>
  <c r="BK197" i="1" s="1"/>
  <c r="BF197" i="1"/>
  <c r="BG197" i="1" s="1"/>
  <c r="BH196" i="1"/>
  <c r="BI196" i="1" s="1"/>
  <c r="BK196" i="1" s="1"/>
  <c r="BF196" i="1"/>
  <c r="BG196" i="1" s="1"/>
  <c r="AZ203" i="1"/>
  <c r="AZ202" i="1"/>
  <c r="AZ201" i="1"/>
  <c r="AZ200" i="1"/>
  <c r="AZ199" i="1"/>
  <c r="AZ198" i="1"/>
  <c r="AZ197" i="1"/>
  <c r="AZ196" i="1"/>
  <c r="AZ195" i="1"/>
  <c r="AL195" i="1"/>
  <c r="BQ196" i="1" l="1"/>
  <c r="BQ197" i="1"/>
  <c r="BQ198" i="1"/>
  <c r="BQ199" i="1"/>
  <c r="BQ200" i="1"/>
  <c r="BQ201" i="1"/>
  <c r="BQ202" i="1"/>
  <c r="BQ203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K195" i="1"/>
  <c r="AK197" i="1"/>
  <c r="AK199" i="1"/>
  <c r="AK200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Y219" i="1" l="1"/>
  <c r="BA219" i="1" s="1"/>
  <c r="AO219" i="1"/>
  <c r="AR219" i="1" s="1"/>
  <c r="AY207" i="1"/>
  <c r="BA207" i="1" s="1"/>
  <c r="AO207" i="1"/>
  <c r="AR207" i="1" s="1"/>
  <c r="AY218" i="1"/>
  <c r="BA218" i="1" s="1"/>
  <c r="AO218" i="1"/>
  <c r="AR218" i="1" s="1"/>
  <c r="AY206" i="1"/>
  <c r="BA206" i="1" s="1"/>
  <c r="AO206" i="1"/>
  <c r="AR206" i="1" s="1"/>
  <c r="AY220" i="1"/>
  <c r="BA220" i="1" s="1"/>
  <c r="AO220" i="1"/>
  <c r="AR220" i="1" s="1"/>
  <c r="AO208" i="1"/>
  <c r="AR208" i="1" s="1"/>
  <c r="AY208" i="1"/>
  <c r="BA208" i="1" s="1"/>
  <c r="AY213" i="1"/>
  <c r="BA213" i="1" s="1"/>
  <c r="AO213" i="1"/>
  <c r="AR213" i="1" s="1"/>
  <c r="AY212" i="1"/>
  <c r="BA212" i="1" s="1"/>
  <c r="AO212" i="1"/>
  <c r="AR212" i="1" s="1"/>
  <c r="AO217" i="1"/>
  <c r="AR217" i="1" s="1"/>
  <c r="AY217" i="1"/>
  <c r="BA217" i="1" s="1"/>
  <c r="AO205" i="1"/>
  <c r="AR205" i="1" s="1"/>
  <c r="AY205" i="1"/>
  <c r="BA205" i="1" s="1"/>
  <c r="AY211" i="1"/>
  <c r="BA211" i="1" s="1"/>
  <c r="AO211" i="1"/>
  <c r="AR211" i="1" s="1"/>
  <c r="AO216" i="1"/>
  <c r="AR216" i="1" s="1"/>
  <c r="AY216" i="1"/>
  <c r="BA216" i="1" s="1"/>
  <c r="AO204" i="1"/>
  <c r="AR204" i="1" s="1"/>
  <c r="AY204" i="1"/>
  <c r="BA204" i="1" s="1"/>
  <c r="AO215" i="1"/>
  <c r="AR215" i="1" s="1"/>
  <c r="AY215" i="1"/>
  <c r="BA215" i="1" s="1"/>
  <c r="AO214" i="1"/>
  <c r="AR214" i="1" s="1"/>
  <c r="AY214" i="1"/>
  <c r="BA214" i="1" s="1"/>
  <c r="AY222" i="1"/>
  <c r="BA222" i="1" s="1"/>
  <c r="AO222" i="1"/>
  <c r="AR222" i="1" s="1"/>
  <c r="AO210" i="1"/>
  <c r="AR210" i="1" s="1"/>
  <c r="AY210" i="1"/>
  <c r="BA210" i="1" s="1"/>
  <c r="AY221" i="1"/>
  <c r="BA221" i="1" s="1"/>
  <c r="AO221" i="1"/>
  <c r="AR221" i="1" s="1"/>
  <c r="AY209" i="1"/>
  <c r="BA209" i="1" s="1"/>
  <c r="AO209" i="1"/>
  <c r="AR209" i="1" s="1"/>
  <c r="AY202" i="1"/>
  <c r="BA202" i="1" s="1"/>
  <c r="AO202" i="1"/>
  <c r="AR202" i="1" s="1"/>
  <c r="AO203" i="1"/>
  <c r="AR203" i="1" s="1"/>
  <c r="AY203" i="1"/>
  <c r="BA203" i="1" s="1"/>
  <c r="AO200" i="1"/>
  <c r="AR200" i="1" s="1"/>
  <c r="AY200" i="1"/>
  <c r="BA200" i="1" s="1"/>
  <c r="AO199" i="1"/>
  <c r="AR199" i="1" s="1"/>
  <c r="AY199" i="1"/>
  <c r="BA199" i="1" s="1"/>
  <c r="AY198" i="1"/>
  <c r="BA198" i="1" s="1"/>
  <c r="AO198" i="1"/>
  <c r="AR198" i="1" s="1"/>
  <c r="AY197" i="1"/>
  <c r="BA197" i="1" s="1"/>
  <c r="AO197" i="1"/>
  <c r="AR197" i="1" s="1"/>
  <c r="AO196" i="1"/>
  <c r="AR196" i="1" s="1"/>
  <c r="AY196" i="1"/>
  <c r="BA196" i="1" s="1"/>
  <c r="AO201" i="1"/>
  <c r="AR201" i="1" s="1"/>
  <c r="AY201" i="1"/>
  <c r="BA201" i="1" s="1"/>
  <c r="AY195" i="1"/>
  <c r="BA195" i="1" s="1"/>
  <c r="AO195" i="1"/>
  <c r="AR195" i="1" s="1"/>
  <c r="AS195" i="1" s="1"/>
  <c r="AN188" i="1"/>
  <c r="AL188" i="1"/>
  <c r="AL186" i="1"/>
  <c r="BM211" i="1" l="1"/>
  <c r="BM204" i="1"/>
  <c r="BM219" i="1"/>
  <c r="BM208" i="1"/>
  <c r="BM205" i="1"/>
  <c r="BM220" i="1"/>
  <c r="BM215" i="1"/>
  <c r="AS217" i="1"/>
  <c r="BP217" i="1"/>
  <c r="AS212" i="1"/>
  <c r="BP212" i="1"/>
  <c r="AS222" i="1"/>
  <c r="BP222" i="1"/>
  <c r="AS214" i="1"/>
  <c r="BP214" i="1"/>
  <c r="BM210" i="1"/>
  <c r="AS210" i="1"/>
  <c r="BP210" i="1"/>
  <c r="AS216" i="1"/>
  <c r="BP216" i="1"/>
  <c r="BM209" i="1"/>
  <c r="AS213" i="1"/>
  <c r="BP213" i="1"/>
  <c r="AS207" i="1"/>
  <c r="BP207" i="1"/>
  <c r="BM213" i="1"/>
  <c r="AS219" i="1"/>
  <c r="BP219" i="1"/>
  <c r="BM221" i="1"/>
  <c r="AS220" i="1"/>
  <c r="BP220" i="1"/>
  <c r="AS206" i="1"/>
  <c r="BP206" i="1"/>
  <c r="AS204" i="1"/>
  <c r="BP204" i="1"/>
  <c r="AS218" i="1"/>
  <c r="BP218" i="1"/>
  <c r="AS221" i="1"/>
  <c r="BP221" i="1"/>
  <c r="AS211" i="1"/>
  <c r="BP211" i="1"/>
  <c r="BM222" i="1"/>
  <c r="AS208" i="1"/>
  <c r="BP208" i="1"/>
  <c r="BM212" i="1"/>
  <c r="AS215" i="1"/>
  <c r="BP215" i="1"/>
  <c r="AS205" i="1"/>
  <c r="BP205" i="1"/>
  <c r="BM206" i="1"/>
  <c r="AS209" i="1"/>
  <c r="BP209" i="1"/>
  <c r="BM217" i="1"/>
  <c r="BM216" i="1"/>
  <c r="BM214" i="1"/>
  <c r="BM207" i="1"/>
  <c r="BM218" i="1"/>
  <c r="BM202" i="1"/>
  <c r="BM197" i="1"/>
  <c r="BM199" i="1"/>
  <c r="BM200" i="1"/>
  <c r="BM196" i="1"/>
  <c r="BM203" i="1"/>
  <c r="AS196" i="1"/>
  <c r="BP196" i="1"/>
  <c r="BR196" i="1" s="1"/>
  <c r="AS199" i="1"/>
  <c r="BP199" i="1"/>
  <c r="BR199" i="1" s="1"/>
  <c r="BM201" i="1"/>
  <c r="AS202" i="1"/>
  <c r="BP202" i="1"/>
  <c r="BR202" i="1" s="1"/>
  <c r="AS198" i="1"/>
  <c r="BP198" i="1"/>
  <c r="BR198" i="1" s="1"/>
  <c r="BM198" i="1"/>
  <c r="AS201" i="1"/>
  <c r="BP201" i="1"/>
  <c r="BR201" i="1" s="1"/>
  <c r="AS203" i="1"/>
  <c r="BP203" i="1"/>
  <c r="BR203" i="1" s="1"/>
  <c r="AS197" i="1"/>
  <c r="BP197" i="1"/>
  <c r="BR197" i="1" s="1"/>
  <c r="AS200" i="1"/>
  <c r="BP200" i="1"/>
  <c r="BR200" i="1" s="1"/>
  <c r="AN185" i="1"/>
  <c r="AN184" i="1"/>
  <c r="AL185" i="1"/>
  <c r="AL184" i="1"/>
  <c r="Y184" i="1"/>
  <c r="Y185" i="1"/>
  <c r="AN183" i="1"/>
  <c r="AL183" i="1"/>
  <c r="AN182" i="1"/>
  <c r="AL182" i="1"/>
  <c r="AL181" i="1" l="1"/>
  <c r="AL180" i="1"/>
  <c r="AL179" i="1"/>
  <c r="AL178" i="1"/>
  <c r="AN175" i="1" l="1"/>
  <c r="AN174" i="1"/>
  <c r="AL176" i="1" l="1"/>
  <c r="AN173" i="1"/>
  <c r="AN172" i="1"/>
  <c r="AL168" i="1"/>
  <c r="AN168" i="1"/>
  <c r="AN167" i="1"/>
  <c r="AL167" i="1"/>
  <c r="X160" i="1"/>
  <c r="AZ160" i="1" s="1"/>
  <c r="AL154" i="1"/>
  <c r="AL150" i="1"/>
  <c r="BP195" i="1"/>
  <c r="BF130" i="1"/>
  <c r="BG130" i="1" s="1"/>
  <c r="BH130" i="1"/>
  <c r="BI130" i="1" s="1"/>
  <c r="BK130" i="1" s="1"/>
  <c r="BQ130" i="1"/>
  <c r="BF131" i="1"/>
  <c r="BG131" i="1" s="1"/>
  <c r="BH131" i="1"/>
  <c r="BI131" i="1" s="1"/>
  <c r="BK131" i="1" s="1"/>
  <c r="BQ131" i="1"/>
  <c r="BF132" i="1"/>
  <c r="BG132" i="1" s="1"/>
  <c r="BH132" i="1"/>
  <c r="BI132" i="1" s="1"/>
  <c r="BK132" i="1" s="1"/>
  <c r="BQ132" i="1"/>
  <c r="BF133" i="1"/>
  <c r="BG133" i="1" s="1"/>
  <c r="BH133" i="1"/>
  <c r="BI133" i="1" s="1"/>
  <c r="BK133" i="1" s="1"/>
  <c r="BQ133" i="1"/>
  <c r="BF134" i="1"/>
  <c r="BG134" i="1" s="1"/>
  <c r="BH134" i="1"/>
  <c r="BI134" i="1" s="1"/>
  <c r="BK134" i="1" s="1"/>
  <c r="BQ134" i="1"/>
  <c r="BF135" i="1"/>
  <c r="BG135" i="1" s="1"/>
  <c r="BH135" i="1"/>
  <c r="BI135" i="1" s="1"/>
  <c r="BK135" i="1" s="1"/>
  <c r="BQ135" i="1"/>
  <c r="BF136" i="1"/>
  <c r="BG136" i="1" s="1"/>
  <c r="BH136" i="1"/>
  <c r="BI136" i="1" s="1"/>
  <c r="BK136" i="1" s="1"/>
  <c r="BQ136" i="1"/>
  <c r="BF137" i="1"/>
  <c r="BG137" i="1" s="1"/>
  <c r="BH137" i="1"/>
  <c r="BI137" i="1" s="1"/>
  <c r="BK137" i="1" s="1"/>
  <c r="BQ137" i="1"/>
  <c r="BF138" i="1"/>
  <c r="BG138" i="1" s="1"/>
  <c r="BH138" i="1"/>
  <c r="BI138" i="1" s="1"/>
  <c r="BK138" i="1" s="1"/>
  <c r="BQ138" i="1"/>
  <c r="BF139" i="1"/>
  <c r="BG139" i="1" s="1"/>
  <c r="BH139" i="1"/>
  <c r="BI139" i="1" s="1"/>
  <c r="BK139" i="1" s="1"/>
  <c r="BQ139" i="1"/>
  <c r="BF140" i="1"/>
  <c r="BG140" i="1" s="1"/>
  <c r="BH140" i="1"/>
  <c r="BI140" i="1" s="1"/>
  <c r="BK140" i="1" s="1"/>
  <c r="BQ140" i="1"/>
  <c r="BF141" i="1"/>
  <c r="BG141" i="1" s="1"/>
  <c r="BH141" i="1"/>
  <c r="BI141" i="1" s="1"/>
  <c r="BK141" i="1" s="1"/>
  <c r="BQ141" i="1"/>
  <c r="BF142" i="1"/>
  <c r="BG142" i="1" s="1"/>
  <c r="BH142" i="1"/>
  <c r="BI142" i="1" s="1"/>
  <c r="BK142" i="1" s="1"/>
  <c r="BQ142" i="1"/>
  <c r="BF143" i="1"/>
  <c r="BG143" i="1" s="1"/>
  <c r="BH143" i="1"/>
  <c r="BI143" i="1" s="1"/>
  <c r="BK143" i="1" s="1"/>
  <c r="BQ143" i="1"/>
  <c r="BF144" i="1"/>
  <c r="BG144" i="1" s="1"/>
  <c r="BH144" i="1"/>
  <c r="BI144" i="1" s="1"/>
  <c r="BK144" i="1" s="1"/>
  <c r="BQ144" i="1"/>
  <c r="BF145" i="1"/>
  <c r="BG145" i="1" s="1"/>
  <c r="BH145" i="1"/>
  <c r="BI145" i="1" s="1"/>
  <c r="BK145" i="1" s="1"/>
  <c r="BQ145" i="1"/>
  <c r="BF146" i="1"/>
  <c r="BG146" i="1" s="1"/>
  <c r="BH146" i="1"/>
  <c r="BI146" i="1" s="1"/>
  <c r="BK146" i="1" s="1"/>
  <c r="BQ146" i="1"/>
  <c r="BF147" i="1"/>
  <c r="BG147" i="1" s="1"/>
  <c r="BH147" i="1"/>
  <c r="BI147" i="1" s="1"/>
  <c r="BK147" i="1" s="1"/>
  <c r="BQ147" i="1"/>
  <c r="BF148" i="1"/>
  <c r="BG148" i="1" s="1"/>
  <c r="BH148" i="1"/>
  <c r="BI148" i="1" s="1"/>
  <c r="BK148" i="1" s="1"/>
  <c r="BQ148" i="1"/>
  <c r="BF149" i="1"/>
  <c r="BG149" i="1" s="1"/>
  <c r="BH149" i="1"/>
  <c r="BI149" i="1" s="1"/>
  <c r="BK149" i="1" s="1"/>
  <c r="BQ149" i="1"/>
  <c r="BF150" i="1"/>
  <c r="BG150" i="1" s="1"/>
  <c r="BH150" i="1"/>
  <c r="BI150" i="1" s="1"/>
  <c r="BK150" i="1" s="1"/>
  <c r="BF151" i="1"/>
  <c r="BG151" i="1" s="1"/>
  <c r="BH151" i="1"/>
  <c r="BI151" i="1" s="1"/>
  <c r="BK151" i="1" s="1"/>
  <c r="BQ151" i="1" s="1"/>
  <c r="BF152" i="1"/>
  <c r="BG152" i="1" s="1"/>
  <c r="BH152" i="1"/>
  <c r="BI152" i="1" s="1"/>
  <c r="BK152" i="1" s="1"/>
  <c r="AT152" i="1" s="1"/>
  <c r="BO152" i="1" s="1"/>
  <c r="BF153" i="1"/>
  <c r="BG153" i="1" s="1"/>
  <c r="BH153" i="1"/>
  <c r="BI153" i="1" s="1"/>
  <c r="BK153" i="1" s="1"/>
  <c r="BF154" i="1"/>
  <c r="BG154" i="1" s="1"/>
  <c r="BH154" i="1"/>
  <c r="BI154" i="1" s="1"/>
  <c r="BK154" i="1" s="1"/>
  <c r="BQ154" i="1" s="1"/>
  <c r="BF155" i="1"/>
  <c r="BG155" i="1" s="1"/>
  <c r="BH155" i="1"/>
  <c r="BI155" i="1" s="1"/>
  <c r="BK155" i="1" s="1"/>
  <c r="BQ155" i="1" s="1"/>
  <c r="BF156" i="1"/>
  <c r="BG156" i="1" s="1"/>
  <c r="BH156" i="1"/>
  <c r="BI156" i="1" s="1"/>
  <c r="BK156" i="1" s="1"/>
  <c r="BQ156" i="1" s="1"/>
  <c r="BF157" i="1"/>
  <c r="BG157" i="1" s="1"/>
  <c r="BH157" i="1"/>
  <c r="BI157" i="1" s="1"/>
  <c r="BK157" i="1" s="1"/>
  <c r="BQ157" i="1" s="1"/>
  <c r="BF158" i="1"/>
  <c r="BG158" i="1" s="1"/>
  <c r="BH158" i="1"/>
  <c r="BI158" i="1" s="1"/>
  <c r="BK158" i="1" s="1"/>
  <c r="AT158" i="1" s="1"/>
  <c r="BF159" i="1"/>
  <c r="BG159" i="1" s="1"/>
  <c r="BH159" i="1"/>
  <c r="BI159" i="1" s="1"/>
  <c r="BK159" i="1" s="1"/>
  <c r="BF160" i="1"/>
  <c r="BG160" i="1" s="1"/>
  <c r="BF161" i="1"/>
  <c r="BG161" i="1" s="1"/>
  <c r="BH161" i="1"/>
  <c r="BI161" i="1" s="1"/>
  <c r="BK161" i="1" s="1"/>
  <c r="AT161" i="1" s="1"/>
  <c r="BF162" i="1"/>
  <c r="BG162" i="1" s="1"/>
  <c r="BH162" i="1"/>
  <c r="BI162" i="1" s="1"/>
  <c r="BK162" i="1" s="1"/>
  <c r="BQ162" i="1" s="1"/>
  <c r="BF163" i="1"/>
  <c r="BG163" i="1" s="1"/>
  <c r="BH163" i="1"/>
  <c r="BI163" i="1" s="1"/>
  <c r="BK163" i="1" s="1"/>
  <c r="BQ163" i="1" s="1"/>
  <c r="BF164" i="1"/>
  <c r="BG164" i="1" s="1"/>
  <c r="BH164" i="1"/>
  <c r="BI164" i="1" s="1"/>
  <c r="BK164" i="1" s="1"/>
  <c r="AT164" i="1" s="1"/>
  <c r="BO164" i="1" s="1"/>
  <c r="BF165" i="1"/>
  <c r="BG165" i="1" s="1"/>
  <c r="BH165" i="1"/>
  <c r="BI165" i="1" s="1"/>
  <c r="BK165" i="1" s="1"/>
  <c r="AT165" i="1" s="1"/>
  <c r="BO165" i="1" s="1"/>
  <c r="BF166" i="1"/>
  <c r="BG166" i="1" s="1"/>
  <c r="BH166" i="1"/>
  <c r="BI166" i="1" s="1"/>
  <c r="BK166" i="1" s="1"/>
  <c r="BQ166" i="1" s="1"/>
  <c r="BF167" i="1"/>
  <c r="BG167" i="1" s="1"/>
  <c r="BH167" i="1"/>
  <c r="BI167" i="1" s="1"/>
  <c r="BK167" i="1" s="1"/>
  <c r="BQ167" i="1" s="1"/>
  <c r="BF168" i="1"/>
  <c r="BG168" i="1" s="1"/>
  <c r="BH168" i="1"/>
  <c r="BI168" i="1" s="1"/>
  <c r="BK168" i="1" s="1"/>
  <c r="BQ168" i="1" s="1"/>
  <c r="BF169" i="1"/>
  <c r="BG169" i="1" s="1"/>
  <c r="BH169" i="1"/>
  <c r="BI169" i="1" s="1"/>
  <c r="BK169" i="1" s="1"/>
  <c r="BQ169" i="1" s="1"/>
  <c r="BF170" i="1"/>
  <c r="BG170" i="1" s="1"/>
  <c r="BH170" i="1"/>
  <c r="BI170" i="1" s="1"/>
  <c r="BK170" i="1" s="1"/>
  <c r="BQ170" i="1" s="1"/>
  <c r="BF171" i="1"/>
  <c r="BG171" i="1" s="1"/>
  <c r="BH171" i="1"/>
  <c r="BI171" i="1" s="1"/>
  <c r="BK171" i="1" s="1"/>
  <c r="BQ171" i="1" s="1"/>
  <c r="BF172" i="1"/>
  <c r="BG172" i="1" s="1"/>
  <c r="BH172" i="1"/>
  <c r="BI172" i="1" s="1"/>
  <c r="BK172" i="1" s="1"/>
  <c r="BQ172" i="1" s="1"/>
  <c r="BF173" i="1"/>
  <c r="BG173" i="1" s="1"/>
  <c r="BH173" i="1"/>
  <c r="BI173" i="1" s="1"/>
  <c r="BK173" i="1" s="1"/>
  <c r="BQ173" i="1" s="1"/>
  <c r="BF174" i="1"/>
  <c r="BG174" i="1" s="1"/>
  <c r="BH174" i="1"/>
  <c r="BI174" i="1" s="1"/>
  <c r="BK174" i="1" s="1"/>
  <c r="AT174" i="1" s="1"/>
  <c r="BF175" i="1"/>
  <c r="BG175" i="1" s="1"/>
  <c r="BH175" i="1"/>
  <c r="BI175" i="1" s="1"/>
  <c r="BK175" i="1" s="1"/>
  <c r="AT175" i="1" s="1"/>
  <c r="BF176" i="1"/>
  <c r="BG176" i="1" s="1"/>
  <c r="BH176" i="1"/>
  <c r="BI176" i="1" s="1"/>
  <c r="BK176" i="1" s="1"/>
  <c r="BQ176" i="1" s="1"/>
  <c r="BF177" i="1"/>
  <c r="BG177" i="1" s="1"/>
  <c r="BH177" i="1"/>
  <c r="BI177" i="1" s="1"/>
  <c r="BK177" i="1" s="1"/>
  <c r="BQ177" i="1" s="1"/>
  <c r="BF178" i="1"/>
  <c r="BG178" i="1" s="1"/>
  <c r="BH178" i="1"/>
  <c r="BI178" i="1" s="1"/>
  <c r="BK178" i="1" s="1"/>
  <c r="BQ178" i="1" s="1"/>
  <c r="BF179" i="1"/>
  <c r="BG179" i="1" s="1"/>
  <c r="BH179" i="1"/>
  <c r="BI179" i="1" s="1"/>
  <c r="BK179" i="1" s="1"/>
  <c r="BQ179" i="1" s="1"/>
  <c r="BF180" i="1"/>
  <c r="BG180" i="1" s="1"/>
  <c r="BH180" i="1"/>
  <c r="BI180" i="1" s="1"/>
  <c r="BK180" i="1" s="1"/>
  <c r="BQ180" i="1" s="1"/>
  <c r="BF181" i="1"/>
  <c r="BG181" i="1" s="1"/>
  <c r="BH181" i="1"/>
  <c r="BI181" i="1" s="1"/>
  <c r="BK181" i="1" s="1"/>
  <c r="BQ181" i="1" s="1"/>
  <c r="BF182" i="1"/>
  <c r="BG182" i="1" s="1"/>
  <c r="BH182" i="1"/>
  <c r="BI182" i="1" s="1"/>
  <c r="BK182" i="1" s="1"/>
  <c r="BQ182" i="1" s="1"/>
  <c r="BF183" i="1"/>
  <c r="BG183" i="1" s="1"/>
  <c r="BH183" i="1"/>
  <c r="BI183" i="1" s="1"/>
  <c r="BK183" i="1" s="1"/>
  <c r="BQ183" i="1" s="1"/>
  <c r="BF184" i="1"/>
  <c r="BG184" i="1" s="1"/>
  <c r="BH184" i="1"/>
  <c r="BI184" i="1" s="1"/>
  <c r="BK184" i="1" s="1"/>
  <c r="BQ184" i="1" s="1"/>
  <c r="BF185" i="1"/>
  <c r="BG185" i="1" s="1"/>
  <c r="BH185" i="1"/>
  <c r="BI185" i="1" s="1"/>
  <c r="BK185" i="1" s="1"/>
  <c r="BQ185" i="1" s="1"/>
  <c r="BF186" i="1"/>
  <c r="BG186" i="1" s="1"/>
  <c r="BH186" i="1"/>
  <c r="BI186" i="1" s="1"/>
  <c r="BK186" i="1" s="1"/>
  <c r="BQ186" i="1" s="1"/>
  <c r="BF187" i="1"/>
  <c r="BG187" i="1" s="1"/>
  <c r="BH187" i="1"/>
  <c r="BI187" i="1" s="1"/>
  <c r="BK187" i="1" s="1"/>
  <c r="BQ187" i="1" s="1"/>
  <c r="BF188" i="1"/>
  <c r="BG188" i="1" s="1"/>
  <c r="BH188" i="1"/>
  <c r="BI188" i="1" s="1"/>
  <c r="BK188" i="1" s="1"/>
  <c r="BQ188" i="1" s="1"/>
  <c r="BF189" i="1"/>
  <c r="BG189" i="1" s="1"/>
  <c r="BH189" i="1"/>
  <c r="BI189" i="1" s="1"/>
  <c r="BK189" i="1" s="1"/>
  <c r="BQ189" i="1" s="1"/>
  <c r="BF190" i="1"/>
  <c r="BG190" i="1" s="1"/>
  <c r="BH190" i="1"/>
  <c r="BI190" i="1" s="1"/>
  <c r="BK190" i="1" s="1"/>
  <c r="BQ190" i="1" s="1"/>
  <c r="BF191" i="1"/>
  <c r="BG191" i="1" s="1"/>
  <c r="BH191" i="1"/>
  <c r="BI191" i="1" s="1"/>
  <c r="BK191" i="1" s="1"/>
  <c r="BQ191" i="1" s="1"/>
  <c r="BF192" i="1"/>
  <c r="BG192" i="1" s="1"/>
  <c r="BH192" i="1"/>
  <c r="BI192" i="1" s="1"/>
  <c r="BK192" i="1" s="1"/>
  <c r="BQ192" i="1" s="1"/>
  <c r="BF193" i="1"/>
  <c r="BG193" i="1" s="1"/>
  <c r="BH193" i="1"/>
  <c r="BI193" i="1" s="1"/>
  <c r="BK193" i="1" s="1"/>
  <c r="BQ193" i="1" s="1"/>
  <c r="BF194" i="1"/>
  <c r="BG194" i="1" s="1"/>
  <c r="BH194" i="1"/>
  <c r="BI194" i="1" s="1"/>
  <c r="BK194" i="1" s="1"/>
  <c r="BF195" i="1"/>
  <c r="BG195" i="1" s="1"/>
  <c r="BH195" i="1"/>
  <c r="BI195" i="1" s="1"/>
  <c r="BK195" i="1" s="1"/>
  <c r="BM195" i="1"/>
  <c r="BQ195" i="1"/>
  <c r="AK130" i="1"/>
  <c r="AN130" i="1"/>
  <c r="AW130" i="1"/>
  <c r="AY130" i="1" s="1"/>
  <c r="AZ130" i="1"/>
  <c r="AK131" i="1"/>
  <c r="AN131" i="1"/>
  <c r="AW131" i="1"/>
  <c r="AO131" i="1" s="1"/>
  <c r="AZ131" i="1"/>
  <c r="AK132" i="1"/>
  <c r="AN132" i="1"/>
  <c r="AW132" i="1"/>
  <c r="AO132" i="1" s="1"/>
  <c r="AZ132" i="1"/>
  <c r="AK133" i="1"/>
  <c r="AN133" i="1"/>
  <c r="AW133" i="1"/>
  <c r="AO133" i="1" s="1"/>
  <c r="AZ133" i="1"/>
  <c r="AK134" i="1"/>
  <c r="AN134" i="1"/>
  <c r="AW134" i="1"/>
  <c r="AY134" i="1" s="1"/>
  <c r="AZ134" i="1"/>
  <c r="AK135" i="1"/>
  <c r="AN135" i="1"/>
  <c r="AW135" i="1"/>
  <c r="AO135" i="1" s="1"/>
  <c r="AZ135" i="1"/>
  <c r="AK136" i="1"/>
  <c r="AN136" i="1"/>
  <c r="AW136" i="1"/>
  <c r="AO136" i="1" s="1"/>
  <c r="AZ136" i="1"/>
  <c r="AK137" i="1"/>
  <c r="AN137" i="1"/>
  <c r="AW137" i="1"/>
  <c r="AO137" i="1" s="1"/>
  <c r="AZ137" i="1"/>
  <c r="AK138" i="1"/>
  <c r="AN138" i="1"/>
  <c r="AW138" i="1"/>
  <c r="AY138" i="1" s="1"/>
  <c r="AZ138" i="1"/>
  <c r="AK139" i="1"/>
  <c r="AN139" i="1"/>
  <c r="AW139" i="1"/>
  <c r="AO139" i="1" s="1"/>
  <c r="AZ139" i="1"/>
  <c r="AK140" i="1"/>
  <c r="AN140" i="1"/>
  <c r="AW140" i="1"/>
  <c r="AO140" i="1" s="1"/>
  <c r="AZ140" i="1"/>
  <c r="AK141" i="1"/>
  <c r="AN141" i="1"/>
  <c r="AW141" i="1"/>
  <c r="AO141" i="1" s="1"/>
  <c r="AZ141" i="1"/>
  <c r="AK142" i="1"/>
  <c r="AN142" i="1"/>
  <c r="AW142" i="1"/>
  <c r="AY142" i="1" s="1"/>
  <c r="AZ142" i="1"/>
  <c r="AK143" i="1"/>
  <c r="AN143" i="1"/>
  <c r="AW143" i="1"/>
  <c r="AO143" i="1" s="1"/>
  <c r="AZ143" i="1"/>
  <c r="AK144" i="1"/>
  <c r="AN144" i="1"/>
  <c r="AW144" i="1"/>
  <c r="AO144" i="1" s="1"/>
  <c r="AZ144" i="1"/>
  <c r="AK145" i="1"/>
  <c r="AN145" i="1"/>
  <c r="AW145" i="1"/>
  <c r="AO145" i="1" s="1"/>
  <c r="AZ145" i="1"/>
  <c r="AK146" i="1"/>
  <c r="AN146" i="1"/>
  <c r="AW146" i="1"/>
  <c r="AY146" i="1" s="1"/>
  <c r="AZ146" i="1"/>
  <c r="AK147" i="1"/>
  <c r="AN147" i="1"/>
  <c r="AW147" i="1"/>
  <c r="AO147" i="1" s="1"/>
  <c r="AZ147" i="1"/>
  <c r="AK148" i="1"/>
  <c r="AN148" i="1"/>
  <c r="AW148" i="1"/>
  <c r="AO148" i="1" s="1"/>
  <c r="AZ148" i="1"/>
  <c r="AK149" i="1"/>
  <c r="AN149" i="1"/>
  <c r="AW149" i="1"/>
  <c r="AO149" i="1" s="1"/>
  <c r="AZ149" i="1"/>
  <c r="AW150" i="1"/>
  <c r="AY150" i="1" s="1"/>
  <c r="AZ150" i="1"/>
  <c r="AK151" i="1"/>
  <c r="AW151" i="1"/>
  <c r="AZ151" i="1"/>
  <c r="AK152" i="1"/>
  <c r="AW152" i="1"/>
  <c r="AY152" i="1" s="1"/>
  <c r="AZ152" i="1"/>
  <c r="AK153" i="1"/>
  <c r="AW153" i="1"/>
  <c r="AZ153" i="1"/>
  <c r="AW154" i="1"/>
  <c r="AY154" i="1" s="1"/>
  <c r="AZ154" i="1"/>
  <c r="AK155" i="1"/>
  <c r="AW155" i="1"/>
  <c r="AZ155" i="1"/>
  <c r="AK156" i="1"/>
  <c r="AW156" i="1"/>
  <c r="AY156" i="1" s="1"/>
  <c r="AZ156" i="1"/>
  <c r="AW157" i="1"/>
  <c r="AY157" i="1" s="1"/>
  <c r="AZ157" i="1"/>
  <c r="AK158" i="1"/>
  <c r="AW158" i="1"/>
  <c r="AY158" i="1" s="1"/>
  <c r="AZ158" i="1"/>
  <c r="AK159" i="1"/>
  <c r="AW159" i="1"/>
  <c r="AZ159" i="1"/>
  <c r="AK160" i="1"/>
  <c r="AW160" i="1"/>
  <c r="AY160" i="1" s="1"/>
  <c r="AK161" i="1"/>
  <c r="AW161" i="1"/>
  <c r="AZ161" i="1"/>
  <c r="AK162" i="1"/>
  <c r="AW162" i="1"/>
  <c r="AY162" i="1" s="1"/>
  <c r="AZ162" i="1"/>
  <c r="AK163" i="1"/>
  <c r="AW163" i="1"/>
  <c r="AZ163" i="1"/>
  <c r="AK164" i="1"/>
  <c r="AW164" i="1"/>
  <c r="AY164" i="1" s="1"/>
  <c r="AZ164" i="1"/>
  <c r="AK165" i="1"/>
  <c r="AW165" i="1"/>
  <c r="AZ165" i="1"/>
  <c r="AK166" i="1"/>
  <c r="AW166" i="1"/>
  <c r="AY166" i="1" s="1"/>
  <c r="AZ166" i="1"/>
  <c r="AK167" i="1"/>
  <c r="AW167" i="1"/>
  <c r="AZ167" i="1"/>
  <c r="AK168" i="1"/>
  <c r="AW168" i="1"/>
  <c r="AY168" i="1" s="1"/>
  <c r="AZ168" i="1"/>
  <c r="AK169" i="1"/>
  <c r="AW169" i="1"/>
  <c r="AZ169" i="1"/>
  <c r="AK170" i="1"/>
  <c r="AW170" i="1"/>
  <c r="AY170" i="1" s="1"/>
  <c r="AZ170" i="1"/>
  <c r="AK171" i="1"/>
  <c r="AW171" i="1"/>
  <c r="AZ171" i="1"/>
  <c r="AK172" i="1"/>
  <c r="AW172" i="1"/>
  <c r="AY172" i="1" s="1"/>
  <c r="AZ172" i="1"/>
  <c r="AK173" i="1"/>
  <c r="AW173" i="1"/>
  <c r="AY173" i="1" s="1"/>
  <c r="AZ173" i="1"/>
  <c r="AW174" i="1"/>
  <c r="AY174" i="1" s="1"/>
  <c r="AZ174" i="1"/>
  <c r="AK175" i="1"/>
  <c r="AW175" i="1"/>
  <c r="AZ175" i="1"/>
  <c r="AK176" i="1"/>
  <c r="AW176" i="1"/>
  <c r="AY176" i="1" s="1"/>
  <c r="AZ176" i="1"/>
  <c r="AK177" i="1"/>
  <c r="AW177" i="1"/>
  <c r="AZ177" i="1"/>
  <c r="AW178" i="1"/>
  <c r="AY178" i="1" s="1"/>
  <c r="AZ178" i="1"/>
  <c r="AW179" i="1"/>
  <c r="AZ179" i="1"/>
  <c r="AW180" i="1"/>
  <c r="AY180" i="1" s="1"/>
  <c r="AZ180" i="1"/>
  <c r="AK181" i="1"/>
  <c r="AW181" i="1"/>
  <c r="AY181" i="1" s="1"/>
  <c r="AZ181" i="1"/>
  <c r="AK182" i="1"/>
  <c r="AW182" i="1"/>
  <c r="AY182" i="1" s="1"/>
  <c r="AZ182" i="1"/>
  <c r="AK183" i="1"/>
  <c r="AW183" i="1"/>
  <c r="AZ183" i="1"/>
  <c r="AK184" i="1"/>
  <c r="AW184" i="1"/>
  <c r="AZ184" i="1"/>
  <c r="AK185" i="1"/>
  <c r="AW185" i="1"/>
  <c r="AZ185" i="1"/>
  <c r="AK186" i="1"/>
  <c r="AW186" i="1"/>
  <c r="AZ186" i="1"/>
  <c r="AW187" i="1"/>
  <c r="AY187" i="1" s="1"/>
  <c r="AZ187" i="1"/>
  <c r="AK188" i="1"/>
  <c r="AW188" i="1"/>
  <c r="AZ188" i="1"/>
  <c r="AK189" i="1"/>
  <c r="AW189" i="1"/>
  <c r="AZ189" i="1"/>
  <c r="AK190" i="1"/>
  <c r="AW190" i="1"/>
  <c r="AY190" i="1" s="1"/>
  <c r="AZ190" i="1"/>
  <c r="AK191" i="1"/>
  <c r="AW191" i="1"/>
  <c r="AZ191" i="1"/>
  <c r="AK192" i="1"/>
  <c r="AW192" i="1"/>
  <c r="AY192" i="1" s="1"/>
  <c r="AZ192" i="1"/>
  <c r="AK193" i="1"/>
  <c r="AW193" i="1"/>
  <c r="AY193" i="1" s="1"/>
  <c r="AZ193" i="1"/>
  <c r="AK194" i="1"/>
  <c r="AW194" i="1"/>
  <c r="AY194" i="1" s="1"/>
  <c r="AZ194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BO174" i="1" l="1"/>
  <c r="BQ174" i="1" s="1"/>
  <c r="BO158" i="1"/>
  <c r="BQ158" i="1" s="1"/>
  <c r="BO175" i="1"/>
  <c r="BQ175" i="1" s="1"/>
  <c r="BO161" i="1"/>
  <c r="BQ161" i="1" s="1"/>
  <c r="BA180" i="1"/>
  <c r="BH160" i="1"/>
  <c r="BI160" i="1" s="1"/>
  <c r="BK160" i="1" s="1"/>
  <c r="AT160" i="1" s="1"/>
  <c r="BA192" i="1"/>
  <c r="AY149" i="1"/>
  <c r="BA149" i="1" s="1"/>
  <c r="AO134" i="1"/>
  <c r="BM134" i="1" s="1"/>
  <c r="BA168" i="1"/>
  <c r="BA193" i="1"/>
  <c r="BA152" i="1"/>
  <c r="BM139" i="1"/>
  <c r="BM136" i="1"/>
  <c r="BQ164" i="1"/>
  <c r="BQ165" i="1"/>
  <c r="AT150" i="1"/>
  <c r="AT153" i="1"/>
  <c r="BA172" i="1"/>
  <c r="BA156" i="1"/>
  <c r="AT159" i="1"/>
  <c r="BA182" i="1"/>
  <c r="BA160" i="1"/>
  <c r="BQ152" i="1"/>
  <c r="BA164" i="1"/>
  <c r="BA178" i="1"/>
  <c r="BM140" i="1"/>
  <c r="AY145" i="1"/>
  <c r="BA145" i="1" s="1"/>
  <c r="BQ194" i="1"/>
  <c r="AO194" i="1"/>
  <c r="AR194" i="1" s="1"/>
  <c r="AO185" i="1"/>
  <c r="BM185" i="1" s="1"/>
  <c r="AO155" i="1"/>
  <c r="AR155" i="1" s="1"/>
  <c r="AO169" i="1"/>
  <c r="AR169" i="1" s="1"/>
  <c r="BA190" i="1"/>
  <c r="BA187" i="1"/>
  <c r="AO187" i="1"/>
  <c r="BM187" i="1" s="1"/>
  <c r="AO184" i="1"/>
  <c r="AR184" i="1" s="1"/>
  <c r="AS184" i="1" s="1"/>
  <c r="AO172" i="1"/>
  <c r="AR172" i="1" s="1"/>
  <c r="AO181" i="1"/>
  <c r="BM181" i="1" s="1"/>
  <c r="AO175" i="1"/>
  <c r="AR175" i="1" s="1"/>
  <c r="AS175" i="1" s="1"/>
  <c r="AO168" i="1"/>
  <c r="AR168" i="1" s="1"/>
  <c r="AO157" i="1"/>
  <c r="BM157" i="1" s="1"/>
  <c r="AR144" i="1"/>
  <c r="AS144" i="1" s="1"/>
  <c r="AO189" i="1"/>
  <c r="BM189" i="1" s="1"/>
  <c r="AO164" i="1"/>
  <c r="AR164" i="1" s="1"/>
  <c r="AO171" i="1"/>
  <c r="AR171" i="1" s="1"/>
  <c r="AO183" i="1"/>
  <c r="AR183" i="1" s="1"/>
  <c r="AS183" i="1" s="1"/>
  <c r="AO167" i="1"/>
  <c r="AR167" i="1" s="1"/>
  <c r="AS167" i="1" s="1"/>
  <c r="BM141" i="1"/>
  <c r="BM135" i="1"/>
  <c r="AO186" i="1"/>
  <c r="AR186" i="1" s="1"/>
  <c r="AS186" i="1" s="1"/>
  <c r="AO163" i="1"/>
  <c r="AR163" i="1" s="1"/>
  <c r="AO156" i="1"/>
  <c r="BM156" i="1" s="1"/>
  <c r="AO192" i="1"/>
  <c r="AR192" i="1" s="1"/>
  <c r="AS192" i="1" s="1"/>
  <c r="AO191" i="1"/>
  <c r="BM191" i="1" s="1"/>
  <c r="AO188" i="1"/>
  <c r="AR188" i="1" s="1"/>
  <c r="AS188" i="1" s="1"/>
  <c r="AO180" i="1"/>
  <c r="AR180" i="1" s="1"/>
  <c r="AO177" i="1"/>
  <c r="BM177" i="1" s="1"/>
  <c r="AO152" i="1"/>
  <c r="AR152" i="1" s="1"/>
  <c r="AY185" i="1"/>
  <c r="BA185" i="1" s="1"/>
  <c r="AY148" i="1"/>
  <c r="BA148" i="1" s="1"/>
  <c r="AO173" i="1"/>
  <c r="BM173" i="1" s="1"/>
  <c r="AO193" i="1"/>
  <c r="AR193" i="1" s="1"/>
  <c r="BA176" i="1"/>
  <c r="AO151" i="1"/>
  <c r="AR151" i="1" s="1"/>
  <c r="AS151" i="1" s="1"/>
  <c r="AO179" i="1"/>
  <c r="BM179" i="1" s="1"/>
  <c r="AO176" i="1"/>
  <c r="AR176" i="1" s="1"/>
  <c r="AO165" i="1"/>
  <c r="BM165" i="1" s="1"/>
  <c r="AR148" i="1"/>
  <c r="BP148" i="1" s="1"/>
  <c r="BR148" i="1" s="1"/>
  <c r="AO142" i="1"/>
  <c r="BM142" i="1" s="1"/>
  <c r="AR136" i="1"/>
  <c r="AS136" i="1" s="1"/>
  <c r="AO161" i="1"/>
  <c r="BM161" i="1" s="1"/>
  <c r="AY132" i="1"/>
  <c r="BA132" i="1" s="1"/>
  <c r="BA194" i="1"/>
  <c r="BA170" i="1"/>
  <c r="BA154" i="1"/>
  <c r="AR140" i="1"/>
  <c r="AS140" i="1" s="1"/>
  <c r="AY184" i="1"/>
  <c r="BA184" i="1" s="1"/>
  <c r="AR143" i="1"/>
  <c r="AS143" i="1" s="1"/>
  <c r="BA134" i="1"/>
  <c r="AY188" i="1"/>
  <c r="BA188" i="1" s="1"/>
  <c r="AY169" i="1"/>
  <c r="BA169" i="1" s="1"/>
  <c r="BA166" i="1"/>
  <c r="AY153" i="1"/>
  <c r="BA153" i="1" s="1"/>
  <c r="BA150" i="1"/>
  <c r="BM145" i="1"/>
  <c r="BA142" i="1"/>
  <c r="BM137" i="1"/>
  <c r="BM132" i="1"/>
  <c r="AY139" i="1"/>
  <c r="BA139" i="1" s="1"/>
  <c r="AY131" i="1"/>
  <c r="BA131" i="1" s="1"/>
  <c r="AY165" i="1"/>
  <c r="BA165" i="1" s="1"/>
  <c r="BA162" i="1"/>
  <c r="AR147" i="1"/>
  <c r="AS147" i="1" s="1"/>
  <c r="AY144" i="1"/>
  <c r="BA144" i="1" s="1"/>
  <c r="BM149" i="1"/>
  <c r="BA146" i="1"/>
  <c r="BM131" i="1"/>
  <c r="AY177" i="1"/>
  <c r="BA177" i="1" s="1"/>
  <c r="BA174" i="1"/>
  <c r="AY161" i="1"/>
  <c r="BA161" i="1" s="1"/>
  <c r="BA158" i="1"/>
  <c r="BA138" i="1"/>
  <c r="BA130" i="1"/>
  <c r="BM144" i="1"/>
  <c r="AO190" i="1"/>
  <c r="AR190" i="1" s="1"/>
  <c r="AY189" i="1"/>
  <c r="BA189" i="1" s="1"/>
  <c r="AR133" i="1"/>
  <c r="BA181" i="1"/>
  <c r="BA173" i="1"/>
  <c r="BA157" i="1"/>
  <c r="AO130" i="1"/>
  <c r="AR130" i="1" s="1"/>
  <c r="AY183" i="1"/>
  <c r="BA183" i="1" s="1"/>
  <c r="AY179" i="1"/>
  <c r="BA179" i="1" s="1"/>
  <c r="AY175" i="1"/>
  <c r="BA175" i="1" s="1"/>
  <c r="AY171" i="1"/>
  <c r="BA171" i="1" s="1"/>
  <c r="AY167" i="1"/>
  <c r="BA167" i="1" s="1"/>
  <c r="AY163" i="1"/>
  <c r="BA163" i="1" s="1"/>
  <c r="AY159" i="1"/>
  <c r="BA159" i="1" s="1"/>
  <c r="AY155" i="1"/>
  <c r="BA155" i="1" s="1"/>
  <c r="AY151" i="1"/>
  <c r="BA151" i="1" s="1"/>
  <c r="AY147" i="1"/>
  <c r="BA147" i="1" s="1"/>
  <c r="AY143" i="1"/>
  <c r="BA143" i="1" s="1"/>
  <c r="AR132" i="1"/>
  <c r="AY136" i="1"/>
  <c r="BA136" i="1" s="1"/>
  <c r="BM147" i="1"/>
  <c r="AY186" i="1"/>
  <c r="BA186" i="1" s="1"/>
  <c r="AY140" i="1"/>
  <c r="BA140" i="1" s="1"/>
  <c r="BM143" i="1"/>
  <c r="AO138" i="1"/>
  <c r="BM138" i="1" s="1"/>
  <c r="BM148" i="1"/>
  <c r="AO178" i="1"/>
  <c r="AR178" i="1" s="1"/>
  <c r="AO158" i="1"/>
  <c r="AR158" i="1" s="1"/>
  <c r="AO154" i="1"/>
  <c r="AR154" i="1" s="1"/>
  <c r="AO146" i="1"/>
  <c r="AR146" i="1" s="1"/>
  <c r="BM133" i="1"/>
  <c r="AO182" i="1"/>
  <c r="BM182" i="1" s="1"/>
  <c r="AO174" i="1"/>
  <c r="AO170" i="1"/>
  <c r="AR170" i="1" s="1"/>
  <c r="AO166" i="1"/>
  <c r="AR166" i="1" s="1"/>
  <c r="AO162" i="1"/>
  <c r="AR162" i="1" s="1"/>
  <c r="AY191" i="1"/>
  <c r="BA191" i="1" s="1"/>
  <c r="AY135" i="1"/>
  <c r="BA135" i="1" s="1"/>
  <c r="BR195" i="1"/>
  <c r="AR137" i="1"/>
  <c r="AR135" i="1"/>
  <c r="AR141" i="1"/>
  <c r="AR139" i="1"/>
  <c r="AR149" i="1"/>
  <c r="AR145" i="1"/>
  <c r="AR131" i="1"/>
  <c r="AY141" i="1"/>
  <c r="BA141" i="1" s="1"/>
  <c r="AY137" i="1"/>
  <c r="BA137" i="1" s="1"/>
  <c r="AY133" i="1"/>
  <c r="BA133" i="1" s="1"/>
  <c r="X97" i="1"/>
  <c r="AL93" i="1"/>
  <c r="AL92" i="1"/>
  <c r="BO150" i="1" l="1"/>
  <c r="BQ150" i="1" s="1"/>
  <c r="BO160" i="1"/>
  <c r="BQ160" i="1" s="1"/>
  <c r="AO153" i="1"/>
  <c r="BM153" i="1" s="1"/>
  <c r="BO153" i="1"/>
  <c r="BQ153" i="1" s="1"/>
  <c r="BO159" i="1"/>
  <c r="BQ159" i="1" s="1"/>
  <c r="BM170" i="1"/>
  <c r="BM168" i="1"/>
  <c r="BM155" i="1"/>
  <c r="BM175" i="1"/>
  <c r="BP192" i="1"/>
  <c r="BR192" i="1" s="1"/>
  <c r="BM167" i="1"/>
  <c r="AO160" i="1"/>
  <c r="AR160" i="1" s="1"/>
  <c r="AS160" i="1" s="1"/>
  <c r="BM172" i="1"/>
  <c r="AR174" i="1"/>
  <c r="AS174" i="1" s="1"/>
  <c r="BM174" i="1"/>
  <c r="AR185" i="1"/>
  <c r="AS185" i="1" s="1"/>
  <c r="BM169" i="1"/>
  <c r="BM171" i="1"/>
  <c r="AR134" i="1"/>
  <c r="BP134" i="1" s="1"/>
  <c r="BR134" i="1" s="1"/>
  <c r="AS148" i="1"/>
  <c r="AR177" i="1"/>
  <c r="AS177" i="1" s="1"/>
  <c r="BM180" i="1"/>
  <c r="BM183" i="1"/>
  <c r="AR181" i="1"/>
  <c r="AS181" i="1" s="1"/>
  <c r="BM184" i="1"/>
  <c r="BM188" i="1"/>
  <c r="AR189" i="1"/>
  <c r="AS189" i="1" s="1"/>
  <c r="BM176" i="1"/>
  <c r="AR191" i="1"/>
  <c r="BP191" i="1" s="1"/>
  <c r="BR191" i="1" s="1"/>
  <c r="BM193" i="1"/>
  <c r="BP136" i="1"/>
  <c r="BR136" i="1" s="1"/>
  <c r="AO150" i="1"/>
  <c r="AR150" i="1" s="1"/>
  <c r="BP150" i="1" s="1"/>
  <c r="AR142" i="1"/>
  <c r="AS142" i="1" s="1"/>
  <c r="AR157" i="1"/>
  <c r="AS157" i="1" s="1"/>
  <c r="BP144" i="1"/>
  <c r="BR144" i="1" s="1"/>
  <c r="BP188" i="1"/>
  <c r="BR188" i="1" s="1"/>
  <c r="BM164" i="1"/>
  <c r="BM194" i="1"/>
  <c r="BM163" i="1"/>
  <c r="AR187" i="1"/>
  <c r="AS187" i="1" s="1"/>
  <c r="BP194" i="1"/>
  <c r="BR194" i="1" s="1"/>
  <c r="AS194" i="1"/>
  <c r="BM151" i="1"/>
  <c r="AR173" i="1"/>
  <c r="AS173" i="1" s="1"/>
  <c r="AR179" i="1"/>
  <c r="AR161" i="1"/>
  <c r="BP161" i="1" s="1"/>
  <c r="BR161" i="1" s="1"/>
  <c r="AR156" i="1"/>
  <c r="AS156" i="1" s="1"/>
  <c r="BM186" i="1"/>
  <c r="AO159" i="1"/>
  <c r="AS180" i="1"/>
  <c r="BP180" i="1"/>
  <c r="BR180" i="1" s="1"/>
  <c r="AS171" i="1"/>
  <c r="BP171" i="1"/>
  <c r="BR171" i="1" s="1"/>
  <c r="AS193" i="1"/>
  <c r="BP193" i="1"/>
  <c r="BR193" i="1" s="1"/>
  <c r="BP172" i="1"/>
  <c r="BR172" i="1" s="1"/>
  <c r="AS172" i="1"/>
  <c r="BP143" i="1"/>
  <c r="BR143" i="1" s="1"/>
  <c r="BP147" i="1"/>
  <c r="BR147" i="1" s="1"/>
  <c r="BM152" i="1"/>
  <c r="BM166" i="1"/>
  <c r="AS152" i="1"/>
  <c r="BP152" i="1"/>
  <c r="BR152" i="1" s="1"/>
  <c r="AS155" i="1"/>
  <c r="BP155" i="1"/>
  <c r="BR155" i="1" s="1"/>
  <c r="AS163" i="1"/>
  <c r="BP163" i="1"/>
  <c r="BR163" i="1" s="1"/>
  <c r="AR165" i="1"/>
  <c r="AS165" i="1" s="1"/>
  <c r="BP184" i="1"/>
  <c r="BR184" i="1" s="1"/>
  <c r="BM192" i="1"/>
  <c r="BP183" i="1"/>
  <c r="BR183" i="1" s="1"/>
  <c r="BP151" i="1"/>
  <c r="BR151" i="1" s="1"/>
  <c r="BP186" i="1"/>
  <c r="BR186" i="1" s="1"/>
  <c r="BP175" i="1"/>
  <c r="BR175" i="1" s="1"/>
  <c r="BM190" i="1"/>
  <c r="BM158" i="1"/>
  <c r="BM130" i="1"/>
  <c r="BM178" i="1"/>
  <c r="BP140" i="1"/>
  <c r="BR140" i="1" s="1"/>
  <c r="BM154" i="1"/>
  <c r="BP167" i="1"/>
  <c r="BR167" i="1" s="1"/>
  <c r="BM162" i="1"/>
  <c r="AS190" i="1"/>
  <c r="BP190" i="1"/>
  <c r="BR190" i="1" s="1"/>
  <c r="AS154" i="1"/>
  <c r="BP154" i="1"/>
  <c r="BR154" i="1" s="1"/>
  <c r="AS133" i="1"/>
  <c r="BP133" i="1"/>
  <c r="BR133" i="1" s="1"/>
  <c r="AS131" i="1"/>
  <c r="BP131" i="1"/>
  <c r="BR131" i="1" s="1"/>
  <c r="AS139" i="1"/>
  <c r="BP139" i="1"/>
  <c r="BR139" i="1" s="1"/>
  <c r="AS178" i="1"/>
  <c r="BP178" i="1"/>
  <c r="BR178" i="1" s="1"/>
  <c r="AS130" i="1"/>
  <c r="BP130" i="1"/>
  <c r="BR130" i="1" s="1"/>
  <c r="AR138" i="1"/>
  <c r="AR182" i="1"/>
  <c r="AS158" i="1"/>
  <c r="BP158" i="1"/>
  <c r="BR158" i="1" s="1"/>
  <c r="AS145" i="1"/>
  <c r="BP145" i="1"/>
  <c r="BR145" i="1" s="1"/>
  <c r="AS141" i="1"/>
  <c r="BP141" i="1"/>
  <c r="BR141" i="1" s="1"/>
  <c r="AS162" i="1"/>
  <c r="BP162" i="1"/>
  <c r="BR162" i="1" s="1"/>
  <c r="BM146" i="1"/>
  <c r="AS149" i="1"/>
  <c r="BP149" i="1"/>
  <c r="BR149" i="1" s="1"/>
  <c r="AS166" i="1"/>
  <c r="BP166" i="1"/>
  <c r="BR166" i="1" s="1"/>
  <c r="AS176" i="1"/>
  <c r="BP176" i="1"/>
  <c r="BR176" i="1" s="1"/>
  <c r="AS164" i="1"/>
  <c r="BP164" i="1"/>
  <c r="BR164" i="1" s="1"/>
  <c r="AS132" i="1"/>
  <c r="BP132" i="1"/>
  <c r="BR132" i="1" s="1"/>
  <c r="AS170" i="1"/>
  <c r="BP170" i="1"/>
  <c r="BR170" i="1" s="1"/>
  <c r="AS137" i="1"/>
  <c r="BP137" i="1"/>
  <c r="BR137" i="1" s="1"/>
  <c r="AS135" i="1"/>
  <c r="BP135" i="1"/>
  <c r="BR135" i="1" s="1"/>
  <c r="AS146" i="1"/>
  <c r="BP146" i="1"/>
  <c r="BR146" i="1" s="1"/>
  <c r="AS168" i="1"/>
  <c r="BP168" i="1"/>
  <c r="BR168" i="1" s="1"/>
  <c r="AS169" i="1"/>
  <c r="BP169" i="1"/>
  <c r="BR169" i="1" s="1"/>
  <c r="AL98" i="1"/>
  <c r="AL97" i="1"/>
  <c r="AL96" i="1"/>
  <c r="AL94" i="1"/>
  <c r="AR153" i="1" l="1"/>
  <c r="AS153" i="1" s="1"/>
  <c r="BR150" i="1"/>
  <c r="AS150" i="1"/>
  <c r="BP177" i="1"/>
  <c r="BR177" i="1" s="1"/>
  <c r="BP173" i="1"/>
  <c r="BR173" i="1" s="1"/>
  <c r="BP174" i="1"/>
  <c r="BR174" i="1" s="1"/>
  <c r="BP160" i="1"/>
  <c r="BR160" i="1" s="1"/>
  <c r="BM160" i="1"/>
  <c r="AS134" i="1"/>
  <c r="BP185" i="1"/>
  <c r="BR185" i="1" s="1"/>
  <c r="BM150" i="1"/>
  <c r="BP181" i="1"/>
  <c r="BR181" i="1" s="1"/>
  <c r="AS191" i="1"/>
  <c r="BP189" i="1"/>
  <c r="BR189" i="1" s="1"/>
  <c r="BP156" i="1"/>
  <c r="BR156" i="1" s="1"/>
  <c r="BP142" i="1"/>
  <c r="BR142" i="1" s="1"/>
  <c r="BP157" i="1"/>
  <c r="BR157" i="1" s="1"/>
  <c r="BP187" i="1"/>
  <c r="BR187" i="1" s="1"/>
  <c r="AS161" i="1"/>
  <c r="AS179" i="1"/>
  <c r="BP179" i="1"/>
  <c r="BR179" i="1" s="1"/>
  <c r="AR159" i="1"/>
  <c r="BM159" i="1"/>
  <c r="BP165" i="1"/>
  <c r="BR165" i="1" s="1"/>
  <c r="AS182" i="1"/>
  <c r="BP182" i="1"/>
  <c r="BR182" i="1" s="1"/>
  <c r="AS138" i="1"/>
  <c r="BP138" i="1"/>
  <c r="BR138" i="1" s="1"/>
  <c r="AN87" i="1"/>
  <c r="AB87" i="1"/>
  <c r="Y86" i="1"/>
  <c r="AA86" i="1" s="1"/>
  <c r="AA87" i="1"/>
  <c r="AN85" i="1"/>
  <c r="AL85" i="1"/>
  <c r="AL80" i="1"/>
  <c r="BQ89" i="1"/>
  <c r="BQ84" i="1"/>
  <c r="BQ80" i="1"/>
  <c r="BQ79" i="1"/>
  <c r="BF79" i="1"/>
  <c r="BG79" i="1" s="1"/>
  <c r="BH79" i="1"/>
  <c r="BI79" i="1" s="1"/>
  <c r="BK79" i="1" s="1"/>
  <c r="BF80" i="1"/>
  <c r="BG80" i="1" s="1"/>
  <c r="BH80" i="1"/>
  <c r="BI80" i="1" s="1"/>
  <c r="BK80" i="1" s="1"/>
  <c r="BF81" i="1"/>
  <c r="BG81" i="1" s="1"/>
  <c r="BH81" i="1"/>
  <c r="BI81" i="1" s="1"/>
  <c r="BK81" i="1" s="1"/>
  <c r="BQ81" i="1"/>
  <c r="BF82" i="1"/>
  <c r="BG82" i="1" s="1"/>
  <c r="BH82" i="1"/>
  <c r="BI82" i="1" s="1"/>
  <c r="BK82" i="1" s="1"/>
  <c r="BQ82" i="1"/>
  <c r="BF83" i="1"/>
  <c r="BG83" i="1" s="1"/>
  <c r="BH83" i="1"/>
  <c r="BI83" i="1" s="1"/>
  <c r="BK83" i="1" s="1"/>
  <c r="BQ83" i="1"/>
  <c r="BF84" i="1"/>
  <c r="BG84" i="1" s="1"/>
  <c r="BH84" i="1"/>
  <c r="BI84" i="1" s="1"/>
  <c r="BK84" i="1" s="1"/>
  <c r="BF85" i="1"/>
  <c r="BG85" i="1" s="1"/>
  <c r="BH85" i="1"/>
  <c r="BI85" i="1" s="1"/>
  <c r="BK85" i="1" s="1"/>
  <c r="BQ85" i="1"/>
  <c r="BF86" i="1"/>
  <c r="BG86" i="1" s="1"/>
  <c r="BH86" i="1"/>
  <c r="BI86" i="1" s="1"/>
  <c r="BK86" i="1" s="1"/>
  <c r="BQ86" i="1"/>
  <c r="BF87" i="1"/>
  <c r="BG87" i="1" s="1"/>
  <c r="BH87" i="1"/>
  <c r="BI87" i="1" s="1"/>
  <c r="BK87" i="1" s="1"/>
  <c r="AT87" i="1" s="1"/>
  <c r="BF88" i="1"/>
  <c r="BG88" i="1" s="1"/>
  <c r="BH88" i="1"/>
  <c r="BI88" i="1" s="1"/>
  <c r="BK88" i="1" s="1"/>
  <c r="AT88" i="1" s="1"/>
  <c r="BF89" i="1"/>
  <c r="BG89" i="1" s="1"/>
  <c r="BH89" i="1"/>
  <c r="BI89" i="1" s="1"/>
  <c r="BK89" i="1" s="1"/>
  <c r="BF90" i="1"/>
  <c r="BG90" i="1" s="1"/>
  <c r="BH90" i="1"/>
  <c r="BI90" i="1" s="1"/>
  <c r="BK90" i="1" s="1"/>
  <c r="BQ90" i="1"/>
  <c r="BF91" i="1"/>
  <c r="BG91" i="1" s="1"/>
  <c r="BH91" i="1"/>
  <c r="BI91" i="1" s="1"/>
  <c r="BK91" i="1" s="1"/>
  <c r="AT91" i="1" s="1"/>
  <c r="BF92" i="1"/>
  <c r="BG92" i="1" s="1"/>
  <c r="BH92" i="1"/>
  <c r="BI92" i="1" s="1"/>
  <c r="BK92" i="1" s="1"/>
  <c r="AT92" i="1" s="1"/>
  <c r="BF93" i="1"/>
  <c r="BG93" i="1" s="1"/>
  <c r="BH93" i="1"/>
  <c r="BI93" i="1" s="1"/>
  <c r="BK93" i="1" s="1"/>
  <c r="BQ93" i="1" s="1"/>
  <c r="BF94" i="1"/>
  <c r="BG94" i="1" s="1"/>
  <c r="BH94" i="1"/>
  <c r="BI94" i="1" s="1"/>
  <c r="BK94" i="1" s="1"/>
  <c r="AT94" i="1" s="1"/>
  <c r="BF95" i="1"/>
  <c r="BG95" i="1" s="1"/>
  <c r="BH95" i="1"/>
  <c r="BI95" i="1" s="1"/>
  <c r="BK95" i="1" s="1"/>
  <c r="BQ95" i="1"/>
  <c r="BF96" i="1"/>
  <c r="BG96" i="1" s="1"/>
  <c r="BH96" i="1"/>
  <c r="BI96" i="1" s="1"/>
  <c r="BK96" i="1" s="1"/>
  <c r="AT96" i="1" s="1"/>
  <c r="BF97" i="1"/>
  <c r="BG97" i="1" s="1"/>
  <c r="BH97" i="1"/>
  <c r="BI97" i="1" s="1"/>
  <c r="BK97" i="1" s="1"/>
  <c r="BF98" i="1"/>
  <c r="BG98" i="1" s="1"/>
  <c r="BH98" i="1"/>
  <c r="BI98" i="1" s="1"/>
  <c r="BK98" i="1" s="1"/>
  <c r="AT98" i="1" s="1"/>
  <c r="BF99" i="1"/>
  <c r="BG99" i="1" s="1"/>
  <c r="BH99" i="1"/>
  <c r="BI99" i="1" s="1"/>
  <c r="BK99" i="1" s="1"/>
  <c r="AT99" i="1" s="1"/>
  <c r="BF100" i="1"/>
  <c r="BG100" i="1" s="1"/>
  <c r="BH100" i="1"/>
  <c r="BI100" i="1" s="1"/>
  <c r="BK100" i="1" s="1"/>
  <c r="AT100" i="1" s="1"/>
  <c r="BF101" i="1"/>
  <c r="BG101" i="1" s="1"/>
  <c r="BH101" i="1"/>
  <c r="BI101" i="1" s="1"/>
  <c r="BK101" i="1" s="1"/>
  <c r="BQ101" i="1"/>
  <c r="BF102" i="1"/>
  <c r="BG102" i="1" s="1"/>
  <c r="BH102" i="1"/>
  <c r="BI102" i="1" s="1"/>
  <c r="BK102" i="1" s="1"/>
  <c r="BQ102" i="1"/>
  <c r="BF103" i="1"/>
  <c r="BG103" i="1" s="1"/>
  <c r="BH103" i="1"/>
  <c r="BI103" i="1" s="1"/>
  <c r="BK103" i="1" s="1"/>
  <c r="BQ103" i="1"/>
  <c r="BF104" i="1"/>
  <c r="BG104" i="1" s="1"/>
  <c r="BH104" i="1"/>
  <c r="BI104" i="1" s="1"/>
  <c r="BK104" i="1" s="1"/>
  <c r="BQ104" i="1"/>
  <c r="BF105" i="1"/>
  <c r="BG105" i="1" s="1"/>
  <c r="BH105" i="1"/>
  <c r="BI105" i="1" s="1"/>
  <c r="BK105" i="1" s="1"/>
  <c r="BQ105" i="1"/>
  <c r="BF106" i="1"/>
  <c r="BG106" i="1" s="1"/>
  <c r="BH106" i="1"/>
  <c r="BI106" i="1" s="1"/>
  <c r="BK106" i="1" s="1"/>
  <c r="BQ106" i="1"/>
  <c r="BF107" i="1"/>
  <c r="BG107" i="1" s="1"/>
  <c r="BH107" i="1"/>
  <c r="BI107" i="1" s="1"/>
  <c r="BK107" i="1" s="1"/>
  <c r="BQ107" i="1"/>
  <c r="BF108" i="1"/>
  <c r="BG108" i="1" s="1"/>
  <c r="BH108" i="1"/>
  <c r="BI108" i="1" s="1"/>
  <c r="BK108" i="1" s="1"/>
  <c r="BQ108" i="1"/>
  <c r="BF109" i="1"/>
  <c r="BG109" i="1" s="1"/>
  <c r="BH109" i="1"/>
  <c r="BI109" i="1" s="1"/>
  <c r="BK109" i="1" s="1"/>
  <c r="BQ109" i="1"/>
  <c r="BF110" i="1"/>
  <c r="BG110" i="1" s="1"/>
  <c r="BH110" i="1"/>
  <c r="BI110" i="1" s="1"/>
  <c r="BK110" i="1" s="1"/>
  <c r="BQ110" i="1"/>
  <c r="BF111" i="1"/>
  <c r="BG111" i="1" s="1"/>
  <c r="BH111" i="1"/>
  <c r="BI111" i="1" s="1"/>
  <c r="BK111" i="1" s="1"/>
  <c r="BQ111" i="1"/>
  <c r="BF112" i="1"/>
  <c r="BG112" i="1" s="1"/>
  <c r="BH112" i="1"/>
  <c r="BI112" i="1" s="1"/>
  <c r="BK112" i="1" s="1"/>
  <c r="BQ112" i="1"/>
  <c r="BF113" i="1"/>
  <c r="BG113" i="1" s="1"/>
  <c r="BH113" i="1"/>
  <c r="BI113" i="1" s="1"/>
  <c r="BK113" i="1" s="1"/>
  <c r="BQ113" i="1"/>
  <c r="BF114" i="1"/>
  <c r="BG114" i="1" s="1"/>
  <c r="BH114" i="1"/>
  <c r="BI114" i="1" s="1"/>
  <c r="BK114" i="1" s="1"/>
  <c r="BQ114" i="1"/>
  <c r="BF115" i="1"/>
  <c r="BG115" i="1" s="1"/>
  <c r="BH115" i="1"/>
  <c r="BI115" i="1" s="1"/>
  <c r="BK115" i="1" s="1"/>
  <c r="BQ115" i="1"/>
  <c r="BF116" i="1"/>
  <c r="BG116" i="1" s="1"/>
  <c r="BH116" i="1"/>
  <c r="BI116" i="1" s="1"/>
  <c r="BK116" i="1" s="1"/>
  <c r="BQ116" i="1"/>
  <c r="BF117" i="1"/>
  <c r="BG117" i="1" s="1"/>
  <c r="BH117" i="1"/>
  <c r="BI117" i="1" s="1"/>
  <c r="BK117" i="1" s="1"/>
  <c r="BQ117" i="1"/>
  <c r="BF118" i="1"/>
  <c r="BG118" i="1" s="1"/>
  <c r="BH118" i="1"/>
  <c r="BI118" i="1" s="1"/>
  <c r="BK118" i="1" s="1"/>
  <c r="BQ118" i="1"/>
  <c r="BF119" i="1"/>
  <c r="BG119" i="1" s="1"/>
  <c r="BH119" i="1"/>
  <c r="BI119" i="1" s="1"/>
  <c r="BK119" i="1" s="1"/>
  <c r="BQ119" i="1"/>
  <c r="BF120" i="1"/>
  <c r="BG120" i="1" s="1"/>
  <c r="BH120" i="1"/>
  <c r="BI120" i="1" s="1"/>
  <c r="BK120" i="1" s="1"/>
  <c r="BQ120" i="1"/>
  <c r="BF121" i="1"/>
  <c r="BG121" i="1" s="1"/>
  <c r="BH121" i="1"/>
  <c r="BI121" i="1" s="1"/>
  <c r="BK121" i="1" s="1"/>
  <c r="BQ121" i="1"/>
  <c r="BF122" i="1"/>
  <c r="BG122" i="1" s="1"/>
  <c r="BH122" i="1"/>
  <c r="BI122" i="1" s="1"/>
  <c r="BK122" i="1" s="1"/>
  <c r="BQ122" i="1"/>
  <c r="BF123" i="1"/>
  <c r="BG123" i="1" s="1"/>
  <c r="BH123" i="1"/>
  <c r="BI123" i="1" s="1"/>
  <c r="BK123" i="1" s="1"/>
  <c r="BQ123" i="1"/>
  <c r="BF124" i="1"/>
  <c r="BG124" i="1" s="1"/>
  <c r="BH124" i="1"/>
  <c r="BI124" i="1" s="1"/>
  <c r="BK124" i="1" s="1"/>
  <c r="BQ124" i="1"/>
  <c r="BF125" i="1"/>
  <c r="BG125" i="1" s="1"/>
  <c r="BH125" i="1"/>
  <c r="BI125" i="1" s="1"/>
  <c r="BK125" i="1" s="1"/>
  <c r="BQ125" i="1"/>
  <c r="BF126" i="1"/>
  <c r="BG126" i="1" s="1"/>
  <c r="BH126" i="1"/>
  <c r="BI126" i="1" s="1"/>
  <c r="BK126" i="1" s="1"/>
  <c r="BQ126" i="1"/>
  <c r="BF127" i="1"/>
  <c r="BG127" i="1" s="1"/>
  <c r="BH127" i="1"/>
  <c r="BI127" i="1" s="1"/>
  <c r="BK127" i="1" s="1"/>
  <c r="BQ127" i="1"/>
  <c r="BF128" i="1"/>
  <c r="BG128" i="1" s="1"/>
  <c r="BH128" i="1"/>
  <c r="BI128" i="1" s="1"/>
  <c r="BK128" i="1" s="1"/>
  <c r="BQ128" i="1"/>
  <c r="BF129" i="1"/>
  <c r="BG129" i="1" s="1"/>
  <c r="BH129" i="1"/>
  <c r="BI129" i="1" s="1"/>
  <c r="BK129" i="1" s="1"/>
  <c r="BQ129" i="1"/>
  <c r="AK79" i="1"/>
  <c r="AW79" i="1"/>
  <c r="AY79" i="1" s="1"/>
  <c r="AZ79" i="1"/>
  <c r="AK80" i="1"/>
  <c r="AW80" i="1"/>
  <c r="AO80" i="1" s="1"/>
  <c r="AZ80" i="1"/>
  <c r="AK81" i="1"/>
  <c r="AW81" i="1"/>
  <c r="AY81" i="1" s="1"/>
  <c r="AZ81" i="1"/>
  <c r="AK82" i="1"/>
  <c r="AW82" i="1"/>
  <c r="AO82" i="1" s="1"/>
  <c r="AZ82" i="1"/>
  <c r="AW83" i="1"/>
  <c r="AO83" i="1" s="1"/>
  <c r="AZ83" i="1"/>
  <c r="AK84" i="1"/>
  <c r="AW84" i="1"/>
  <c r="AY84" i="1" s="1"/>
  <c r="AZ84" i="1"/>
  <c r="AK85" i="1"/>
  <c r="AW85" i="1"/>
  <c r="AY85" i="1" s="1"/>
  <c r="AZ85" i="1"/>
  <c r="AW86" i="1"/>
  <c r="AZ86" i="1"/>
  <c r="AW87" i="1"/>
  <c r="AZ87" i="1"/>
  <c r="AK88" i="1"/>
  <c r="AW88" i="1"/>
  <c r="AZ88" i="1"/>
  <c r="AK89" i="1"/>
  <c r="AW89" i="1"/>
  <c r="AY89" i="1" s="1"/>
  <c r="AZ89" i="1"/>
  <c r="AK90" i="1"/>
  <c r="AW90" i="1"/>
  <c r="AO90" i="1" s="1"/>
  <c r="AZ90" i="1"/>
  <c r="AK91" i="1"/>
  <c r="AW91" i="1"/>
  <c r="AZ91" i="1"/>
  <c r="AK92" i="1"/>
  <c r="AW92" i="1"/>
  <c r="AZ92" i="1"/>
  <c r="AK93" i="1"/>
  <c r="AW93" i="1"/>
  <c r="AY93" i="1" s="1"/>
  <c r="AZ93" i="1"/>
  <c r="AK94" i="1"/>
  <c r="AW94" i="1"/>
  <c r="AZ94" i="1"/>
  <c r="AK95" i="1"/>
  <c r="AW95" i="1"/>
  <c r="AY95" i="1" s="1"/>
  <c r="AZ95" i="1"/>
  <c r="AK96" i="1"/>
  <c r="AW96" i="1"/>
  <c r="AZ96" i="1"/>
  <c r="AK97" i="1"/>
  <c r="AW97" i="1"/>
  <c r="AY97" i="1" s="1"/>
  <c r="AZ97" i="1"/>
  <c r="AK98" i="1"/>
  <c r="AW98" i="1"/>
  <c r="AZ98" i="1"/>
  <c r="AW99" i="1"/>
  <c r="AZ99" i="1"/>
  <c r="AK100" i="1"/>
  <c r="AW100" i="1"/>
  <c r="AZ100" i="1"/>
  <c r="AK101" i="1"/>
  <c r="AN101" i="1"/>
  <c r="AW101" i="1"/>
  <c r="AY101" i="1" s="1"/>
  <c r="AZ101" i="1"/>
  <c r="AK102" i="1"/>
  <c r="AN102" i="1"/>
  <c r="AW102" i="1"/>
  <c r="AO102" i="1" s="1"/>
  <c r="AZ102" i="1"/>
  <c r="AK103" i="1"/>
  <c r="AN103" i="1"/>
  <c r="AW103" i="1"/>
  <c r="AO103" i="1" s="1"/>
  <c r="AZ103" i="1"/>
  <c r="AK104" i="1"/>
  <c r="AN104" i="1"/>
  <c r="AW104" i="1"/>
  <c r="AO104" i="1" s="1"/>
  <c r="AZ104" i="1"/>
  <c r="AK105" i="1"/>
  <c r="AN105" i="1"/>
  <c r="AW105" i="1"/>
  <c r="AY105" i="1" s="1"/>
  <c r="AZ105" i="1"/>
  <c r="AK106" i="1"/>
  <c r="AN106" i="1"/>
  <c r="AW106" i="1"/>
  <c r="AO106" i="1" s="1"/>
  <c r="AZ106" i="1"/>
  <c r="AK107" i="1"/>
  <c r="AN107" i="1"/>
  <c r="AW107" i="1"/>
  <c r="AO107" i="1" s="1"/>
  <c r="AZ107" i="1"/>
  <c r="AK108" i="1"/>
  <c r="AN108" i="1"/>
  <c r="AW108" i="1"/>
  <c r="AO108" i="1" s="1"/>
  <c r="AZ108" i="1"/>
  <c r="AK109" i="1"/>
  <c r="AN109" i="1"/>
  <c r="AW109" i="1"/>
  <c r="AY109" i="1" s="1"/>
  <c r="AZ109" i="1"/>
  <c r="AK110" i="1"/>
  <c r="AN110" i="1"/>
  <c r="AW110" i="1"/>
  <c r="AO110" i="1" s="1"/>
  <c r="AZ110" i="1"/>
  <c r="AK111" i="1"/>
  <c r="AN111" i="1"/>
  <c r="AW111" i="1"/>
  <c r="AO111" i="1" s="1"/>
  <c r="AZ111" i="1"/>
  <c r="AK112" i="1"/>
  <c r="AN112" i="1"/>
  <c r="AW112" i="1"/>
  <c r="AO112" i="1" s="1"/>
  <c r="AZ112" i="1"/>
  <c r="AK113" i="1"/>
  <c r="AN113" i="1"/>
  <c r="AW113" i="1"/>
  <c r="AY113" i="1" s="1"/>
  <c r="AZ113" i="1"/>
  <c r="AK114" i="1"/>
  <c r="AN114" i="1"/>
  <c r="AW114" i="1"/>
  <c r="AO114" i="1" s="1"/>
  <c r="AZ114" i="1"/>
  <c r="AK115" i="1"/>
  <c r="AN115" i="1"/>
  <c r="AW115" i="1"/>
  <c r="AO115" i="1" s="1"/>
  <c r="AZ115" i="1"/>
  <c r="AK116" i="1"/>
  <c r="AN116" i="1"/>
  <c r="AW116" i="1"/>
  <c r="AO116" i="1" s="1"/>
  <c r="AZ116" i="1"/>
  <c r="AK117" i="1"/>
  <c r="AN117" i="1"/>
  <c r="AW117" i="1"/>
  <c r="AY117" i="1" s="1"/>
  <c r="AZ117" i="1"/>
  <c r="AK118" i="1"/>
  <c r="AN118" i="1"/>
  <c r="AW118" i="1"/>
  <c r="AO118" i="1" s="1"/>
  <c r="AZ118" i="1"/>
  <c r="AK119" i="1"/>
  <c r="AN119" i="1"/>
  <c r="AW119" i="1"/>
  <c r="AY119" i="1" s="1"/>
  <c r="AZ119" i="1"/>
  <c r="AK120" i="1"/>
  <c r="AN120" i="1"/>
  <c r="AW120" i="1"/>
  <c r="AO120" i="1" s="1"/>
  <c r="AZ120" i="1"/>
  <c r="AK121" i="1"/>
  <c r="AN121" i="1"/>
  <c r="AW121" i="1"/>
  <c r="AY121" i="1" s="1"/>
  <c r="AZ121" i="1"/>
  <c r="AK122" i="1"/>
  <c r="AN122" i="1"/>
  <c r="AW122" i="1"/>
  <c r="AO122" i="1" s="1"/>
  <c r="AZ122" i="1"/>
  <c r="AK123" i="1"/>
  <c r="AN123" i="1"/>
  <c r="AW123" i="1"/>
  <c r="AO123" i="1" s="1"/>
  <c r="AZ123" i="1"/>
  <c r="AK124" i="1"/>
  <c r="AN124" i="1"/>
  <c r="AW124" i="1"/>
  <c r="AO124" i="1" s="1"/>
  <c r="AZ124" i="1"/>
  <c r="AK125" i="1"/>
  <c r="AN125" i="1"/>
  <c r="AW125" i="1"/>
  <c r="AY125" i="1" s="1"/>
  <c r="AZ125" i="1"/>
  <c r="AK126" i="1"/>
  <c r="AN126" i="1"/>
  <c r="AW126" i="1"/>
  <c r="AO126" i="1" s="1"/>
  <c r="AZ126" i="1"/>
  <c r="AK127" i="1"/>
  <c r="AN127" i="1"/>
  <c r="AW127" i="1"/>
  <c r="AO127" i="1" s="1"/>
  <c r="AZ127" i="1"/>
  <c r="AK128" i="1"/>
  <c r="AN128" i="1"/>
  <c r="AW128" i="1"/>
  <c r="AO128" i="1" s="1"/>
  <c r="AZ128" i="1"/>
  <c r="AK129" i="1"/>
  <c r="AN129" i="1"/>
  <c r="AW129" i="1"/>
  <c r="AY129" i="1" s="1"/>
  <c r="AZ129" i="1"/>
  <c r="AD79" i="1"/>
  <c r="AD80" i="1"/>
  <c r="AD81" i="1"/>
  <c r="AD82" i="1"/>
  <c r="AD83" i="1"/>
  <c r="AD84" i="1"/>
  <c r="AD85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N65" i="1"/>
  <c r="AN78" i="1"/>
  <c r="AL65" i="1"/>
  <c r="AN62" i="1"/>
  <c r="AL61" i="1"/>
  <c r="BP153" i="1" l="1"/>
  <c r="BR153" i="1" s="1"/>
  <c r="BO91" i="1"/>
  <c r="BQ91" i="1" s="1"/>
  <c r="BO96" i="1"/>
  <c r="BQ96" i="1" s="1"/>
  <c r="BO100" i="1"/>
  <c r="BQ100" i="1" s="1"/>
  <c r="BO94" i="1"/>
  <c r="BQ94" i="1" s="1"/>
  <c r="BO99" i="1"/>
  <c r="BQ99" i="1" s="1"/>
  <c r="BO88" i="1"/>
  <c r="BQ88" i="1" s="1"/>
  <c r="BO98" i="1"/>
  <c r="BQ98" i="1" s="1"/>
  <c r="BO87" i="1"/>
  <c r="BQ87" i="1" s="1"/>
  <c r="BO92" i="1"/>
  <c r="BQ92" i="1" s="1"/>
  <c r="AB86" i="1"/>
  <c r="AC86" i="1" s="1"/>
  <c r="AD86" i="1" s="1"/>
  <c r="AO88" i="1"/>
  <c r="BM88" i="1" s="1"/>
  <c r="AS159" i="1"/>
  <c r="BP159" i="1"/>
  <c r="BR159" i="1" s="1"/>
  <c r="AT97" i="1"/>
  <c r="AO99" i="1"/>
  <c r="AR99" i="1" s="1"/>
  <c r="AO91" i="1"/>
  <c r="BM91" i="1" s="1"/>
  <c r="AC87" i="1"/>
  <c r="AD87" i="1" s="1"/>
  <c r="AO96" i="1"/>
  <c r="BM96" i="1" s="1"/>
  <c r="AO98" i="1"/>
  <c r="BM98" i="1" s="1"/>
  <c r="AO94" i="1"/>
  <c r="AR94" i="1" s="1"/>
  <c r="BP94" i="1" s="1"/>
  <c r="AO92" i="1"/>
  <c r="AR92" i="1" s="1"/>
  <c r="BP92" i="1" s="1"/>
  <c r="AO100" i="1"/>
  <c r="BM100" i="1" s="1"/>
  <c r="AO87" i="1"/>
  <c r="AR87" i="1" s="1"/>
  <c r="AO86" i="1"/>
  <c r="AK86" i="1"/>
  <c r="AO119" i="1"/>
  <c r="BM119" i="1" s="1"/>
  <c r="AY112" i="1"/>
  <c r="BA112" i="1" s="1"/>
  <c r="BM128" i="1"/>
  <c r="BA95" i="1"/>
  <c r="AR83" i="1"/>
  <c r="BM80" i="1"/>
  <c r="BM110" i="1"/>
  <c r="BM115" i="1"/>
  <c r="AY120" i="1"/>
  <c r="BA120" i="1" s="1"/>
  <c r="BA105" i="1"/>
  <c r="AY87" i="1"/>
  <c r="BA87" i="1" s="1"/>
  <c r="BM120" i="1"/>
  <c r="BA117" i="1"/>
  <c r="BM114" i="1"/>
  <c r="BM104" i="1"/>
  <c r="AY111" i="1"/>
  <c r="BA111" i="1" s="1"/>
  <c r="AY124" i="1"/>
  <c r="BA124" i="1" s="1"/>
  <c r="AY99" i="1"/>
  <c r="BA99" i="1" s="1"/>
  <c r="BM102" i="1"/>
  <c r="BM124" i="1"/>
  <c r="AO121" i="1"/>
  <c r="BM121" i="1" s="1"/>
  <c r="AY123" i="1"/>
  <c r="BA123" i="1" s="1"/>
  <c r="AO109" i="1"/>
  <c r="BM109" i="1" s="1"/>
  <c r="AR107" i="1"/>
  <c r="BA129" i="1"/>
  <c r="BM116" i="1"/>
  <c r="AO95" i="1"/>
  <c r="BM95" i="1" s="1"/>
  <c r="BM126" i="1"/>
  <c r="AY107" i="1"/>
  <c r="BA107" i="1" s="1"/>
  <c r="BM118" i="1"/>
  <c r="AY96" i="1"/>
  <c r="BA96" i="1" s="1"/>
  <c r="BM112" i="1"/>
  <c r="AY88" i="1"/>
  <c r="BA88" i="1" s="1"/>
  <c r="BM107" i="1"/>
  <c r="BA119" i="1"/>
  <c r="BA93" i="1"/>
  <c r="BM122" i="1"/>
  <c r="BM127" i="1"/>
  <c r="BM111" i="1"/>
  <c r="AY108" i="1"/>
  <c r="BA108" i="1" s="1"/>
  <c r="AY100" i="1"/>
  <c r="BA100" i="1" s="1"/>
  <c r="AO93" i="1"/>
  <c r="BM93" i="1" s="1"/>
  <c r="BM82" i="1"/>
  <c r="BA84" i="1"/>
  <c r="BA81" i="1"/>
  <c r="BM123" i="1"/>
  <c r="AR123" i="1"/>
  <c r="BP123" i="1" s="1"/>
  <c r="AR115" i="1"/>
  <c r="BP115" i="1" s="1"/>
  <c r="BM83" i="1"/>
  <c r="AR111" i="1"/>
  <c r="BP111" i="1" s="1"/>
  <c r="BM103" i="1"/>
  <c r="AY127" i="1"/>
  <c r="BA127" i="1" s="1"/>
  <c r="AO125" i="1"/>
  <c r="BM125" i="1" s="1"/>
  <c r="AY116" i="1"/>
  <c r="BA116" i="1" s="1"/>
  <c r="AY103" i="1"/>
  <c r="BA103" i="1" s="1"/>
  <c r="AO101" i="1"/>
  <c r="BM101" i="1" s="1"/>
  <c r="AY92" i="1"/>
  <c r="BA92" i="1" s="1"/>
  <c r="AY83" i="1"/>
  <c r="BA83" i="1" s="1"/>
  <c r="AO79" i="1"/>
  <c r="AR79" i="1" s="1"/>
  <c r="BP79" i="1" s="1"/>
  <c r="BA101" i="1"/>
  <c r="AO129" i="1"/>
  <c r="BM129" i="1" s="1"/>
  <c r="AR127" i="1"/>
  <c r="BP127" i="1" s="1"/>
  <c r="AO105" i="1"/>
  <c r="AR105" i="1" s="1"/>
  <c r="BP105" i="1" s="1"/>
  <c r="AR103" i="1"/>
  <c r="BP103" i="1" s="1"/>
  <c r="BA85" i="1"/>
  <c r="AR116" i="1"/>
  <c r="BP116" i="1" s="1"/>
  <c r="AR114" i="1"/>
  <c r="BP114" i="1" s="1"/>
  <c r="BA109" i="1"/>
  <c r="AR90" i="1"/>
  <c r="BP90" i="1" s="1"/>
  <c r="AO85" i="1"/>
  <c r="AR85" i="1" s="1"/>
  <c r="BP85" i="1" s="1"/>
  <c r="AY80" i="1"/>
  <c r="BA80" i="1" s="1"/>
  <c r="BA89" i="1"/>
  <c r="AR106" i="1"/>
  <c r="BP106" i="1" s="1"/>
  <c r="BA113" i="1"/>
  <c r="AY128" i="1"/>
  <c r="BA128" i="1" s="1"/>
  <c r="AY115" i="1"/>
  <c r="BA115" i="1" s="1"/>
  <c r="AO113" i="1"/>
  <c r="BM113" i="1" s="1"/>
  <c r="AY104" i="1"/>
  <c r="BA104" i="1" s="1"/>
  <c r="AY91" i="1"/>
  <c r="BA91" i="1" s="1"/>
  <c r="AO89" i="1"/>
  <c r="BM89" i="1" s="1"/>
  <c r="AO81" i="1"/>
  <c r="AR81" i="1" s="1"/>
  <c r="BP81" i="1" s="1"/>
  <c r="AR80" i="1"/>
  <c r="BP80" i="1" s="1"/>
  <c r="AR108" i="1"/>
  <c r="BP108" i="1" s="1"/>
  <c r="BM106" i="1"/>
  <c r="AO117" i="1"/>
  <c r="BM117" i="1" s="1"/>
  <c r="BA79" i="1"/>
  <c r="BM108" i="1"/>
  <c r="BA125" i="1"/>
  <c r="BA121" i="1"/>
  <c r="BA97" i="1"/>
  <c r="BM90" i="1"/>
  <c r="AR118" i="1"/>
  <c r="BP118" i="1" s="1"/>
  <c r="AR120" i="1"/>
  <c r="BP120" i="1" s="1"/>
  <c r="AR124" i="1"/>
  <c r="BP124" i="1" s="1"/>
  <c r="AR122" i="1"/>
  <c r="BP122" i="1" s="1"/>
  <c r="AR82" i="1"/>
  <c r="BP82" i="1" s="1"/>
  <c r="AR128" i="1"/>
  <c r="BP128" i="1" s="1"/>
  <c r="AR126" i="1"/>
  <c r="BP126" i="1" s="1"/>
  <c r="AR104" i="1"/>
  <c r="BP104" i="1" s="1"/>
  <c r="AR102" i="1"/>
  <c r="BP102" i="1" s="1"/>
  <c r="AR112" i="1"/>
  <c r="BP112" i="1" s="1"/>
  <c r="AR110" i="1"/>
  <c r="BP110" i="1" s="1"/>
  <c r="AO84" i="1"/>
  <c r="AR84" i="1" s="1"/>
  <c r="BP84" i="1" s="1"/>
  <c r="AY126" i="1"/>
  <c r="BA126" i="1" s="1"/>
  <c r="AY122" i="1"/>
  <c r="BA122" i="1" s="1"/>
  <c r="AY118" i="1"/>
  <c r="BA118" i="1" s="1"/>
  <c r="AY114" i="1"/>
  <c r="BA114" i="1" s="1"/>
  <c r="AY110" i="1"/>
  <c r="BA110" i="1" s="1"/>
  <c r="AY106" i="1"/>
  <c r="BA106" i="1" s="1"/>
  <c r="AY102" i="1"/>
  <c r="BA102" i="1" s="1"/>
  <c r="AY98" i="1"/>
  <c r="BA98" i="1" s="1"/>
  <c r="AY94" i="1"/>
  <c r="BA94" i="1" s="1"/>
  <c r="AY90" i="1"/>
  <c r="BA90" i="1" s="1"/>
  <c r="AY86" i="1"/>
  <c r="BA86" i="1" s="1"/>
  <c r="AY82" i="1"/>
  <c r="BA82" i="1" s="1"/>
  <c r="AL35" i="1"/>
  <c r="AR88" i="1" l="1"/>
  <c r="BP88" i="1" s="1"/>
  <c r="BR88" i="1" s="1"/>
  <c r="BO97" i="1"/>
  <c r="BQ97" i="1" s="1"/>
  <c r="AR91" i="1"/>
  <c r="BP91" i="1" s="1"/>
  <c r="BR91" i="1" s="1"/>
  <c r="AR96" i="1"/>
  <c r="BP96" i="1" s="1"/>
  <c r="BR96" i="1" s="1"/>
  <c r="BM99" i="1"/>
  <c r="AR98" i="1"/>
  <c r="BP98" i="1" s="1"/>
  <c r="BR98" i="1" s="1"/>
  <c r="AO97" i="1"/>
  <c r="BM97" i="1" s="1"/>
  <c r="BP87" i="1"/>
  <c r="BR87" i="1" s="1"/>
  <c r="AS83" i="1"/>
  <c r="BP83" i="1"/>
  <c r="BR83" i="1" s="1"/>
  <c r="AS107" i="1"/>
  <c r="BP107" i="1"/>
  <c r="BR107" i="1" s="1"/>
  <c r="AS99" i="1"/>
  <c r="BP99" i="1"/>
  <c r="BR99" i="1" s="1"/>
  <c r="BM92" i="1"/>
  <c r="AR100" i="1"/>
  <c r="BM94" i="1"/>
  <c r="BM87" i="1"/>
  <c r="AR86" i="1"/>
  <c r="AR119" i="1"/>
  <c r="BM86" i="1"/>
  <c r="AS87" i="1"/>
  <c r="AR109" i="1"/>
  <c r="AR129" i="1"/>
  <c r="AR93" i="1"/>
  <c r="AR101" i="1"/>
  <c r="BM79" i="1"/>
  <c r="AR121" i="1"/>
  <c r="BM105" i="1"/>
  <c r="BM81" i="1"/>
  <c r="AR89" i="1"/>
  <c r="AR125" i="1"/>
  <c r="AR117" i="1"/>
  <c r="AR95" i="1"/>
  <c r="BP95" i="1" s="1"/>
  <c r="BM85" i="1"/>
  <c r="BM84" i="1"/>
  <c r="AS81" i="1"/>
  <c r="BR81" i="1"/>
  <c r="AS105" i="1"/>
  <c r="BR105" i="1"/>
  <c r="AS94" i="1"/>
  <c r="BR94" i="1"/>
  <c r="AS102" i="1"/>
  <c r="BR102" i="1"/>
  <c r="AS116" i="1"/>
  <c r="BR116" i="1"/>
  <c r="AS103" i="1"/>
  <c r="BR103" i="1"/>
  <c r="AS106" i="1"/>
  <c r="BR106" i="1"/>
  <c r="AS79" i="1"/>
  <c r="BR79" i="1"/>
  <c r="AS128" i="1"/>
  <c r="BR128" i="1"/>
  <c r="AR113" i="1"/>
  <c r="BP113" i="1" s="1"/>
  <c r="AS122" i="1"/>
  <c r="BR122" i="1"/>
  <c r="AS90" i="1"/>
  <c r="BR90" i="1"/>
  <c r="AS127" i="1"/>
  <c r="BR127" i="1"/>
  <c r="AS111" i="1"/>
  <c r="BR111" i="1"/>
  <c r="AS110" i="1"/>
  <c r="BR110" i="1"/>
  <c r="AS82" i="1"/>
  <c r="BR82" i="1"/>
  <c r="AS124" i="1"/>
  <c r="BR124" i="1"/>
  <c r="AS92" i="1"/>
  <c r="BR92" i="1"/>
  <c r="AS112" i="1"/>
  <c r="BR112" i="1"/>
  <c r="AS120" i="1"/>
  <c r="BR120" i="1"/>
  <c r="AS104" i="1"/>
  <c r="BR104" i="1"/>
  <c r="AS118" i="1"/>
  <c r="BR118" i="1"/>
  <c r="AS108" i="1"/>
  <c r="BR108" i="1"/>
  <c r="AS84" i="1"/>
  <c r="BR84" i="1"/>
  <c r="AS114" i="1"/>
  <c r="BR114" i="1"/>
  <c r="AS123" i="1"/>
  <c r="BR123" i="1"/>
  <c r="AS96" i="1"/>
  <c r="AS80" i="1"/>
  <c r="BR80" i="1"/>
  <c r="AS126" i="1"/>
  <c r="BR126" i="1"/>
  <c r="AS85" i="1"/>
  <c r="BR85" i="1"/>
  <c r="AS115" i="1"/>
  <c r="BR115" i="1"/>
  <c r="AL41" i="1"/>
  <c r="AS88" i="1" l="1"/>
  <c r="AS98" i="1"/>
  <c r="AS91" i="1"/>
  <c r="AR97" i="1"/>
  <c r="AS97" i="1" s="1"/>
  <c r="AS101" i="1"/>
  <c r="BP101" i="1"/>
  <c r="BR101" i="1" s="1"/>
  <c r="AS100" i="1"/>
  <c r="BP100" i="1"/>
  <c r="BR100" i="1" s="1"/>
  <c r="AS93" i="1"/>
  <c r="BP93" i="1"/>
  <c r="BR93" i="1" s="1"/>
  <c r="AS117" i="1"/>
  <c r="BP117" i="1"/>
  <c r="BR117" i="1" s="1"/>
  <c r="AS129" i="1"/>
  <c r="BP129" i="1"/>
  <c r="BR129" i="1" s="1"/>
  <c r="AS125" i="1"/>
  <c r="BP125" i="1"/>
  <c r="BR125" i="1" s="1"/>
  <c r="BP109" i="1"/>
  <c r="BR109" i="1" s="1"/>
  <c r="BP89" i="1"/>
  <c r="BR89" i="1" s="1"/>
  <c r="AS119" i="1"/>
  <c r="BP119" i="1"/>
  <c r="BR119" i="1" s="1"/>
  <c r="BP121" i="1"/>
  <c r="BR121" i="1" s="1"/>
  <c r="BP86" i="1"/>
  <c r="BR86" i="1" s="1"/>
  <c r="AS86" i="1"/>
  <c r="AS89" i="1"/>
  <c r="AS109" i="1"/>
  <c r="AS121" i="1"/>
  <c r="AS95" i="1"/>
  <c r="BR95" i="1"/>
  <c r="AS113" i="1"/>
  <c r="BR113" i="1"/>
  <c r="AN51" i="1"/>
  <c r="AL47" i="1"/>
  <c r="X46" i="1"/>
  <c r="AZ46" i="1" s="1"/>
  <c r="X45" i="1"/>
  <c r="BH45" i="1" s="1"/>
  <c r="BI45" i="1" s="1"/>
  <c r="BK45" i="1" s="1"/>
  <c r="AT45" i="1" s="1"/>
  <c r="BO45" i="1" s="1"/>
  <c r="X37" i="1"/>
  <c r="AZ37" i="1" s="1"/>
  <c r="AL37" i="1"/>
  <c r="AL36" i="1"/>
  <c r="AL52" i="1"/>
  <c r="AL44" i="1"/>
  <c r="AL39" i="1"/>
  <c r="AL38" i="1"/>
  <c r="AL33" i="1"/>
  <c r="AL30" i="1"/>
  <c r="AN28" i="1"/>
  <c r="AN27" i="1"/>
  <c r="AK23" i="1"/>
  <c r="AL24" i="1"/>
  <c r="AL23" i="1"/>
  <c r="BF21" i="1"/>
  <c r="BG21" i="1" s="1"/>
  <c r="BH21" i="1"/>
  <c r="BI21" i="1" s="1"/>
  <c r="BK21" i="1" s="1"/>
  <c r="AT21" i="1" s="1"/>
  <c r="BO21" i="1" s="1"/>
  <c r="BF22" i="1"/>
  <c r="BG22" i="1" s="1"/>
  <c r="BH22" i="1"/>
  <c r="BI22" i="1" s="1"/>
  <c r="BK22" i="1" s="1"/>
  <c r="AT22" i="1" s="1"/>
  <c r="BO22" i="1" s="1"/>
  <c r="BF23" i="1"/>
  <c r="BG23" i="1" s="1"/>
  <c r="BH23" i="1"/>
  <c r="BI23" i="1" s="1"/>
  <c r="BK23" i="1" s="1"/>
  <c r="AT23" i="1" s="1"/>
  <c r="BO23" i="1" s="1"/>
  <c r="BF24" i="1"/>
  <c r="BG24" i="1" s="1"/>
  <c r="BH24" i="1"/>
  <c r="BI24" i="1" s="1"/>
  <c r="BK24" i="1" s="1"/>
  <c r="BF25" i="1"/>
  <c r="BG25" i="1" s="1"/>
  <c r="BH25" i="1"/>
  <c r="BI25" i="1" s="1"/>
  <c r="BK25" i="1" s="1"/>
  <c r="BF26" i="1"/>
  <c r="BG26" i="1" s="1"/>
  <c r="BH26" i="1"/>
  <c r="BI26" i="1" s="1"/>
  <c r="BK26" i="1" s="1"/>
  <c r="AT26" i="1" s="1"/>
  <c r="BO26" i="1" s="1"/>
  <c r="BF27" i="1"/>
  <c r="BG27" i="1" s="1"/>
  <c r="BH27" i="1"/>
  <c r="BI27" i="1" s="1"/>
  <c r="BK27" i="1" s="1"/>
  <c r="AT27" i="1" s="1"/>
  <c r="BO27" i="1" s="1"/>
  <c r="BF28" i="1"/>
  <c r="BG28" i="1" s="1"/>
  <c r="BH28" i="1"/>
  <c r="BI28" i="1" s="1"/>
  <c r="BK28" i="1" s="1"/>
  <c r="AT28" i="1" s="1"/>
  <c r="BO28" i="1" s="1"/>
  <c r="BF29" i="1"/>
  <c r="BG29" i="1" s="1"/>
  <c r="BH29" i="1"/>
  <c r="BI29" i="1" s="1"/>
  <c r="BK29" i="1" s="1"/>
  <c r="AT29" i="1" s="1"/>
  <c r="BO29" i="1" s="1"/>
  <c r="BF30" i="1"/>
  <c r="BG30" i="1" s="1"/>
  <c r="BH30" i="1"/>
  <c r="BI30" i="1" s="1"/>
  <c r="BK30" i="1" s="1"/>
  <c r="BF31" i="1"/>
  <c r="BG31" i="1" s="1"/>
  <c r="BH31" i="1"/>
  <c r="BI31" i="1" s="1"/>
  <c r="BK31" i="1" s="1"/>
  <c r="AT31" i="1" s="1"/>
  <c r="BO31" i="1" s="1"/>
  <c r="BF32" i="1"/>
  <c r="BG32" i="1" s="1"/>
  <c r="BH32" i="1"/>
  <c r="BI32" i="1" s="1"/>
  <c r="BK32" i="1" s="1"/>
  <c r="AT32" i="1" s="1"/>
  <c r="BO32" i="1" s="1"/>
  <c r="BF33" i="1"/>
  <c r="BG33" i="1" s="1"/>
  <c r="BH33" i="1"/>
  <c r="BI33" i="1" s="1"/>
  <c r="BK33" i="1" s="1"/>
  <c r="BF34" i="1"/>
  <c r="BG34" i="1" s="1"/>
  <c r="BH34" i="1"/>
  <c r="BI34" i="1" s="1"/>
  <c r="BK34" i="1" s="1"/>
  <c r="AT34" i="1" s="1"/>
  <c r="BO34" i="1" s="1"/>
  <c r="BF35" i="1"/>
  <c r="BG35" i="1" s="1"/>
  <c r="BH35" i="1"/>
  <c r="BI35" i="1" s="1"/>
  <c r="BK35" i="1" s="1"/>
  <c r="BF36" i="1"/>
  <c r="BG36" i="1" s="1"/>
  <c r="BH36" i="1"/>
  <c r="BI36" i="1" s="1"/>
  <c r="BK36" i="1" s="1"/>
  <c r="AT36" i="1" s="1"/>
  <c r="BO36" i="1" s="1"/>
  <c r="BF37" i="1"/>
  <c r="BG37" i="1" s="1"/>
  <c r="BF38" i="1"/>
  <c r="BG38" i="1" s="1"/>
  <c r="BH38" i="1"/>
  <c r="BI38" i="1" s="1"/>
  <c r="BK38" i="1" s="1"/>
  <c r="BF39" i="1"/>
  <c r="BG39" i="1" s="1"/>
  <c r="BH39" i="1"/>
  <c r="BI39" i="1" s="1"/>
  <c r="BK39" i="1" s="1"/>
  <c r="BF40" i="1"/>
  <c r="BG40" i="1" s="1"/>
  <c r="BH40" i="1"/>
  <c r="BI40" i="1" s="1"/>
  <c r="BK40" i="1" s="1"/>
  <c r="BF41" i="1"/>
  <c r="BG41" i="1" s="1"/>
  <c r="BH41" i="1"/>
  <c r="BI41" i="1" s="1"/>
  <c r="BK41" i="1" s="1"/>
  <c r="BF42" i="1"/>
  <c r="BG42" i="1" s="1"/>
  <c r="BH42" i="1"/>
  <c r="BI42" i="1" s="1"/>
  <c r="BK42" i="1" s="1"/>
  <c r="BF43" i="1"/>
  <c r="BG43" i="1" s="1"/>
  <c r="BH43" i="1"/>
  <c r="BI43" i="1" s="1"/>
  <c r="BK43" i="1" s="1"/>
  <c r="BF44" i="1"/>
  <c r="BG44" i="1" s="1"/>
  <c r="BH44" i="1"/>
  <c r="BI44" i="1" s="1"/>
  <c r="BK44" i="1" s="1"/>
  <c r="AT44" i="1" s="1"/>
  <c r="BO44" i="1" s="1"/>
  <c r="BF45" i="1"/>
  <c r="BG45" i="1" s="1"/>
  <c r="BF46" i="1"/>
  <c r="BG46" i="1" s="1"/>
  <c r="BF47" i="1"/>
  <c r="BG47" i="1" s="1"/>
  <c r="BH47" i="1"/>
  <c r="BI47" i="1" s="1"/>
  <c r="BK47" i="1" s="1"/>
  <c r="BF48" i="1"/>
  <c r="BG48" i="1" s="1"/>
  <c r="BH48" i="1"/>
  <c r="BI48" i="1" s="1"/>
  <c r="BK48" i="1" s="1"/>
  <c r="BF49" i="1"/>
  <c r="BG49" i="1" s="1"/>
  <c r="BH49" i="1"/>
  <c r="BI49" i="1" s="1"/>
  <c r="BK49" i="1" s="1"/>
  <c r="AT49" i="1" s="1"/>
  <c r="BO49" i="1" s="1"/>
  <c r="BF50" i="1"/>
  <c r="BG50" i="1" s="1"/>
  <c r="BH50" i="1"/>
  <c r="BI50" i="1" s="1"/>
  <c r="BK50" i="1" s="1"/>
  <c r="AT50" i="1" s="1"/>
  <c r="BO50" i="1" s="1"/>
  <c r="BF51" i="1"/>
  <c r="BG51" i="1" s="1"/>
  <c r="BH51" i="1"/>
  <c r="BI51" i="1" s="1"/>
  <c r="BK51" i="1" s="1"/>
  <c r="BF52" i="1"/>
  <c r="BG52" i="1" s="1"/>
  <c r="BH52" i="1"/>
  <c r="BI52" i="1" s="1"/>
  <c r="BK52" i="1" s="1"/>
  <c r="AT52" i="1" s="1"/>
  <c r="BO52" i="1" s="1"/>
  <c r="BF53" i="1"/>
  <c r="BG53" i="1" s="1"/>
  <c r="BH53" i="1"/>
  <c r="BI53" i="1" s="1"/>
  <c r="BK53" i="1" s="1"/>
  <c r="AT53" i="1" s="1"/>
  <c r="BO53" i="1" s="1"/>
  <c r="BF54" i="1"/>
  <c r="BG54" i="1" s="1"/>
  <c r="BH54" i="1"/>
  <c r="BI54" i="1" s="1"/>
  <c r="BK54" i="1" s="1"/>
  <c r="AT54" i="1" s="1"/>
  <c r="BO54" i="1" s="1"/>
  <c r="BF55" i="1"/>
  <c r="BG55" i="1" s="1"/>
  <c r="BH55" i="1"/>
  <c r="BI55" i="1" s="1"/>
  <c r="BK55" i="1" s="1"/>
  <c r="AT55" i="1" s="1"/>
  <c r="BO55" i="1" s="1"/>
  <c r="BF56" i="1"/>
  <c r="BG56" i="1" s="1"/>
  <c r="BH56" i="1"/>
  <c r="BI56" i="1" s="1"/>
  <c r="BK56" i="1" s="1"/>
  <c r="BF57" i="1"/>
  <c r="BG57" i="1" s="1"/>
  <c r="BH57" i="1"/>
  <c r="BI57" i="1" s="1"/>
  <c r="BK57" i="1" s="1"/>
  <c r="BF58" i="1"/>
  <c r="BG58" i="1" s="1"/>
  <c r="BH58" i="1"/>
  <c r="BI58" i="1" s="1"/>
  <c r="BK58" i="1" s="1"/>
  <c r="AT58" i="1" s="1"/>
  <c r="BO58" i="1" s="1"/>
  <c r="BF59" i="1"/>
  <c r="BG59" i="1" s="1"/>
  <c r="BH59" i="1"/>
  <c r="BI59" i="1" s="1"/>
  <c r="BK59" i="1" s="1"/>
  <c r="BF60" i="1"/>
  <c r="BG60" i="1" s="1"/>
  <c r="BH60" i="1"/>
  <c r="BI60" i="1" s="1"/>
  <c r="BK60" i="1" s="1"/>
  <c r="BF61" i="1"/>
  <c r="BG61" i="1" s="1"/>
  <c r="BH61" i="1"/>
  <c r="BI61" i="1" s="1"/>
  <c r="BK61" i="1" s="1"/>
  <c r="BF62" i="1"/>
  <c r="BG62" i="1" s="1"/>
  <c r="BH62" i="1"/>
  <c r="BI62" i="1" s="1"/>
  <c r="BK62" i="1" s="1"/>
  <c r="BF63" i="1"/>
  <c r="BG63" i="1" s="1"/>
  <c r="BH63" i="1"/>
  <c r="BI63" i="1" s="1"/>
  <c r="BK63" i="1" s="1"/>
  <c r="BF64" i="1"/>
  <c r="BG64" i="1" s="1"/>
  <c r="BH64" i="1"/>
  <c r="BI64" i="1" s="1"/>
  <c r="BK64" i="1" s="1"/>
  <c r="BF65" i="1"/>
  <c r="BG65" i="1" s="1"/>
  <c r="BH65" i="1"/>
  <c r="BI65" i="1" s="1"/>
  <c r="BK65" i="1" s="1"/>
  <c r="AT65" i="1" s="1"/>
  <c r="BO65" i="1" s="1"/>
  <c r="BF66" i="1"/>
  <c r="BG66" i="1" s="1"/>
  <c r="BH66" i="1"/>
  <c r="BI66" i="1" s="1"/>
  <c r="BK66" i="1" s="1"/>
  <c r="BF67" i="1"/>
  <c r="BG67" i="1" s="1"/>
  <c r="BH67" i="1"/>
  <c r="BI67" i="1" s="1"/>
  <c r="BK67" i="1" s="1"/>
  <c r="BF68" i="1"/>
  <c r="BG68" i="1" s="1"/>
  <c r="BH68" i="1"/>
  <c r="BI68" i="1" s="1"/>
  <c r="BK68" i="1" s="1"/>
  <c r="BF69" i="1"/>
  <c r="BG69" i="1" s="1"/>
  <c r="BH69" i="1"/>
  <c r="BI69" i="1" s="1"/>
  <c r="BK69" i="1" s="1"/>
  <c r="BF70" i="1"/>
  <c r="BG70" i="1" s="1"/>
  <c r="BH70" i="1"/>
  <c r="BI70" i="1" s="1"/>
  <c r="BK70" i="1" s="1"/>
  <c r="BF71" i="1"/>
  <c r="BG71" i="1" s="1"/>
  <c r="BH71" i="1"/>
  <c r="BI71" i="1" s="1"/>
  <c r="BK71" i="1" s="1"/>
  <c r="BF72" i="1"/>
  <c r="BG72" i="1" s="1"/>
  <c r="BH72" i="1"/>
  <c r="BI72" i="1" s="1"/>
  <c r="BK72" i="1" s="1"/>
  <c r="AT72" i="1" s="1"/>
  <c r="BO72" i="1" s="1"/>
  <c r="BF73" i="1"/>
  <c r="BG73" i="1" s="1"/>
  <c r="BH73" i="1"/>
  <c r="BI73" i="1" s="1"/>
  <c r="BK73" i="1" s="1"/>
  <c r="BF74" i="1"/>
  <c r="BG74" i="1" s="1"/>
  <c r="BH74" i="1"/>
  <c r="BI74" i="1" s="1"/>
  <c r="BK74" i="1" s="1"/>
  <c r="BF75" i="1"/>
  <c r="BG75" i="1" s="1"/>
  <c r="BH75" i="1"/>
  <c r="BI75" i="1" s="1"/>
  <c r="BK75" i="1" s="1"/>
  <c r="AT75" i="1" s="1"/>
  <c r="BO75" i="1" s="1"/>
  <c r="BF76" i="1"/>
  <c r="BG76" i="1" s="1"/>
  <c r="BH76" i="1"/>
  <c r="BI76" i="1" s="1"/>
  <c r="BK76" i="1" s="1"/>
  <c r="AT76" i="1" s="1"/>
  <c r="BO76" i="1" s="1"/>
  <c r="BF77" i="1"/>
  <c r="BG77" i="1" s="1"/>
  <c r="BH77" i="1"/>
  <c r="BI77" i="1" s="1"/>
  <c r="BK77" i="1" s="1"/>
  <c r="AT77" i="1" s="1"/>
  <c r="BO77" i="1" s="1"/>
  <c r="BF78" i="1"/>
  <c r="BG78" i="1" s="1"/>
  <c r="BH78" i="1"/>
  <c r="BI78" i="1" s="1"/>
  <c r="BK78" i="1" s="1"/>
  <c r="AW21" i="1"/>
  <c r="AY21" i="1" s="1"/>
  <c r="AZ21" i="1"/>
  <c r="AK22" i="1"/>
  <c r="AW22" i="1"/>
  <c r="AY22" i="1" s="1"/>
  <c r="AZ22" i="1"/>
  <c r="AW23" i="1"/>
  <c r="AY23" i="1" s="1"/>
  <c r="AZ23" i="1"/>
  <c r="AW24" i="1"/>
  <c r="AY24" i="1" s="1"/>
  <c r="AZ24" i="1"/>
  <c r="AK25" i="1"/>
  <c r="AW25" i="1"/>
  <c r="AY25" i="1" s="1"/>
  <c r="AZ25" i="1"/>
  <c r="AK26" i="1"/>
  <c r="AW26" i="1"/>
  <c r="AY26" i="1" s="1"/>
  <c r="AZ26" i="1"/>
  <c r="AK27" i="1"/>
  <c r="AW27" i="1"/>
  <c r="AY27" i="1" s="1"/>
  <c r="AZ27" i="1"/>
  <c r="AK28" i="1"/>
  <c r="AW28" i="1"/>
  <c r="AY28" i="1" s="1"/>
  <c r="AZ28" i="1"/>
  <c r="AK29" i="1"/>
  <c r="AW29" i="1"/>
  <c r="AY29" i="1" s="1"/>
  <c r="AZ29" i="1"/>
  <c r="AK30" i="1"/>
  <c r="AW30" i="1"/>
  <c r="AY30" i="1" s="1"/>
  <c r="AZ30" i="1"/>
  <c r="AK31" i="1"/>
  <c r="AW31" i="1"/>
  <c r="AY31" i="1" s="1"/>
  <c r="AZ31" i="1"/>
  <c r="AK32" i="1"/>
  <c r="AW32" i="1"/>
  <c r="AY32" i="1" s="1"/>
  <c r="AZ32" i="1"/>
  <c r="AK33" i="1"/>
  <c r="AW33" i="1"/>
  <c r="AY33" i="1" s="1"/>
  <c r="AZ33" i="1"/>
  <c r="AK34" i="1"/>
  <c r="AW34" i="1"/>
  <c r="AY34" i="1" s="1"/>
  <c r="AZ34" i="1"/>
  <c r="AK35" i="1"/>
  <c r="AW35" i="1"/>
  <c r="AY35" i="1" s="1"/>
  <c r="AZ35" i="1"/>
  <c r="AK36" i="1"/>
  <c r="AW36" i="1"/>
  <c r="AY36" i="1" s="1"/>
  <c r="AZ36" i="1"/>
  <c r="AK37" i="1"/>
  <c r="AW37" i="1"/>
  <c r="AY37" i="1" s="1"/>
  <c r="AK38" i="1"/>
  <c r="AW38" i="1"/>
  <c r="AY38" i="1" s="1"/>
  <c r="AZ38" i="1"/>
  <c r="AK39" i="1"/>
  <c r="AW39" i="1"/>
  <c r="AY39" i="1" s="1"/>
  <c r="AZ39" i="1"/>
  <c r="AK40" i="1"/>
  <c r="AW40" i="1"/>
  <c r="AY40" i="1" s="1"/>
  <c r="AZ40" i="1"/>
  <c r="AK41" i="1"/>
  <c r="AW41" i="1"/>
  <c r="AY41" i="1" s="1"/>
  <c r="AZ41" i="1"/>
  <c r="AK42" i="1"/>
  <c r="AW42" i="1"/>
  <c r="AY42" i="1" s="1"/>
  <c r="AZ42" i="1"/>
  <c r="AK43" i="1"/>
  <c r="AW43" i="1"/>
  <c r="AY43" i="1" s="1"/>
  <c r="AZ43" i="1"/>
  <c r="AK44" i="1"/>
  <c r="AW44" i="1"/>
  <c r="AY44" i="1" s="1"/>
  <c r="AZ44" i="1"/>
  <c r="AK45" i="1"/>
  <c r="AW45" i="1"/>
  <c r="AY45" i="1" s="1"/>
  <c r="AK46" i="1"/>
  <c r="AW46" i="1"/>
  <c r="AY46" i="1" s="1"/>
  <c r="AK47" i="1"/>
  <c r="AW47" i="1"/>
  <c r="AY47" i="1" s="1"/>
  <c r="AZ47" i="1"/>
  <c r="AK48" i="1"/>
  <c r="AW48" i="1"/>
  <c r="AY48" i="1" s="1"/>
  <c r="AZ48" i="1"/>
  <c r="AK49" i="1"/>
  <c r="AW49" i="1"/>
  <c r="AY49" i="1" s="1"/>
  <c r="AZ49" i="1"/>
  <c r="AK50" i="1"/>
  <c r="AW50" i="1"/>
  <c r="AY50" i="1" s="1"/>
  <c r="AZ50" i="1"/>
  <c r="AK51" i="1"/>
  <c r="AW51" i="1"/>
  <c r="AY51" i="1" s="1"/>
  <c r="AZ51" i="1"/>
  <c r="AK52" i="1"/>
  <c r="AW52" i="1"/>
  <c r="AY52" i="1" s="1"/>
  <c r="AZ52" i="1"/>
  <c r="AK53" i="1"/>
  <c r="AW53" i="1"/>
  <c r="AY53" i="1" s="1"/>
  <c r="AZ53" i="1"/>
  <c r="AK54" i="1"/>
  <c r="AW54" i="1"/>
  <c r="AY54" i="1" s="1"/>
  <c r="AZ54" i="1"/>
  <c r="AK55" i="1"/>
  <c r="AW55" i="1"/>
  <c r="AY55" i="1" s="1"/>
  <c r="AZ55" i="1"/>
  <c r="AK56" i="1"/>
  <c r="AW56" i="1"/>
  <c r="AY56" i="1" s="1"/>
  <c r="AZ56" i="1"/>
  <c r="AW57" i="1"/>
  <c r="AY57" i="1" s="1"/>
  <c r="AZ57" i="1"/>
  <c r="AK58" i="1"/>
  <c r="AW58" i="1"/>
  <c r="AY58" i="1" s="1"/>
  <c r="AZ58" i="1"/>
  <c r="AW59" i="1"/>
  <c r="AY59" i="1" s="1"/>
  <c r="AZ59" i="1"/>
  <c r="AK60" i="1"/>
  <c r="AW60" i="1"/>
  <c r="AY60" i="1" s="1"/>
  <c r="AZ60" i="1"/>
  <c r="AW61" i="1"/>
  <c r="AY61" i="1" s="1"/>
  <c r="AZ61" i="1"/>
  <c r="AK62" i="1"/>
  <c r="AW62" i="1"/>
  <c r="AY62" i="1" s="1"/>
  <c r="AZ62" i="1"/>
  <c r="AK63" i="1"/>
  <c r="AW63" i="1"/>
  <c r="AY63" i="1" s="1"/>
  <c r="AZ63" i="1"/>
  <c r="AK64" i="1"/>
  <c r="AW64" i="1"/>
  <c r="AY64" i="1" s="1"/>
  <c r="AZ64" i="1"/>
  <c r="AW65" i="1"/>
  <c r="AY65" i="1" s="1"/>
  <c r="AZ65" i="1"/>
  <c r="AK66" i="1"/>
  <c r="AW66" i="1"/>
  <c r="AY66" i="1" s="1"/>
  <c r="AZ66" i="1"/>
  <c r="AK67" i="1"/>
  <c r="AW67" i="1"/>
  <c r="AY67" i="1" s="1"/>
  <c r="AZ67" i="1"/>
  <c r="AK68" i="1"/>
  <c r="AW68" i="1"/>
  <c r="AY68" i="1" s="1"/>
  <c r="AZ68" i="1"/>
  <c r="AW69" i="1"/>
  <c r="AY69" i="1" s="1"/>
  <c r="AZ69" i="1"/>
  <c r="AW70" i="1"/>
  <c r="AY70" i="1" s="1"/>
  <c r="AZ70" i="1"/>
  <c r="AK71" i="1"/>
  <c r="AW71" i="1"/>
  <c r="AY71" i="1" s="1"/>
  <c r="AZ71" i="1"/>
  <c r="AK72" i="1"/>
  <c r="AW72" i="1"/>
  <c r="AY72" i="1" s="1"/>
  <c r="AZ72" i="1"/>
  <c r="AK73" i="1"/>
  <c r="AW73" i="1"/>
  <c r="AY73" i="1" s="1"/>
  <c r="AZ73" i="1"/>
  <c r="AK74" i="1"/>
  <c r="AW74" i="1"/>
  <c r="AY74" i="1" s="1"/>
  <c r="AZ74" i="1"/>
  <c r="AK75" i="1"/>
  <c r="AW75" i="1"/>
  <c r="AY75" i="1" s="1"/>
  <c r="AZ75" i="1"/>
  <c r="AK76" i="1"/>
  <c r="AW76" i="1"/>
  <c r="AY76" i="1" s="1"/>
  <c r="AZ76" i="1"/>
  <c r="AK77" i="1"/>
  <c r="AW77" i="1"/>
  <c r="AY77" i="1" s="1"/>
  <c r="AZ77" i="1"/>
  <c r="AK78" i="1"/>
  <c r="AW78" i="1"/>
  <c r="AY78" i="1" s="1"/>
  <c r="AZ78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BP97" i="1" l="1"/>
  <c r="BR97" i="1" s="1"/>
  <c r="AZ45" i="1"/>
  <c r="BA45" i="1" s="1"/>
  <c r="BH46" i="1"/>
  <c r="BI46" i="1" s="1"/>
  <c r="BK46" i="1" s="1"/>
  <c r="BH37" i="1"/>
  <c r="BI37" i="1" s="1"/>
  <c r="BK37" i="1" s="1"/>
  <c r="AT37" i="1" s="1"/>
  <c r="AO37" i="1" s="1"/>
  <c r="BM37" i="1" s="1"/>
  <c r="BA51" i="1"/>
  <c r="BA50" i="1"/>
  <c r="BA53" i="1"/>
  <c r="BA29" i="1"/>
  <c r="BA65" i="1"/>
  <c r="BA39" i="1"/>
  <c r="BA35" i="1"/>
  <c r="BA24" i="1"/>
  <c r="BA31" i="1"/>
  <c r="BA61" i="1"/>
  <c r="BA55" i="1"/>
  <c r="BA78" i="1"/>
  <c r="BA75" i="1"/>
  <c r="BA72" i="1"/>
  <c r="BA68" i="1"/>
  <c r="BA41" i="1"/>
  <c r="BA38" i="1"/>
  <c r="BA27" i="1"/>
  <c r="BA23" i="1"/>
  <c r="BA63" i="1"/>
  <c r="BA60" i="1"/>
  <c r="BA48" i="1"/>
  <c r="BA57" i="1"/>
  <c r="BA30" i="1"/>
  <c r="BA77" i="1"/>
  <c r="BA33" i="1"/>
  <c r="BA26" i="1"/>
  <c r="BA47" i="1"/>
  <c r="BA69" i="1"/>
  <c r="BA59" i="1"/>
  <c r="BA43" i="1"/>
  <c r="BA36" i="1"/>
  <c r="BA66" i="1"/>
  <c r="BA74" i="1"/>
  <c r="BA49" i="1"/>
  <c r="BA42" i="1"/>
  <c r="BA25" i="1"/>
  <c r="BA21" i="1"/>
  <c r="BA73" i="1"/>
  <c r="BA62" i="1"/>
  <c r="BA54" i="1"/>
  <c r="BA37" i="1"/>
  <c r="BA71" i="1"/>
  <c r="BA67" i="1"/>
  <c r="BA76" i="1"/>
  <c r="BA64" i="1"/>
  <c r="BA52" i="1"/>
  <c r="BA40" i="1"/>
  <c r="BA28" i="1"/>
  <c r="BA56" i="1"/>
  <c r="BA44" i="1"/>
  <c r="BA32" i="1"/>
  <c r="BA70" i="1"/>
  <c r="BA58" i="1"/>
  <c r="BA46" i="1"/>
  <c r="BA34" i="1"/>
  <c r="BA22" i="1"/>
  <c r="BQ77" i="1"/>
  <c r="AO77" i="1"/>
  <c r="BM77" i="1" s="1"/>
  <c r="BQ74" i="1"/>
  <c r="AO74" i="1"/>
  <c r="BM74" i="1" s="1"/>
  <c r="AO71" i="1"/>
  <c r="BM71" i="1" s="1"/>
  <c r="BQ71" i="1"/>
  <c r="AO68" i="1"/>
  <c r="BM68" i="1" s="1"/>
  <c r="BQ68" i="1"/>
  <c r="BQ65" i="1"/>
  <c r="AO65" i="1"/>
  <c r="BM65" i="1" s="1"/>
  <c r="BQ62" i="1"/>
  <c r="AO62" i="1"/>
  <c r="BM62" i="1" s="1"/>
  <c r="BQ59" i="1"/>
  <c r="AO59" i="1"/>
  <c r="BM59" i="1" s="1"/>
  <c r="AO56" i="1"/>
  <c r="BM56" i="1" s="1"/>
  <c r="BQ56" i="1"/>
  <c r="BQ53" i="1"/>
  <c r="AO53" i="1"/>
  <c r="BM53" i="1" s="1"/>
  <c r="AO50" i="1"/>
  <c r="BM50" i="1" s="1"/>
  <c r="BQ50" i="1"/>
  <c r="AO47" i="1"/>
  <c r="BM47" i="1" s="1"/>
  <c r="AO44" i="1"/>
  <c r="BM44" i="1" s="1"/>
  <c r="BQ44" i="1"/>
  <c r="AO41" i="1"/>
  <c r="BM41" i="1" s="1"/>
  <c r="BQ41" i="1"/>
  <c r="AO38" i="1"/>
  <c r="BM38" i="1" s="1"/>
  <c r="BQ38" i="1"/>
  <c r="BQ35" i="1"/>
  <c r="AO35" i="1"/>
  <c r="BM35" i="1" s="1"/>
  <c r="BQ32" i="1"/>
  <c r="AO32" i="1"/>
  <c r="BM32" i="1" s="1"/>
  <c r="BQ29" i="1"/>
  <c r="AO29" i="1"/>
  <c r="BM29" i="1" s="1"/>
  <c r="AO26" i="1"/>
  <c r="BM26" i="1" s="1"/>
  <c r="BQ26" i="1"/>
  <c r="BQ23" i="1"/>
  <c r="AO23" i="1"/>
  <c r="BM23" i="1" s="1"/>
  <c r="AO76" i="1"/>
  <c r="BM76" i="1" s="1"/>
  <c r="BQ76" i="1"/>
  <c r="AO73" i="1"/>
  <c r="BM73" i="1" s="1"/>
  <c r="BQ73" i="1"/>
  <c r="AO70" i="1"/>
  <c r="BM70" i="1" s="1"/>
  <c r="BQ70" i="1"/>
  <c r="AO67" i="1"/>
  <c r="BM67" i="1" s="1"/>
  <c r="BQ67" i="1"/>
  <c r="AO64" i="1"/>
  <c r="BM64" i="1" s="1"/>
  <c r="BQ64" i="1"/>
  <c r="AO61" i="1"/>
  <c r="BM61" i="1" s="1"/>
  <c r="BQ61" i="1"/>
  <c r="AO58" i="1"/>
  <c r="BM58" i="1" s="1"/>
  <c r="BQ58" i="1"/>
  <c r="AO55" i="1"/>
  <c r="BM55" i="1" s="1"/>
  <c r="BQ55" i="1"/>
  <c r="AO52" i="1"/>
  <c r="BM52" i="1" s="1"/>
  <c r="BQ52" i="1"/>
  <c r="AO49" i="1"/>
  <c r="BM49" i="1" s="1"/>
  <c r="BQ49" i="1"/>
  <c r="AO43" i="1"/>
  <c r="BM43" i="1" s="1"/>
  <c r="BQ43" i="1"/>
  <c r="AO40" i="1"/>
  <c r="BM40" i="1" s="1"/>
  <c r="BQ40" i="1"/>
  <c r="AO34" i="1"/>
  <c r="BM34" i="1" s="1"/>
  <c r="BQ34" i="1"/>
  <c r="AO31" i="1"/>
  <c r="BM31" i="1" s="1"/>
  <c r="BQ31" i="1"/>
  <c r="AO28" i="1"/>
  <c r="BM28" i="1" s="1"/>
  <c r="BQ28" i="1"/>
  <c r="AO25" i="1"/>
  <c r="BM25" i="1" s="1"/>
  <c r="BQ25" i="1"/>
  <c r="AO22" i="1"/>
  <c r="BM22" i="1" s="1"/>
  <c r="BQ22" i="1"/>
  <c r="AO78" i="1"/>
  <c r="BQ78" i="1"/>
  <c r="AO75" i="1"/>
  <c r="BQ75" i="1"/>
  <c r="AO72" i="1"/>
  <c r="BQ72" i="1"/>
  <c r="BQ69" i="1"/>
  <c r="AO69" i="1"/>
  <c r="AO66" i="1"/>
  <c r="BQ66" i="1"/>
  <c r="AO63" i="1"/>
  <c r="BQ63" i="1"/>
  <c r="AO60" i="1"/>
  <c r="BQ60" i="1"/>
  <c r="AO57" i="1"/>
  <c r="BQ57" i="1"/>
  <c r="AO54" i="1"/>
  <c r="BQ54" i="1"/>
  <c r="BQ51" i="1"/>
  <c r="AO51" i="1"/>
  <c r="AO48" i="1"/>
  <c r="BQ48" i="1"/>
  <c r="BQ45" i="1"/>
  <c r="AO45" i="1"/>
  <c r="AO42" i="1"/>
  <c r="BQ42" i="1"/>
  <c r="BQ39" i="1"/>
  <c r="AO39" i="1"/>
  <c r="AO36" i="1"/>
  <c r="BQ36" i="1"/>
  <c r="AO33" i="1"/>
  <c r="BQ33" i="1"/>
  <c r="AO30" i="1"/>
  <c r="BQ30" i="1"/>
  <c r="BQ27" i="1"/>
  <c r="AO27" i="1"/>
  <c r="AO24" i="1"/>
  <c r="BM24" i="1" s="1"/>
  <c r="BQ24" i="1"/>
  <c r="BQ21" i="1"/>
  <c r="AO21" i="1"/>
  <c r="AL20" i="1"/>
  <c r="AL19" i="1"/>
  <c r="AL18" i="1"/>
  <c r="AL17" i="1"/>
  <c r="AL13" i="1"/>
  <c r="AN11" i="1"/>
  <c r="AL5" i="1"/>
  <c r="AL4" i="1"/>
  <c r="Y2" i="1"/>
  <c r="AA2" i="1" s="1"/>
  <c r="BQ4" i="1"/>
  <c r="BQ17" i="1"/>
  <c r="BF2" i="1"/>
  <c r="BG2" i="1" s="1"/>
  <c r="BH2" i="1"/>
  <c r="BI2" i="1" s="1"/>
  <c r="BK2" i="1" s="1"/>
  <c r="BQ2" i="1"/>
  <c r="BF3" i="1"/>
  <c r="BG3" i="1" s="1"/>
  <c r="BH3" i="1"/>
  <c r="BI3" i="1" s="1"/>
  <c r="BK3" i="1" s="1"/>
  <c r="AT3" i="1" s="1"/>
  <c r="BO3" i="1" s="1"/>
  <c r="BF4" i="1"/>
  <c r="BG4" i="1" s="1"/>
  <c r="BH4" i="1"/>
  <c r="BI4" i="1" s="1"/>
  <c r="BK4" i="1" s="1"/>
  <c r="BF5" i="1"/>
  <c r="BG5" i="1" s="1"/>
  <c r="BH5" i="1"/>
  <c r="BI5" i="1" s="1"/>
  <c r="BK5" i="1" s="1"/>
  <c r="AT5" i="1" s="1"/>
  <c r="BF6" i="1"/>
  <c r="BG6" i="1" s="1"/>
  <c r="BH6" i="1"/>
  <c r="BI6" i="1" s="1"/>
  <c r="BK6" i="1" s="1"/>
  <c r="AT6" i="1" s="1"/>
  <c r="BF7" i="1"/>
  <c r="BG7" i="1" s="1"/>
  <c r="BH7" i="1"/>
  <c r="BI7" i="1" s="1"/>
  <c r="BK7" i="1" s="1"/>
  <c r="BQ7" i="1"/>
  <c r="BF8" i="1"/>
  <c r="BG8" i="1" s="1"/>
  <c r="BH8" i="1"/>
  <c r="BI8" i="1" s="1"/>
  <c r="BK8" i="1" s="1"/>
  <c r="AT8" i="1" s="1"/>
  <c r="BF9" i="1"/>
  <c r="BG9" i="1" s="1"/>
  <c r="BH9" i="1"/>
  <c r="BI9" i="1" s="1"/>
  <c r="BK9" i="1" s="1"/>
  <c r="BQ9" i="1"/>
  <c r="BF10" i="1"/>
  <c r="BG10" i="1" s="1"/>
  <c r="BH10" i="1"/>
  <c r="BI10" i="1" s="1"/>
  <c r="BK10" i="1" s="1"/>
  <c r="BQ10" i="1"/>
  <c r="BF11" i="1"/>
  <c r="BG11" i="1" s="1"/>
  <c r="BH11" i="1"/>
  <c r="BI11" i="1" s="1"/>
  <c r="BK11" i="1" s="1"/>
  <c r="BQ11" i="1"/>
  <c r="BF12" i="1"/>
  <c r="BG12" i="1" s="1"/>
  <c r="BH12" i="1"/>
  <c r="BI12" i="1" s="1"/>
  <c r="BK12" i="1" s="1"/>
  <c r="BQ12" i="1"/>
  <c r="BF13" i="1"/>
  <c r="BG13" i="1" s="1"/>
  <c r="BH13" i="1"/>
  <c r="BI13" i="1" s="1"/>
  <c r="BK13" i="1" s="1"/>
  <c r="BQ13" i="1"/>
  <c r="BF14" i="1"/>
  <c r="BG14" i="1" s="1"/>
  <c r="BH14" i="1"/>
  <c r="BI14" i="1" s="1"/>
  <c r="BK14" i="1" s="1"/>
  <c r="BQ14" i="1"/>
  <c r="BF15" i="1"/>
  <c r="BG15" i="1" s="1"/>
  <c r="BH15" i="1"/>
  <c r="BI15" i="1" s="1"/>
  <c r="BK15" i="1" s="1"/>
  <c r="AT15" i="1" s="1"/>
  <c r="BF16" i="1"/>
  <c r="BG16" i="1" s="1"/>
  <c r="BH16" i="1"/>
  <c r="BI16" i="1" s="1"/>
  <c r="BK16" i="1" s="1"/>
  <c r="AT16" i="1" s="1"/>
  <c r="BF17" i="1"/>
  <c r="BG17" i="1" s="1"/>
  <c r="BH17" i="1"/>
  <c r="BI17" i="1" s="1"/>
  <c r="BK17" i="1" s="1"/>
  <c r="BF18" i="1"/>
  <c r="BG18" i="1" s="1"/>
  <c r="BH18" i="1"/>
  <c r="BI18" i="1" s="1"/>
  <c r="BK18" i="1" s="1"/>
  <c r="BF19" i="1"/>
  <c r="BG19" i="1" s="1"/>
  <c r="BH19" i="1"/>
  <c r="BI19" i="1" s="1"/>
  <c r="BK19" i="1" s="1"/>
  <c r="BQ19" i="1"/>
  <c r="BF20" i="1"/>
  <c r="BG20" i="1" s="1"/>
  <c r="BH20" i="1"/>
  <c r="BI20" i="1" s="1"/>
  <c r="BK20" i="1" s="1"/>
  <c r="AT20" i="1" s="1"/>
  <c r="BO20" i="1" s="1"/>
  <c r="AK2" i="1"/>
  <c r="AW2" i="1"/>
  <c r="AZ2" i="1"/>
  <c r="AK3" i="1"/>
  <c r="AW3" i="1"/>
  <c r="AY3" i="1" s="1"/>
  <c r="AZ3" i="1"/>
  <c r="AK4" i="1"/>
  <c r="AW4" i="1"/>
  <c r="AO4" i="1" s="1"/>
  <c r="AZ4" i="1"/>
  <c r="AK5" i="1"/>
  <c r="AW5" i="1"/>
  <c r="AZ5" i="1"/>
  <c r="AK6" i="1"/>
  <c r="AW6" i="1"/>
  <c r="AZ6" i="1"/>
  <c r="AK7" i="1"/>
  <c r="AW7" i="1"/>
  <c r="AO7" i="1" s="1"/>
  <c r="AZ7" i="1"/>
  <c r="AK8" i="1"/>
  <c r="AW8" i="1"/>
  <c r="AZ8" i="1"/>
  <c r="AK9" i="1"/>
  <c r="AW9" i="1"/>
  <c r="AY9" i="1" s="1"/>
  <c r="AZ9" i="1"/>
  <c r="AK10" i="1"/>
  <c r="AW10" i="1"/>
  <c r="AO10" i="1" s="1"/>
  <c r="AZ10" i="1"/>
  <c r="AK11" i="1"/>
  <c r="AW11" i="1"/>
  <c r="AO11" i="1" s="1"/>
  <c r="AZ11" i="1"/>
  <c r="AK12" i="1"/>
  <c r="AW12" i="1"/>
  <c r="AO12" i="1" s="1"/>
  <c r="AZ12" i="1"/>
  <c r="AK13" i="1"/>
  <c r="AW13" i="1"/>
  <c r="AO13" i="1" s="1"/>
  <c r="AZ13" i="1"/>
  <c r="AW14" i="1"/>
  <c r="AO14" i="1" s="1"/>
  <c r="BM14" i="1" s="1"/>
  <c r="AZ14" i="1"/>
  <c r="AK15" i="1"/>
  <c r="AW15" i="1"/>
  <c r="AY15" i="1" s="1"/>
  <c r="AZ15" i="1"/>
  <c r="AK16" i="1"/>
  <c r="AW16" i="1"/>
  <c r="AY16" i="1" s="1"/>
  <c r="AZ16" i="1"/>
  <c r="AK17" i="1"/>
  <c r="AW17" i="1"/>
  <c r="AO17" i="1" s="1"/>
  <c r="AZ17" i="1"/>
  <c r="AK18" i="1"/>
  <c r="AW18" i="1"/>
  <c r="AZ18" i="1"/>
  <c r="AK19" i="1"/>
  <c r="AW19" i="1"/>
  <c r="AO19" i="1" s="1"/>
  <c r="AZ19" i="1"/>
  <c r="AK20" i="1"/>
  <c r="AW20" i="1"/>
  <c r="AZ20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BO8" i="1" l="1"/>
  <c r="BQ8" i="1" s="1"/>
  <c r="BO16" i="1"/>
  <c r="BQ16" i="1" s="1"/>
  <c r="BO15" i="1"/>
  <c r="BQ15" i="1" s="1"/>
  <c r="BO37" i="1"/>
  <c r="BQ37" i="1" s="1"/>
  <c r="BO6" i="1"/>
  <c r="BQ6" i="1" s="1"/>
  <c r="BO5" i="1"/>
  <c r="BQ5" i="1" s="1"/>
  <c r="AB2" i="1"/>
  <c r="AR71" i="1"/>
  <c r="AR56" i="1"/>
  <c r="AS56" i="1" s="1"/>
  <c r="AR68" i="1"/>
  <c r="AR76" i="1"/>
  <c r="AR62" i="1"/>
  <c r="AR44" i="1"/>
  <c r="AR64" i="1"/>
  <c r="AT46" i="1"/>
  <c r="AR35" i="1"/>
  <c r="AR58" i="1"/>
  <c r="AR53" i="1"/>
  <c r="AR70" i="1"/>
  <c r="AR50" i="1"/>
  <c r="AR26" i="1"/>
  <c r="AR49" i="1"/>
  <c r="AR67" i="1"/>
  <c r="AR43" i="1"/>
  <c r="AR38" i="1"/>
  <c r="AR41" i="1"/>
  <c r="AR59" i="1"/>
  <c r="AR77" i="1"/>
  <c r="AR40" i="1"/>
  <c r="AR23" i="1"/>
  <c r="AR74" i="1"/>
  <c r="AR32" i="1"/>
  <c r="AR55" i="1"/>
  <c r="AR34" i="1"/>
  <c r="AR52" i="1"/>
  <c r="AR22" i="1"/>
  <c r="AR31" i="1"/>
  <c r="AR61" i="1"/>
  <c r="AR28" i="1"/>
  <c r="AR29" i="1"/>
  <c r="AR65" i="1"/>
  <c r="AY12" i="1"/>
  <c r="BA12" i="1" s="1"/>
  <c r="AR25" i="1"/>
  <c r="AR47" i="1"/>
  <c r="AR30" i="1"/>
  <c r="BP30" i="1" s="1"/>
  <c r="BM30" i="1"/>
  <c r="AR48" i="1"/>
  <c r="BP48" i="1" s="1"/>
  <c r="BM48" i="1"/>
  <c r="AR66" i="1"/>
  <c r="BP66" i="1" s="1"/>
  <c r="BM66" i="1"/>
  <c r="AR73" i="1"/>
  <c r="BP73" i="1" s="1"/>
  <c r="BM51" i="1"/>
  <c r="AR51" i="1"/>
  <c r="BP51" i="1" s="1"/>
  <c r="BM69" i="1"/>
  <c r="AR69" i="1"/>
  <c r="BP69" i="1" s="1"/>
  <c r="BM33" i="1"/>
  <c r="AR33" i="1"/>
  <c r="BP33" i="1" s="1"/>
  <c r="AR36" i="1"/>
  <c r="BP36" i="1" s="1"/>
  <c r="BM36" i="1"/>
  <c r="AR54" i="1"/>
  <c r="BP54" i="1" s="1"/>
  <c r="BM54" i="1"/>
  <c r="AR72" i="1"/>
  <c r="BP72" i="1" s="1"/>
  <c r="BM72" i="1"/>
  <c r="BM21" i="1"/>
  <c r="AR21" i="1"/>
  <c r="BP21" i="1" s="1"/>
  <c r="BM39" i="1"/>
  <c r="AR39" i="1"/>
  <c r="BP39" i="1" s="1"/>
  <c r="AR57" i="1"/>
  <c r="BP57" i="1" s="1"/>
  <c r="BM57" i="1"/>
  <c r="AR75" i="1"/>
  <c r="BP75" i="1" s="1"/>
  <c r="BM75" i="1"/>
  <c r="AR37" i="1"/>
  <c r="BP37" i="1" s="1"/>
  <c r="AR42" i="1"/>
  <c r="BP42" i="1" s="1"/>
  <c r="BM42" i="1"/>
  <c r="AR78" i="1"/>
  <c r="BP78" i="1" s="1"/>
  <c r="BM78" i="1"/>
  <c r="BM63" i="1"/>
  <c r="AR63" i="1"/>
  <c r="BP63" i="1" s="1"/>
  <c r="AR24" i="1"/>
  <c r="BP24" i="1" s="1"/>
  <c r="AR60" i="1"/>
  <c r="BP60" i="1" s="1"/>
  <c r="BM60" i="1"/>
  <c r="AR27" i="1"/>
  <c r="BP27" i="1" s="1"/>
  <c r="BM27" i="1"/>
  <c r="BM45" i="1"/>
  <c r="AR45" i="1"/>
  <c r="BP45" i="1" s="1"/>
  <c r="BA16" i="1"/>
  <c r="AR12" i="1"/>
  <c r="AY7" i="1"/>
  <c r="BA7" i="1" s="1"/>
  <c r="AT18" i="1"/>
  <c r="BM7" i="1"/>
  <c r="AY19" i="1"/>
  <c r="BA19" i="1" s="1"/>
  <c r="BM13" i="1"/>
  <c r="BA9" i="1"/>
  <c r="BM19" i="1"/>
  <c r="AR17" i="1"/>
  <c r="BQ20" i="1"/>
  <c r="BA15" i="1"/>
  <c r="AO8" i="1"/>
  <c r="BM8" i="1" s="1"/>
  <c r="BA3" i="1"/>
  <c r="AO9" i="1"/>
  <c r="AR9" i="1" s="1"/>
  <c r="AO3" i="1"/>
  <c r="AR3" i="1" s="1"/>
  <c r="BP3" i="1" s="1"/>
  <c r="AO15" i="1"/>
  <c r="AR15" i="1" s="1"/>
  <c r="BP15" i="1" s="1"/>
  <c r="AR13" i="1"/>
  <c r="AR11" i="1"/>
  <c r="AO6" i="1"/>
  <c r="AR6" i="1" s="1"/>
  <c r="BQ3" i="1"/>
  <c r="AO2" i="1"/>
  <c r="AR2" i="1" s="1"/>
  <c r="AO20" i="1"/>
  <c r="AO16" i="1"/>
  <c r="BM16" i="1" s="1"/>
  <c r="BM10" i="1"/>
  <c r="AO5" i="1"/>
  <c r="AR5" i="1" s="1"/>
  <c r="BM12" i="1"/>
  <c r="BM17" i="1"/>
  <c r="AR4" i="1"/>
  <c r="AY18" i="1"/>
  <c r="BA18" i="1" s="1"/>
  <c r="AY10" i="1"/>
  <c r="BA10" i="1" s="1"/>
  <c r="BM11" i="1"/>
  <c r="AY4" i="1"/>
  <c r="BA4" i="1" s="1"/>
  <c r="BM4" i="1"/>
  <c r="AR14" i="1"/>
  <c r="BP14" i="1" s="1"/>
  <c r="AY6" i="1"/>
  <c r="BA6" i="1" s="1"/>
  <c r="AY13" i="1"/>
  <c r="BA13" i="1" s="1"/>
  <c r="AR19" i="1"/>
  <c r="BP19" i="1" s="1"/>
  <c r="AR10" i="1"/>
  <c r="BP10" i="1" s="1"/>
  <c r="AR7" i="1"/>
  <c r="BP7" i="1" s="1"/>
  <c r="AY20" i="1"/>
  <c r="BA20" i="1" s="1"/>
  <c r="AY17" i="1"/>
  <c r="BA17" i="1" s="1"/>
  <c r="AY14" i="1"/>
  <c r="BA14" i="1" s="1"/>
  <c r="AY11" i="1"/>
  <c r="BA11" i="1" s="1"/>
  <c r="AY8" i="1"/>
  <c r="BA8" i="1" s="1"/>
  <c r="AY5" i="1"/>
  <c r="BA5" i="1" s="1"/>
  <c r="AY2" i="1"/>
  <c r="BA2" i="1" s="1"/>
  <c r="BO18" i="1" l="1"/>
  <c r="BQ18" i="1" s="1"/>
  <c r="BO46" i="1"/>
  <c r="BQ46" i="1" s="1"/>
  <c r="AS5" i="1"/>
  <c r="BP5" i="1"/>
  <c r="BR5" i="1" s="1"/>
  <c r="BP29" i="1"/>
  <c r="BR29" i="1" s="1"/>
  <c r="AS77" i="1"/>
  <c r="BP77" i="1"/>
  <c r="BR77" i="1" s="1"/>
  <c r="BP35" i="1"/>
  <c r="BR35" i="1" s="1"/>
  <c r="BP28" i="1"/>
  <c r="BR28" i="1" s="1"/>
  <c r="AS59" i="1"/>
  <c r="BP59" i="1"/>
  <c r="BR59" i="1" s="1"/>
  <c r="AS61" i="1"/>
  <c r="BP61" i="1"/>
  <c r="BR61" i="1" s="1"/>
  <c r="AS41" i="1"/>
  <c r="BP41" i="1"/>
  <c r="BR41" i="1" s="1"/>
  <c r="BP64" i="1"/>
  <c r="BR64" i="1" s="1"/>
  <c r="AS65" i="1"/>
  <c r="BP65" i="1"/>
  <c r="BR65" i="1" s="1"/>
  <c r="AS31" i="1"/>
  <c r="BP31" i="1"/>
  <c r="BR31" i="1" s="1"/>
  <c r="AS38" i="1"/>
  <c r="BP38" i="1"/>
  <c r="BR38" i="1" s="1"/>
  <c r="BP22" i="1"/>
  <c r="BR22" i="1" s="1"/>
  <c r="BP43" i="1"/>
  <c r="BR43" i="1" s="1"/>
  <c r="AS62" i="1"/>
  <c r="BP62" i="1"/>
  <c r="BR62" i="1" s="1"/>
  <c r="AS74" i="1"/>
  <c r="BP74" i="1"/>
  <c r="BR74" i="1" s="1"/>
  <c r="BP23" i="1"/>
  <c r="BR23" i="1" s="1"/>
  <c r="BP52" i="1"/>
  <c r="BR52" i="1" s="1"/>
  <c r="AS67" i="1"/>
  <c r="BP67" i="1"/>
  <c r="BR67" i="1" s="1"/>
  <c r="BP76" i="1"/>
  <c r="BR76" i="1" s="1"/>
  <c r="AS9" i="1"/>
  <c r="BP9" i="1"/>
  <c r="BR9" i="1" s="1"/>
  <c r="AS44" i="1"/>
  <c r="BP44" i="1"/>
  <c r="BR44" i="1" s="1"/>
  <c r="AS6" i="1"/>
  <c r="BP6" i="1"/>
  <c r="BR6" i="1" s="1"/>
  <c r="AS34" i="1"/>
  <c r="BP34" i="1"/>
  <c r="BR34" i="1" s="1"/>
  <c r="AS49" i="1"/>
  <c r="BP49" i="1"/>
  <c r="BR49" i="1" s="1"/>
  <c r="AS68" i="1"/>
  <c r="BP68" i="1"/>
  <c r="BR68" i="1" s="1"/>
  <c r="AS25" i="1"/>
  <c r="BP25" i="1"/>
  <c r="BR25" i="1" s="1"/>
  <c r="AS70" i="1"/>
  <c r="BP70" i="1"/>
  <c r="BR70" i="1" s="1"/>
  <c r="AS53" i="1"/>
  <c r="BP53" i="1"/>
  <c r="BR53" i="1" s="1"/>
  <c r="AS4" i="1"/>
  <c r="BP4" i="1"/>
  <c r="BR4" i="1" s="1"/>
  <c r="BP40" i="1"/>
  <c r="BR40" i="1" s="1"/>
  <c r="AS58" i="1"/>
  <c r="BP58" i="1"/>
  <c r="BR58" i="1" s="1"/>
  <c r="AS12" i="1"/>
  <c r="BP12" i="1"/>
  <c r="BR12" i="1" s="1"/>
  <c r="AS2" i="1"/>
  <c r="BP2" i="1"/>
  <c r="BR2" i="1" s="1"/>
  <c r="AS17" i="1"/>
  <c r="BP17" i="1"/>
  <c r="BR17" i="1" s="1"/>
  <c r="AS11" i="1"/>
  <c r="BP11" i="1"/>
  <c r="BR11" i="1" s="1"/>
  <c r="BP55" i="1"/>
  <c r="BR55" i="1" s="1"/>
  <c r="AS26" i="1"/>
  <c r="BP26" i="1"/>
  <c r="BR26" i="1" s="1"/>
  <c r="BP56" i="1"/>
  <c r="BR56" i="1" s="1"/>
  <c r="AS13" i="1"/>
  <c r="BP13" i="1"/>
  <c r="BR13" i="1" s="1"/>
  <c r="AS47" i="1"/>
  <c r="BP47" i="1"/>
  <c r="BR47" i="1" s="1"/>
  <c r="AS32" i="1"/>
  <c r="BP32" i="1"/>
  <c r="BR32" i="1" s="1"/>
  <c r="AS50" i="1"/>
  <c r="BP50" i="1"/>
  <c r="BR50" i="1" s="1"/>
  <c r="AS71" i="1"/>
  <c r="BP71" i="1"/>
  <c r="BR71" i="1" s="1"/>
  <c r="AS76" i="1"/>
  <c r="AS40" i="1"/>
  <c r="AS64" i="1"/>
  <c r="AO46" i="1"/>
  <c r="AS23" i="1"/>
  <c r="AS35" i="1"/>
  <c r="AS43" i="1"/>
  <c r="AS55" i="1"/>
  <c r="AS52" i="1"/>
  <c r="AS22" i="1"/>
  <c r="AS28" i="1"/>
  <c r="AO18" i="1"/>
  <c r="AR18" i="1" s="1"/>
  <c r="AS29" i="1"/>
  <c r="AS36" i="1"/>
  <c r="BR36" i="1"/>
  <c r="AS60" i="1"/>
  <c r="BR60" i="1"/>
  <c r="AS45" i="1"/>
  <c r="BR45" i="1"/>
  <c r="AS24" i="1"/>
  <c r="BR24" i="1"/>
  <c r="AS27" i="1"/>
  <c r="BR27" i="1"/>
  <c r="AS75" i="1"/>
  <c r="BR75" i="1"/>
  <c r="AS73" i="1"/>
  <c r="BR73" i="1"/>
  <c r="BR63" i="1"/>
  <c r="AS63" i="1"/>
  <c r="AS57" i="1"/>
  <c r="BR57" i="1"/>
  <c r="AS72" i="1"/>
  <c r="BR72" i="1"/>
  <c r="BR39" i="1"/>
  <c r="AS39" i="1"/>
  <c r="AS33" i="1"/>
  <c r="BR33" i="1"/>
  <c r="AS66" i="1"/>
  <c r="BR66" i="1"/>
  <c r="AS37" i="1"/>
  <c r="BR37" i="1"/>
  <c r="AS54" i="1"/>
  <c r="BR54" i="1"/>
  <c r="AS78" i="1"/>
  <c r="BR78" i="1"/>
  <c r="BR21" i="1"/>
  <c r="AS21" i="1"/>
  <c r="AS69" i="1"/>
  <c r="BR69" i="1"/>
  <c r="AS48" i="1"/>
  <c r="BR48" i="1"/>
  <c r="AS42" i="1"/>
  <c r="BR42" i="1"/>
  <c r="BR51" i="1"/>
  <c r="AS51" i="1"/>
  <c r="AS30" i="1"/>
  <c r="BR30" i="1"/>
  <c r="BM2" i="1"/>
  <c r="BM5" i="1"/>
  <c r="AR8" i="1"/>
  <c r="BM15" i="1"/>
  <c r="BM3" i="1"/>
  <c r="BM9" i="1"/>
  <c r="AR16" i="1"/>
  <c r="BM6" i="1"/>
  <c r="AR20" i="1"/>
  <c r="BP20" i="1" s="1"/>
  <c r="BM20" i="1"/>
  <c r="AS14" i="1"/>
  <c r="BR14" i="1"/>
  <c r="AS19" i="1"/>
  <c r="BR19" i="1"/>
  <c r="AS3" i="1"/>
  <c r="BR3" i="1"/>
  <c r="AS7" i="1"/>
  <c r="BR7" i="1"/>
  <c r="AS10" i="1"/>
  <c r="BR10" i="1"/>
  <c r="AS15" i="1"/>
  <c r="BR15" i="1"/>
  <c r="AS8" i="1" l="1"/>
  <c r="BP8" i="1"/>
  <c r="BR8" i="1" s="1"/>
  <c r="AS18" i="1"/>
  <c r="BP18" i="1"/>
  <c r="BR18" i="1" s="1"/>
  <c r="AS16" i="1"/>
  <c r="BP16" i="1"/>
  <c r="BM46" i="1"/>
  <c r="AR46" i="1"/>
  <c r="BP46" i="1" s="1"/>
  <c r="BM18" i="1"/>
  <c r="BR16" i="1"/>
  <c r="AS20" i="1"/>
  <c r="BR20" i="1"/>
  <c r="BR46" i="1" l="1"/>
  <c r="AS46" i="1"/>
</calcChain>
</file>

<file path=xl/comments1.xml><?xml version="1.0" encoding="utf-8"?>
<comments xmlns="http://schemas.openxmlformats.org/spreadsheetml/2006/main">
  <authors>
    <author>Ankush</author>
    <author>Admin</author>
  </authors>
  <commentList>
    <comment ref="AN85" authorId="0" shapeId="0">
      <text>
        <r>
          <rPr>
            <b/>
            <sz val="9"/>
            <color indexed="81"/>
            <rFont val="Tahoma"/>
            <family val="2"/>
          </rPr>
          <t>Ankush:</t>
        </r>
        <r>
          <rPr>
            <sz val="9"/>
            <color indexed="81"/>
            <rFont val="Tahoma"/>
            <family val="2"/>
          </rPr>
          <t xml:space="preserve">
Rate difference debit note
</t>
        </r>
      </text>
    </comment>
    <comment ref="AU274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10000 Bags Bardana Total Wt. 7640 Kg Per Bags Wt. 764 Gm Bardana Dispatch Date 19.04.2026 Veh.No. PB05-AB-4141 INV.No. KOGMU1270326 DATE 19.04.2026
</t>
        </r>
      </text>
    </comment>
    <comment ref="AU279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10000 Bags Bardana Total Wt. 7640 Kg Per Bags Wt. 764 Gm Bardana Dispatch Date 19.04.2026 Veh.No. PB05-AB-4141 INV.No. KOGMU1270326 DATE 19.04.2026
</t>
        </r>
      </text>
    </comment>
  </commentList>
</comments>
</file>

<file path=xl/sharedStrings.xml><?xml version="1.0" encoding="utf-8"?>
<sst xmlns="http://schemas.openxmlformats.org/spreadsheetml/2006/main" count="13175" uniqueCount="3881">
  <si>
    <t>Purchase Order Number</t>
  </si>
  <si>
    <t>PO Date</t>
  </si>
  <si>
    <t>Unloading no.</t>
  </si>
  <si>
    <t>GIN</t>
  </si>
  <si>
    <t>Supplier Code</t>
  </si>
  <si>
    <t>Supplier Name</t>
  </si>
  <si>
    <t>Station</t>
  </si>
  <si>
    <t>Purchaser</t>
  </si>
  <si>
    <t>Sauda Bardana</t>
  </si>
  <si>
    <t>Bargain No.</t>
  </si>
  <si>
    <t>Bargain Date</t>
  </si>
  <si>
    <t>Bardana(Old/New)</t>
  </si>
  <si>
    <t>Bill No</t>
  </si>
  <si>
    <t>Bill Date</t>
  </si>
  <si>
    <t>Bardana No.1</t>
  </si>
  <si>
    <t>Bardana No.2</t>
  </si>
  <si>
    <t>Bardana No.3</t>
  </si>
  <si>
    <t>85 KG</t>
  </si>
  <si>
    <t>Total Bags</t>
  </si>
  <si>
    <t>JUTE 60 KG KATTA NEW</t>
  </si>
  <si>
    <t>JUTE 50 KG KATTA OLD</t>
  </si>
  <si>
    <t>Bill Weight</t>
  </si>
  <si>
    <t>Received Weight</t>
  </si>
  <si>
    <t>Bill. AMOUNT</t>
  </si>
  <si>
    <t>CGST</t>
  </si>
  <si>
    <t>SGST</t>
  </si>
  <si>
    <t>Total</t>
  </si>
  <si>
    <t>TDS</t>
  </si>
  <si>
    <t>,Oil Manual</t>
  </si>
  <si>
    <t>Party Condition</t>
  </si>
  <si>
    <t xml:space="preserve"> ,Oil Analizer</t>
  </si>
  <si>
    <t>,F.M%</t>
  </si>
  <si>
    <t>,Greenish</t>
  </si>
  <si>
    <t>,Moisture</t>
  </si>
  <si>
    <t>Oil Deduction=</t>
  </si>
  <si>
    <t>,Bardana=</t>
  </si>
  <si>
    <t>,F.M=</t>
  </si>
  <si>
    <t>Brokerage/Rate Difference</t>
  </si>
  <si>
    <t>,Shortage =</t>
  </si>
  <si>
    <t>,Greenish=</t>
  </si>
  <si>
    <t>,Moisture=</t>
  </si>
  <si>
    <t>Net Deduction</t>
  </si>
  <si>
    <t>Gross value</t>
  </si>
  <si>
    <t>Shortage in KG=</t>
  </si>
  <si>
    <t>Remarks</t>
  </si>
  <si>
    <t>Net Payable</t>
  </si>
  <si>
    <t>B.WT</t>
  </si>
  <si>
    <t>Bardana Wt.</t>
  </si>
  <si>
    <t>Gross Wt.</t>
  </si>
  <si>
    <t>R.Wt</t>
  </si>
  <si>
    <t xml:space="preserve">Shortage </t>
  </si>
  <si>
    <t>Exemption</t>
  </si>
  <si>
    <t>Actual Shortage</t>
  </si>
  <si>
    <t>150 grm</t>
  </si>
  <si>
    <t>Party Kanta Wt.</t>
  </si>
  <si>
    <t>150 GM Less</t>
  </si>
  <si>
    <t>Party Bill Wt.</t>
  </si>
  <si>
    <t>,Deduction For</t>
  </si>
  <si>
    <t>Report</t>
  </si>
  <si>
    <t>landed Price</t>
  </si>
  <si>
    <t>lab received</t>
  </si>
  <si>
    <t>42% condition price</t>
  </si>
  <si>
    <t>42% Condition price</t>
  </si>
  <si>
    <t xml:space="preserve">Non Condition </t>
  </si>
  <si>
    <t>KOGMU1/FY 2025-26/POMSD/1409</t>
  </si>
  <si>
    <t>KOGMU1/FY 2025-26/POMSD/1382</t>
  </si>
  <si>
    <t>KOGMU1/FY 2025-26/POMSD/1416</t>
  </si>
  <si>
    <t>KOGMU1/FY 2025-26/POMSD/1357</t>
  </si>
  <si>
    <t>KOGMU1/FY 2025-26/POMSD/1385</t>
  </si>
  <si>
    <t>KOGMU1/FY 2025-26/POMSD/1390</t>
  </si>
  <si>
    <t>KOGMU1/FY 2025-26/POMSD/1410</t>
  </si>
  <si>
    <t>KOGMU1/FY 2025-26/POMSD/1413</t>
  </si>
  <si>
    <t>KOGMU1/FY 2025-26/POMSD/1378</t>
  </si>
  <si>
    <t>KOGMU1/FY 2025-26/POMSD/1372</t>
  </si>
  <si>
    <t>KOGMU1/FY 2025-26/POMSD/1418</t>
  </si>
  <si>
    <t>KOGMU1/FY 2025-26/POMSD/1405</t>
  </si>
  <si>
    <t>INWDMSD27/0001</t>
  </si>
  <si>
    <t>INWDMSD27/0002</t>
  </si>
  <si>
    <t>INWDMSD27/0003</t>
  </si>
  <si>
    <t>INWDMSD27/0004</t>
  </si>
  <si>
    <t>INWDMSD27/0005</t>
  </si>
  <si>
    <t>INWDMSD27/0006</t>
  </si>
  <si>
    <t>INWDMSD27/0007</t>
  </si>
  <si>
    <t>INWDMSD27/0008</t>
  </si>
  <si>
    <t>INWDMSD27/0009</t>
  </si>
  <si>
    <t>INWDMSD27/0010</t>
  </si>
  <si>
    <t>INWDMSD27/0011</t>
  </si>
  <si>
    <t>INWDMSD27/0012</t>
  </si>
  <si>
    <t>INWDMSD27/0013</t>
  </si>
  <si>
    <t>INWDMSD27/0014</t>
  </si>
  <si>
    <t>INWDMSD27/0015</t>
  </si>
  <si>
    <t>INWDMSD27/0016</t>
  </si>
  <si>
    <t>INWDMSD27/0017</t>
  </si>
  <si>
    <t>INWDMSD27/0018</t>
  </si>
  <si>
    <t>INWDMSD27/0019</t>
  </si>
  <si>
    <t>SCMSD008</t>
  </si>
  <si>
    <t>Bhawani Trading Company</t>
  </si>
  <si>
    <t>Raisinghnagar</t>
  </si>
  <si>
    <t>SCMSD464</t>
  </si>
  <si>
    <t>Jai Sri Rama Trading Company</t>
  </si>
  <si>
    <t>SGNR</t>
  </si>
  <si>
    <t>SCMSD037</t>
  </si>
  <si>
    <t>Pankaj Bogi &amp; Company</t>
  </si>
  <si>
    <t>Sriganganagar</t>
  </si>
  <si>
    <t>SCMSD029</t>
  </si>
  <si>
    <t>Mahavir Trading Company</t>
  </si>
  <si>
    <t>Kajuwala</t>
  </si>
  <si>
    <t>SCMSD698</t>
  </si>
  <si>
    <t>Goyal Agri Products</t>
  </si>
  <si>
    <t>Kesrisinghpur</t>
  </si>
  <si>
    <t>SCMSD498</t>
  </si>
  <si>
    <t>Lucky Enterprises</t>
  </si>
  <si>
    <t>Gajsinghpur</t>
  </si>
  <si>
    <t>LOOSE</t>
  </si>
  <si>
    <t>L/PB/25-26/212</t>
  </si>
  <si>
    <t>MTC/2025-26/584</t>
  </si>
  <si>
    <t>L/PB/25-26/211</t>
  </si>
  <si>
    <t>MTC/2025-26/585</t>
  </si>
  <si>
    <t>MTC/2025-26/583</t>
  </si>
  <si>
    <t>MTC/2025-26/586</t>
  </si>
  <si>
    <t>L/PB/25-26/209</t>
  </si>
  <si>
    <t>L/PB/25-26/213</t>
  </si>
  <si>
    <t>G1632</t>
  </si>
  <si>
    <t>KOGMU1/FY 2025-26/POMSD/1394</t>
  </si>
  <si>
    <t>KOGMU1/FY 2025-26/POMSD/1403</t>
  </si>
  <si>
    <t>KOGMU1/FY 2025-26/POMSD/1419</t>
  </si>
  <si>
    <t>KOGMU1/FY 2025-26/POMSD/1399</t>
  </si>
  <si>
    <t>KOGMU1/FY 2025-26/POMSD/1415</t>
  </si>
  <si>
    <t>KOGMU1/FY 2025-26/POMSD/1408</t>
  </si>
  <si>
    <t>KOGMU1/FY 2025-26/POMSD/1411</t>
  </si>
  <si>
    <t>KOGMU1/FY 2025-26/POMSD/1392</t>
  </si>
  <si>
    <t>KOGMU1/FY 2025-26/POMSD/1391</t>
  </si>
  <si>
    <t>KOGMU1/FY 2025-26/POMSD/1401</t>
  </si>
  <si>
    <t>KOGMU1/FY 2025-26/POMSD/1424</t>
  </si>
  <si>
    <t>KOGMU1/FY 2025-26/POMSD/1423</t>
  </si>
  <si>
    <t>KOGMU1/FY 2025-26/POMSD/1414</t>
  </si>
  <si>
    <t>KOGMU1/FY 2025-26/POMSD/1421</t>
  </si>
  <si>
    <t>KOGMU1/FY 2025-26/POMSD/1400</t>
  </si>
  <si>
    <t>KOGMU1/FY 2026-27/POMSD/0016</t>
  </si>
  <si>
    <t>KOGMU1/FY 2026-27/POMSD/0005</t>
  </si>
  <si>
    <t>KOGMU1/FY 2025-26/POMSD/1402</t>
  </si>
  <si>
    <t>KOGMU1/FY 2026-27/POMSD/0002</t>
  </si>
  <si>
    <t>KOGMU1/FY 2025-26/POMSD/1422</t>
  </si>
  <si>
    <t>KOGMU1/FY 2026-27/POMSD/0009</t>
  </si>
  <si>
    <t>INWDMSD27/0020</t>
  </si>
  <si>
    <t>INWDMSD27/0021</t>
  </si>
  <si>
    <t>INWDMSD27/0022</t>
  </si>
  <si>
    <t>INWDMSD27/0023</t>
  </si>
  <si>
    <t>INWDMSD27/0024</t>
  </si>
  <si>
    <t>INWDMSD27/0025</t>
  </si>
  <si>
    <t>INWDMSD27/0026</t>
  </si>
  <si>
    <t>INWDMSD27/0027</t>
  </si>
  <si>
    <t>INWDMSD27/0028</t>
  </si>
  <si>
    <t>INWDMSD27/0029</t>
  </si>
  <si>
    <t>INWDMSD27/0030</t>
  </si>
  <si>
    <t>INWDMSD27/0031</t>
  </si>
  <si>
    <t>INWDMSD27/0032</t>
  </si>
  <si>
    <t>INWDMSD27/0033</t>
  </si>
  <si>
    <t>INWDMSD27/0035</t>
  </si>
  <si>
    <t>INWDMSD27/0036</t>
  </si>
  <si>
    <t>INWDMSD27/0037</t>
  </si>
  <si>
    <t>INWDMSD27/0038</t>
  </si>
  <si>
    <t>INWDMSD27/0039</t>
  </si>
  <si>
    <t>INWDMSD27/0040</t>
  </si>
  <si>
    <t>INWDMSD27/0041</t>
  </si>
  <si>
    <t>INWDMSD27/0042</t>
  </si>
  <si>
    <t>INWDMSD27/0043</t>
  </si>
  <si>
    <t>INWDMSD27/0044</t>
  </si>
  <si>
    <t>INWDMSD27/0045</t>
  </si>
  <si>
    <t>INWDMSD27/0046</t>
  </si>
  <si>
    <t>INWDMSD27/0047</t>
  </si>
  <si>
    <t>INWDMSD27/0048</t>
  </si>
  <si>
    <t>INWDMSD27/0049</t>
  </si>
  <si>
    <t>INWDMSD27/0050</t>
  </si>
  <si>
    <t>INWDMSD27/0051</t>
  </si>
  <si>
    <t>INWDMSD27/0052</t>
  </si>
  <si>
    <t>INWDMSD27/0053</t>
  </si>
  <si>
    <t>INWDMSD27/0054</t>
  </si>
  <si>
    <t>INWDMSD27/0055</t>
  </si>
  <si>
    <t>INWDMSD27/0056</t>
  </si>
  <si>
    <t>INWDMSD27/0057</t>
  </si>
  <si>
    <t>INWDMSD27/0058</t>
  </si>
  <si>
    <t>INWDMSD27/0059</t>
  </si>
  <si>
    <t>INWDMSD27/0060</t>
  </si>
  <si>
    <t>INWDMSD27/0061</t>
  </si>
  <si>
    <t>INWDMSD27/0062</t>
  </si>
  <si>
    <t>INWDMSD27/0063</t>
  </si>
  <si>
    <t>INWDMSD27/0064</t>
  </si>
  <si>
    <t>INWDMSD27/0065</t>
  </si>
  <si>
    <t>INWDMSD27/0066</t>
  </si>
  <si>
    <t>INWDMSD27/0067</t>
  </si>
  <si>
    <t>INWDMSD27/0068</t>
  </si>
  <si>
    <t>INWDMSD27/0069</t>
  </si>
  <si>
    <t>INWDMSD27/0070</t>
  </si>
  <si>
    <t>INWDMSD27/0071</t>
  </si>
  <si>
    <t>INWDMSD27/0072</t>
  </si>
  <si>
    <t>INWDMSD27/0073</t>
  </si>
  <si>
    <t>INWDMSD27/0074</t>
  </si>
  <si>
    <t>INWDMSD27/0075</t>
  </si>
  <si>
    <t>Padampur</t>
  </si>
  <si>
    <t>SCMSD014</t>
  </si>
  <si>
    <t>DP Traders</t>
  </si>
  <si>
    <t>Sri Bijaynagar</t>
  </si>
  <si>
    <t>SCMSD392</t>
  </si>
  <si>
    <t>Godara Enterprises</t>
  </si>
  <si>
    <t>New Gharsana</t>
  </si>
  <si>
    <t>L/PB/25-26/214</t>
  </si>
  <si>
    <t>L/PB/25-26/215</t>
  </si>
  <si>
    <t>L/PB/25-26/216</t>
  </si>
  <si>
    <t>L/PB/25-26/217</t>
  </si>
  <si>
    <t>MTC/2025-26/591</t>
  </si>
  <si>
    <t>G1636</t>
  </si>
  <si>
    <t>G1633/G1634</t>
  </si>
  <si>
    <t>G1635</t>
  </si>
  <si>
    <t>G1638</t>
  </si>
  <si>
    <t>L/PB/26-27/3</t>
  </si>
  <si>
    <t>L/PB/26-27/2</t>
  </si>
  <si>
    <t>L/PB/26-27/5</t>
  </si>
  <si>
    <t>L/PB/26-27/4</t>
  </si>
  <si>
    <t>L/PB/26-27/1</t>
  </si>
  <si>
    <t>L/PB/26-27/6</t>
  </si>
  <si>
    <t>L/PB/26-27/7</t>
  </si>
  <si>
    <t>L/PB/26-27/8</t>
  </si>
  <si>
    <t>G1640</t>
  </si>
  <si>
    <t>G1639</t>
  </si>
  <si>
    <t>KOGMU1/FY 2026-27/POMSD/0012</t>
  </si>
  <si>
    <t>KOGMU1/FY 2026-27/POMSD/0003</t>
  </si>
  <si>
    <t>KOGMU1/FY 2026-27/POMSD/0011</t>
  </si>
  <si>
    <t>KOGMU1/FY 2026-27/POMSD/0006</t>
  </si>
  <si>
    <t>KOGMU1/FY 2025-26/POMSD/1404</t>
  </si>
  <si>
    <t>KOGMU1/FY 2026-27/POMSD/1424</t>
  </si>
  <si>
    <t>KOGMU1/FY 2026-27/POMSD/0004</t>
  </si>
  <si>
    <t>KOGMU1/FY 2026-27/POMSD/1423</t>
  </si>
  <si>
    <t>KOGMU1/FY 2026-27/POMSD/0014</t>
  </si>
  <si>
    <t>KOGMU1/FY 2026-27/POMSD/0008</t>
  </si>
  <si>
    <t>KOGMU1/FY 2026-27/POMSD/0001</t>
  </si>
  <si>
    <t>KOGMU1/FY 2026-27/POMSD/0015</t>
  </si>
  <si>
    <t>KOGMU1/FY 2025-26/POMSD/1356</t>
  </si>
  <si>
    <t>KOGMU1/FY 2026-27/POMSD/0010</t>
  </si>
  <si>
    <t>KOGMU1/FY 2026-27/POMSD/0018</t>
  </si>
  <si>
    <t>KOGMU1/FY 2025-26/POMSD/1417</t>
  </si>
  <si>
    <t>INWDMSD27/0076</t>
  </si>
  <si>
    <t>INWDMSD27/0077</t>
  </si>
  <si>
    <t>INWDMSD27/0078</t>
  </si>
  <si>
    <t>INWDMSD27/0079</t>
  </si>
  <si>
    <t>INWDMSD27/0080</t>
  </si>
  <si>
    <t>INWDMSD27/0081</t>
  </si>
  <si>
    <t>INWDMSD27/0082</t>
  </si>
  <si>
    <t>INWDMSD27/0083</t>
  </si>
  <si>
    <t>INWDMSD27/0084</t>
  </si>
  <si>
    <t>INWDMSD27/0085</t>
  </si>
  <si>
    <t>INWDMSD27/0086</t>
  </si>
  <si>
    <t>INWDMSD27/0087</t>
  </si>
  <si>
    <t>INWDMSD27/0088</t>
  </si>
  <si>
    <t>INWDMSD27/0089</t>
  </si>
  <si>
    <t>INWDMSD27/0090</t>
  </si>
  <si>
    <t>INWDMSD27/0091</t>
  </si>
  <si>
    <t>INWDMSD27/0092</t>
  </si>
  <si>
    <t>INWDMSD27/0093</t>
  </si>
  <si>
    <t>INWDMSD27/0094</t>
  </si>
  <si>
    <t>INWDMSD27/0095</t>
  </si>
  <si>
    <t>INWDMSD27/0096</t>
  </si>
  <si>
    <t>INWDMSD27/0097</t>
  </si>
  <si>
    <t>INWDMSD27/0098</t>
  </si>
  <si>
    <t>INWDMSD27/0099</t>
  </si>
  <si>
    <t>INWDMSD27/0100</t>
  </si>
  <si>
    <t>INWDMSD27/0101</t>
  </si>
  <si>
    <t>INWDMSD27/0102</t>
  </si>
  <si>
    <t>INWDMSD27/0103</t>
  </si>
  <si>
    <t>INWDMSD27/0104</t>
  </si>
  <si>
    <t>INWDMSD27/0105</t>
  </si>
  <si>
    <t>INWDMSD27/0106</t>
  </si>
  <si>
    <t>INWDMSD27/0107</t>
  </si>
  <si>
    <t>INWDMSD27/0108</t>
  </si>
  <si>
    <t>INWDMSD27/0109</t>
  </si>
  <si>
    <t>INWDMSD27/0110</t>
  </si>
  <si>
    <t>INWDMSD27/0111</t>
  </si>
  <si>
    <t>INWDMSD27/0112</t>
  </si>
  <si>
    <t>INWDMSD27/0113</t>
  </si>
  <si>
    <t>INWDMSD27/0114</t>
  </si>
  <si>
    <t>INWDMSD27/0115</t>
  </si>
  <si>
    <t>INWDMSD27/0116</t>
  </si>
  <si>
    <t>INWDMSD27/0117</t>
  </si>
  <si>
    <t>INWDMSD27/0118</t>
  </si>
  <si>
    <t>INWDMSD27/0119</t>
  </si>
  <si>
    <t>INWDMSD27/0120</t>
  </si>
  <si>
    <t>G1641</t>
  </si>
  <si>
    <t>L/PB/26-27/9</t>
  </si>
  <si>
    <t>L/PB/25-26/10</t>
  </si>
  <si>
    <t>G1642/G1643</t>
  </si>
  <si>
    <t>L/PB/25-26/12</t>
  </si>
  <si>
    <t>L/PB/25-26/11</t>
  </si>
  <si>
    <t>L/PB/25-26/13</t>
  </si>
  <si>
    <t>MTC/2026-27/009</t>
  </si>
  <si>
    <t>KOGMU1/FY 2026-27/POMSD/0020</t>
  </si>
  <si>
    <t>KOGMU1/FY 2026-27/POMSD/0022</t>
  </si>
  <si>
    <t>KOGMU1/FY 2026-27/POMSD/0021</t>
  </si>
  <si>
    <t>KOGMU1/FY 2026-27/POMSD/0023</t>
  </si>
  <si>
    <t>KOGMU1/FY 2026-27/POMSD/0019</t>
  </si>
  <si>
    <t>KOGMU1/FY 2026-27/POMSD/0025</t>
  </si>
  <si>
    <t>KOGMU1/FY 2026-27/POMSD/0013</t>
  </si>
  <si>
    <t>KOGMU1/FY 2026-27/POMSD/0024</t>
  </si>
  <si>
    <t>KOGMU1/FY 2026-27/POMSD/0028</t>
  </si>
  <si>
    <t>KOGMU1/FY 2026-27/POMSD/0027</t>
  </si>
  <si>
    <t>KOGMU1/FY 2026-27/POMSD/0026</t>
  </si>
  <si>
    <t>KOGMU1/FY 2026-27/POMSD/0029</t>
  </si>
  <si>
    <t>KOGMU1/FY 2026-27/POMSD/0017</t>
  </si>
  <si>
    <t>INWDMSD27/0121</t>
  </si>
  <si>
    <t>INWDMSD27/0122</t>
  </si>
  <si>
    <t>INWDMSD27/0123</t>
  </si>
  <si>
    <t>INWDMSD27/0124</t>
  </si>
  <si>
    <t>INWDMSD27/0125</t>
  </si>
  <si>
    <t>INWDMSD27/0126</t>
  </si>
  <si>
    <t>INWDMSD27/0127</t>
  </si>
  <si>
    <t>INWDMSD27/0128</t>
  </si>
  <si>
    <t>INWDMSD27/0129</t>
  </si>
  <si>
    <t>INWDMSD27/0130</t>
  </si>
  <si>
    <t>INWDMSD27/0131</t>
  </si>
  <si>
    <t>INWDMSD27/0132</t>
  </si>
  <si>
    <t>INWDMSD27/0133</t>
  </si>
  <si>
    <t>INWDMSD27/0134</t>
  </si>
  <si>
    <t>INWDMSD27/0135</t>
  </si>
  <si>
    <t>INWDMSD27/0136</t>
  </si>
  <si>
    <t>INWDMSD27/0137</t>
  </si>
  <si>
    <t>INWDMSD27/0138</t>
  </si>
  <si>
    <t>INWDMSD27/0139</t>
  </si>
  <si>
    <t>INWDMSD27/0140</t>
  </si>
  <si>
    <t>INWDMSD27/0141</t>
  </si>
  <si>
    <t>INWDMSD27/0142</t>
  </si>
  <si>
    <t>INWDMSD27/0143</t>
  </si>
  <si>
    <t>INWDMSD27/0148</t>
  </si>
  <si>
    <t>INWDMSD27/0145</t>
  </si>
  <si>
    <t>INWDMSD27/0146</t>
  </si>
  <si>
    <t>INWDMSD27/0147</t>
  </si>
  <si>
    <t>INWDMSD27/0149</t>
  </si>
  <si>
    <t>INWDMSD27/0150</t>
  </si>
  <si>
    <t>INWDMSD27/0151</t>
  </si>
  <si>
    <t>INWDMSD27/0152</t>
  </si>
  <si>
    <t>INWDMSD27/0153</t>
  </si>
  <si>
    <t>INWDMSD27/0154</t>
  </si>
  <si>
    <t>INWDMSD27/0155</t>
  </si>
  <si>
    <t>INWDMSD27/0156</t>
  </si>
  <si>
    <t>INWDMSD27/0157</t>
  </si>
  <si>
    <t>INWDMSD27/0158</t>
  </si>
  <si>
    <t>INWDMSD27/0159</t>
  </si>
  <si>
    <t>INWDMSD27/0160</t>
  </si>
  <si>
    <t>INWDMSD27/0161</t>
  </si>
  <si>
    <t>INWDMSD27/0162</t>
  </si>
  <si>
    <t>INWDMSD27/0163</t>
  </si>
  <si>
    <t>INWDMSD27/0164</t>
  </si>
  <si>
    <t>INWDMSD27/0165</t>
  </si>
  <si>
    <t>INWDMSD27/0166</t>
  </si>
  <si>
    <t>INWDMSD27/0167</t>
  </si>
  <si>
    <t>INWDMSD27/0168</t>
  </si>
  <si>
    <t>INWDMSD27/0169</t>
  </si>
  <si>
    <t>INWDMSD27/0170</t>
  </si>
  <si>
    <t>INWDMSD27/0171</t>
  </si>
  <si>
    <t>INWDMSD27/0172</t>
  </si>
  <si>
    <t>INWDMSD27/0173</t>
  </si>
  <si>
    <t>INWDMSD27/0174</t>
  </si>
  <si>
    <t>INWDMSD27/0175</t>
  </si>
  <si>
    <t>INWDMSD27/0176</t>
  </si>
  <si>
    <t>INWDMSD27/0177</t>
  </si>
  <si>
    <t>INWDMSD27/0178</t>
  </si>
  <si>
    <t>INWDMSD27/0179</t>
  </si>
  <si>
    <t>INWDMSD27/0180</t>
  </si>
  <si>
    <t>INWDMSD27/0181</t>
  </si>
  <si>
    <t>SCMSD403</t>
  </si>
  <si>
    <t>Madhusudan Industries</t>
  </si>
  <si>
    <t>Anoopgarh</t>
  </si>
  <si>
    <t>G1645</t>
  </si>
  <si>
    <t>MTC/26-27/020</t>
  </si>
  <si>
    <t>MTC/2026/27/011</t>
  </si>
  <si>
    <t>MTC/2026-27/016</t>
  </si>
  <si>
    <t>L/PB/26-27/16</t>
  </si>
  <si>
    <t>L/PB/26-27/15</t>
  </si>
  <si>
    <t>L/PB/26-27/14</t>
  </si>
  <si>
    <t>L/PB/26-27/17</t>
  </si>
  <si>
    <t>MTC/2026-27/021</t>
  </si>
  <si>
    <t>L/PB/26-27/18</t>
  </si>
  <si>
    <t>L/PB/26-27/19</t>
  </si>
  <si>
    <t>L/PB/26-27/20</t>
  </si>
  <si>
    <t>MTC/2026-27/035</t>
  </si>
  <si>
    <t>MTC/2026-27/024</t>
  </si>
  <si>
    <t>MTC/2026-27/025</t>
  </si>
  <si>
    <t>MTC/2026-27/023/22</t>
  </si>
  <si>
    <t>MTC/2026-27/034</t>
  </si>
  <si>
    <t>L/PB/26-27/23</t>
  </si>
  <si>
    <t>L/PB/26-27/25</t>
  </si>
  <si>
    <t>L/PB/26-27/26</t>
  </si>
  <si>
    <t>L/PB/26-27/24</t>
  </si>
  <si>
    <t>KOGMU1/FY 2026-27/POMSD/0030</t>
  </si>
  <si>
    <t>KOGMU1/FY 2026-27/POMSD/0032</t>
  </si>
  <si>
    <t>KOGMU1/FY 2026-27/POMSD/0033</t>
  </si>
  <si>
    <t>KOGMU1/FY 2026-27/POMSD/0031</t>
  </si>
  <si>
    <t>KOGMU1/FY 2026-27/POMSD/0045</t>
  </si>
  <si>
    <t>KOGMU1/FY 2026-27/POMSD/0036</t>
  </si>
  <si>
    <t>KOGMU1/FY 2026-27/POMSD/0043</t>
  </si>
  <si>
    <t>KOGMU1/FY 2026-27/POMSD/0037</t>
  </si>
  <si>
    <t>KOGMU1/FY 2026-27/POMSD/0035</t>
  </si>
  <si>
    <t>KOGMU1/FY 2026-27/POMSD/0034</t>
  </si>
  <si>
    <t>KOGMU1/FY 2026-27/POMSD/0038</t>
  </si>
  <si>
    <t>KOGMU1/FY 2026-27/POMSD/0044</t>
  </si>
  <si>
    <t>KOGMU1/FY 2026-27/POMSD/0041</t>
  </si>
  <si>
    <t>KOGMU1/FY 2026-27/POMSD/0040</t>
  </si>
  <si>
    <t>KOGMU1/FY 2026-27/POMSD/0047</t>
  </si>
  <si>
    <t>KOGMU1/FY 2026-27/POMSD/0039</t>
  </si>
  <si>
    <t>KOGMU1/FY 2026-27/POMSD/0048</t>
  </si>
  <si>
    <t>INWDMSD27/0182</t>
  </si>
  <si>
    <t>INWDMSD27/0183</t>
  </si>
  <si>
    <t>INWDMSD27/0184</t>
  </si>
  <si>
    <t>INWDMSD27/0185</t>
  </si>
  <si>
    <t>INWDMSD27/0186</t>
  </si>
  <si>
    <t>INWDMSD27/0187</t>
  </si>
  <si>
    <t>INWDMSD27/0188</t>
  </si>
  <si>
    <t>INWDMSD27/0189</t>
  </si>
  <si>
    <t>INWDMSD27/0190</t>
  </si>
  <si>
    <t>INWDMSD27/0191</t>
  </si>
  <si>
    <t>INWDMSD27/0192</t>
  </si>
  <si>
    <t>INWDMSD27/0193</t>
  </si>
  <si>
    <t>INWDMSD27/0194</t>
  </si>
  <si>
    <t>INWDMSD27/0195</t>
  </si>
  <si>
    <t>INWDMSD27/0196</t>
  </si>
  <si>
    <t>INWDMSD27/0197</t>
  </si>
  <si>
    <t>INWDMSD27/0198</t>
  </si>
  <si>
    <t>INWDMSD27/0199</t>
  </si>
  <si>
    <t>INWDMSD27/0200</t>
  </si>
  <si>
    <t>INWDMSD27/0201</t>
  </si>
  <si>
    <t>INWDMSD27/0202</t>
  </si>
  <si>
    <t>INWDMSD27/0203</t>
  </si>
  <si>
    <t>INWDMSD27/0204</t>
  </si>
  <si>
    <t>INWDMSD27/0205</t>
  </si>
  <si>
    <t>INWDMSD27/0206</t>
  </si>
  <si>
    <t>INWDMSD27/0207</t>
  </si>
  <si>
    <t>INWDMSD27/0208</t>
  </si>
  <si>
    <t>INWDMSD27/0209</t>
  </si>
  <si>
    <t>SCMSD449</t>
  </si>
  <si>
    <t>Ram Dayal Ved Prakash</t>
  </si>
  <si>
    <t>Rawla</t>
  </si>
  <si>
    <t>MTC/2026-27/047</t>
  </si>
  <si>
    <t>G1646</t>
  </si>
  <si>
    <t>L/PB/26-27/28</t>
  </si>
  <si>
    <t>L/PB/26/27/27</t>
  </si>
  <si>
    <t>G1647</t>
  </si>
  <si>
    <t>L/PB/26-27/31</t>
  </si>
  <si>
    <t>KOGMU1/FY 2026-27/POMSD/0042</t>
  </si>
  <si>
    <t>KOGMU1/FY 2026-27/POMSD/0046</t>
  </si>
  <si>
    <t>KOGMU1/FY 2026-27/POMSD/0049</t>
  </si>
  <si>
    <t>KOGMU1/FY 2026-27/POMSD/0061</t>
  </si>
  <si>
    <t>KOGMU1/FY 2026-27/POMSD/0068</t>
  </si>
  <si>
    <t>KOGMU1/FY 2026-27/POMSD/0050</t>
  </si>
  <si>
    <t>INWDMSD27/0210</t>
  </si>
  <si>
    <t>INWDMSD27/0211</t>
  </si>
  <si>
    <t>INWDMSD27/0212</t>
  </si>
  <si>
    <t>INWDMSD27/0213</t>
  </si>
  <si>
    <t>INWDMSD27/0214</t>
  </si>
  <si>
    <t>INWDMSD27/0215</t>
  </si>
  <si>
    <t>INWDMSD27/0216</t>
  </si>
  <si>
    <t>INWDMSD27/0217</t>
  </si>
  <si>
    <t>INWDMSD27/0218</t>
  </si>
  <si>
    <t>INWDMSD27/0219</t>
  </si>
  <si>
    <t>INWDMSD27/0220</t>
  </si>
  <si>
    <t>INWDMSD27/0222</t>
  </si>
  <si>
    <t>INWDMSD27/0223</t>
  </si>
  <si>
    <t>INWDMSD27/0224</t>
  </si>
  <si>
    <t>INWDMSD27/0225</t>
  </si>
  <si>
    <t>Vijaynagar</t>
  </si>
  <si>
    <t>SCMSD016</t>
  </si>
  <si>
    <t>Ghanshyam Dass &amp; Sons</t>
  </si>
  <si>
    <t>Karanpur</t>
  </si>
  <si>
    <t>MTC/2026-27/054</t>
  </si>
  <si>
    <t>L/PB/26-27/30</t>
  </si>
  <si>
    <t>L/PB/26-27/29</t>
  </si>
  <si>
    <t>MTC/2026-27/055</t>
  </si>
  <si>
    <t>MTC/2026-27/057</t>
  </si>
  <si>
    <t>MTC/2026-27/053</t>
  </si>
  <si>
    <t>L/PB/26-27/32</t>
  </si>
  <si>
    <t>G1649</t>
  </si>
  <si>
    <t>G1651</t>
  </si>
  <si>
    <t>GDS/26-27/95</t>
  </si>
  <si>
    <t>G1652</t>
  </si>
  <si>
    <t>KOGMU1/FY 2026-27/POMSD/0053</t>
  </si>
  <si>
    <t>KOGMU1/FY 2026-27/POMSD/0056</t>
  </si>
  <si>
    <t>KOGMU1/FY 2026-27/POMSD/0051</t>
  </si>
  <si>
    <t>KOGMU1/FY 2026-27/POMSD/0054</t>
  </si>
  <si>
    <t>KOGMU1/FY 2026-27/POMSD/0065</t>
  </si>
  <si>
    <t>KOGMU1/FY 2026-27/POMSD/0052</t>
  </si>
  <si>
    <t>KOGMU1/FY 2026-27/POMSD/0064</t>
  </si>
  <si>
    <t>KOGMU1/FY 2026-27/POMSD/0067</t>
  </si>
  <si>
    <t>KOGMU1/FY 2026-27/POMSD/0075</t>
  </si>
  <si>
    <t>KOGMU1/FY 2026-27/POMSD/0063</t>
  </si>
  <si>
    <t>KOGMU1/FY 2026-27/POMSD/0070</t>
  </si>
  <si>
    <t>KOGMU1/FY 2026-27/POMSD/0062</t>
  </si>
  <si>
    <t>INWDMSD27/0226</t>
  </si>
  <si>
    <t>INWDMSD27/0227</t>
  </si>
  <si>
    <t>INWDMSD27/0228</t>
  </si>
  <si>
    <t>INWDMSD27/0229</t>
  </si>
  <si>
    <t>INWDMSD27/0230</t>
  </si>
  <si>
    <t>INWDMSD27/0231</t>
  </si>
  <si>
    <t>INWDMSD27/0232</t>
  </si>
  <si>
    <t>INWDMSD27/0233</t>
  </si>
  <si>
    <t>INWDMSD27/0234</t>
  </si>
  <si>
    <t>INWDMSD27/0235</t>
  </si>
  <si>
    <t>INWDMSD27/0236</t>
  </si>
  <si>
    <t>INWDMSD27/0237</t>
  </si>
  <si>
    <t>INWDMSD27/0238</t>
  </si>
  <si>
    <t>Sri Karanpur</t>
  </si>
  <si>
    <t>G1653</t>
  </si>
  <si>
    <t>MTC/2026-27/062</t>
  </si>
  <si>
    <t>GDS/26-27/104</t>
  </si>
  <si>
    <t>G1655</t>
  </si>
  <si>
    <t>KOGMU1/FY 2026-27/POMSD/0059</t>
  </si>
  <si>
    <t>KOGMU1/FY 2026-27/POMSD/0074</t>
  </si>
  <si>
    <t>KOGMU1/FY 2026-27/POMSD/0060</t>
  </si>
  <si>
    <t>KOGMU1/FY 2026-27/POMSD/0069</t>
  </si>
  <si>
    <t>KOGMU1/FY 2026-27/POMSD/0066</t>
  </si>
  <si>
    <t>KOGMU1/FY 2026-27/POMSD/0055</t>
  </si>
  <si>
    <t>KOGMU1/FY 2026-27/POMSD/0057</t>
  </si>
  <si>
    <t>KOGMU1/FY 2026-27/POMSD/0073</t>
  </si>
  <si>
    <t>KOGMU1/FY 2026-27/POMSD/0071</t>
  </si>
  <si>
    <t>INWDMSD27/0239</t>
  </si>
  <si>
    <t>INWDMSD27/0240</t>
  </si>
  <si>
    <t>INWDMSD27/0241</t>
  </si>
  <si>
    <t>INWDMSD27/0242</t>
  </si>
  <si>
    <t>INWDMSD27/0243</t>
  </si>
  <si>
    <t>INWDMSD27/0244</t>
  </si>
  <si>
    <t>INWDMSD27/0245</t>
  </si>
  <si>
    <t>INWDMSD27/0246</t>
  </si>
  <si>
    <t>INWDMSD27/0247</t>
  </si>
  <si>
    <t>INWDMSD27/0248</t>
  </si>
  <si>
    <t>INWDMSD27/0249</t>
  </si>
  <si>
    <t>INWDMSD27/0250</t>
  </si>
  <si>
    <t>INWDMSD27/0253</t>
  </si>
  <si>
    <t>INWDMSD27/0252</t>
  </si>
  <si>
    <t>INWDMSD27/0254</t>
  </si>
  <si>
    <t>INWDMSD27/0255</t>
  </si>
  <si>
    <t>INWDMSD27/0256</t>
  </si>
  <si>
    <t>INWDMSD27/0257</t>
  </si>
  <si>
    <t>INWDMSD27/0258</t>
  </si>
  <si>
    <t>INWDMSD27/0259</t>
  </si>
  <si>
    <t>MTC/2026-27/063</t>
  </si>
  <si>
    <t>L/PB/26-27/33</t>
  </si>
  <si>
    <t>L/PB/26-27/34</t>
  </si>
  <si>
    <t>MTC/2026-27/067</t>
  </si>
  <si>
    <t>MTC/2026-27/064</t>
  </si>
  <si>
    <t>L/PB/26-27/35</t>
  </si>
  <si>
    <t>G1654</t>
  </si>
  <si>
    <t>G1657/G1656</t>
  </si>
  <si>
    <t>MTC/2026-27/069</t>
  </si>
  <si>
    <t>MTC/2026-27/070</t>
  </si>
  <si>
    <t>MTC/2026-27/073</t>
  </si>
  <si>
    <t>.700 Gm Bardana Supervisor report</t>
  </si>
  <si>
    <t>KOGMU1/FY 2026-27/POMSD/0072</t>
  </si>
  <si>
    <t>KOGMU1/FY 2026-27/POMSD/0077</t>
  </si>
  <si>
    <t>KOGMU1/FY 2026-27/POMSD/0081</t>
  </si>
  <si>
    <t>KOGMU1/FY 2026-27/POMSD/0079</t>
  </si>
  <si>
    <t>KOGMU1/FY 2026-27/POMSD/0076</t>
  </si>
  <si>
    <t>KOGMU1/FY 2026-27/POMSD/0080</t>
  </si>
  <si>
    <t>KOGMU1/FY 2026-27/POMSD/0082</t>
  </si>
  <si>
    <t>KOGMU1/FY 2026-27/POMSD/0083</t>
  </si>
  <si>
    <t>KOGMU1/FY 2026-27/POMSD/0078</t>
  </si>
  <si>
    <t>KOGMU1/FY 2026-27/POMSD/0084</t>
  </si>
  <si>
    <t>KOGMU1/FY 2026-27/POMSD/0085</t>
  </si>
  <si>
    <t>KOGMU1/FY 2026-27/POMSD/0087</t>
  </si>
  <si>
    <t>INWDMSD27/0260</t>
  </si>
  <si>
    <t>INWDMSD27/0261</t>
  </si>
  <si>
    <t>INWDMSD27/0262</t>
  </si>
  <si>
    <t>INWDMSD27/0263</t>
  </si>
  <si>
    <t>INWDMSD27/0264</t>
  </si>
  <si>
    <t>INWDMSD27/0265</t>
  </si>
  <si>
    <t>INWDMSD27/0266</t>
  </si>
  <si>
    <t>INWDMSD27/0267</t>
  </si>
  <si>
    <t>INWDMSD27/0268</t>
  </si>
  <si>
    <t>INWDMSD27/0269</t>
  </si>
  <si>
    <t>INWDMSD27/0270</t>
  </si>
  <si>
    <t>INWDMSD27/0271</t>
  </si>
  <si>
    <t>INWDMSD27/0272</t>
  </si>
  <si>
    <t>INWDMSD27/0273</t>
  </si>
  <si>
    <t>INWDMSD27/0274</t>
  </si>
  <si>
    <t>INWDMSD27/0275</t>
  </si>
  <si>
    <t>MTC/2026-27/074</t>
  </si>
  <si>
    <t>MTC/2026-27/076</t>
  </si>
  <si>
    <t>46/47</t>
  </si>
  <si>
    <t>MTC/2026-27/081</t>
  </si>
  <si>
    <t>Kanta to Kanta Shortage</t>
  </si>
  <si>
    <t xml:space="preserve">.775 Gm Bardana Weight </t>
  </si>
  <si>
    <t>INWDMSD27/0276</t>
  </si>
  <si>
    <t>INWDMSD27/0277</t>
  </si>
  <si>
    <t>INWDMSD27/0278</t>
  </si>
  <si>
    <t>KOGMU1/FY 2026-27/POMSD/0086</t>
  </si>
  <si>
    <t>INWDMSD27/0279</t>
  </si>
  <si>
    <t>INWDMSD27/0280</t>
  </si>
  <si>
    <t>MTC/2026-27/083</t>
  </si>
  <si>
    <t>INWDMSD27/0282</t>
  </si>
  <si>
    <t>MTC/2026-27/080</t>
  </si>
  <si>
    <t>INWDMSD27/0281</t>
  </si>
  <si>
    <t>MTC/2026-27/086</t>
  </si>
  <si>
    <t>INWDMSD27/0283</t>
  </si>
  <si>
    <t>MTC/2026-27/084</t>
  </si>
  <si>
    <t>INWDMSD27/0284</t>
  </si>
  <si>
    <t>MTC/2026-27/085</t>
  </si>
  <si>
    <t>KOGMU1/FY 2026-27/POMSD/0097</t>
  </si>
  <si>
    <t>INWDMSD27/0285</t>
  </si>
  <si>
    <t>KOGMU1/FY 2026-27/POMSD/0096</t>
  </si>
  <si>
    <t>INWDMSD27/0286</t>
  </si>
  <si>
    <t>KOGMU1/FY 2026-27/POMSD/0098</t>
  </si>
  <si>
    <t>INWDMSD27/0287</t>
  </si>
  <si>
    <t>KOGMU1/FY 2026-27/POMSD/0089</t>
  </si>
  <si>
    <t>INWDMSD27/0288</t>
  </si>
  <si>
    <t>KOGMU1/FY 2026-27/POMSD/0091</t>
  </si>
  <si>
    <t>INWDMSD27/0289</t>
  </si>
  <si>
    <t>KOGMU1/FY 2026-27/POMSD/0094</t>
  </si>
  <si>
    <t>INWDMSD27/0290</t>
  </si>
  <si>
    <t>KOGMU1/FY 2026-27/POMSD/0093</t>
  </si>
  <si>
    <t>KOGMU1/FY 2026-27/POMSD/0095</t>
  </si>
  <si>
    <t>KOGMU1/FY 2026-27/POMSD/0099</t>
  </si>
  <si>
    <t>INWDMSD27/0291</t>
  </si>
  <si>
    <t>INWDMSD27/0292</t>
  </si>
  <si>
    <t>INWDMSD27/0293</t>
  </si>
  <si>
    <t>INWDMSD27/0294</t>
  </si>
  <si>
    <t>INWDMSD27/0295</t>
  </si>
  <si>
    <t>INWDMSD27/0296</t>
  </si>
  <si>
    <t>INWDMSD27/0297</t>
  </si>
  <si>
    <t>INWDMSD27/0298</t>
  </si>
  <si>
    <t>GDS/26-27/125</t>
  </si>
  <si>
    <t>L/PB/26-27/36</t>
  </si>
  <si>
    <t>L/PB/26-27/38</t>
  </si>
  <si>
    <t>L/PB/26-27/39</t>
  </si>
  <si>
    <t>L/PB/26-27/40</t>
  </si>
  <si>
    <t>L/PB/26-27/37</t>
  </si>
  <si>
    <t>KOGMU1/FY 2026-27/POMSD/0103</t>
  </si>
  <si>
    <t>KOGMU1/FY 2026-27/POMSD/0106</t>
  </si>
  <si>
    <t>KOGMU1/FY 2026-27/POMSD/0092</t>
  </si>
  <si>
    <t>KOGMU1/FY 2026-27/POMSD/0100</t>
  </si>
  <si>
    <t>KOGMU1/FY 2026-27/POMSD/0090</t>
  </si>
  <si>
    <t>KOGMU1/FY 2026-27/POMSD/0111</t>
  </si>
  <si>
    <t>KOGMU1/FY 2026-27/POMSD/0107</t>
  </si>
  <si>
    <t>KOGMU1/FY 2026-27/POMSD/0088</t>
  </si>
  <si>
    <t>KOGMU1/FY 2026-27/POMSD/0113</t>
  </si>
  <si>
    <t>KOGMU1/FY 2026-27/POMSD/0112</t>
  </si>
  <si>
    <t>INWDMSD27/0299</t>
  </si>
  <si>
    <t>INWDMSD27/0300</t>
  </si>
  <si>
    <t>INWDMSD27/0301</t>
  </si>
  <si>
    <t>INWDMSD27/0302</t>
  </si>
  <si>
    <t>INWDMSD27/0303</t>
  </si>
  <si>
    <t>INWDMSD27/0305</t>
  </si>
  <si>
    <t>INWDMSD27/0306</t>
  </si>
  <si>
    <t>INWDMSD27/0307</t>
  </si>
  <si>
    <t>INWDMSD27/0308</t>
  </si>
  <si>
    <t>INWDMSD27/0309</t>
  </si>
  <si>
    <t>INWDMSD27/0310</t>
  </si>
  <si>
    <t>INWDMSD27/0311</t>
  </si>
  <si>
    <t>INWDMSD27/0312</t>
  </si>
  <si>
    <t>INWDMSD27/0313</t>
  </si>
  <si>
    <t>L/PB/26-27/41</t>
  </si>
  <si>
    <t>GDS/26-27/126</t>
  </si>
  <si>
    <t>MTC/2026-27/090</t>
  </si>
  <si>
    <t>G1663</t>
  </si>
  <si>
    <t>MTC/2026-27/089</t>
  </si>
  <si>
    <t>G1661/1661</t>
  </si>
  <si>
    <t>G1661/1662</t>
  </si>
  <si>
    <t>G1660</t>
  </si>
  <si>
    <t>G1658</t>
  </si>
  <si>
    <t>MTC/2026-27/091</t>
  </si>
  <si>
    <t xml:space="preserve">775 Gm Bardana Weight </t>
  </si>
  <si>
    <t>INWDMSD27/0304</t>
  </si>
  <si>
    <t>The party will separately bill for gunny bags at the rate of ₹8 per bag.</t>
  </si>
  <si>
    <t>1 Bags Bardana Freight Charges</t>
  </si>
  <si>
    <t>KOGMU1/FY 2026-27/POMSD/0102</t>
  </si>
  <si>
    <t>KOGMU1/FY 2026-27/POMSD/0108</t>
  </si>
  <si>
    <t>KOGMU1/FY 2026-27/POMSD/0110</t>
  </si>
  <si>
    <t>KOGMU1/FY 2026-27/POMSD/0105</t>
  </si>
  <si>
    <t>KOGMU1/FY 2026-27/POMSD/0117</t>
  </si>
  <si>
    <t>KOGMU1/FY 2026-27/POMSD/0123</t>
  </si>
  <si>
    <t>KOGMU1/FY 2026-27/POMSD/0124</t>
  </si>
  <si>
    <t>KOGMU1/FY 2026-27/POMSD/0104</t>
  </si>
  <si>
    <t>KOGMU1/FY 2026-27/POMSD/0125</t>
  </si>
  <si>
    <t>KOGMU1/FY 2026-27/POMSD/0109</t>
  </si>
  <si>
    <t>KOGMU1/FY 2026-27/POMSD/0101</t>
  </si>
  <si>
    <t>KOGMU1/FY 2026-27/POMSD/0122</t>
  </si>
  <si>
    <t>KOGMU1/FY 2026-27/POMSD/0121</t>
  </si>
  <si>
    <t>KOGMU1/FY 2026-27/POMSD/0128</t>
  </si>
  <si>
    <t>KOGMU1/FY 2026-27/POMSD/0114</t>
  </si>
  <si>
    <t>KOGMU1/FY 2026-27/POMSD/0116</t>
  </si>
  <si>
    <t>KOGMU1/FY 2026-27/POMSD/0115</t>
  </si>
  <si>
    <t>KOGMU1/FY 2026-27/POMSD/0119</t>
  </si>
  <si>
    <t>KOGMU1/FY 2026-27/POMSD/0130</t>
  </si>
  <si>
    <t>KOGMU1/FY 2026-27/POMSD/0127</t>
  </si>
  <si>
    <t>KOGMU1/FY 2026-27/POMSD/0129</t>
  </si>
  <si>
    <t>KOGMU1/FY 2026-27/POMSD/0126</t>
  </si>
  <si>
    <t>INWDMSD27/0314</t>
  </si>
  <si>
    <t>INWDMSD27/0315</t>
  </si>
  <si>
    <t>INWDMSD27/0316</t>
  </si>
  <si>
    <t>INWDMSD27/0317</t>
  </si>
  <si>
    <t>INWDMSD27/0318</t>
  </si>
  <si>
    <t>INWDMSD27/0319</t>
  </si>
  <si>
    <t>INWDMSD27/0320</t>
  </si>
  <si>
    <t>INWDMSD27/0321</t>
  </si>
  <si>
    <t>INWDMSD27/0322</t>
  </si>
  <si>
    <t>INWDMSD27/0323</t>
  </si>
  <si>
    <t>INWDMSD27/0324</t>
  </si>
  <si>
    <t>INWDMSD27/0325</t>
  </si>
  <si>
    <t>INWDMSD27/0326</t>
  </si>
  <si>
    <t>INWDMSD27/0327</t>
  </si>
  <si>
    <t>INWDMSD27/0328</t>
  </si>
  <si>
    <t>INWDMSD27/0329</t>
  </si>
  <si>
    <t>INWDMSD27/0330</t>
  </si>
  <si>
    <t>INWDMSD27/0331</t>
  </si>
  <si>
    <t>INWDMSD27/0332</t>
  </si>
  <si>
    <t>INWDMSD27/0333</t>
  </si>
  <si>
    <t>INWDMSD27/0336</t>
  </si>
  <si>
    <t>INWDMSD27/0337</t>
  </si>
  <si>
    <t>INWDMSD27/0335</t>
  </si>
  <si>
    <t>INWDMSD27/0334</t>
  </si>
  <si>
    <t>INWDMSD27/0338</t>
  </si>
  <si>
    <t>INWDMSD27/0339</t>
  </si>
  <si>
    <t>INWDMSD27/0340</t>
  </si>
  <si>
    <t>INWDMSD27/0341</t>
  </si>
  <si>
    <t>INWDMSD27/0342</t>
  </si>
  <si>
    <t>INWDMSD27/0344</t>
  </si>
  <si>
    <t>INWDMSD27/0345</t>
  </si>
  <si>
    <t>INWDMSD27/0346</t>
  </si>
  <si>
    <t>INWDMSD27/0347</t>
  </si>
  <si>
    <t>INWDMSD27/0348</t>
  </si>
  <si>
    <t>INWDMSD27/0349</t>
  </si>
  <si>
    <t>INWDMSD27/0350</t>
  </si>
  <si>
    <t>INWDMSD27/0351</t>
  </si>
  <si>
    <t>INWDMSD27/0343</t>
  </si>
  <si>
    <t>INWDMSD27/0352</t>
  </si>
  <si>
    <t>INWDMSD27/0353</t>
  </si>
  <si>
    <t>G1664</t>
  </si>
  <si>
    <t>L/PB/26-27/42</t>
  </si>
  <si>
    <t>G1665</t>
  </si>
  <si>
    <t>G1666</t>
  </si>
  <si>
    <t>L/PB/26-27/48</t>
  </si>
  <si>
    <t>L/PB/26-27/43</t>
  </si>
  <si>
    <t>G1668</t>
  </si>
  <si>
    <t>MTC/2026-27/094</t>
  </si>
  <si>
    <t>L/PB/26-27/44</t>
  </si>
  <si>
    <t>G1669</t>
  </si>
  <si>
    <t>GDS/26-27/135</t>
  </si>
  <si>
    <t>L/PB/26-27/46</t>
  </si>
  <si>
    <t>G1667</t>
  </si>
  <si>
    <t>MTC/2026-27/096</t>
  </si>
  <si>
    <t>L/PB/26-27/49</t>
  </si>
  <si>
    <t>L/PB/26-27/47</t>
  </si>
  <si>
    <t>GDS/26-27/140</t>
  </si>
  <si>
    <t>L/PB/26-27/52</t>
  </si>
  <si>
    <t>L/PB/26-27/45</t>
  </si>
  <si>
    <t>KOGMU1/FY 2026-27/POMSD/0136</t>
  </si>
  <si>
    <t>KOGMU1/FY 2026-27/POMSD/0139</t>
  </si>
  <si>
    <t>KOGMU1/FY 2026-27/POMSD/0120</t>
  </si>
  <si>
    <t>KOGMU1/FY 2026-27/POMSD/0131</t>
  </si>
  <si>
    <t>KOGMU1/FY 2026-27/POMSD/0118</t>
  </si>
  <si>
    <t>KOGMU1/FY 2026-27/POMSD/0135</t>
  </si>
  <si>
    <t>KOGMU1/FY 2026-27/POMSD/0144</t>
  </si>
  <si>
    <t>KOGMU1/FY 2026-27/POMSD/0140</t>
  </si>
  <si>
    <t>KOGMU1/FY 2026-27/POMSD/0145</t>
  </si>
  <si>
    <t>KOGMU1/FY 2026-27/POMSD/0142</t>
  </si>
  <si>
    <t>KOGMU1/FY 2026-27/POMSD/0141</t>
  </si>
  <si>
    <t>KOGMU1/FY 2026-27/POMSD/0163</t>
  </si>
  <si>
    <t>KOGMU1/FY 2026-27/POMSD/0151</t>
  </si>
  <si>
    <t>KOGMU1/FY 2026-27/POMSD/0146</t>
  </si>
  <si>
    <t>KOGMU1/FY 2026-27/POMSD/0138</t>
  </si>
  <si>
    <t>KOGMU1/FY 2026-27/POMSD/0132</t>
  </si>
  <si>
    <t>KOGMU1/FY 2026-27/POMSD/0133</t>
  </si>
  <si>
    <t>KOGMU1/FY 2026-27/POMSD/0158</t>
  </si>
  <si>
    <t>KOGMU1/FY 2026-27/POMSD/0162</t>
  </si>
  <si>
    <t>KOGMU1/FY 2026-27/POMSD/0152</t>
  </si>
  <si>
    <t>KOGMU1/FY 2026-27/POMSD/0147</t>
  </si>
  <si>
    <t>KOGMU1/FY 2026-27/POMSD/0156</t>
  </si>
  <si>
    <t>KOGMU1/FY 2026-27/POMSD/0154</t>
  </si>
  <si>
    <t>KOGMU1/FY 2026-27/POMSD/0153</t>
  </si>
  <si>
    <t>KOGMU1/FY 2026-27/POMSD/0160</t>
  </si>
  <si>
    <t>KOGMU1/FY 2026-27/POMSD/0148</t>
  </si>
  <si>
    <t>KOGMU1/FY 2026-27/POMSD/0166</t>
  </si>
  <si>
    <t>KOGMU1/FY 2026-27/POMSD/0149</t>
  </si>
  <si>
    <t>KOGMU1/FY 2026-27/POMSD/0134</t>
  </si>
  <si>
    <t>KOGMU1/FY 2026-27/POMSD/0161</t>
  </si>
  <si>
    <t>KOGMU1/FY 2026-27/POMSD/0155</t>
  </si>
  <si>
    <t>KOGMU1/FY 2026-27/POMSD/0168</t>
  </si>
  <si>
    <t>KOGMU1/FY 2026-27/POMSD/0164</t>
  </si>
  <si>
    <t>KOGMU1/FY 2026-27/POMSD/0169</t>
  </si>
  <si>
    <t>KOGMU1/FY 2026-27/POMSD/0165</t>
  </si>
  <si>
    <t>KOGMU1/FY 2026-27/POMSD/0171</t>
  </si>
  <si>
    <t>G1670</t>
  </si>
  <si>
    <t>G1671</t>
  </si>
  <si>
    <t>MTC/2026-27/098</t>
  </si>
  <si>
    <t>L/PB/26-27/51</t>
  </si>
  <si>
    <t>L/PB/26-27/50</t>
  </si>
  <si>
    <t>MTC/2026-27/0101</t>
  </si>
  <si>
    <t>L/PB/26-27/54</t>
  </si>
  <si>
    <t>L/PB/26-27/53</t>
  </si>
  <si>
    <t>GDS/26-27/144</t>
  </si>
  <si>
    <t>L/PB/26-27/55</t>
  </si>
  <si>
    <t>L/PB/26-27/58</t>
  </si>
  <si>
    <t>L/PB/26-27/56</t>
  </si>
  <si>
    <t>L/PB/26-27/61</t>
  </si>
  <si>
    <t>G1672</t>
  </si>
  <si>
    <t>L/PB/26-27/57</t>
  </si>
  <si>
    <t>G1674</t>
  </si>
  <si>
    <t>MTC/2026-27/0103</t>
  </si>
  <si>
    <t>L/PB/26-27/60</t>
  </si>
  <si>
    <t>G1673</t>
  </si>
  <si>
    <t>L/PB/26-27/59</t>
  </si>
  <si>
    <t>L/PB/26-27/62</t>
  </si>
  <si>
    <t>L/PB/26-27/65</t>
  </si>
  <si>
    <t>MTC/2026-27/0108</t>
  </si>
  <si>
    <t>GDS/26-27/160</t>
  </si>
  <si>
    <t>L/PB/26-27/64</t>
  </si>
  <si>
    <t>MTC/2026-27/0109</t>
  </si>
  <si>
    <t>G1675</t>
  </si>
  <si>
    <t>L/PB/26-27/67</t>
  </si>
  <si>
    <t>GDS/26-27/159</t>
  </si>
  <si>
    <t>MTC/2026-27/0104</t>
  </si>
  <si>
    <t>GDS/26-27/163</t>
  </si>
  <si>
    <t>G1677</t>
  </si>
  <si>
    <t>L/PB/26-27/66</t>
  </si>
  <si>
    <t>L/PB/26-27/63</t>
  </si>
  <si>
    <t>L/PB/26-27/68</t>
  </si>
  <si>
    <t>INWDMSD27/0354</t>
  </si>
  <si>
    <t>INWDMSD27/0355</t>
  </si>
  <si>
    <t>INWDMSD27/0356</t>
  </si>
  <si>
    <t>INWDMSD27/0357</t>
  </si>
  <si>
    <t>INWDMSD27/0358</t>
  </si>
  <si>
    <t>INWDMSD27/0359</t>
  </si>
  <si>
    <t>INWDMSD27/0360</t>
  </si>
  <si>
    <t>INWDMSD27/0361</t>
  </si>
  <si>
    <t>INWDMSD27/0362</t>
  </si>
  <si>
    <t>INWDMSD27/0363</t>
  </si>
  <si>
    <t>INWDMSD27/0364</t>
  </si>
  <si>
    <t>INWDMSD27/0365</t>
  </si>
  <si>
    <t>INWDMSD27/0366</t>
  </si>
  <si>
    <t>INWDMSD27/0369</t>
  </si>
  <si>
    <t>INWDMSD27/0367</t>
  </si>
  <si>
    <t>INWDMSD27/0368</t>
  </si>
  <si>
    <t>INWDMSD27/0370</t>
  </si>
  <si>
    <t>INWDMSD27/0371</t>
  </si>
  <si>
    <t>INWDMSD27/0372</t>
  </si>
  <si>
    <t>INWDMSD27/0373</t>
  </si>
  <si>
    <t>INWDMSD27/0374</t>
  </si>
  <si>
    <t>INWDMSD27/0375</t>
  </si>
  <si>
    <t>INWDMSD27/0376</t>
  </si>
  <si>
    <t>INWDMSD27/0377</t>
  </si>
  <si>
    <t>INWDMSD27/0378</t>
  </si>
  <si>
    <t>INWDMSD27/0379</t>
  </si>
  <si>
    <t>INWDMSD27/0380</t>
  </si>
  <si>
    <t>INWDMSD27/0381</t>
  </si>
  <si>
    <t>INWDMSD27/0382</t>
  </si>
  <si>
    <t>INWDMSD27/0383</t>
  </si>
  <si>
    <t>INWDMSD27/0384</t>
  </si>
  <si>
    <t>INWDMSD27/0385</t>
  </si>
  <si>
    <t>INWDMSD27/0386</t>
  </si>
  <si>
    <t>INWDMSD27/0387</t>
  </si>
  <si>
    <t>INWDMSD27/0388</t>
  </si>
  <si>
    <t>INWDMSD27/0389</t>
  </si>
  <si>
    <t>INWDMSD27/0390</t>
  </si>
  <si>
    <t>INWDMSD27/0391</t>
  </si>
  <si>
    <t>INWDMSD27/0394</t>
  </si>
  <si>
    <t>INWDMSD27/0395</t>
  </si>
  <si>
    <t>INWDMSD27/0396</t>
  </si>
  <si>
    <t>INWDMSD27/0397</t>
  </si>
  <si>
    <t>INWDMSD27/0398</t>
  </si>
  <si>
    <t>INWDMSD27/0399</t>
  </si>
  <si>
    <t>INWDMSD27/0400</t>
  </si>
  <si>
    <t>INWDMSD27/0401</t>
  </si>
  <si>
    <t>INWDMSD27/0402</t>
  </si>
  <si>
    <t>INWDMSD27/0403</t>
  </si>
  <si>
    <t>INWDMSD27/0404</t>
  </si>
  <si>
    <t>INWDMSD27/0405</t>
  </si>
  <si>
    <t>INWDMSD27/0406</t>
  </si>
  <si>
    <t>INWDMSD27/0407</t>
  </si>
  <si>
    <t>INWDMSD27/0408</t>
  </si>
  <si>
    <t>INWDMSD27/0409</t>
  </si>
  <si>
    <t>INWDMSD27/0410</t>
  </si>
  <si>
    <t>INWDMSD27/0411</t>
  </si>
  <si>
    <t>INWDMSD27/0412</t>
  </si>
  <si>
    <t>INWDMSD27/0413</t>
  </si>
  <si>
    <t>INWDMSD27/0414</t>
  </si>
  <si>
    <t>INWDMSD27/0415</t>
  </si>
  <si>
    <t>INWDMSD27/0416</t>
  </si>
  <si>
    <t>INWDMSD27/0417</t>
  </si>
  <si>
    <t>INWDMSD27/0418</t>
  </si>
  <si>
    <t>INWDMSD27/0419</t>
  </si>
  <si>
    <t>INWDMSD27/0420</t>
  </si>
  <si>
    <t>INWDMSD27/0421</t>
  </si>
  <si>
    <t>02 Bags Purcahse Retrun Tara mira mixed</t>
  </si>
  <si>
    <t>48 Bags Rejected Wt. 29.22 Qtl</t>
  </si>
  <si>
    <t xml:space="preserve">04 Bags Short Received </t>
  </si>
  <si>
    <t>KOGMU1/FY 2026-27/POMSD/0173</t>
  </si>
  <si>
    <t>KOGMU1/FY 2026-27/POMSD/0167</t>
  </si>
  <si>
    <t>KOGMU1/FY 2026-27/POMSD/0170</t>
  </si>
  <si>
    <t>KOGMU1/FY 2026-27/POMSD/0159</t>
  </si>
  <si>
    <t>KOGMU1/FY 2026-27/POMSD/0177</t>
  </si>
  <si>
    <t>KOGMU1/FY 2026-27/POMSD/0157</t>
  </si>
  <si>
    <t>KOGMU1/FY 2026-27/POMSD/0178</t>
  </si>
  <si>
    <t>KOGMU1/FY 2026-27/POMSD/0150</t>
  </si>
  <si>
    <t>KOGMU1/FY 2026-27/POMSD/0137</t>
  </si>
  <si>
    <t>INWDMSD27/0422</t>
  </si>
  <si>
    <t>INWDMSD27/0423</t>
  </si>
  <si>
    <t>INWDMSD27/0424</t>
  </si>
  <si>
    <t>INWDMSD27/0425</t>
  </si>
  <si>
    <t>INWDMSD27/0426</t>
  </si>
  <si>
    <t>INWDMSD27/0427</t>
  </si>
  <si>
    <t>INWDMSD27/0428</t>
  </si>
  <si>
    <t>INWDMSD27/0429</t>
  </si>
  <si>
    <t>INWDMSD27/0430</t>
  </si>
  <si>
    <t>INWDMSD27/0431</t>
  </si>
  <si>
    <t>INWDMSD27/0432</t>
  </si>
  <si>
    <t>INWDMSD27/0433</t>
  </si>
  <si>
    <t>INWDMSD27/0434</t>
  </si>
  <si>
    <t>INWDMSD27/0435</t>
  </si>
  <si>
    <t>INWDMSD27/0436</t>
  </si>
  <si>
    <t>INWDMSD27/0438</t>
  </si>
  <si>
    <t>INWDMSD27/0439</t>
  </si>
  <si>
    <t>INWDMSD27/0440</t>
  </si>
  <si>
    <t>L/PB/26-27/69</t>
  </si>
  <si>
    <t>L/PB/26-27/70</t>
  </si>
  <si>
    <t>L/PB/26-27/74</t>
  </si>
  <si>
    <t>G1680</t>
  </si>
  <si>
    <t>MTC/2026-27/0111</t>
  </si>
  <si>
    <t>MTC/2026-27/0113</t>
  </si>
  <si>
    <t>L/PB/26-27/71</t>
  </si>
  <si>
    <t>L/PB/26-27/72</t>
  </si>
  <si>
    <t>MTC/2026-27/0118</t>
  </si>
  <si>
    <t>MTC/2026-27/0110</t>
  </si>
  <si>
    <t>MTC/2026-27/0115</t>
  </si>
  <si>
    <t>G1678/1679</t>
  </si>
  <si>
    <t>L/PB/26-27/73</t>
  </si>
  <si>
    <t>KOGMU1/FY 2026-27/POMSD/0172</t>
  </si>
  <si>
    <t>KOGMU1/FY 2026-27/POMSD/0174</t>
  </si>
  <si>
    <t>KOGMU1/FY 2026-27/POMSD/0186</t>
  </si>
  <si>
    <t>KOGMU1/FY 2026-27/POMSD/0187</t>
  </si>
  <si>
    <t>KOGMU1/FY 2026-27/POMSD/0175</t>
  </si>
  <si>
    <t>KOGMU1/FY 2026-27/POMSD/0176</t>
  </si>
  <si>
    <t>KOGMU1/FY 2026-27/POMSD/0185</t>
  </si>
  <si>
    <t>KOGMU1/FY 2026-27/POMSD/0188</t>
  </si>
  <si>
    <t>KOGMU1/FY 2026-27/POMSD/0182</t>
  </si>
  <si>
    <t>KOGMU1/FY 2026-27/POMSD/0179</t>
  </si>
  <si>
    <t>KOGMU1/FY 2026-27/POMSD/0180</t>
  </si>
  <si>
    <t>KOGMU1/FY 2026-27/POMSD/0193</t>
  </si>
  <si>
    <t>KOGMU1/FY 2026-27/POMSD/0181</t>
  </si>
  <si>
    <t>KOGMU1/FY 2026-27/POMSD/0183</t>
  </si>
  <si>
    <t>KOGMU1/FY 2026-27/POMSD/0190</t>
  </si>
  <si>
    <t>KOGMU1/FY 2026-27/POMSD/0194</t>
  </si>
  <si>
    <t>KOGMU1/FY 2026-27/POMSD/0191</t>
  </si>
  <si>
    <t>KOGMU1/FY 2026-27/POMSD/0192</t>
  </si>
  <si>
    <t>INWDMSD27/0442</t>
  </si>
  <si>
    <t>INWDMSD27/0443</t>
  </si>
  <si>
    <t>INWDMSD27/0444</t>
  </si>
  <si>
    <t>INWDMSD27/0445</t>
  </si>
  <si>
    <t>INWDMSD27/0446</t>
  </si>
  <si>
    <t>INWDMSD27/0447</t>
  </si>
  <si>
    <t>INWDMSD27/0448</t>
  </si>
  <si>
    <t>INWDMSD27/0449</t>
  </si>
  <si>
    <t>INWDMSD27/0450</t>
  </si>
  <si>
    <t>INWDMSD27/0451</t>
  </si>
  <si>
    <t>INWDMSD27/0452</t>
  </si>
  <si>
    <t>INWDMSD27/0453</t>
  </si>
  <si>
    <t>INWDMSD27/0454</t>
  </si>
  <si>
    <t>INWDMSD27/0455</t>
  </si>
  <si>
    <t>INWDMSD27/0456</t>
  </si>
  <si>
    <t>INWDMSD27/0457</t>
  </si>
  <si>
    <t>INWDMSD27/0458</t>
  </si>
  <si>
    <t>INWDMSD27/0459</t>
  </si>
  <si>
    <t>INWDMSD27/0460</t>
  </si>
  <si>
    <t>INWDMSD27/0461</t>
  </si>
  <si>
    <t>INWDMSD27/0462</t>
  </si>
  <si>
    <t>INWDMSD27/0463</t>
  </si>
  <si>
    <t>INWDMSD27/0464</t>
  </si>
  <si>
    <t>INWDMSD27/0465</t>
  </si>
  <si>
    <t>INWDMSD27/0466</t>
  </si>
  <si>
    <t>INWDMSD27/0467</t>
  </si>
  <si>
    <t>INWDMSD27/0468</t>
  </si>
  <si>
    <t>INWDMSD27/0471</t>
  </si>
  <si>
    <t>INWDMSD27/0469</t>
  </si>
  <si>
    <t>INWDMSD27/0470</t>
  </si>
  <si>
    <t>INWDMSD27/0472</t>
  </si>
  <si>
    <t>G1682</t>
  </si>
  <si>
    <t>L/PB/26-27/75</t>
  </si>
  <si>
    <t>MTC/2026-27/0116</t>
  </si>
  <si>
    <t>MTC/2026-27/0119</t>
  </si>
  <si>
    <t>G1685</t>
  </si>
  <si>
    <t>G1683</t>
  </si>
  <si>
    <t>G1684</t>
  </si>
  <si>
    <t>MTC/2026-27/0120</t>
  </si>
  <si>
    <t>MTC/2026-27/0117</t>
  </si>
  <si>
    <t>L/PB/26-27/76</t>
  </si>
  <si>
    <t>MTC/2026-27/0123</t>
  </si>
  <si>
    <t>GDS/26-27/173</t>
  </si>
  <si>
    <t>G1687</t>
  </si>
  <si>
    <t>GDS/26-27/174</t>
  </si>
  <si>
    <t>MTC/2026-27/0127</t>
  </si>
  <si>
    <t>L/PB/26-27/78</t>
  </si>
  <si>
    <t>L/PB/26-27/77</t>
  </si>
  <si>
    <t>G1689</t>
  </si>
  <si>
    <t>G1688</t>
  </si>
  <si>
    <t>440 Bags Wt. 264 Qtl @ 6896.85/-</t>
  </si>
  <si>
    <t>KOGMU1/FY 2026-27/POMSD/0184</t>
  </si>
  <si>
    <t>KOGMU1/FY 2026-27/POMSD/0189</t>
  </si>
  <si>
    <t>KOGMU1/FY 2026-27/POMSD/0195</t>
  </si>
  <si>
    <t>KOGMU1/FY 2026-27/POMSD/0196</t>
  </si>
  <si>
    <t>KOGMU1/FY 2026-27/POMSD/0198</t>
  </si>
  <si>
    <t>KOGMU1/FY 2026-27/POMSD/0199</t>
  </si>
  <si>
    <t>INWDMSD27/0473</t>
  </si>
  <si>
    <t>INWDMSD27/0474</t>
  </si>
  <si>
    <t>INWDMSD27/0475</t>
  </si>
  <si>
    <t>INWDMSD27/0476</t>
  </si>
  <si>
    <t>INWDMSD27/0477</t>
  </si>
  <si>
    <t>INWDMSD27/0478</t>
  </si>
  <si>
    <t>INWDMSD27/0479</t>
  </si>
  <si>
    <t>INWDMSD27/0480</t>
  </si>
  <si>
    <t>INWDMSD27/0481</t>
  </si>
  <si>
    <t>INWDMSD27/0482</t>
  </si>
  <si>
    <t>INWDMSD27/0483</t>
  </si>
  <si>
    <t>INWDMSD27/0484</t>
  </si>
  <si>
    <t>INWDMSD27/0485</t>
  </si>
  <si>
    <t>INWDMSD27/0486</t>
  </si>
  <si>
    <t>MTC/2026-27/0129</t>
  </si>
  <si>
    <t>G1686</t>
  </si>
  <si>
    <t>MTC/2026-270128</t>
  </si>
  <si>
    <t>MTC/2026-27/0133</t>
  </si>
  <si>
    <t>L/PB/26-27/79</t>
  </si>
  <si>
    <t>L/PB/26-27/81</t>
  </si>
  <si>
    <t>L/PB/26-27/82</t>
  </si>
  <si>
    <t>L/PB/26-27/83</t>
  </si>
  <si>
    <t>L/PB/26-27/80</t>
  </si>
  <si>
    <t xml:space="preserve">                                                 </t>
  </si>
  <si>
    <t xml:space="preserve">23 Bags Short Received </t>
  </si>
  <si>
    <t>KOGMU1/FY 2026-27/POMSD/0201</t>
  </si>
  <si>
    <t>KOGMU1/FY 2026-27/POMSD/0203</t>
  </si>
  <si>
    <t>KOGMU1/FY 2026-27/POMSD/0206</t>
  </si>
  <si>
    <t>INWDMSD27/0487</t>
  </si>
  <si>
    <t>INWDMSD27/0488</t>
  </si>
  <si>
    <t>INWDMSD27/0489</t>
  </si>
  <si>
    <t>KOGMU1/FY 2026-27/POMSD/0204</t>
  </si>
  <si>
    <t>KOGMU1/FY 2026-27/POMSD/0209</t>
  </si>
  <si>
    <t>KOGMU1/FY 2026-27/POMSD/0208</t>
  </si>
  <si>
    <t>KOGMU1/FY 2026-27/POMSD/0205</t>
  </si>
  <si>
    <t>KOGMU1/FY 2026-27/POMSD/0214</t>
  </si>
  <si>
    <t>KOGMU1/FY 2026-27/POMSD/0207</t>
  </si>
  <si>
    <t>KOGMU1/FY 2026-27/POMSD/0210</t>
  </si>
  <si>
    <t>KOGMU1/FY 2026-27/POMSD/0212</t>
  </si>
  <si>
    <t>KOGMU1/FY 2026-27/POMSD/0215</t>
  </si>
  <si>
    <t>KOGMU1/FY 2026-27/POMSD/0211</t>
  </si>
  <si>
    <t>KOGMU1/FY 2026-27/POMSD/0216</t>
  </si>
  <si>
    <t>KOGMU1/FY 2026-27/POMSD/0218</t>
  </si>
  <si>
    <t>KOGMU1/FY 2026-27/POMSD/0217</t>
  </si>
  <si>
    <t>KOGMU1/FY 2026-27/POMSD/0219</t>
  </si>
  <si>
    <t>KOGMU1/FY 2026-27/POMSD/0220</t>
  </si>
  <si>
    <t>KOGMU1/FY 2026-27/POMSD/0224</t>
  </si>
  <si>
    <t>KOGMU1/FY 2026-27/POMSD/0221</t>
  </si>
  <si>
    <t>KOGMU1/FY 2026-27/POMSD/0227</t>
  </si>
  <si>
    <t>KOGMU1/FY 2026-27/POMSD/0228</t>
  </si>
  <si>
    <t>KOGMU1/FY 2026-27/POMSD/0222</t>
  </si>
  <si>
    <t>INWDMSD27/0490</t>
  </si>
  <si>
    <t>INWDMSD27/0491</t>
  </si>
  <si>
    <t>INWDMSD27/0492</t>
  </si>
  <si>
    <t>INWDMSD27/0493</t>
  </si>
  <si>
    <t>INWDMSD27/0494</t>
  </si>
  <si>
    <t>INWDMSD27/0495</t>
  </si>
  <si>
    <t>INWDMSD27/0496</t>
  </si>
  <si>
    <t>INWDMSD27/0497</t>
  </si>
  <si>
    <t>INWDMSD27/0498</t>
  </si>
  <si>
    <t>INWDMSD27/0499</t>
  </si>
  <si>
    <t>INWDMSD27/0500</t>
  </si>
  <si>
    <t>INWDMSD27/0501</t>
  </si>
  <si>
    <t>INWDMSD27/0502</t>
  </si>
  <si>
    <t>INWDMSD27/0503</t>
  </si>
  <si>
    <t>INWDMSD27/0504</t>
  </si>
  <si>
    <t>INWDMSD27/0505</t>
  </si>
  <si>
    <t>INWDMSD27/0506</t>
  </si>
  <si>
    <t>INWDMSD27/0507</t>
  </si>
  <si>
    <t>INWDMSD27/0508</t>
  </si>
  <si>
    <t>INWDMSD27/0509</t>
  </si>
  <si>
    <t>INWDMSD27/0510</t>
  </si>
  <si>
    <t>INWDMSD27/0511</t>
  </si>
  <si>
    <t>INWDMSD27/0512</t>
  </si>
  <si>
    <t>INWDMSD27/0513</t>
  </si>
  <si>
    <t>INWDMSD27/0514</t>
  </si>
  <si>
    <t>SCMSD710</t>
  </si>
  <si>
    <t>Tetarwal Trading Company</t>
  </si>
  <si>
    <t>Nohar</t>
  </si>
  <si>
    <t>SCMSD676</t>
  </si>
  <si>
    <t>Moreshwar Trading Company</t>
  </si>
  <si>
    <t>CHURU</t>
  </si>
  <si>
    <t>PAID</t>
  </si>
  <si>
    <t>MTC/2026-27/0175</t>
  </si>
  <si>
    <t>GDS/26-27/211</t>
  </si>
  <si>
    <t>G1690</t>
  </si>
  <si>
    <t>G1691</t>
  </si>
  <si>
    <t>MTC/2026-27/0176</t>
  </si>
  <si>
    <t>G1693</t>
  </si>
  <si>
    <t>MTC/2026-27/0183</t>
  </si>
  <si>
    <t>G1692</t>
  </si>
  <si>
    <t>G1696</t>
  </si>
  <si>
    <t>G1697</t>
  </si>
  <si>
    <t>G1698</t>
  </si>
  <si>
    <t>G1700</t>
  </si>
  <si>
    <t>G1699</t>
  </si>
  <si>
    <t>INWDMSD27/0516</t>
  </si>
  <si>
    <t>INWDMSD27/0517</t>
  </si>
  <si>
    <t>INWDMSD27/0518</t>
  </si>
  <si>
    <t>INWDMSD27/0520</t>
  </si>
  <si>
    <t>INWDMSD27/0521</t>
  </si>
  <si>
    <t>INWDMSD27/0522</t>
  </si>
  <si>
    <t>INWDMSD27/0523</t>
  </si>
  <si>
    <t>INWDMSD27/0524</t>
  </si>
  <si>
    <t>INWDMSD27/0525</t>
  </si>
  <si>
    <t>INWDMSD27/0526</t>
  </si>
  <si>
    <t>INWDMSD27/0527</t>
  </si>
  <si>
    <t>INWDMSD27/0528</t>
  </si>
  <si>
    <t>INWDMSD27/0529</t>
  </si>
  <si>
    <t>INWDMSD27/0530</t>
  </si>
  <si>
    <t>INWDMSD27/0515</t>
  </si>
  <si>
    <t>INWDMSD27/0519</t>
  </si>
  <si>
    <t>INWDMSD27/0531</t>
  </si>
  <si>
    <t>INWDMSD27/0532</t>
  </si>
  <si>
    <t>INWDMSD27/0533</t>
  </si>
  <si>
    <t>INWDMSD27/0534</t>
  </si>
  <si>
    <t>INWDMSD27/0535</t>
  </si>
  <si>
    <t>INWDMSD27/0536</t>
  </si>
  <si>
    <t>INWDMSD27/0537</t>
  </si>
  <si>
    <t>INWDMSD27/0538</t>
  </si>
  <si>
    <t>INWDMSD27/0539</t>
  </si>
  <si>
    <t>INWDMSD27/0540</t>
  </si>
  <si>
    <t>INWDMSD27/0541</t>
  </si>
  <si>
    <t>INWDMSD27/0542</t>
  </si>
  <si>
    <t>INWDMSD27/0543</t>
  </si>
  <si>
    <t>INWDMSD27/0544</t>
  </si>
  <si>
    <t>INWDMSD27/0545</t>
  </si>
  <si>
    <t>INWDMSD27/0546</t>
  </si>
  <si>
    <t>INWDMSD27/0547</t>
  </si>
  <si>
    <t>INWDMSD27/0548</t>
  </si>
  <si>
    <t>INWDMSD27/0549</t>
  </si>
  <si>
    <t>KOGMU1/FY 2026-27/POMSD/0229</t>
  </si>
  <si>
    <t>KOGMU1/FY 2026-27/POMSD/0223</t>
  </si>
  <si>
    <t>KOGMU1/FY 2026-27/POMSD/0231</t>
  </si>
  <si>
    <t>KOGMU1/FY 2026-27/POMSD/0232</t>
  </si>
  <si>
    <t>KOGMU1/FY 2026-27/POMSD/0238</t>
  </si>
  <si>
    <t>KOGMU1/FY 2026-27/POMSD/0234</t>
  </si>
  <si>
    <t>KOGMU1/FY 2026-27/POMSD/0230</t>
  </si>
  <si>
    <t>SCMSD336</t>
  </si>
  <si>
    <t>Umesh Kumar &amp; Sons</t>
  </si>
  <si>
    <t>SCMSD491</t>
  </si>
  <si>
    <t>Reyansh Agro Industries</t>
  </si>
  <si>
    <t>MTP PAID</t>
  </si>
  <si>
    <t>42 Cond</t>
  </si>
  <si>
    <t>2026-27/6908</t>
  </si>
  <si>
    <t>2026-27/20</t>
  </si>
  <si>
    <t>2026-27/21</t>
  </si>
  <si>
    <t>2026-27/22</t>
  </si>
  <si>
    <t>2026-27/24</t>
  </si>
  <si>
    <t>2026-27/23</t>
  </si>
  <si>
    <t>2026-27/25</t>
  </si>
  <si>
    <t>2026-27/26</t>
  </si>
  <si>
    <t>2026-27/27</t>
  </si>
  <si>
    <t>2026-27/28</t>
  </si>
  <si>
    <t>2026-27/29</t>
  </si>
  <si>
    <t>2026-27/30</t>
  </si>
  <si>
    <t>2026-27/31</t>
  </si>
  <si>
    <t>2026-27/32</t>
  </si>
  <si>
    <t>2026-27/33</t>
  </si>
  <si>
    <t>2026-27/35</t>
  </si>
  <si>
    <t>2026-27/36</t>
  </si>
  <si>
    <t>2026-27/34</t>
  </si>
  <si>
    <t>2026-27/39</t>
  </si>
  <si>
    <t>2026-27/38</t>
  </si>
  <si>
    <t>2026-27/40</t>
  </si>
  <si>
    <t>2026-27/37</t>
  </si>
  <si>
    <t>2026-27/41</t>
  </si>
  <si>
    <t>2026-27/42</t>
  </si>
  <si>
    <t>2026-27/43</t>
  </si>
  <si>
    <t>2026-27/44</t>
  </si>
  <si>
    <t xml:space="preserve">Supplier Lab </t>
  </si>
  <si>
    <t>Oil Manual</t>
  </si>
  <si>
    <t>KOGMU1/FY 2026-27/POMSD/0239</t>
  </si>
  <si>
    <t>KOGMU1/FY 2026-27/POMSD/0237</t>
  </si>
  <si>
    <t>KOGMU1/FY 2026-27/POMSD/0244</t>
  </si>
  <si>
    <t>KOGMU1/FY 2026-27/POMSD/0243</t>
  </si>
  <si>
    <t>KOGMU1/FY 2026-27/POMSD/0233</t>
  </si>
  <si>
    <t>KOGMU1/FY 2026-27/POMSD/0242</t>
  </si>
  <si>
    <t>KOGMU1/FY 2026-27/POMSD/0240</t>
  </si>
  <si>
    <t>INWDMSD27/0550</t>
  </si>
  <si>
    <t>INWDMSD27/0551</t>
  </si>
  <si>
    <t>INWDMSD27/0552</t>
  </si>
  <si>
    <t>INWDMSD27/0553</t>
  </si>
  <si>
    <t>INWDMSD27/0554</t>
  </si>
  <si>
    <t>INWDMSD27/0555</t>
  </si>
  <si>
    <t>INWDMSD27/0556</t>
  </si>
  <si>
    <t>INWDMSD27/0557</t>
  </si>
  <si>
    <t>INWDMSD27/0558</t>
  </si>
  <si>
    <t>INWDMSD27/0560</t>
  </si>
  <si>
    <t>INWDMSD27/0561</t>
  </si>
  <si>
    <t>INWDMSD27/0562</t>
  </si>
  <si>
    <t>INWDMSD27/0563</t>
  </si>
  <si>
    <t>INWDMSD27/0564</t>
  </si>
  <si>
    <t>INWDMSD27/0565</t>
  </si>
  <si>
    <t>INWDMSD27/0566</t>
  </si>
  <si>
    <t>INWDMSD27/0568</t>
  </si>
  <si>
    <t>INWDMSD27/0559</t>
  </si>
  <si>
    <t>INWDMSD27/0567</t>
  </si>
  <si>
    <t>INWDMSD27/0569</t>
  </si>
  <si>
    <t>INWDMSD27/0570</t>
  </si>
  <si>
    <t>INWDMSD27/0571</t>
  </si>
  <si>
    <t>INWDMSD27/0572</t>
  </si>
  <si>
    <t>INWDMSD27/0573</t>
  </si>
  <si>
    <t>INWDMSD27/0574</t>
  </si>
  <si>
    <t>INWDMSD27/0575</t>
  </si>
  <si>
    <t>INWDMSD27/0576</t>
  </si>
  <si>
    <t>INWDMSD27/0577</t>
  </si>
  <si>
    <t>INWDMSD27/0578</t>
  </si>
  <si>
    <t>INWDMSD27/0579</t>
  </si>
  <si>
    <t>SCMSD706</t>
  </si>
  <si>
    <t>Mundawala Industries</t>
  </si>
  <si>
    <t>2026-27/45</t>
  </si>
  <si>
    <t>2026-27/46</t>
  </si>
  <si>
    <t>2026-27/47</t>
  </si>
  <si>
    <t>2026-27/48</t>
  </si>
  <si>
    <t>2026-27/49</t>
  </si>
  <si>
    <t>L/PB/26-27/93</t>
  </si>
  <si>
    <t>2026-27/50</t>
  </si>
  <si>
    <t>G1706</t>
  </si>
  <si>
    <t>2026-27/51</t>
  </si>
  <si>
    <t>2026-27/53</t>
  </si>
  <si>
    <t>2026-27/52</t>
  </si>
  <si>
    <t>2026-27/54</t>
  </si>
  <si>
    <t>2026-27/55</t>
  </si>
  <si>
    <t>2026-27/56</t>
  </si>
  <si>
    <t>2026-27/58</t>
  </si>
  <si>
    <t>G1704</t>
  </si>
  <si>
    <t>G1705</t>
  </si>
  <si>
    <t>2026-27/57</t>
  </si>
  <si>
    <t>2026-27/59</t>
  </si>
  <si>
    <t>2026-27/60</t>
  </si>
  <si>
    <t>2026-27/61</t>
  </si>
  <si>
    <t>2026-27/8</t>
  </si>
  <si>
    <t>2026-27/9</t>
  </si>
  <si>
    <t>2026-27/7</t>
  </si>
  <si>
    <t>2026-27/6</t>
  </si>
  <si>
    <t>2026-27/62</t>
  </si>
  <si>
    <t>2026-27/64</t>
  </si>
  <si>
    <t>2026-27/63</t>
  </si>
  <si>
    <t xml:space="preserve">54.60 Qtl Rejected Materail </t>
  </si>
  <si>
    <t xml:space="preserve">28.10 Qtl Rejected Materail </t>
  </si>
  <si>
    <t>G1703</t>
  </si>
  <si>
    <t xml:space="preserve">850 Gm Bardana weight </t>
  </si>
  <si>
    <t>KOGMU1/FY 2026-27/POMSD/0245</t>
  </si>
  <si>
    <t>KOGMU1/FY 2026-27/POMSD/0251</t>
  </si>
  <si>
    <t>KOGMU1/FY 2026-27/POMSD/0241</t>
  </si>
  <si>
    <t>KOGMU1/FY 2026-27/POMSD/0249</t>
  </si>
  <si>
    <t>KOGMU1/FY 2026-27/POMSD/0250</t>
  </si>
  <si>
    <t>KOGMU1/FY 2026-27/POMSD/0236</t>
  </si>
  <si>
    <t>KOGMU1/FY 2026-27/POMSD/0235</t>
  </si>
  <si>
    <t>KOGMU3/FY 2026-27/POMSD/0156</t>
  </si>
  <si>
    <t>KOGMU1/FY 2026-27/POMSD/0253</t>
  </si>
  <si>
    <t>KOGMU1/FY 2026-27/POMSD/0252</t>
  </si>
  <si>
    <t>KOGMU1/FY 2026-27/POMSD/0255</t>
  </si>
  <si>
    <t>KOGMU1/FY 2026-27/POMSD/0256</t>
  </si>
  <si>
    <t>KOGMU1/FY 2026-27/POMSD/0258</t>
  </si>
  <si>
    <t>KOGMU1/FY 2026-27/POMSD/0254</t>
  </si>
  <si>
    <t>INWDMSD27/0580</t>
  </si>
  <si>
    <t>INWDMSD27/0581</t>
  </si>
  <si>
    <t>INWDMSD27/0582</t>
  </si>
  <si>
    <t>INWDMSD27/0583</t>
  </si>
  <si>
    <t>INWDMSD27/0585</t>
  </si>
  <si>
    <t>INWDMSD27/0586</t>
  </si>
  <si>
    <t>INWDMSD27/0587</t>
  </si>
  <si>
    <t>INWDMSD27/0588</t>
  </si>
  <si>
    <t>INWDMSD27/0589</t>
  </si>
  <si>
    <t>INWDMSD27/0584</t>
  </si>
  <si>
    <t>INWDMSD27/0590</t>
  </si>
  <si>
    <t>INWDMSD27/0592</t>
  </si>
  <si>
    <t>INWDMSD27/0591</t>
  </si>
  <si>
    <t>INWDMSD27/0593</t>
  </si>
  <si>
    <t>INWDMSD27/0594</t>
  </si>
  <si>
    <t>INWDMSD27/0595</t>
  </si>
  <si>
    <t>INWDMSD27/0596</t>
  </si>
  <si>
    <t>INWDMSD27/0597</t>
  </si>
  <si>
    <t>INWDMSD27/0598</t>
  </si>
  <si>
    <t>INWDMSD27/0599</t>
  </si>
  <si>
    <t>INWDMSD27/0600</t>
  </si>
  <si>
    <t>INWDMSD27/0601</t>
  </si>
  <si>
    <t>INWDMSD27/0602</t>
  </si>
  <si>
    <t>INWDMSD27/0603</t>
  </si>
  <si>
    <t>INWDMSD27/0604</t>
  </si>
  <si>
    <t>INWDMSD27/0605</t>
  </si>
  <si>
    <t>INWDMSD27/0606</t>
  </si>
  <si>
    <t>INWDMSD27/0607</t>
  </si>
  <si>
    <t>INWDMSD27/0608</t>
  </si>
  <si>
    <t>INWDMSD27/0609</t>
  </si>
  <si>
    <t>INWDMSD27/0610</t>
  </si>
  <si>
    <t>INWDMSD27/0611</t>
  </si>
  <si>
    <t>INWDMSD27/0612</t>
  </si>
  <si>
    <t>INWDMSD27/0613</t>
  </si>
  <si>
    <t>INWDMSD27/0614</t>
  </si>
  <si>
    <t>INWDMSD27/0615</t>
  </si>
  <si>
    <t>INWDMSD27/0616</t>
  </si>
  <si>
    <t>INWDMSD27/0617</t>
  </si>
  <si>
    <t>INWDMSD27/0619</t>
  </si>
  <si>
    <t>INWDMSD27/0618</t>
  </si>
  <si>
    <t>RADHA RANI FOOD PRODUCT</t>
  </si>
  <si>
    <t>Jai sri rama trading company</t>
  </si>
  <si>
    <t>2026-27/66</t>
  </si>
  <si>
    <t>2026-27/65</t>
  </si>
  <si>
    <t>2026-27/68</t>
  </si>
  <si>
    <t>2026-27/67</t>
  </si>
  <si>
    <t>2026-27/71</t>
  </si>
  <si>
    <t>2026-27/70</t>
  </si>
  <si>
    <t>2026-27/69</t>
  </si>
  <si>
    <t>2026-27/72</t>
  </si>
  <si>
    <t>2026-27/74</t>
  </si>
  <si>
    <t>2026-27/75</t>
  </si>
  <si>
    <t>2026-27/73</t>
  </si>
  <si>
    <t>G1707</t>
  </si>
  <si>
    <t>2026-27/76</t>
  </si>
  <si>
    <t>2026-27/79</t>
  </si>
  <si>
    <t>2026-27/78</t>
  </si>
  <si>
    <t>2026-27/77</t>
  </si>
  <si>
    <t>2026-27/80</t>
  </si>
  <si>
    <t>2026-27/81</t>
  </si>
  <si>
    <t>2026-27/82</t>
  </si>
  <si>
    <t>2026-27/83</t>
  </si>
  <si>
    <t>2026-27/84</t>
  </si>
  <si>
    <t>2026-27/85</t>
  </si>
  <si>
    <t>2026-27/86</t>
  </si>
  <si>
    <t>2026-27/87</t>
  </si>
  <si>
    <t>2026-27/88</t>
  </si>
  <si>
    <t>2026-27/89</t>
  </si>
  <si>
    <t>2026-27/90</t>
  </si>
  <si>
    <t>2026-27/91</t>
  </si>
  <si>
    <t>G1708</t>
  </si>
  <si>
    <t>MTC/2026-27/0197</t>
  </si>
  <si>
    <t>Unit-3</t>
  </si>
  <si>
    <t>KOGMU1/FY 2026-27/POMSD/0257</t>
  </si>
  <si>
    <t>KOGMU1/FY 2026-27/POMSD/0259</t>
  </si>
  <si>
    <t>KOGMU1/FY 2026-27/POMSD/0260</t>
  </si>
  <si>
    <t>KOGMU1/FY 2026-27/POMSD/0247</t>
  </si>
  <si>
    <t>KOGMU1/FY 2026-27/POMSD/0261</t>
  </si>
  <si>
    <t>INWDMSD27/0620</t>
  </si>
  <si>
    <t>INWDMSD27/0621</t>
  </si>
  <si>
    <t>INWDMSD27/0622</t>
  </si>
  <si>
    <t>INWDMSD27/0623</t>
  </si>
  <si>
    <t>INWDMSD27/0624</t>
  </si>
  <si>
    <t>INWDMSD27/0625</t>
  </si>
  <si>
    <t>INWDMSD27/0626</t>
  </si>
  <si>
    <t>INWDMSD27/0627</t>
  </si>
  <si>
    <t>INWDMSD27/0628</t>
  </si>
  <si>
    <t>INWDMSD27/0629</t>
  </si>
  <si>
    <t>INWDMSD27/0630</t>
  </si>
  <si>
    <t>INWDMSD27/0631</t>
  </si>
  <si>
    <t>INWDMSD27/0632</t>
  </si>
  <si>
    <t>INWDMSD27/0633</t>
  </si>
  <si>
    <t>INWDMSD27/0634</t>
  </si>
  <si>
    <t>INWDMSD27/0635</t>
  </si>
  <si>
    <t>INWDMSD27/0636</t>
  </si>
  <si>
    <t>INWDMSD27/0637</t>
  </si>
  <si>
    <t>INWDMSD27/0638</t>
  </si>
  <si>
    <t>INWDMSD27/0639</t>
  </si>
  <si>
    <t>INWDMSD27/0640</t>
  </si>
  <si>
    <t>INWDMSD27/0641</t>
  </si>
  <si>
    <t>INWDMSD27/0642</t>
  </si>
  <si>
    <t>INWDMSD27/0643</t>
  </si>
  <si>
    <t>INWDMSD27/0644</t>
  </si>
  <si>
    <t>INWDMSD27/0645</t>
  </si>
  <si>
    <t>INWDMSD27/0646</t>
  </si>
  <si>
    <t>INWDMSD27/0647</t>
  </si>
  <si>
    <t>INWDMSD27/0648</t>
  </si>
  <si>
    <t>INWDMSD27/0649</t>
  </si>
  <si>
    <t>INWDMSD27/0650</t>
  </si>
  <si>
    <t>INWDMSD27/0651</t>
  </si>
  <si>
    <t>INWDMSD27/0652</t>
  </si>
  <si>
    <t>INWDMSD27/0653</t>
  </si>
  <si>
    <t>INWDMSD27/0654</t>
  </si>
  <si>
    <t>INWDMSD27/0655</t>
  </si>
  <si>
    <t>INWDMSD27/0656</t>
  </si>
  <si>
    <t>INWDMSD27/0657</t>
  </si>
  <si>
    <t>INWDMSD27/0658</t>
  </si>
  <si>
    <t>INWDMSD27/0659</t>
  </si>
  <si>
    <t>INWDMSD27/0660</t>
  </si>
  <si>
    <t>INWDMSD27/0661</t>
  </si>
  <si>
    <t>INWDMSD27/0662</t>
  </si>
  <si>
    <t>SCMSD050</t>
  </si>
  <si>
    <t>Shubham Traders</t>
  </si>
  <si>
    <t>Rawatsar</t>
  </si>
  <si>
    <t>SCMSD712</t>
  </si>
  <si>
    <t>Prem Agro Foods</t>
  </si>
  <si>
    <t>CONDITION</t>
  </si>
  <si>
    <t>L/PB/26-27/95</t>
  </si>
  <si>
    <t>L/PB/26-27/94</t>
  </si>
  <si>
    <t>G1709</t>
  </si>
  <si>
    <t>2026-27/92</t>
  </si>
  <si>
    <t>2026-27/93</t>
  </si>
  <si>
    <t>2026-27/94</t>
  </si>
  <si>
    <t>2026-27/96</t>
  </si>
  <si>
    <t>2026-27/95</t>
  </si>
  <si>
    <t>2026-27/98</t>
  </si>
  <si>
    <t>2026-27/97</t>
  </si>
  <si>
    <t>2026-27/99</t>
  </si>
  <si>
    <t>2026-27/100</t>
  </si>
  <si>
    <t>2026-27/101</t>
  </si>
  <si>
    <t>2026-27/102</t>
  </si>
  <si>
    <t>2026-27/103</t>
  </si>
  <si>
    <t>2026-27/105</t>
  </si>
  <si>
    <t>2026-27/104</t>
  </si>
  <si>
    <t>2026-27/106</t>
  </si>
  <si>
    <t>2026-27/107</t>
  </si>
  <si>
    <t>2026-27/109</t>
  </si>
  <si>
    <t>2026-27/112</t>
  </si>
  <si>
    <t>2026-27/111</t>
  </si>
  <si>
    <t>2026-27/110</t>
  </si>
  <si>
    <t>2026-27/108</t>
  </si>
  <si>
    <t>2026-27/113</t>
  </si>
  <si>
    <t>2026-27/114</t>
  </si>
  <si>
    <t>2026-27/115</t>
  </si>
  <si>
    <t>2026-27/116</t>
  </si>
  <si>
    <t>2026-27/117</t>
  </si>
  <si>
    <t>2026-27/118</t>
  </si>
  <si>
    <t>2026-27/119</t>
  </si>
  <si>
    <t>2026-27/120</t>
  </si>
  <si>
    <t>2026-27/121</t>
  </si>
  <si>
    <t>2026-27/122</t>
  </si>
  <si>
    <t>2026-27/124</t>
  </si>
  <si>
    <t>2026-27/125</t>
  </si>
  <si>
    <t>2026-27/126</t>
  </si>
  <si>
    <t>2026-27/123</t>
  </si>
  <si>
    <t>2026-27/127</t>
  </si>
  <si>
    <t>KOGMU1/FY 2026-27/POMSD/0263</t>
  </si>
  <si>
    <t>KOGMU1/FY 2026-27/POMSD/0262</t>
  </si>
  <si>
    <t>KOGMU1/FY 2026-27/POMSD/0265</t>
  </si>
  <si>
    <t>KOGMU1/FY 2026-27/POMSD/0264</t>
  </si>
  <si>
    <t>KOGMU1/FY 2026-27/POMSD/0273</t>
  </si>
  <si>
    <t>KOGMU1/FY 2026-27/POMSD/0268</t>
  </si>
  <si>
    <t>INWDMSD27/0663</t>
  </si>
  <si>
    <t>INWDMSD27/0664</t>
  </si>
  <si>
    <t>INWDMSD27/0665</t>
  </si>
  <si>
    <t>INWDMSD27/0666</t>
  </si>
  <si>
    <t>INWDMSD27/0668</t>
  </si>
  <si>
    <t>INWDMSD27/0670</t>
  </si>
  <si>
    <t>INWDMSD27/0667</t>
  </si>
  <si>
    <t>INWDMSD27/0669</t>
  </si>
  <si>
    <t>INWDMSD27/0671</t>
  </si>
  <si>
    <t>INWDMSD27/0672</t>
  </si>
  <si>
    <t>INWDMSD27/0673</t>
  </si>
  <si>
    <t>INWDMSD27/0674</t>
  </si>
  <si>
    <t>INWDMSD27/0675</t>
  </si>
  <si>
    <t>INWDMSD27/0676</t>
  </si>
  <si>
    <t>INWDMSD27/0677</t>
  </si>
  <si>
    <t>INWDMSD27/0678</t>
  </si>
  <si>
    <t>INWDMSD27/0679</t>
  </si>
  <si>
    <t>SCMSD503</t>
  </si>
  <si>
    <t>Shyam Traders</t>
  </si>
  <si>
    <t>SCMSD745</t>
  </si>
  <si>
    <t>Nature House Co.</t>
  </si>
  <si>
    <t>Churu</t>
  </si>
  <si>
    <t>42 % COND</t>
  </si>
  <si>
    <t>ST-14</t>
  </si>
  <si>
    <t>2026-27/6920</t>
  </si>
  <si>
    <t>KOGMU1/FY 2026-27/POMSD/0266</t>
  </si>
  <si>
    <t>KOGMU1/FY 2026-27/POMSD/0276</t>
  </si>
  <si>
    <t>KOGMU1/FY 2026-27/POMSD/0267</t>
  </si>
  <si>
    <t>KOGMU1/FY 2026-27/POMSD/0269</t>
  </si>
  <si>
    <t>KOGMU1/FY 2026-27/POMSD/0272</t>
  </si>
  <si>
    <t>KOGMU1/FY 2026-27/POMSD/0271</t>
  </si>
  <si>
    <t>KOGMU1/FY 2026-27/POMSD/0278</t>
  </si>
  <si>
    <t>KOGMU1/FY 2026-27/POMSD/0277</t>
  </si>
  <si>
    <t>KOGMU1/FY 2026-27/POMSD/0274</t>
  </si>
  <si>
    <t>KOGMU1/FY 2026-27/POMSD/0270</t>
  </si>
  <si>
    <t>KOGMU1/FY 2026-27/POMSD/0279</t>
  </si>
  <si>
    <t>KOGMU1/FY 2026-27/POMSD/0281</t>
  </si>
  <si>
    <t>KOGMU1/FY 2026-27/POMSD/0283</t>
  </si>
  <si>
    <t>KOGMU1/FY 2026-27/POMSD/0275</t>
  </si>
  <si>
    <t>INWDMSD27/0689</t>
  </si>
  <si>
    <t>INWDMSD27/0690</t>
  </si>
  <si>
    <t>INWDMSD27/0691</t>
  </si>
  <si>
    <t>INWDMSD27/0692</t>
  </si>
  <si>
    <t>INWDMSD27/0693</t>
  </si>
  <si>
    <t>INWDMSD27/0694</t>
  </si>
  <si>
    <t>INWDMSD27/0695</t>
  </si>
  <si>
    <t>INWDMSD27/0696</t>
  </si>
  <si>
    <t>INWDMSD27/0697</t>
  </si>
  <si>
    <t>INWDMSD27/0698</t>
  </si>
  <si>
    <t>INWDMSD27/0699</t>
  </si>
  <si>
    <t>INWDMSD27/0700</t>
  </si>
  <si>
    <t>INWDMSD27/0701</t>
  </si>
  <si>
    <t>INWDMSD27/0702</t>
  </si>
  <si>
    <t>INWDMSD27/0703</t>
  </si>
  <si>
    <t>INWDMSD27/0704</t>
  </si>
  <si>
    <t>INWDMSD27/0705</t>
  </si>
  <si>
    <t>INWDMSD27/0706</t>
  </si>
  <si>
    <t>INWDMSD27/0708</t>
  </si>
  <si>
    <t>INWDMSD27/0709</t>
  </si>
  <si>
    <t>INWDMSD27/0710</t>
  </si>
  <si>
    <t>INWDMSD27/0711</t>
  </si>
  <si>
    <t>INWDMSD27/0712</t>
  </si>
  <si>
    <t>INWDMSD27/0713</t>
  </si>
  <si>
    <t>INWDMSD27/0707</t>
  </si>
  <si>
    <t>INWDMSD27/0680</t>
  </si>
  <si>
    <t>INWDMSD27/0681</t>
  </si>
  <si>
    <t>INWDMSD27/0682</t>
  </si>
  <si>
    <t>INWDMSD27/0683</t>
  </si>
  <si>
    <t>INWDMSD27/0684</t>
  </si>
  <si>
    <t>INWDMSD27/0685</t>
  </si>
  <si>
    <t>INWDMSD27/0686</t>
  </si>
  <si>
    <t>INWDMSD27/0687</t>
  </si>
  <si>
    <t>INWDMSD27/0688</t>
  </si>
  <si>
    <t>SCMSD721</t>
  </si>
  <si>
    <t>Naman Udhyog</t>
  </si>
  <si>
    <t>Bikaner</t>
  </si>
  <si>
    <t>SCMSD549</t>
  </si>
  <si>
    <t>Kharati Lal Ashok Kumar</t>
  </si>
  <si>
    <t>Hanumangarh</t>
  </si>
  <si>
    <t>SCMSD664</t>
  </si>
  <si>
    <t>Shree Ganpati Industries</t>
  </si>
  <si>
    <t>Lunkaransar</t>
  </si>
  <si>
    <t>GST/26-27/0064</t>
  </si>
  <si>
    <t>GST/26-27/0071</t>
  </si>
  <si>
    <t>2026-27/021</t>
  </si>
  <si>
    <t>GST/26-27/0072</t>
  </si>
  <si>
    <t>GST/26-27/0074</t>
  </si>
  <si>
    <t>GST/26-27/0073</t>
  </si>
  <si>
    <t>2026-27/129</t>
  </si>
  <si>
    <t>2026-27/130</t>
  </si>
  <si>
    <t>2026-27/132</t>
  </si>
  <si>
    <t>2026-27/133</t>
  </si>
  <si>
    <t>2026-27/134</t>
  </si>
  <si>
    <t>2026-27/135</t>
  </si>
  <si>
    <t>2026-27/136</t>
  </si>
  <si>
    <t>2026-27/131</t>
  </si>
  <si>
    <t>G1716</t>
  </si>
  <si>
    <t>GST/26-27/0069</t>
  </si>
  <si>
    <t xml:space="preserve">504 Bags @ 3.20 Seed Labour </t>
  </si>
  <si>
    <t>15 Bags Fm Report 3.40 % Rabate 6 %</t>
  </si>
  <si>
    <t xml:space="preserve">497 Bags @ 3.30 Seed Labour </t>
  </si>
  <si>
    <t>Ltc Lab Oil Deudction</t>
  </si>
  <si>
    <t>seed labour Deduction</t>
  </si>
  <si>
    <t>KOGMU1/FY 2026-27/POMSD/0280</t>
  </si>
  <si>
    <t>KOGMU1/FY 2026-27/POMSD/0288</t>
  </si>
  <si>
    <t>KOGMU1/FY 2026-27/POMSD/0282</t>
  </si>
  <si>
    <t>KOGMU1/FY 2026-27/POMSD/0284</t>
  </si>
  <si>
    <t>KOGMU1/FY 2026-27/POMSD/0289</t>
  </si>
  <si>
    <t>INWDMSD27/0714</t>
  </si>
  <si>
    <t>INWDMSD27/0715</t>
  </si>
  <si>
    <t>INWDMSD27/0716</t>
  </si>
  <si>
    <t>INWDMSD27/0717</t>
  </si>
  <si>
    <t>INWDMSD27/0718</t>
  </si>
  <si>
    <t>INWDMSD27/0719</t>
  </si>
  <si>
    <t>INWDMSD27/0720</t>
  </si>
  <si>
    <t>INWDMSD27/0721</t>
  </si>
  <si>
    <t>INWDMSD27/0722</t>
  </si>
  <si>
    <t>INWDMSD27/0723</t>
  </si>
  <si>
    <t>INWDMSD27/0724</t>
  </si>
  <si>
    <t>INWDMSD27/0725</t>
  </si>
  <si>
    <t>INWDMSD27/0726</t>
  </si>
  <si>
    <t>INWDMSD27/0727</t>
  </si>
  <si>
    <t>INWDMSD27/0728</t>
  </si>
  <si>
    <t>INWDMSD27/0729</t>
  </si>
  <si>
    <t>INWDMSD27/0730</t>
  </si>
  <si>
    <t>INWDMSD27/0731</t>
  </si>
  <si>
    <t>INWDMSD27/0732</t>
  </si>
  <si>
    <t>INWDMSD27/0733</t>
  </si>
  <si>
    <t>INWDMSD27/0734</t>
  </si>
  <si>
    <t>INWDMSD27/0735</t>
  </si>
  <si>
    <t>INWDMSD27/0736</t>
  </si>
  <si>
    <t>INWDMSD27/0737</t>
  </si>
  <si>
    <t>INWDMSD27/0738</t>
  </si>
  <si>
    <t>INWDMSD27/0739</t>
  </si>
  <si>
    <t>INWDMSD27/0740</t>
  </si>
  <si>
    <t>INWDMSD27/0741</t>
  </si>
  <si>
    <t>INWDMSD27/0743</t>
  </si>
  <si>
    <t>INWDMSD27/0744</t>
  </si>
  <si>
    <t>INWDMSD27/0746</t>
  </si>
  <si>
    <t>INWDMSD27/0747</t>
  </si>
  <si>
    <t>INWDMSD27/0742</t>
  </si>
  <si>
    <t>INWDMSD27/0745</t>
  </si>
  <si>
    <t>SDBDRJ023</t>
  </si>
  <si>
    <t>Pem Raj Tara Chand</t>
  </si>
  <si>
    <t>ST-17</t>
  </si>
  <si>
    <t>2026-27/023</t>
  </si>
  <si>
    <t>ST-18</t>
  </si>
  <si>
    <t>2026-27/137</t>
  </si>
  <si>
    <t>2026-27/138</t>
  </si>
  <si>
    <t>2026-27/140</t>
  </si>
  <si>
    <t>2026-27/139</t>
  </si>
  <si>
    <t>2026-27/142</t>
  </si>
  <si>
    <t>2026-27/141</t>
  </si>
  <si>
    <t>2026-27/143</t>
  </si>
  <si>
    <t>2026-27/147</t>
  </si>
  <si>
    <t>2026-27/148</t>
  </si>
  <si>
    <t>2026-27/145</t>
  </si>
  <si>
    <t>2026-27/144</t>
  </si>
  <si>
    <t>2026-27/146</t>
  </si>
  <si>
    <t>2026-27/149</t>
  </si>
  <si>
    <t>2026-27/150</t>
  </si>
  <si>
    <t>2026-27/0080</t>
  </si>
  <si>
    <t>2026-27/151</t>
  </si>
  <si>
    <t>2026-27/0081</t>
  </si>
  <si>
    <t>2026-27/152</t>
  </si>
  <si>
    <t>2026-27/153</t>
  </si>
  <si>
    <t>2026-27/154</t>
  </si>
  <si>
    <t>2026-27/155</t>
  </si>
  <si>
    <t>2026-27/0082</t>
  </si>
  <si>
    <t>2026-27/0083</t>
  </si>
  <si>
    <t>2026-27/158</t>
  </si>
  <si>
    <t>2026-27/159</t>
  </si>
  <si>
    <t>2026-27/156</t>
  </si>
  <si>
    <t>2026-27/157</t>
  </si>
  <si>
    <t>KOGMU1/FY 2026-27/POMSD/0292</t>
  </si>
  <si>
    <t>KOGMU1/FY 2026-27/POMSD/0295</t>
  </si>
  <si>
    <t>KOGMU1/FY 2026-27/POMSD/0286</t>
  </si>
  <si>
    <t>KOGMU1/FY 2026-27/POMSD/0297</t>
  </si>
  <si>
    <t>KOGMU1/FY 2026-27/POMSD/0301</t>
  </si>
  <si>
    <t>KOGMU1/FY 2026-27/POMSD/0287</t>
  </si>
  <si>
    <t>KOGMU1/FY 2026-27/POMSD/0293</t>
  </si>
  <si>
    <t>KOGMU1/FY 2026-27/POMSD/0298</t>
  </si>
  <si>
    <t>KOGMU1/FY 2026-27/POMSD/0296</t>
  </si>
  <si>
    <t>KOGMU1/FY 2026-27/POMSD/0285</t>
  </si>
  <si>
    <t>KOGMU1/FY 2026-27/POMSD/0294</t>
  </si>
  <si>
    <t>KOGMU1/FY 2026-27/POMSD/0313</t>
  </si>
  <si>
    <t>KOGMU1/FY 2026-27/POMSD/0304</t>
  </si>
  <si>
    <t>KOGMU1/FY 2026-27/POMSD/0306</t>
  </si>
  <si>
    <t>KOGMU1/FY 2026-27/POMSD/0305</t>
  </si>
  <si>
    <t>KOGMU1/FY 2026-27/POMSD/0308</t>
  </si>
  <si>
    <t>KOGMU1/FY 2026-27/POMSD/0314</t>
  </si>
  <si>
    <t>768 ,A</t>
  </si>
  <si>
    <t>768, B</t>
  </si>
  <si>
    <t>INWDMSD27/0748</t>
  </si>
  <si>
    <t>INWDMSD27/0749</t>
  </si>
  <si>
    <t>INWDMSD27/0750</t>
  </si>
  <si>
    <t>INWDMSD27/0751</t>
  </si>
  <si>
    <t>INWDMSD27/0752</t>
  </si>
  <si>
    <t>INWDMSD27/0753</t>
  </si>
  <si>
    <t>INWDMSD27/0754</t>
  </si>
  <si>
    <t>INWDMSD27/0755</t>
  </si>
  <si>
    <t>INWDMSD27/0756</t>
  </si>
  <si>
    <t>INWDMSD27/0758</t>
  </si>
  <si>
    <t>INWDMSD27/0759</t>
  </si>
  <si>
    <t>INWDMSD27/0760</t>
  </si>
  <si>
    <t>INWDMSD27/0761</t>
  </si>
  <si>
    <t>INWDMSD27/0762</t>
  </si>
  <si>
    <t>INWDMSD27/0763</t>
  </si>
  <si>
    <t>INWDMSD27/0764</t>
  </si>
  <si>
    <t>INWDMSD27/0757</t>
  </si>
  <si>
    <t>INWDMSD27/0765</t>
  </si>
  <si>
    <t>INWDMSD27/0766</t>
  </si>
  <si>
    <t>INWDMSD27/0767</t>
  </si>
  <si>
    <t>INWDMSD27/0768</t>
  </si>
  <si>
    <t>INWDMSD27/0770</t>
  </si>
  <si>
    <t>INWDMSD27/0769</t>
  </si>
  <si>
    <t>INWDMSD27/0771</t>
  </si>
  <si>
    <t>INWDMSD27/0772</t>
  </si>
  <si>
    <t>INWDMSD27/0773</t>
  </si>
  <si>
    <t>INWDMSD27/0776</t>
  </si>
  <si>
    <t>INWDMSD27/0777</t>
  </si>
  <si>
    <t>INWDMSD27/0778</t>
  </si>
  <si>
    <t>INWDMSD27/0788</t>
  </si>
  <si>
    <t>INWDMSD27/0780</t>
  </si>
  <si>
    <t>INWDMSD27/0781</t>
  </si>
  <si>
    <t>INWDMSD27/0782</t>
  </si>
  <si>
    <t>INWDMSD27/0783</t>
  </si>
  <si>
    <t>INWDMSD27/0784</t>
  </si>
  <si>
    <t>INWDMSD27/0785</t>
  </si>
  <si>
    <t>INWDMSD27/0786</t>
  </si>
  <si>
    <t>INWDMSD27/0787</t>
  </si>
  <si>
    <t>INWDMSD27/0789</t>
  </si>
  <si>
    <t>INWDMSD27/0790</t>
  </si>
  <si>
    <t>INWDMSD27/0791</t>
  </si>
  <si>
    <t>INWDMSD27/0792</t>
  </si>
  <si>
    <t>INWDMSD27/0793</t>
  </si>
  <si>
    <t>INWDMSD27/0794</t>
  </si>
  <si>
    <t>INWDMSD27/0795</t>
  </si>
  <si>
    <t>INWDMSD27/0796</t>
  </si>
  <si>
    <t>INWDMSD27/0797</t>
  </si>
  <si>
    <t>INWDMSD27/0798</t>
  </si>
  <si>
    <t>INWDMSD27/0799</t>
  </si>
  <si>
    <t>INWDMSD27/0800</t>
  </si>
  <si>
    <t>INWDMSD27/0801</t>
  </si>
  <si>
    <t>INWDMSD27/0802</t>
  </si>
  <si>
    <t>INWDMSD27/0803</t>
  </si>
  <si>
    <t>INWDMSD27/0804</t>
  </si>
  <si>
    <t>INWDMSD27/0805</t>
  </si>
  <si>
    <t>INWDMSD27/0806</t>
  </si>
  <si>
    <t>INWDMSD27/0807</t>
  </si>
  <si>
    <t>INWDMSD27/0808</t>
  </si>
  <si>
    <t>INWDMSD27/0809</t>
  </si>
  <si>
    <t>INWDMSD27/0810</t>
  </si>
  <si>
    <t>SCMSD502</t>
  </si>
  <si>
    <t>Kapil Agro Industries</t>
  </si>
  <si>
    <t>Sadulshahar</t>
  </si>
  <si>
    <t>SCMSD617</t>
  </si>
  <si>
    <t>Ashwinder Kumar Rajan Rai</t>
  </si>
  <si>
    <t>SCMSD031</t>
  </si>
  <si>
    <t>Mittal Trading Company</t>
  </si>
  <si>
    <t>Sadulsahar</t>
  </si>
  <si>
    <t>KAI/2026-27/107</t>
  </si>
  <si>
    <t>KAI/2026-27/106</t>
  </si>
  <si>
    <t>L/PB/26-27/96</t>
  </si>
  <si>
    <t>2026-27/163</t>
  </si>
  <si>
    <t>2026-27/162</t>
  </si>
  <si>
    <t>2026-27/164</t>
  </si>
  <si>
    <t>2026-27/165</t>
  </si>
  <si>
    <t>2026-27/166</t>
  </si>
  <si>
    <t>2026-27/167</t>
  </si>
  <si>
    <t>2026-27/168</t>
  </si>
  <si>
    <t>ST-19</t>
  </si>
  <si>
    <t>2026-27/169</t>
  </si>
  <si>
    <t>2026-27/170</t>
  </si>
  <si>
    <t>2026-27/174</t>
  </si>
  <si>
    <t>2026-27/172</t>
  </si>
  <si>
    <t>2026-27/173</t>
  </si>
  <si>
    <t>2026-27/0085</t>
  </si>
  <si>
    <t>2026-27/176</t>
  </si>
  <si>
    <t>2026-27/171</t>
  </si>
  <si>
    <t>2026-27/175</t>
  </si>
  <si>
    <t>2026-27/0087</t>
  </si>
  <si>
    <t>2026-27/178</t>
  </si>
  <si>
    <t>2026-27/181</t>
  </si>
  <si>
    <t>2026-27/0086</t>
  </si>
  <si>
    <t>2026-27/182</t>
  </si>
  <si>
    <t>2026-27/180</t>
  </si>
  <si>
    <t>2026-27/179</t>
  </si>
  <si>
    <t>2026-27/177</t>
  </si>
  <si>
    <t>2026-27/183</t>
  </si>
  <si>
    <t>2026-27/024</t>
  </si>
  <si>
    <t>2026-27/184</t>
  </si>
  <si>
    <t>GST19</t>
  </si>
  <si>
    <t>2026-27/185</t>
  </si>
  <si>
    <t>2026-27/186</t>
  </si>
  <si>
    <t>2026-27/187</t>
  </si>
  <si>
    <t>2026-27/190</t>
  </si>
  <si>
    <t>2026-27/189</t>
  </si>
  <si>
    <t>2026-27/188</t>
  </si>
  <si>
    <t>2026-27/191</t>
  </si>
  <si>
    <t>2026-27/192</t>
  </si>
  <si>
    <t>2026-27/194</t>
  </si>
  <si>
    <t>2026-27/193</t>
  </si>
  <si>
    <t>Brokerage Deduction ( 14/- ) Qtl</t>
  </si>
  <si>
    <t>KOGMU1/FY 2026-27/POMSD/0290</t>
  </si>
  <si>
    <t>KOGMU1/FY 2026-27/POMSD/0311</t>
  </si>
  <si>
    <t>KOGMU1/FY 2026-27/POMSD/0307</t>
  </si>
  <si>
    <t>KOGMU1/FY 2026-27/POMSD/0315</t>
  </si>
  <si>
    <t>KOGMU1/FY 2026-27/POMSD/0309</t>
  </si>
  <si>
    <t>KOGMU1/FY 2026-27/POMSD/0302</t>
  </si>
  <si>
    <t>KOGMU1/FY 2026-27/POMSD/0318</t>
  </si>
  <si>
    <t>KOGMU1/FY 2026-27/POMSD/0321</t>
  </si>
  <si>
    <t>KOGMU1/FY 2026-27/POMSD/0319</t>
  </si>
  <si>
    <t>KOGMU1/FY 2026-27/POMSD/0310</t>
  </si>
  <si>
    <t>KOGMU1/FY 2026-27/POMSD/0299</t>
  </si>
  <si>
    <t>KOGMU1/FY 2026-27/POMSD/0330</t>
  </si>
  <si>
    <t>KOGMU1/FY 2026-27/POMSD/0303</t>
  </si>
  <si>
    <t>KOGMU1/FY 2026-27/POMSD/0325</t>
  </si>
  <si>
    <t>KOGMU1/FY 2026-27/POMSD/0317</t>
  </si>
  <si>
    <t>KOGMU1/FY 2026-27/POMSD/0327</t>
  </si>
  <si>
    <t>KOGMU1/FY 2026-27/POMSD/0320</t>
  </si>
  <si>
    <t>KOGMU1/FY 2026-27/POMSD/0312</t>
  </si>
  <si>
    <t>KOGMU1/FY 2026-27/POMSD/0323</t>
  </si>
  <si>
    <t>KOGMU1/FY 2026-27/POMSD/0324</t>
  </si>
  <si>
    <t>KOGMU1/FY 2026-27/POMSD/0328</t>
  </si>
  <si>
    <t>INWDMSD27/0811</t>
  </si>
  <si>
    <t>INWDMSD27/0812</t>
  </si>
  <si>
    <t>INWDMSD27/0813</t>
  </si>
  <si>
    <t>INWDMSD27/0814</t>
  </si>
  <si>
    <t>INWDMSD27/0815</t>
  </si>
  <si>
    <t>INWDMSD27/0816</t>
  </si>
  <si>
    <t>INWDMSD27/0817</t>
  </si>
  <si>
    <t>INWDMSD27/0818</t>
  </si>
  <si>
    <t>INWDMSD27/0819</t>
  </si>
  <si>
    <t>INWDMSD27/0820</t>
  </si>
  <si>
    <t>INWDMSD27/0821</t>
  </si>
  <si>
    <t>INWDMSD27/0822</t>
  </si>
  <si>
    <t>INWDMSD27/0823</t>
  </si>
  <si>
    <t>INWDMSD27/0824</t>
  </si>
  <si>
    <t>INWDMSD27/0825</t>
  </si>
  <si>
    <t>INWDMSD27/0826</t>
  </si>
  <si>
    <t>INWDMSD27/0827</t>
  </si>
  <si>
    <t>INWDMSD27/0828</t>
  </si>
  <si>
    <t>INWDMSD27/0829</t>
  </si>
  <si>
    <t>INWDMSD27/0830</t>
  </si>
  <si>
    <t>INWDMSD27/0831</t>
  </si>
  <si>
    <t>INWDMSD27/0832</t>
  </si>
  <si>
    <t>INWDMSD27/0833</t>
  </si>
  <si>
    <t>INWDMSD27/0834</t>
  </si>
  <si>
    <t>INWDMSD27/0835</t>
  </si>
  <si>
    <t>INWDMSD27/0836</t>
  </si>
  <si>
    <t>INWDMSD27/0837</t>
  </si>
  <si>
    <t>INWDMSD27/0838</t>
  </si>
  <si>
    <t>INWDMSD27/0839</t>
  </si>
  <si>
    <t>INWDMSD27/0840</t>
  </si>
  <si>
    <t>INWDMSD27/0841</t>
  </si>
  <si>
    <t>INWDMSD27/0842</t>
  </si>
  <si>
    <t>INWDMSD27/0843</t>
  </si>
  <si>
    <t>INWDMSD27/0844</t>
  </si>
  <si>
    <t>INWDMSD27/0845</t>
  </si>
  <si>
    <t>INWDMSD27/0846</t>
  </si>
  <si>
    <t>INWDMSD27/0847</t>
  </si>
  <si>
    <t>INWDMSD27/0848</t>
  </si>
  <si>
    <t>INWDMSD27/0849</t>
  </si>
  <si>
    <t>INWDMSD27/0850</t>
  </si>
  <si>
    <t>INWDMSD27/0851</t>
  </si>
  <si>
    <t>INWDMSD27/0852</t>
  </si>
  <si>
    <t>INWDMSD27/0853</t>
  </si>
  <si>
    <t>INWDMSD27/0854</t>
  </si>
  <si>
    <t>SCMSD018</t>
  </si>
  <si>
    <t>SCMSD707</t>
  </si>
  <si>
    <t>L L Traders</t>
  </si>
  <si>
    <t>SCMSD725</t>
  </si>
  <si>
    <t>Aggarwal Trading Company</t>
  </si>
  <si>
    <t>SCMSD724</t>
  </si>
  <si>
    <t>Shyam Lal Mukesh Kumar</t>
  </si>
  <si>
    <t>GST20</t>
  </si>
  <si>
    <t>KAI/2026-27/113</t>
  </si>
  <si>
    <t>MTC/2026-27/0212</t>
  </si>
  <si>
    <t>GST21</t>
  </si>
  <si>
    <t>2026-27/195</t>
  </si>
  <si>
    <t>2026-27/196</t>
  </si>
  <si>
    <t>2026-27/197</t>
  </si>
  <si>
    <t>2026-27/198</t>
  </si>
  <si>
    <t>2026-27/199</t>
  </si>
  <si>
    <t>2026-27/201</t>
  </si>
  <si>
    <t>2026-27/200</t>
  </si>
  <si>
    <t>2026-27/202</t>
  </si>
  <si>
    <t>G1717/18/19</t>
  </si>
  <si>
    <t>2/2026-27</t>
  </si>
  <si>
    <t>2026-27/3</t>
  </si>
  <si>
    <t>GST22</t>
  </si>
  <si>
    <t>ST-20</t>
  </si>
  <si>
    <t>ST-21</t>
  </si>
  <si>
    <t>KAI/2026-27/122</t>
  </si>
  <si>
    <t>KAI/2026-27/123</t>
  </si>
  <si>
    <t xml:space="preserve">Brokerage </t>
  </si>
  <si>
    <t>35.95 Qtl Materail Return To party</t>
  </si>
  <si>
    <t>Unload Truck Unit- 6</t>
  </si>
  <si>
    <t>Brokerage Deduction ( 15/- ) Qtl</t>
  </si>
  <si>
    <t>KOGMU1/FY 2026-27/POMSD/0291</t>
  </si>
  <si>
    <t>KOGMU1/FY 2026-27/POMSD/0316</t>
  </si>
  <si>
    <t>KOGMU1/FY 2026-27/POMSD/0322</t>
  </si>
  <si>
    <t>KOGMU1/FY 2026-27/POMSD/0326</t>
  </si>
  <si>
    <t>KOGMU1/FY 2026-27/POMSD/0332</t>
  </si>
  <si>
    <t>KOGMU1/FY 2026-27/POMSD/0331</t>
  </si>
  <si>
    <t>KOGMU1/FY 2026-27/POMSD/0300</t>
  </si>
  <si>
    <t>KOGMU1/FY 2026-27/POMSD/0334</t>
  </si>
  <si>
    <t>KOGMU1/FY 2026-27/POMSD/0333</t>
  </si>
  <si>
    <t>INWDMSD27/0855</t>
  </si>
  <si>
    <t>INWDMSD27/0856</t>
  </si>
  <si>
    <t>INWDMSD27/0857</t>
  </si>
  <si>
    <t>INWDMSD27/0858</t>
  </si>
  <si>
    <t>INWDMSD27/0859</t>
  </si>
  <si>
    <t>INWDMSD27/0860</t>
  </si>
  <si>
    <t>INWDMSD27/0861</t>
  </si>
  <si>
    <t>INWDMSD27/0862</t>
  </si>
  <si>
    <t>INWDMSD27/0863</t>
  </si>
  <si>
    <t>INWDMSD27/0864</t>
  </si>
  <si>
    <t>INWDMSD27/0865</t>
  </si>
  <si>
    <t>INWDMSD27/0866</t>
  </si>
  <si>
    <t>INWDMSD27/0867</t>
  </si>
  <si>
    <t>INWDMSD27/0868</t>
  </si>
  <si>
    <t>INWDMSD27/0869</t>
  </si>
  <si>
    <t>INWDMSD27/0870</t>
  </si>
  <si>
    <t>INWDMSD27/0871</t>
  </si>
  <si>
    <t>INWDMSD27/0872</t>
  </si>
  <si>
    <t>INWDMSD27/0873</t>
  </si>
  <si>
    <t>INWDMSD27/0874</t>
  </si>
  <si>
    <t>INWDMSD27/0875</t>
  </si>
  <si>
    <t>INWDMSD27/0876</t>
  </si>
  <si>
    <t>INWDMSD27/0877</t>
  </si>
  <si>
    <t>INWDMSD27/0878</t>
  </si>
  <si>
    <t>INWDMSD27/0879</t>
  </si>
  <si>
    <t>INWDMSD27/0880</t>
  </si>
  <si>
    <t>INWDMSD27/0881</t>
  </si>
  <si>
    <t>INWDMSD27/0882</t>
  </si>
  <si>
    <t>INWDMSD27/0883</t>
  </si>
  <si>
    <t>INWDMSD27/0884</t>
  </si>
  <si>
    <t>INWDMSD27/0885</t>
  </si>
  <si>
    <t>INWDMSD27/0886</t>
  </si>
  <si>
    <t>INWDMSD27/0887</t>
  </si>
  <si>
    <t>INWDMSD27/0888</t>
  </si>
  <si>
    <t>INWDMSD27/0889</t>
  </si>
  <si>
    <t>INWDMSD27/0890</t>
  </si>
  <si>
    <t>INWDMSD27/0891</t>
  </si>
  <si>
    <t>INWDMSD27/0892</t>
  </si>
  <si>
    <t>INWDMSD27/0893</t>
  </si>
  <si>
    <t>INWDMSD27/0894</t>
  </si>
  <si>
    <t>INWDMSD27/0895</t>
  </si>
  <si>
    <t>INWDMSD27/0896</t>
  </si>
  <si>
    <t>INWDMSD27/0897</t>
  </si>
  <si>
    <t>INWDMSD27/0898</t>
  </si>
  <si>
    <t>INWDMSD27/0899</t>
  </si>
  <si>
    <t>INWDMSD27/0900</t>
  </si>
  <si>
    <t>INWDMSD27/0901</t>
  </si>
  <si>
    <t>INWDMSD27/0902</t>
  </si>
  <si>
    <t>INWDMSD27/0903</t>
  </si>
  <si>
    <t>INWDMSD27/0904</t>
  </si>
  <si>
    <t>INWDMSD27/0905</t>
  </si>
  <si>
    <t>INWDMSD27/0906</t>
  </si>
  <si>
    <t>INWDMSD27/0907</t>
  </si>
  <si>
    <t>INWDMSD27/0908</t>
  </si>
  <si>
    <t>INWDMSD27/0909</t>
  </si>
  <si>
    <t>INWDMSD27/0910</t>
  </si>
  <si>
    <t>INWDMSD27/0911</t>
  </si>
  <si>
    <t>INWDMSD27/0912</t>
  </si>
  <si>
    <t>INWDMSD27/0913</t>
  </si>
  <si>
    <t>SRI GANGANAGAR</t>
  </si>
  <si>
    <t>2026-27/2</t>
  </si>
  <si>
    <t>2026-27/4</t>
  </si>
  <si>
    <t>2026-27/025</t>
  </si>
  <si>
    <t>GST23</t>
  </si>
  <si>
    <t>2026-27/203</t>
  </si>
  <si>
    <t>2026-27/204</t>
  </si>
  <si>
    <t>2026-27/205</t>
  </si>
  <si>
    <t>2026-27/206</t>
  </si>
  <si>
    <t>2026-27/207</t>
  </si>
  <si>
    <t>2026-27/6925</t>
  </si>
  <si>
    <t>2026-27/208</t>
  </si>
  <si>
    <t>2026-27/209</t>
  </si>
  <si>
    <t>2026-27/210</t>
  </si>
  <si>
    <t>2026-27/211</t>
  </si>
  <si>
    <t>2026-27/212</t>
  </si>
  <si>
    <t>2026-27/213</t>
  </si>
  <si>
    <t>2026-27/214</t>
  </si>
  <si>
    <t>2026-27/215</t>
  </si>
  <si>
    <t>KAI/2026-27/127</t>
  </si>
  <si>
    <t>3/2026-27</t>
  </si>
  <si>
    <t>ST-22</t>
  </si>
  <si>
    <t>2026-27/216</t>
  </si>
  <si>
    <t>2026-27/217</t>
  </si>
  <si>
    <t>GST24</t>
  </si>
  <si>
    <t>2026-27/218</t>
  </si>
  <si>
    <t>2026-27/219</t>
  </si>
  <si>
    <t>2026-27/220</t>
  </si>
  <si>
    <t>2026-27/222</t>
  </si>
  <si>
    <t>2026-27/221</t>
  </si>
  <si>
    <t>2026-27/0088</t>
  </si>
  <si>
    <t>2026-27/0089</t>
  </si>
  <si>
    <t>2026-27/223</t>
  </si>
  <si>
    <t>2026-27/224</t>
  </si>
  <si>
    <t>2026-27/0090</t>
  </si>
  <si>
    <t>2026-27/0091</t>
  </si>
  <si>
    <t>2026-27/225</t>
  </si>
  <si>
    <t>2026-27/226</t>
  </si>
  <si>
    <t>2026-27/0092</t>
  </si>
  <si>
    <t>2026-27/0093</t>
  </si>
  <si>
    <t>2026-27/227</t>
  </si>
  <si>
    <t>2026-27/228</t>
  </si>
  <si>
    <t>2026-27/230</t>
  </si>
  <si>
    <t>2026-27/231</t>
  </si>
  <si>
    <t>2026-27/5</t>
  </si>
  <si>
    <t>ST-23</t>
  </si>
  <si>
    <t>2026-27/232</t>
  </si>
  <si>
    <t>2026-27/233</t>
  </si>
  <si>
    <t>2026-27/234</t>
  </si>
  <si>
    <t>2026-27/236</t>
  </si>
  <si>
    <t>2026-27/237</t>
  </si>
  <si>
    <t>2026-27/238</t>
  </si>
  <si>
    <t>2026-27/239</t>
  </si>
  <si>
    <t>Resamping Greenish 8.62 %</t>
  </si>
  <si>
    <t>Resamping Greenish 8.20 %</t>
  </si>
  <si>
    <t xml:space="preserve">25 Qtl Rate Difference </t>
  </si>
  <si>
    <t xml:space="preserve">50 Qtl Rate Difference </t>
  </si>
  <si>
    <t>30 Bags Rejected Greenish 8.78 %</t>
  </si>
  <si>
    <t>50 /- Qtl Rate Difference</t>
  </si>
  <si>
    <t>KOGMU1/FY 2026-27/POMSD/0339</t>
  </si>
  <si>
    <t>KOGMU1/FY 2026-27/POMSD/0336</t>
  </si>
  <si>
    <t>KOGMU1/FY 2026-27/POMSD/0337</t>
  </si>
  <si>
    <t>KOGMU1/FY 2026-27/POMSD/0338</t>
  </si>
  <si>
    <t>KOGMU1/FY 2026-27/POMSD/0349</t>
  </si>
  <si>
    <t>KOGMU1/FY 2026-27/POMSD/0347</t>
  </si>
  <si>
    <t>KOGMU1/FY 2026-27/POMSD/0335</t>
  </si>
  <si>
    <t>KOGMU1/FY 2026-27/POMSD/0341</t>
  </si>
  <si>
    <t>KOGMU1/FY 2026-27/POMSD/0340</t>
  </si>
  <si>
    <t>KOGMU1/FY 2026-27/POMSD/0348</t>
  </si>
  <si>
    <t>INWDMSD27/0915</t>
  </si>
  <si>
    <t>INWDMSD27/0916</t>
  </si>
  <si>
    <t>INWDMSD27/0917</t>
  </si>
  <si>
    <t>INWDMSD27/0918</t>
  </si>
  <si>
    <t>INWDMSD27/0919</t>
  </si>
  <si>
    <t>INWDMSD27/0920</t>
  </si>
  <si>
    <t>INWDMSD27/0921</t>
  </si>
  <si>
    <t>INWDMSD27/0923</t>
  </si>
  <si>
    <t>INWDMSD27/0922</t>
  </si>
  <si>
    <t>INWDMSD27/0924</t>
  </si>
  <si>
    <t>INWDMSD27/0925</t>
  </si>
  <si>
    <t>INWDMSD27/0926</t>
  </si>
  <si>
    <t>INWDMSD27/0927</t>
  </si>
  <si>
    <t>INWDMSD27/0928</t>
  </si>
  <si>
    <t>INWDMSD27/0929</t>
  </si>
  <si>
    <t>INWDMSD27/0930</t>
  </si>
  <si>
    <t>INWDMSD27/0931</t>
  </si>
  <si>
    <t>INWDMSD27/0932</t>
  </si>
  <si>
    <t>INWDMSD27/0933</t>
  </si>
  <si>
    <t>INWDMSD27/0935</t>
  </si>
  <si>
    <t>INWDMSD27/0936</t>
  </si>
  <si>
    <t>INWDMSD27/0934</t>
  </si>
  <si>
    <t>INWDMSD27/0938</t>
  </si>
  <si>
    <t>INWDMSD27/0939</t>
  </si>
  <si>
    <t>INWDMSD27/0940</t>
  </si>
  <si>
    <t>2026-27/240</t>
  </si>
  <si>
    <t>4/2026-27</t>
  </si>
  <si>
    <t>ST-24</t>
  </si>
  <si>
    <t>ST-25</t>
  </si>
  <si>
    <t>5/2026-27</t>
  </si>
  <si>
    <t>6/2026-27</t>
  </si>
  <si>
    <t>KAI/2026-27/128</t>
  </si>
  <si>
    <t>2026-27/242</t>
  </si>
  <si>
    <t>2026-27/243</t>
  </si>
  <si>
    <t>2026-27/245</t>
  </si>
  <si>
    <t>2026-27/246</t>
  </si>
  <si>
    <t>2026-27/247</t>
  </si>
  <si>
    <t>2026-27/248</t>
  </si>
  <si>
    <t>2026-27/249</t>
  </si>
  <si>
    <t>2026-27/250</t>
  </si>
  <si>
    <t>2026-27/244</t>
  </si>
  <si>
    <t>2026-27/251</t>
  </si>
  <si>
    <t>2026-27/253</t>
  </si>
  <si>
    <t>2026-27/252</t>
  </si>
  <si>
    <t>2026-27/254</t>
  </si>
  <si>
    <t>2026-27/255</t>
  </si>
  <si>
    <t>2026-27/256</t>
  </si>
  <si>
    <t>Loose Bargain</t>
  </si>
  <si>
    <t>2026-27/241</t>
  </si>
  <si>
    <t>G/1720</t>
  </si>
  <si>
    <t>G/1721</t>
  </si>
  <si>
    <t>KOGMU1/FY 2026-27/POMSD/0346</t>
  </si>
  <si>
    <t>KOGMU1/FY 2026-27/POMSD/0350</t>
  </si>
  <si>
    <t>KOGMU1/FY 2026-27/POMSD/0342</t>
  </si>
  <si>
    <t>KOGMU1/FY 2026-27/POMSD/0352</t>
  </si>
  <si>
    <t>KOGMU1/FY 2026-27/POMSD/0351</t>
  </si>
  <si>
    <t>KOGMU1/FY 2026-27/POMSD/0345</t>
  </si>
  <si>
    <t>KOGMU1/FY 2026-27/POMSD/0353</t>
  </si>
  <si>
    <t>KOGMU1/FY 2026-27/POMSD/0344</t>
  </si>
  <si>
    <t>KOGMU1/FY 2026-27/POMSD/0354</t>
  </si>
  <si>
    <t>INWDMSD27/0941</t>
  </si>
  <si>
    <t>INWDMSD27/0942</t>
  </si>
  <si>
    <t>INWDMSD27/0944</t>
  </si>
  <si>
    <t>INWDMSD27/0945</t>
  </si>
  <si>
    <t>INWDMSD27/0943</t>
  </si>
  <si>
    <t>INWDMSD27/0946</t>
  </si>
  <si>
    <t>INWDMSD27/0947</t>
  </si>
  <si>
    <t>INWDMSD27/0948</t>
  </si>
  <si>
    <t>INWDMSD27/0949</t>
  </si>
  <si>
    <t>INWDMSD27/0950</t>
  </si>
  <si>
    <t>INWDMSD27/0951</t>
  </si>
  <si>
    <t>INWDMSD27/0952</t>
  </si>
  <si>
    <t>INWDMSD27/0953</t>
  </si>
  <si>
    <t>FARMART SERVICE PVT LTD.</t>
  </si>
  <si>
    <t>JAIPUR</t>
  </si>
  <si>
    <t>ST-27</t>
  </si>
  <si>
    <t>ST-28</t>
  </si>
  <si>
    <t>FMT27MLRJ001605</t>
  </si>
  <si>
    <t>KAI/2026-27/129</t>
  </si>
  <si>
    <t>7/2026-27</t>
  </si>
  <si>
    <t>2026-27/6943</t>
  </si>
  <si>
    <t>8/2026-27</t>
  </si>
  <si>
    <t>ST-40</t>
  </si>
  <si>
    <t>ST-41</t>
  </si>
  <si>
    <t>2026-27-6945</t>
  </si>
  <si>
    <t>22 Bags Rejected Wt. 15.05 Qtl</t>
  </si>
  <si>
    <t>Brokerage Deduct 14 /- Per Qtl</t>
  </si>
  <si>
    <t xml:space="preserve">Greenish Deduct </t>
  </si>
  <si>
    <t>KOGMU1/FY 2026-27/POMSD/0355</t>
  </si>
  <si>
    <t>INWDMSD27/0954</t>
  </si>
  <si>
    <t>KOGMU1/FY 2026-27/POMSD/0357</t>
  </si>
  <si>
    <t>INWDMSD27/0955</t>
  </si>
  <si>
    <t>INWDMSD27/0956</t>
  </si>
  <si>
    <t>KOGMU1/FY 2026-27/POMSD/0362</t>
  </si>
  <si>
    <t>INWDMSD27/0957</t>
  </si>
  <si>
    <t>KOGMU1/FY 2026-27/POMSD/0359</t>
  </si>
  <si>
    <t>INWDMSD27/0958</t>
  </si>
  <si>
    <t>KOGMU1/FY 2026-27/POMSD/0356</t>
  </si>
  <si>
    <t>INWDMSD27/0959</t>
  </si>
  <si>
    <t>GST28</t>
  </si>
  <si>
    <t>INWDMSD27/0960</t>
  </si>
  <si>
    <t>KOGMU1/FY 2026-27/POMSD/0358</t>
  </si>
  <si>
    <t>INWDMSD27/0961</t>
  </si>
  <si>
    <t>2026-27/6947</t>
  </si>
  <si>
    <t>KOGMU1/FY 2026-27/POMSD/0366</t>
  </si>
  <si>
    <t>INWDMSD27/0962</t>
  </si>
  <si>
    <t>ST-42</t>
  </si>
  <si>
    <t>KOGMU1/FY 2026-27/POMSD/0364</t>
  </si>
  <si>
    <t>INWDMSD27/0963</t>
  </si>
  <si>
    <t>SCMSD677</t>
  </si>
  <si>
    <t>Farmart Service Pvt Ltd</t>
  </si>
  <si>
    <t>Jaipur</t>
  </si>
  <si>
    <t>FMT27MLRJ001678</t>
  </si>
  <si>
    <t>KOGMU1/FY 2026-27/POMSD/0367</t>
  </si>
  <si>
    <t>INWDMSD27/0964</t>
  </si>
  <si>
    <t>ST-43</t>
  </si>
  <si>
    <t>01 Bags Retrun Wt. 2.05 Qtl</t>
  </si>
  <si>
    <t>KOGMU1/FY 2026-27/POMSD/0360</t>
  </si>
  <si>
    <t>KOGMU1/FY 2026-27/POMSD/0365</t>
  </si>
  <si>
    <t>KOGMU1/FY 2026-27/POMSD/0361</t>
  </si>
  <si>
    <t>KOGMU1/FY 2026-27/POMSD/0371</t>
  </si>
  <si>
    <t>KOGMU1/FY 2026-27/POMSD/0373</t>
  </si>
  <si>
    <t>KOGMU1/FY 2026-27/POMSD/0370</t>
  </si>
  <si>
    <t>KOGMU1/FY 2026-27/POMSD/0368</t>
  </si>
  <si>
    <t>INWDMSD27/0965</t>
  </si>
  <si>
    <t>INWDMSD27/0966</t>
  </si>
  <si>
    <t>INWDMSD27/0967</t>
  </si>
  <si>
    <t>INWDMSD27/0968</t>
  </si>
  <si>
    <t>INWDMSD27/0969</t>
  </si>
  <si>
    <t>INWDMSD27/0970</t>
  </si>
  <si>
    <t>INWDMSD27/0971</t>
  </si>
  <si>
    <t>INWDMSD27/0972</t>
  </si>
  <si>
    <t>INWDMSD27/0973</t>
  </si>
  <si>
    <t>INWDMSD27/0974</t>
  </si>
  <si>
    <t>GST29</t>
  </si>
  <si>
    <t>10/2026-27</t>
  </si>
  <si>
    <t>FMT27MLR001682</t>
  </si>
  <si>
    <t>ST-44</t>
  </si>
  <si>
    <t>230 Bags High Fm 1.08 % = 13716.14 Rs.</t>
  </si>
  <si>
    <t>Wrong Fm Deduct Debit Note Credite By Ankush</t>
  </si>
  <si>
    <t>144 Bags Rejected Wt 89.15 Qtl</t>
  </si>
  <si>
    <t xml:space="preserve"> </t>
  </si>
  <si>
    <t>KOGMU1/FY 2026-27/POMSD/0374</t>
  </si>
  <si>
    <t>KOGMU1/FY 2026-27/POMSD/0377</t>
  </si>
  <si>
    <t>KOGMU1/FY 2026-27/POMSD/0363</t>
  </si>
  <si>
    <t>KOGMU1/FY 2026-27/POMSD/0379</t>
  </si>
  <si>
    <t>KOGMU1/FY 2026-27/POMSD/0378</t>
  </si>
  <si>
    <t>KOGMU1/FY 2026-27/POMSD/0372</t>
  </si>
  <si>
    <t>KOGMU1/FY 2026-27/POMSD/0381</t>
  </si>
  <si>
    <t>KOGMU1/FY 2026-27/POMSD/0382</t>
  </si>
  <si>
    <t>KOGMU1/FY 2026-27/POMSD/0383</t>
  </si>
  <si>
    <t>INWDMSD27/0975</t>
  </si>
  <si>
    <t>INWDMSD27/0976</t>
  </si>
  <si>
    <t>INWDMSD27/0977</t>
  </si>
  <si>
    <t>INWDMSD27/0978</t>
  </si>
  <si>
    <t>INWDMSD27/0979</t>
  </si>
  <si>
    <t>INWDMSD27/0980</t>
  </si>
  <si>
    <t>INWDMSD27/0981</t>
  </si>
  <si>
    <t>INWDMSD27/0982</t>
  </si>
  <si>
    <t>INWDMSD27/0983</t>
  </si>
  <si>
    <t>INWDMSD27/0984</t>
  </si>
  <si>
    <t>INWDMSD27/0985</t>
  </si>
  <si>
    <t>INWDMSD27/0986</t>
  </si>
  <si>
    <t>INWDMSD27/0987</t>
  </si>
  <si>
    <t>2026-27/6950</t>
  </si>
  <si>
    <t>2026-27/6951</t>
  </si>
  <si>
    <t>12/2026-27</t>
  </si>
  <si>
    <t>ST-45</t>
  </si>
  <si>
    <t>2026-27/6952</t>
  </si>
  <si>
    <t>ST-47</t>
  </si>
  <si>
    <t>13/2026-27</t>
  </si>
  <si>
    <t>59 Bags Return Wt. 30.10 Qtl High Fm 3.68 %</t>
  </si>
  <si>
    <t>15/- Qtl Brokerage Deduct</t>
  </si>
  <si>
    <t>18 Bags Retrun Wt. 12.95 Qtl high fm &amp; Foul Smell</t>
  </si>
  <si>
    <t>No Shortage + 200 Kg.</t>
  </si>
  <si>
    <t>23 Bags Materail Return Wt. 11.45 Qtl</t>
  </si>
  <si>
    <t xml:space="preserve">7803.32 Average Rate </t>
  </si>
  <si>
    <t>No shortage + 20 Kg</t>
  </si>
  <si>
    <t>KOGMU1/FY 2026-27/POMSD/0384</t>
  </si>
  <si>
    <t>KOGMU1/FY 2026-27/POMSD/0388</t>
  </si>
  <si>
    <t>KOGMU1/FY 2026-27/POMSD/0385</t>
  </si>
  <si>
    <t>KOGMU1/FY 2026-27/POMSD/0390</t>
  </si>
  <si>
    <t>KOGMU1/FY 2026-27/POMSD/0375</t>
  </si>
  <si>
    <t>KOGMU1/FY 2026-27/POMSD/0386</t>
  </si>
  <si>
    <t>KOGMU1/FY 2026-27/POMSD/0387</t>
  </si>
  <si>
    <t>KOGMU1/FY 2026-27/POMSD/0391</t>
  </si>
  <si>
    <t>KOGMU1/FY 2026-27/POMSD/0392</t>
  </si>
  <si>
    <t>KOGMU1/FY 2026-27/POMSD/0393</t>
  </si>
  <si>
    <t>KOGMU1/FY 2026-27/POMSD/0389</t>
  </si>
  <si>
    <t>KOGMU1/FY 2026-27/POMSD/0369</t>
  </si>
  <si>
    <t>KOGMU1/FY 2026-27/POMSD/0395</t>
  </si>
  <si>
    <t>KOGMU1/FY 2026-27/POMSD/0394</t>
  </si>
  <si>
    <t>KOGMU1/FY 2026-27/POMSD/0376</t>
  </si>
  <si>
    <t>INWDMSD27/0988</t>
  </si>
  <si>
    <t>INWDMSD27/0989</t>
  </si>
  <si>
    <t>INWDMSD27/0990</t>
  </si>
  <si>
    <t>INWDMSD27/0992</t>
  </si>
  <si>
    <t>INWDMSD27/0994</t>
  </si>
  <si>
    <t>INWDMSD27/0995</t>
  </si>
  <si>
    <t>INWDMSD27/0996</t>
  </si>
  <si>
    <t>INWDMSD27/0997</t>
  </si>
  <si>
    <t>INWDMSD27/0998</t>
  </si>
  <si>
    <t>INWDMSD27/0993</t>
  </si>
  <si>
    <t>INWDMSD27/0991</t>
  </si>
  <si>
    <t>INWDMSD27/999</t>
  </si>
  <si>
    <t>INWDMSD27/1000</t>
  </si>
  <si>
    <t>INWDMSD27/1001</t>
  </si>
  <si>
    <t>INWDMSD27/1002</t>
  </si>
  <si>
    <t>INWDMSD27/1003</t>
  </si>
  <si>
    <t>INWDMSD27/1004</t>
  </si>
  <si>
    <t>INWDMSD27/1005</t>
  </si>
  <si>
    <t>INWDMSD27/1006</t>
  </si>
  <si>
    <t>INWDMSD27/1007</t>
  </si>
  <si>
    <t>INWDMSD27/1008</t>
  </si>
  <si>
    <t>INWDMSD27/1010</t>
  </si>
  <si>
    <t>INWDMSD27/1009</t>
  </si>
  <si>
    <t>INWDMSD27/1011</t>
  </si>
  <si>
    <t>INWDMSD27/1012</t>
  </si>
  <si>
    <t>INWDMSD27/1013</t>
  </si>
  <si>
    <t>INWDMSD27/1014</t>
  </si>
  <si>
    <t>SCMSD049</t>
  </si>
  <si>
    <t>Shri Shyam Trading Company</t>
  </si>
  <si>
    <t>SCMSD750</t>
  </si>
  <si>
    <t>Sarswat Trading Company</t>
  </si>
  <si>
    <t>SGNR (Lalgarh Jatan)</t>
  </si>
  <si>
    <t>2026-27/330</t>
  </si>
  <si>
    <t>2026-27/0096</t>
  </si>
  <si>
    <t>2026-27/0097</t>
  </si>
  <si>
    <t>2026-27/0099</t>
  </si>
  <si>
    <t>2026-27/00100</t>
  </si>
  <si>
    <t>2026-27/0098</t>
  </si>
  <si>
    <t>2026-27/11</t>
  </si>
  <si>
    <t>ST-48</t>
  </si>
  <si>
    <t>ST-49</t>
  </si>
  <si>
    <t>FMT27MLRJ001820</t>
  </si>
  <si>
    <t>ST-50</t>
  </si>
  <si>
    <t>FMT27MLRJ001837</t>
  </si>
  <si>
    <t>15/ - Qtl Brokerage Deduct</t>
  </si>
  <si>
    <t>No Shortage</t>
  </si>
  <si>
    <t>12 Bags Wt. 9.70 Qtl Return</t>
  </si>
  <si>
    <t>seed Labour Deduct</t>
  </si>
  <si>
    <t xml:space="preserve">06 Bags Rejeted Wt. 4.45 Qtl </t>
  </si>
  <si>
    <t>KOGMU1/FY 2026-27/POMSD/0396</t>
  </si>
  <si>
    <t>KOGMU1/FY 2026-27/POMSD/0397</t>
  </si>
  <si>
    <t>KOGMU1/FY 2026-27/POMSD/0399</t>
  </si>
  <si>
    <t>KOGMU1/FY 2026-27/POMSD/0398</t>
  </si>
  <si>
    <t>KOGMU1/FY 2026-27/POMSD/0405</t>
  </si>
  <si>
    <t>KOGMU1/FY 2026-27/POMSD/0400</t>
  </si>
  <si>
    <t>KOGMU1/FY 2026-27/POMSD/0401</t>
  </si>
  <si>
    <t>KOGMU1/FY 2026-27/POMSD/0403</t>
  </si>
  <si>
    <t>INWDMSD27/1015</t>
  </si>
  <si>
    <t>INWDMSD27/1016</t>
  </si>
  <si>
    <t>INWDMSD27/1017</t>
  </si>
  <si>
    <t>INWDMSD27/1018</t>
  </si>
  <si>
    <t>INWDMSD27/1019</t>
  </si>
  <si>
    <t>INWDMSD27/1020</t>
  </si>
  <si>
    <t>INWDMSD27/1021</t>
  </si>
  <si>
    <t>INWDMSD27/1022</t>
  </si>
  <si>
    <t>INWDMSD27/1023</t>
  </si>
  <si>
    <t>INWDMSD27/1024</t>
  </si>
  <si>
    <t>INWDMSD27/1025</t>
  </si>
  <si>
    <t>INWDMSD27/1026</t>
  </si>
  <si>
    <t>INWDMSD27/1027</t>
  </si>
  <si>
    <t>INWDMSD27/1028</t>
  </si>
  <si>
    <t>ST-51</t>
  </si>
  <si>
    <t>ST-52</t>
  </si>
  <si>
    <t>GST37</t>
  </si>
  <si>
    <t>2026-27/6954</t>
  </si>
  <si>
    <t>2026-27/257</t>
  </si>
  <si>
    <t>2026-27/258</t>
  </si>
  <si>
    <t>2026-27/259</t>
  </si>
  <si>
    <t>2026-27/260</t>
  </si>
  <si>
    <t>2026-27/261</t>
  </si>
  <si>
    <t>PP Bags no deduction</t>
  </si>
  <si>
    <t>18 Bags Mustard seed Wt. 13.10 Qtl</t>
  </si>
  <si>
    <t>KOGMU1/FY 2026-27/POMSD/0406</t>
  </si>
  <si>
    <t>KOGMU1/FY 2026-27/POMSD/0409</t>
  </si>
  <si>
    <t>KOGMU1/FY 2026-27/POMSD/0412</t>
  </si>
  <si>
    <t>KOGMU1/FY 2026-27/POMSD/0402</t>
  </si>
  <si>
    <t>KOGMU1/FY 2026-27/POMSD/0404</t>
  </si>
  <si>
    <t>KOGMU1/FY 2026-27/POMSD/0411</t>
  </si>
  <si>
    <t>KOGMU1/FY 2026-27/POMSD/0415</t>
  </si>
  <si>
    <t>KOGMU1/FY 2026-27/POMSD/0408</t>
  </si>
  <si>
    <t>INWDMSD27/1029</t>
  </si>
  <si>
    <t>INWDMSD27/1030</t>
  </si>
  <si>
    <t>INWDMSD27/1031</t>
  </si>
  <si>
    <t>INWDMSD27/1032</t>
  </si>
  <si>
    <t>INWDMSD27/1033</t>
  </si>
  <si>
    <t>INWDMSD27/1034</t>
  </si>
  <si>
    <t>INWDMSD27/1035</t>
  </si>
  <si>
    <t>INWDMSD27/1036</t>
  </si>
  <si>
    <t>INWDMSD27/1037</t>
  </si>
  <si>
    <t>INWDMSD27/1038</t>
  </si>
  <si>
    <t>INWDMSD27/1039</t>
  </si>
  <si>
    <t>INWDMSD27/1040</t>
  </si>
  <si>
    <t>INWDMSD27/1041</t>
  </si>
  <si>
    <t>INWDMSD27/1042</t>
  </si>
  <si>
    <t>INWDMSD27/1043</t>
  </si>
  <si>
    <t>INWDMSD27/1044</t>
  </si>
  <si>
    <t>INWDMSD27/1045</t>
  </si>
  <si>
    <t>INWDMSD27/1046</t>
  </si>
  <si>
    <t>INWDMSD27/1047</t>
  </si>
  <si>
    <t>INWDMSD27/1048</t>
  </si>
  <si>
    <t>INWDMSD27/1049</t>
  </si>
  <si>
    <t>INWDMSD27/1050</t>
  </si>
  <si>
    <t>INWDMSD27/1052</t>
  </si>
  <si>
    <t>INWDMSD27/1053</t>
  </si>
  <si>
    <t>INWDMSD27/1054</t>
  </si>
  <si>
    <t>INWDMSD27/1055</t>
  </si>
  <si>
    <t>INWDMSD27/1056</t>
  </si>
  <si>
    <t>INWDMSD27/1057</t>
  </si>
  <si>
    <t>INWDMSD27/1058</t>
  </si>
  <si>
    <t>INWDMSD27/1059</t>
  </si>
  <si>
    <t>INWDMSD27/1060</t>
  </si>
  <si>
    <t>INWDMSD27/1061</t>
  </si>
  <si>
    <t>INWDMSD27/1062</t>
  </si>
  <si>
    <t>INWDMSD27/1063</t>
  </si>
  <si>
    <t>INWDMSD27/1064</t>
  </si>
  <si>
    <t>INWDMSD27/1065</t>
  </si>
  <si>
    <t>INWDMSD27/1066</t>
  </si>
  <si>
    <t>INWDMSD27/1067</t>
  </si>
  <si>
    <t>INWDMSD27/1068</t>
  </si>
  <si>
    <t>INWDMSD27/1069</t>
  </si>
  <si>
    <t>INWDMSD27/1070</t>
  </si>
  <si>
    <t>INWDMSD27/1071</t>
  </si>
  <si>
    <t>INWDMSD27/1072</t>
  </si>
  <si>
    <t>SCMSD558</t>
  </si>
  <si>
    <t>Shree Tirupati Trading Co</t>
  </si>
  <si>
    <t>FMT27MLRJ001880</t>
  </si>
  <si>
    <t>GST38</t>
  </si>
  <si>
    <t>G1731</t>
  </si>
  <si>
    <t>2026-27/262</t>
  </si>
  <si>
    <t>2026-27/263</t>
  </si>
  <si>
    <t>2026-27/264</t>
  </si>
  <si>
    <t>2026-27/265</t>
  </si>
  <si>
    <t>2026-27/266</t>
  </si>
  <si>
    <t>2026-27/268</t>
  </si>
  <si>
    <t>2026-27/267</t>
  </si>
  <si>
    <t>2026-27/270</t>
  </si>
  <si>
    <t>2026-27/269</t>
  </si>
  <si>
    <t>2026-27/272</t>
  </si>
  <si>
    <t>2026-27/271</t>
  </si>
  <si>
    <t>2026-27/273</t>
  </si>
  <si>
    <t>2026-27/274</t>
  </si>
  <si>
    <t>14/2026-27</t>
  </si>
  <si>
    <t>2026-27/276</t>
  </si>
  <si>
    <t>2026-27/275</t>
  </si>
  <si>
    <t>2026-27/277</t>
  </si>
  <si>
    <t>ST-54</t>
  </si>
  <si>
    <t>2026-27/6955</t>
  </si>
  <si>
    <t>2026-27/278</t>
  </si>
  <si>
    <t>2026-27/281</t>
  </si>
  <si>
    <t>2026-27/280</t>
  </si>
  <si>
    <t>2026-27/282</t>
  </si>
  <si>
    <t>2026-27/283</t>
  </si>
  <si>
    <t>ST-55</t>
  </si>
  <si>
    <t>2026-27/12</t>
  </si>
  <si>
    <t>2026-27/6956</t>
  </si>
  <si>
    <t>STTC/2026-27/20</t>
  </si>
  <si>
    <t>2026-27/284</t>
  </si>
  <si>
    <t>2026-27/285</t>
  </si>
  <si>
    <t>2026-27/286</t>
  </si>
  <si>
    <t>2026-27/287</t>
  </si>
  <si>
    <t>2026-27/288</t>
  </si>
  <si>
    <t>2026-27/289</t>
  </si>
  <si>
    <t>2026-27/290</t>
  </si>
  <si>
    <t>2026-27/291</t>
  </si>
  <si>
    <t>2026-27/292</t>
  </si>
  <si>
    <t>2026-27/293</t>
  </si>
  <si>
    <t>30 Kg Excess Weight Bill Credite</t>
  </si>
  <si>
    <t>loose seed Purchase</t>
  </si>
  <si>
    <t>5 Bags Return Materail Wt. 2.15 Qtl</t>
  </si>
  <si>
    <t>KOGMU1/FY 2026-27/POMSD/0418</t>
  </si>
  <si>
    <t>KOGMU1/FY 2026-27/POMSD/0407</t>
  </si>
  <si>
    <t>KOGMU1/FY 2026-27/POMSD/0413</t>
  </si>
  <si>
    <t>KOGMU1/FY 2026-27/POMSD/0419</t>
  </si>
  <si>
    <t>KOGMU1/FY 2026-27/POMSD/0421</t>
  </si>
  <si>
    <t>KOGMU1/FY 2026-27/POMSD/0414</t>
  </si>
  <si>
    <t>KOGMU1/FY 2026-27/POMSD/0423</t>
  </si>
  <si>
    <t>KOGMU1/FY 2026-27/POMSD/0420</t>
  </si>
  <si>
    <t>KOGMU1/FY 2026-27/POMSD/0424</t>
  </si>
  <si>
    <t>KOGMU1/FY 2026-27/POMSD/0425</t>
  </si>
  <si>
    <t>KOGMU1/FY 2026-27/POMSD/0410</t>
  </si>
  <si>
    <t>KOGMU1/FY 2026-27/POMSD/0416</t>
  </si>
  <si>
    <t>KOGMU1/FY 2026-27/POMSD/0428</t>
  </si>
  <si>
    <t>INWDMSD27/1073</t>
  </si>
  <si>
    <t>INWDMSD27/1074</t>
  </si>
  <si>
    <t>INWDMSD27/1075</t>
  </si>
  <si>
    <t>INWDMSD27/1076</t>
  </si>
  <si>
    <t>INWDMSD27/1077</t>
  </si>
  <si>
    <t>INWDMSD27/1078</t>
  </si>
  <si>
    <t>INWDMSD27/1079</t>
  </si>
  <si>
    <t>INWDMSD27/1080</t>
  </si>
  <si>
    <t>INWDMSD27/1081</t>
  </si>
  <si>
    <t>INWDMSD27/1082</t>
  </si>
  <si>
    <t>INWDMSD27/1083</t>
  </si>
  <si>
    <t>INWDMSD27/1084</t>
  </si>
  <si>
    <t>INWDMSD27/1085</t>
  </si>
  <si>
    <t>INWDMSD27/1086</t>
  </si>
  <si>
    <t>INWDMSD27/1087</t>
  </si>
  <si>
    <t>INWDMSD27/1088</t>
  </si>
  <si>
    <t>INWDMSD27/1089</t>
  </si>
  <si>
    <t>INWDMSD27/1090</t>
  </si>
  <si>
    <t>INWDMSD27/1091</t>
  </si>
  <si>
    <t>INWDMSD27/1092</t>
  </si>
  <si>
    <t>INWDMSD27/1093</t>
  </si>
  <si>
    <t>INWDMSD27/1094</t>
  </si>
  <si>
    <t>INWDMSD27/1095</t>
  </si>
  <si>
    <t>INWDMSD27/1097</t>
  </si>
  <si>
    <t>INWDMSD27/1096</t>
  </si>
  <si>
    <t>INWDMSD27/1098</t>
  </si>
  <si>
    <t>INWDMSD27/1099</t>
  </si>
  <si>
    <t>INWDMSD27/1100</t>
  </si>
  <si>
    <t>INWDMSD27/1101</t>
  </si>
  <si>
    <t>INWDMSD27/1102</t>
  </si>
  <si>
    <t>INWDMSD27/1103</t>
  </si>
  <si>
    <t>INWDMSD27/1104</t>
  </si>
  <si>
    <t>INWDMSD27/1105</t>
  </si>
  <si>
    <t>INWDMSD27/1106</t>
  </si>
  <si>
    <t>INWDMSD27/1107</t>
  </si>
  <si>
    <t>INWDMSD27/1108</t>
  </si>
  <si>
    <t>INWDMSD27/1109</t>
  </si>
  <si>
    <t>INWDMSD27/1110</t>
  </si>
  <si>
    <t>INWDMSD27/1111</t>
  </si>
  <si>
    <t>INWDMSD27/1112</t>
  </si>
  <si>
    <t>INWDMSD27/1113</t>
  </si>
  <si>
    <t>INWDMSD27/1114</t>
  </si>
  <si>
    <t>SCMSD753</t>
  </si>
  <si>
    <t>Mittal And Sons</t>
  </si>
  <si>
    <t>Gharsana</t>
  </si>
  <si>
    <t>ST-57</t>
  </si>
  <si>
    <t>GST39</t>
  </si>
  <si>
    <t>ST-56</t>
  </si>
  <si>
    <t>2026-27/6958</t>
  </si>
  <si>
    <t>ST-58</t>
  </si>
  <si>
    <t>2026-27/294</t>
  </si>
  <si>
    <t>2026-27/300</t>
  </si>
  <si>
    <t>2026-27/301</t>
  </si>
  <si>
    <t>2026-27/302</t>
  </si>
  <si>
    <t>2026-27/304</t>
  </si>
  <si>
    <t>2026-27/303</t>
  </si>
  <si>
    <t>2026-27/306</t>
  </si>
  <si>
    <t>2026-27/307</t>
  </si>
  <si>
    <t>2026-27/305</t>
  </si>
  <si>
    <t>2026-27/308</t>
  </si>
  <si>
    <t>2026-27/299</t>
  </si>
  <si>
    <t>2026-27/309</t>
  </si>
  <si>
    <t>2026-27/298</t>
  </si>
  <si>
    <t>2026-27/310</t>
  </si>
  <si>
    <t>2026-27/312</t>
  </si>
  <si>
    <t>2026-27/311</t>
  </si>
  <si>
    <t>2026-27/313</t>
  </si>
  <si>
    <t>KAI/2026-27/138</t>
  </si>
  <si>
    <t>KAI/2026-27/137</t>
  </si>
  <si>
    <t>2026-27/318</t>
  </si>
  <si>
    <t>2026-27/319</t>
  </si>
  <si>
    <t>2026-27/296</t>
  </si>
  <si>
    <t>2026-27/295</t>
  </si>
  <si>
    <t>2026-27/297</t>
  </si>
  <si>
    <t>2026-27/0268</t>
  </si>
  <si>
    <t>2026-27/315</t>
  </si>
  <si>
    <t>FMT27MLRJ001913</t>
  </si>
  <si>
    <t>2026-27/314</t>
  </si>
  <si>
    <t>2026-27/316</t>
  </si>
  <si>
    <t>2026-27/322</t>
  </si>
  <si>
    <t>KOGMU1/FY 2026-27/POMSD/0417</t>
  </si>
  <si>
    <t>3 Bags bardana Short</t>
  </si>
  <si>
    <t>1 bags Purchase Return Wt. 1.55 Qtl</t>
  </si>
  <si>
    <t>KOGMU1/FY 2026-27/POMSD/0427</t>
  </si>
  <si>
    <t>KOGMU1/FY 2026-27/POMSD/0426</t>
  </si>
  <si>
    <t>KOGMU1/FY 2026-27/POMSD/0422</t>
  </si>
  <si>
    <t>KOGMU1/FY 2026-27/POMSD/0431</t>
  </si>
  <si>
    <t>KOGMU1/FY 2026-27/POMSD/0430</t>
  </si>
  <si>
    <t>KOGMU1/FY 2026-27/POMSD/0429</t>
  </si>
  <si>
    <t>KOGMU1/FY 2026-27/POMSD/0436</t>
  </si>
  <si>
    <t>KOGMU1/FY 2026-27/POMSD/0432</t>
  </si>
  <si>
    <t>KOGMU1/FY 2026-27/POMSD/0435</t>
  </si>
  <si>
    <t>KOGMU1/FY 2026-27/POMSD/0437</t>
  </si>
  <si>
    <t>KOGMU1/FY 2026-27/POMSD/0434</t>
  </si>
  <si>
    <t>KOGMU1/FY 2026-27/POMSD/0441</t>
  </si>
  <si>
    <t>KOGMU1/FY 2026-27/POMSD/0438</t>
  </si>
  <si>
    <t>INWDMSD27/1115</t>
  </si>
  <si>
    <t>INWDMSD27/1116</t>
  </si>
  <si>
    <t>INWDMSD27/1117</t>
  </si>
  <si>
    <t>INWDMSD27/1118</t>
  </si>
  <si>
    <t>INWDMSD27/1119</t>
  </si>
  <si>
    <t>INWDMSD27/1120</t>
  </si>
  <si>
    <t>INWDMSD27/1121</t>
  </si>
  <si>
    <t>INWDMSD27/1122</t>
  </si>
  <si>
    <t>INWDMSD27/1123</t>
  </si>
  <si>
    <t>INWDMSD27/1124</t>
  </si>
  <si>
    <t>INWDMSD27/1126</t>
  </si>
  <si>
    <t>INWDMSD27/1125</t>
  </si>
  <si>
    <t>INWDMSD27/1127</t>
  </si>
  <si>
    <t>INWDMSD27/1128</t>
  </si>
  <si>
    <t>INWDMSD27/1129</t>
  </si>
  <si>
    <t>INWDMSD27/1130</t>
  </si>
  <si>
    <t>INWDMSD27/1131</t>
  </si>
  <si>
    <t>INWDMSD27/1132</t>
  </si>
  <si>
    <t>INWDMSD27/1133</t>
  </si>
  <si>
    <t>INWDMSD27/1134</t>
  </si>
  <si>
    <t>INWDMSD27/1135</t>
  </si>
  <si>
    <t>INWDMSD27/1136</t>
  </si>
  <si>
    <t>INWDMSD27/1137</t>
  </si>
  <si>
    <t>INWDMSD27/1138</t>
  </si>
  <si>
    <t>INWDMSD27/1139</t>
  </si>
  <si>
    <t>INWDMSD27/1140</t>
  </si>
  <si>
    <t>INWDMSD27/1141</t>
  </si>
  <si>
    <t>INWDMSD27/1142</t>
  </si>
  <si>
    <t>INWDMSD27/1143</t>
  </si>
  <si>
    <t>INWDMSD27/1144</t>
  </si>
  <si>
    <t>INWDMSD27/1145</t>
  </si>
  <si>
    <t>INWDMSD27/1146</t>
  </si>
  <si>
    <t>INWDMSD27/1147</t>
  </si>
  <si>
    <t>INWDMSD27/1148</t>
  </si>
  <si>
    <t>INWDMSD27/1149</t>
  </si>
  <si>
    <t>INWDMSD27/1150</t>
  </si>
  <si>
    <t>INWDMSD27/1151</t>
  </si>
  <si>
    <t>INWDMSD27/1152</t>
  </si>
  <si>
    <t>INWDMSD27/1153</t>
  </si>
  <si>
    <t>INWDMSD27/1154</t>
  </si>
  <si>
    <t>INWDMSD27/1155</t>
  </si>
  <si>
    <t>INWDMSD27/1156</t>
  </si>
  <si>
    <t>INWDMSD27/1157</t>
  </si>
  <si>
    <t>INWDMSD27/1158</t>
  </si>
  <si>
    <t>INWDMSD27/1159</t>
  </si>
  <si>
    <t>INWDMSD27/1160</t>
  </si>
  <si>
    <t>SDDCRJ026</t>
  </si>
  <si>
    <t>Hardik Agritrade Private Limited</t>
  </si>
  <si>
    <t>42% COND</t>
  </si>
  <si>
    <t>2026-27/321</t>
  </si>
  <si>
    <t>2026-27/323</t>
  </si>
  <si>
    <t>2026-27/320</t>
  </si>
  <si>
    <t>2026-27/317</t>
  </si>
  <si>
    <t>2026-27/325</t>
  </si>
  <si>
    <t>2026-27/324</t>
  </si>
  <si>
    <t>2026-27/327</t>
  </si>
  <si>
    <t>2026-27/326</t>
  </si>
  <si>
    <t>2026-27/328</t>
  </si>
  <si>
    <t>2026-27/331</t>
  </si>
  <si>
    <t>2026-27/13</t>
  </si>
  <si>
    <t>2026-27/329</t>
  </si>
  <si>
    <t>2026-27/332</t>
  </si>
  <si>
    <t>2026-27/333</t>
  </si>
  <si>
    <t>2026-27/334</t>
  </si>
  <si>
    <t>2026-27/335</t>
  </si>
  <si>
    <t>2026-27/336</t>
  </si>
  <si>
    <t>ST-59</t>
  </si>
  <si>
    <t>2026-27/337</t>
  </si>
  <si>
    <t>2026-27/338</t>
  </si>
  <si>
    <t>2026-27/339</t>
  </si>
  <si>
    <t>2026-27/340</t>
  </si>
  <si>
    <t>2026-27/341</t>
  </si>
  <si>
    <t>2026-27/342</t>
  </si>
  <si>
    <t>2026-27/343</t>
  </si>
  <si>
    <t>2026-27/345</t>
  </si>
  <si>
    <t>2026-27/346</t>
  </si>
  <si>
    <t>2026-27/344</t>
  </si>
  <si>
    <t>2026-27/348</t>
  </si>
  <si>
    <t>FMT27MLRJ001950</t>
  </si>
  <si>
    <t>MTC/2026-27/0249</t>
  </si>
  <si>
    <t>HA/26-27/0356</t>
  </si>
  <si>
    <t>HA/26-27/0357</t>
  </si>
  <si>
    <t>HA/26-27/0358</t>
  </si>
  <si>
    <t>HA/26-27/0359</t>
  </si>
  <si>
    <t>HA/26-27/0360</t>
  </si>
  <si>
    <t>HA/26-27/0362</t>
  </si>
  <si>
    <t>HA/26-27/0363</t>
  </si>
  <si>
    <t>KOGMU1/FY 2026-27/POMSD/0440</t>
  </si>
  <si>
    <t>KOGMU1/FY 2026-27/POMSD/0447</t>
  </si>
  <si>
    <t>INWDMSD27/1161</t>
  </si>
  <si>
    <t>INWDMSD27/1162</t>
  </si>
  <si>
    <t>INWDMSD27/1163</t>
  </si>
  <si>
    <t>INWDMSD27/1164</t>
  </si>
  <si>
    <t>INWDMSD27/1165</t>
  </si>
  <si>
    <t>INWDMSD27/1166</t>
  </si>
  <si>
    <t>INWDMSD27/1167</t>
  </si>
  <si>
    <t>INWDMSD27/1168</t>
  </si>
  <si>
    <t>INWDMSD27/1169</t>
  </si>
  <si>
    <t>INWDMSD27/1170</t>
  </si>
  <si>
    <t>INWDMSD27/1171</t>
  </si>
  <si>
    <t>INWDMSD27/1172</t>
  </si>
  <si>
    <t>INWDMSD27/1173</t>
  </si>
  <si>
    <t>INWDMSD27/1174</t>
  </si>
  <si>
    <t>INWDMSD27/1175</t>
  </si>
  <si>
    <t>SCMSD657</t>
  </si>
  <si>
    <t>Shambhu Technology Services Pvt Ltd</t>
  </si>
  <si>
    <t>HA/26-27/0364</t>
  </si>
  <si>
    <t>ST-61</t>
  </si>
  <si>
    <t>STRJ/27-27/170</t>
  </si>
  <si>
    <t>HR/26-27/0366</t>
  </si>
  <si>
    <t>HA/26-27/0367</t>
  </si>
  <si>
    <t>HA/26-27/0369</t>
  </si>
  <si>
    <t>HA/26-27/0370</t>
  </si>
  <si>
    <t>HA/26-27/0371</t>
  </si>
  <si>
    <t>HA/26-27/0368</t>
  </si>
  <si>
    <t>HA/26-27/0372</t>
  </si>
  <si>
    <t>HA/26-27/0373</t>
  </si>
  <si>
    <t>HA/26-27/0374</t>
  </si>
  <si>
    <t>HA/26-27/0375</t>
  </si>
  <si>
    <t>HA/26-27/0376</t>
  </si>
  <si>
    <t>HA/26-27/0377</t>
  </si>
  <si>
    <t>10 Bags Mateail Return Wt. 10.30 Qtl</t>
  </si>
  <si>
    <t>2026-27/376</t>
  </si>
  <si>
    <t>KOGMU1/FY 2026-27/POMSD/0449</t>
  </si>
  <si>
    <t>KOGMU1/FY 2026-27/POMSD/0450</t>
  </si>
  <si>
    <t>KOGMU1/FY 2026-27/POMSD/0443</t>
  </si>
  <si>
    <t>KOGMU1/FY 2026-27/POMSD/0451</t>
  </si>
  <si>
    <t>KOGMU1/FY 2026-27/POMSD/0448</t>
  </si>
  <si>
    <t>KOGMU1/FY 2026-27/POMSD/0433</t>
  </si>
  <si>
    <t>KOGMU1/FY 2026-27/POMSD/0439</t>
  </si>
  <si>
    <t>KOGMU1/FY 2026-27/POMSD/0452</t>
  </si>
  <si>
    <t>KOGMU1/FY 2026-27/POMSD/0444</t>
  </si>
  <si>
    <t>KOGMU1/FY 2026-27/POMSD/0454</t>
  </si>
  <si>
    <t>KOGMU1/FY 2026-27/POMSD/0446</t>
  </si>
  <si>
    <t>KOGMU1/FY 2026-27/POMSD/0445</t>
  </si>
  <si>
    <t>KOGMU1/FY 2026-27/POMSD/0453</t>
  </si>
  <si>
    <t>KOGMU1/FY 2026-27/POMSD/0456</t>
  </si>
  <si>
    <t>KOGMU1/FY 2026-27/POMSD/0457</t>
  </si>
  <si>
    <t>INWDMSD27/1176</t>
  </si>
  <si>
    <t>INWDMSD27/1177</t>
  </si>
  <si>
    <t>INWDMSD27/1178</t>
  </si>
  <si>
    <t>INWDMSD27/1179</t>
  </si>
  <si>
    <t>INWDMSD27/1180</t>
  </si>
  <si>
    <t>INWDMSD27/1181</t>
  </si>
  <si>
    <t>INWDMSD27/1182</t>
  </si>
  <si>
    <t>INWDMSD27/1183</t>
  </si>
  <si>
    <t>INWDMSD27/1184</t>
  </si>
  <si>
    <t>INWDMSD27/1185</t>
  </si>
  <si>
    <t>INWDMSD27/1186</t>
  </si>
  <si>
    <t>INWDMSD27/1187</t>
  </si>
  <si>
    <t>INWDMSD27/1188</t>
  </si>
  <si>
    <t>INWDMSD27/1189</t>
  </si>
  <si>
    <t>INWDMSD27/1190</t>
  </si>
  <si>
    <t>INWDMSD27/1191</t>
  </si>
  <si>
    <t>INWDMSD27/1192</t>
  </si>
  <si>
    <t>INWDMSD27/1193</t>
  </si>
  <si>
    <t>INWDMSD27/1194</t>
  </si>
  <si>
    <t>INWDMSD27/1195</t>
  </si>
  <si>
    <t>INWDMSD27/1196</t>
  </si>
  <si>
    <t>INWDMSD27/1197</t>
  </si>
  <si>
    <t>INWDMSD27/1198</t>
  </si>
  <si>
    <t>INWDMSD27/1199</t>
  </si>
  <si>
    <t>INWDMSD27/1200</t>
  </si>
  <si>
    <t>INWDMSD27/1201</t>
  </si>
  <si>
    <t>INWDMSD27/1202</t>
  </si>
  <si>
    <t>INWDMSD27/1203</t>
  </si>
  <si>
    <t>INWDMSD27/1204</t>
  </si>
  <si>
    <t>INWDMSD27/1205</t>
  </si>
  <si>
    <t>INWDMSD27/1206</t>
  </si>
  <si>
    <t>INWDMSD27/1207</t>
  </si>
  <si>
    <t>INWDMSD27/1208</t>
  </si>
  <si>
    <t>INWDMSD27/1209</t>
  </si>
  <si>
    <t>INWDMSD27/1210</t>
  </si>
  <si>
    <t>INWDMSD27/1211</t>
  </si>
  <si>
    <t>INWDMSD27/1212</t>
  </si>
  <si>
    <t>INWDMSD27/1213</t>
  </si>
  <si>
    <t>INWDMSD27/1214</t>
  </si>
  <si>
    <t>INWDMSD27/1215</t>
  </si>
  <si>
    <t>SCMSD547</t>
  </si>
  <si>
    <t>Jakhar Trading Company</t>
  </si>
  <si>
    <t>Lalagarh jattan</t>
  </si>
  <si>
    <t>FMT27MLRJ001968</t>
  </si>
  <si>
    <t>STRJ/26-27/173</t>
  </si>
  <si>
    <t>STRJ/26-27/175</t>
  </si>
  <si>
    <t>G1732/1733</t>
  </si>
  <si>
    <t>ST-62</t>
  </si>
  <si>
    <t>2026-27/349</t>
  </si>
  <si>
    <t>2026-27/350</t>
  </si>
  <si>
    <t>2026-27/351</t>
  </si>
  <si>
    <t>2026-27/352</t>
  </si>
  <si>
    <t>2026-27/353</t>
  </si>
  <si>
    <t>GST42</t>
  </si>
  <si>
    <t>STRJ/26-27/174</t>
  </si>
  <si>
    <t>2026-27/354</t>
  </si>
  <si>
    <t>2026-27/355</t>
  </si>
  <si>
    <t>2026-27/356</t>
  </si>
  <si>
    <t>2026-27/357</t>
  </si>
  <si>
    <t>2026-27/358</t>
  </si>
  <si>
    <t>2026-27/359</t>
  </si>
  <si>
    <t>2026-27/361</t>
  </si>
  <si>
    <t>2026-27/362</t>
  </si>
  <si>
    <t>2026-27/360</t>
  </si>
  <si>
    <t>2026-27/363</t>
  </si>
  <si>
    <t>2026-27/364</t>
  </si>
  <si>
    <t>2026-27/365</t>
  </si>
  <si>
    <t>2026-27/368</t>
  </si>
  <si>
    <t>2026-27/366</t>
  </si>
  <si>
    <t>2026-27/369</t>
  </si>
  <si>
    <t>2026-27/367</t>
  </si>
  <si>
    <t>2026-27/370</t>
  </si>
  <si>
    <t>2026-27/371</t>
  </si>
  <si>
    <t>2026-27/372</t>
  </si>
  <si>
    <t>2026-27/373</t>
  </si>
  <si>
    <t>2026-27/6962</t>
  </si>
  <si>
    <t>NO SHORTAGE</t>
  </si>
  <si>
    <t>Date</t>
  </si>
  <si>
    <t>KOGMU1/FY 2026-27/POMSD/0461</t>
  </si>
  <si>
    <t>KOGMU1/FY 2026-27/POMSD/0455</t>
  </si>
  <si>
    <t>KOGMU1/FY 2026-27/POMSD/0463</t>
  </si>
  <si>
    <t>KOGMU1/FY 2026-27/POMSD/0442</t>
  </si>
  <si>
    <t>INWDMSD27/1223</t>
  </si>
  <si>
    <t>INWDMSD27/1218</t>
  </si>
  <si>
    <t>INWDMSD27/1219</t>
  </si>
  <si>
    <t>INWDMSD27/1220</t>
  </si>
  <si>
    <t>INWDMSD27/1221</t>
  </si>
  <si>
    <t>INWDMSD27/1222</t>
  </si>
  <si>
    <t>INWDMSD27/1224</t>
  </si>
  <si>
    <t>INWDMSD27/1216</t>
  </si>
  <si>
    <t>INWDMSD27/1225</t>
  </si>
  <si>
    <t>INWDMSD27/1226</t>
  </si>
  <si>
    <t>INWDMSD27/1227</t>
  </si>
  <si>
    <t>INWDMSD27/1228</t>
  </si>
  <si>
    <t>INWDMSD27/1229</t>
  </si>
  <si>
    <t>INWDMSD27/1230</t>
  </si>
  <si>
    <t>INWDMSD27/1231</t>
  </si>
  <si>
    <t>INWDMSD27/1232</t>
  </si>
  <si>
    <t>INWDMSD27/1233</t>
  </si>
  <si>
    <t>INWDMSD27/1234</t>
  </si>
  <si>
    <t>INWDMSD27/1235</t>
  </si>
  <si>
    <t>INWDMSD27/1236</t>
  </si>
  <si>
    <t>INWDMSD27/1237</t>
  </si>
  <si>
    <t>INWDMSD27/1238</t>
  </si>
  <si>
    <t>INWDMSD27/1239</t>
  </si>
  <si>
    <t>INWDMSD27/1240</t>
  </si>
  <si>
    <t>INWDMSD27/1241</t>
  </si>
  <si>
    <t>INWDMSD27/1242</t>
  </si>
  <si>
    <t>INWDMSD27/1243</t>
  </si>
  <si>
    <t>INWDMSD27/1244</t>
  </si>
  <si>
    <t>INWDMSD27/1245</t>
  </si>
  <si>
    <t>INWDMSD27/1246</t>
  </si>
  <si>
    <t>INWDMSD27/1247</t>
  </si>
  <si>
    <t>INWDMSD27/1248</t>
  </si>
  <si>
    <t>INWDMSD27/1249</t>
  </si>
  <si>
    <t>INWDMSD27/1250</t>
  </si>
  <si>
    <t>INWDMSD27/1251</t>
  </si>
  <si>
    <t>INWDMSD27/1252</t>
  </si>
  <si>
    <t>INWDMSD27/1253</t>
  </si>
  <si>
    <t>INWDMSD27/1254</t>
  </si>
  <si>
    <t>INWDMSD27/1255</t>
  </si>
  <si>
    <t>INWDMSD27/1256</t>
  </si>
  <si>
    <t>INWDMSD27/1257</t>
  </si>
  <si>
    <t>INWDMSD27/1258</t>
  </si>
  <si>
    <t>INWDMSD27/1259</t>
  </si>
  <si>
    <t>INWDMSD27/1260</t>
  </si>
  <si>
    <t>INWDMSD27/1261</t>
  </si>
  <si>
    <t>INWDMSD27/1262</t>
  </si>
  <si>
    <t>INWDMSD27/1263</t>
  </si>
  <si>
    <t>INWDMSD27/1264</t>
  </si>
  <si>
    <t>INWDMSD27/1265</t>
  </si>
  <si>
    <t>INWDMSD27/1267</t>
  </si>
  <si>
    <t>INWDMSD27/1268</t>
  </si>
  <si>
    <t>INWDMSD27/1269</t>
  </si>
  <si>
    <t>INWDMSD27/1270</t>
  </si>
  <si>
    <t>INWDMSD27/1271</t>
  </si>
  <si>
    <t>INWDMSD27/1272</t>
  </si>
  <si>
    <t>INWDMSD27/1273</t>
  </si>
  <si>
    <t>INWDMSD27/1274</t>
  </si>
  <si>
    <t>INWDMSD27/1275</t>
  </si>
  <si>
    <t>INWDMSD27/1276</t>
  </si>
  <si>
    <t>INWDMSD27/1277</t>
  </si>
  <si>
    <t>INWDMSD27/1278</t>
  </si>
  <si>
    <t>INWDMSD27/1279</t>
  </si>
  <si>
    <t>INWDMSD27/1280</t>
  </si>
  <si>
    <t>INWDMSD27/1281</t>
  </si>
  <si>
    <t>INWDMSD27/1282</t>
  </si>
  <si>
    <t>INWDMSD27/1283</t>
  </si>
  <si>
    <t>INWDMSD27/1284</t>
  </si>
  <si>
    <t>INWDMSD27/1285</t>
  </si>
  <si>
    <t>INWDMSD27/1286</t>
  </si>
  <si>
    <t>INWDMSD27/1287</t>
  </si>
  <si>
    <t>INWDMSD27/1288</t>
  </si>
  <si>
    <t>INWDMSD27/1289</t>
  </si>
  <si>
    <t>INWDMSD27/1290</t>
  </si>
  <si>
    <t>jaipur</t>
  </si>
  <si>
    <t>HA/26-27/0386</t>
  </si>
  <si>
    <t>2026-27/374</t>
  </si>
  <si>
    <t>HA/26-27/0387</t>
  </si>
  <si>
    <t>HA/26-27/0388</t>
  </si>
  <si>
    <t>HA/26-27/0389</t>
  </si>
  <si>
    <t>2026-27/375</t>
  </si>
  <si>
    <t>2026-27/377</t>
  </si>
  <si>
    <t>FMT27MLRJ001996</t>
  </si>
  <si>
    <t>2026-27/378</t>
  </si>
  <si>
    <t>2026-27/379</t>
  </si>
  <si>
    <t>2026-27/380</t>
  </si>
  <si>
    <t>HA/26-27/0390</t>
  </si>
  <si>
    <t>HA/26-27/0391</t>
  </si>
  <si>
    <t>2026-27/382</t>
  </si>
  <si>
    <t>2026-27/383</t>
  </si>
  <si>
    <t>HA/26-27/0392</t>
  </si>
  <si>
    <t>2026-27/384</t>
  </si>
  <si>
    <t>HA/26-27/0393</t>
  </si>
  <si>
    <t>2026-27/385</t>
  </si>
  <si>
    <t>2026-27/386</t>
  </si>
  <si>
    <t>HA/26-27/0394</t>
  </si>
  <si>
    <t>HA/26-27/0395</t>
  </si>
  <si>
    <t>2026-27/387</t>
  </si>
  <si>
    <t>2026-27/388</t>
  </si>
  <si>
    <t>2026-27/389</t>
  </si>
  <si>
    <t>2026-27/390</t>
  </si>
  <si>
    <t>2026-27/391</t>
  </si>
  <si>
    <t>2026-27/392</t>
  </si>
  <si>
    <t>2026-27/394</t>
  </si>
  <si>
    <t>2026-27/393</t>
  </si>
  <si>
    <t>2026-27/396</t>
  </si>
  <si>
    <t>2026-27/395</t>
  </si>
  <si>
    <t>2026-27/397</t>
  </si>
  <si>
    <t>2026-27/398</t>
  </si>
  <si>
    <t>2026-27/399</t>
  </si>
  <si>
    <t>2026-27/400</t>
  </si>
  <si>
    <t>2026-27/401</t>
  </si>
  <si>
    <t>2026-27/402</t>
  </si>
  <si>
    <t>2026-27/404</t>
  </si>
  <si>
    <t>2026-27/403</t>
  </si>
  <si>
    <t>2026-27/405</t>
  </si>
  <si>
    <t>2026-27/406</t>
  </si>
  <si>
    <t>2026-27/407</t>
  </si>
  <si>
    <t>2026-27/408</t>
  </si>
  <si>
    <t>2026-27/410</t>
  </si>
  <si>
    <t>2026-27/409</t>
  </si>
  <si>
    <t>2026-27/411</t>
  </si>
  <si>
    <t>FMT27MLR002015</t>
  </si>
  <si>
    <t>GST45</t>
  </si>
  <si>
    <t>HA/26-27/0398</t>
  </si>
  <si>
    <t>HA/26-27/0399</t>
  </si>
  <si>
    <t>2026-27/413</t>
  </si>
  <si>
    <t>HA/26-27/0400</t>
  </si>
  <si>
    <t>HA/26-27/0401</t>
  </si>
  <si>
    <t>HA/26-27/0402</t>
  </si>
  <si>
    <t>HA/26-27/0403</t>
  </si>
  <si>
    <t>HA/26-27/0404</t>
  </si>
  <si>
    <t>HA/26-27/0405</t>
  </si>
  <si>
    <t>2026-27/414</t>
  </si>
  <si>
    <t>2026-27/415</t>
  </si>
  <si>
    <t>2026-27/416</t>
  </si>
  <si>
    <t>HA/26-27/0407</t>
  </si>
  <si>
    <t>HA/26-27/0406</t>
  </si>
  <si>
    <t>HA/26-27/0408</t>
  </si>
  <si>
    <t>2026-27/417</t>
  </si>
  <si>
    <t>2026-27/418</t>
  </si>
  <si>
    <t>HA/26-27/0409</t>
  </si>
  <si>
    <t>2026-27/419</t>
  </si>
  <si>
    <t>2026-27/421</t>
  </si>
  <si>
    <t>HA/26-27/0411</t>
  </si>
  <si>
    <t>HA/26-27/0410</t>
  </si>
  <si>
    <t>2026-27/422</t>
  </si>
  <si>
    <t>HA/26-27/0412</t>
  </si>
  <si>
    <t>Oil Diff</t>
  </si>
  <si>
    <t>Moisture</t>
  </si>
  <si>
    <t>KOGMU1/FY 2026-27/POMSD/0464</t>
  </si>
  <si>
    <t>KOGMU1/FY 2026-27/POMSD/0467</t>
  </si>
  <si>
    <t>KOGMU1/FY 2026-27/POMSD/0462</t>
  </si>
  <si>
    <t>KOGMU1/FY 2026-27/POMSD/0458</t>
  </si>
  <si>
    <t>KOGMU1/FY 2026-27/POMSD/0468</t>
  </si>
  <si>
    <t>KOGMU1/FY 2026-27/POMSD/0469</t>
  </si>
  <si>
    <t>KOGMU1/FY 2026-27/POMSD/0470</t>
  </si>
  <si>
    <t>KOGMU1/FY 2026-27/POMSD/0460</t>
  </si>
  <si>
    <t>INWDMSD27/1293</t>
  </si>
  <si>
    <t>INWDMSD27/1291</t>
  </si>
  <si>
    <t>INWDMSD27/1292</t>
  </si>
  <si>
    <t>INWDMSD27/1294</t>
  </si>
  <si>
    <t>INWDMSD27/1295</t>
  </si>
  <si>
    <t>INWDMSD27/1296</t>
  </si>
  <si>
    <t>INWDMSD27/1297</t>
  </si>
  <si>
    <t>INWDMSD27/1298</t>
  </si>
  <si>
    <t>INWDMSD27/1300</t>
  </si>
  <si>
    <t>INWDMSD27/1301</t>
  </si>
  <si>
    <t>INWDMSD27/1299</t>
  </si>
  <si>
    <t>INWDMSD27/1302</t>
  </si>
  <si>
    <t>INWDMSD27/1303</t>
  </si>
  <si>
    <t>INWDMSD27/1304</t>
  </si>
  <si>
    <t>INWDMSD27/1305</t>
  </si>
  <si>
    <t>INWDMSD27/1306</t>
  </si>
  <si>
    <t>INWDMSD27/1307</t>
  </si>
  <si>
    <t>INWDMSD27/1308</t>
  </si>
  <si>
    <t>INWDMSD27/1309</t>
  </si>
  <si>
    <t>INWDMSD27/1310</t>
  </si>
  <si>
    <t>INWDMSD27/1311</t>
  </si>
  <si>
    <t>INWDMSD27/1312</t>
  </si>
  <si>
    <t>INWDMSD27/1313</t>
  </si>
  <si>
    <t>INWDMSD27/1314</t>
  </si>
  <si>
    <t>INWDMSD27/1315</t>
  </si>
  <si>
    <t>INWDMSD27/1316</t>
  </si>
  <si>
    <t>INWDMSD27/1317</t>
  </si>
  <si>
    <t>INWDMSD27/1318</t>
  </si>
  <si>
    <t>INWDMSD27/1319</t>
  </si>
  <si>
    <t>INWDMSD27/1320</t>
  </si>
  <si>
    <t>INWDMSD27/1321</t>
  </si>
  <si>
    <t>INWDMSD27/1322</t>
  </si>
  <si>
    <t>INWDMSD27/1323</t>
  </si>
  <si>
    <t>INWDMSD27/1324</t>
  </si>
  <si>
    <t>INWDMSD27/1325</t>
  </si>
  <si>
    <t>INWDMSD27/1326</t>
  </si>
  <si>
    <t>INWDMSD27/1327</t>
  </si>
  <si>
    <t>INWDMSD27/1328</t>
  </si>
  <si>
    <t>INWDMSD27/1329</t>
  </si>
  <si>
    <t>INWDMSD27/1330</t>
  </si>
  <si>
    <t>INWDMSD27/1331</t>
  </si>
  <si>
    <t>INWDMSD27/1332</t>
  </si>
  <si>
    <t>INWDMSD27/1333</t>
  </si>
  <si>
    <t>INWDMSD27/1334</t>
  </si>
  <si>
    <t>INWDMSD27/1335</t>
  </si>
  <si>
    <t>INWDMSD27/1337</t>
  </si>
  <si>
    <t>INWDMSD27/1336</t>
  </si>
  <si>
    <t>INWDMSD27/1338</t>
  </si>
  <si>
    <t>INWDMSD27/1339</t>
  </si>
  <si>
    <t>INWDMSD27/1340</t>
  </si>
  <si>
    <t>INWDMSD27/1341</t>
  </si>
  <si>
    <t>INWDMSD27/1342</t>
  </si>
  <si>
    <t>INWDMSD27/1343</t>
  </si>
  <si>
    <t>INWDMSD27/1344</t>
  </si>
  <si>
    <t>INWDMSD27/1345</t>
  </si>
  <si>
    <t>INWDMSD27/1346</t>
  </si>
  <si>
    <t>Lalgarh jattan</t>
  </si>
  <si>
    <t>42 COND</t>
  </si>
  <si>
    <t>2026-27/412</t>
  </si>
  <si>
    <t>FMT27MLR002040</t>
  </si>
  <si>
    <t>2026-27/425</t>
  </si>
  <si>
    <t>HA/26-27/0414</t>
  </si>
  <si>
    <t>HA/26-27/0415</t>
  </si>
  <si>
    <t>2026-27/426</t>
  </si>
  <si>
    <t>2026-27/427</t>
  </si>
  <si>
    <t>HA/26-27/0416</t>
  </si>
  <si>
    <t>HA/26-27/0417</t>
  </si>
  <si>
    <t>2026-27/428</t>
  </si>
  <si>
    <t>HA/26-27/0418</t>
  </si>
  <si>
    <t>2026-27/429</t>
  </si>
  <si>
    <t>2026-27/430</t>
  </si>
  <si>
    <t>HA/26-27/0419</t>
  </si>
  <si>
    <t>HA/26-27/0420</t>
  </si>
  <si>
    <t>HA/26-27/0421</t>
  </si>
  <si>
    <t>HA/26-27/0422</t>
  </si>
  <si>
    <t>2026-27/431</t>
  </si>
  <si>
    <t>2026-27/432</t>
  </si>
  <si>
    <t>HA/26-27/0424</t>
  </si>
  <si>
    <t>HA/26-27/0426</t>
  </si>
  <si>
    <t>2026-27/435</t>
  </si>
  <si>
    <t>HA/26-27/0427</t>
  </si>
  <si>
    <t>2026-27/436</t>
  </si>
  <si>
    <t>HA/26-27/0428</t>
  </si>
  <si>
    <t>2026-27/439</t>
  </si>
  <si>
    <t>HA/26-27/0429</t>
  </si>
  <si>
    <t>2026-27/440</t>
  </si>
  <si>
    <t>2026-27/441</t>
  </si>
  <si>
    <t>2026-27/438</t>
  </si>
  <si>
    <t>2026-27/442</t>
  </si>
  <si>
    <t>2026-27/444</t>
  </si>
  <si>
    <t>2026-27/445</t>
  </si>
  <si>
    <t>2026-27/447</t>
  </si>
  <si>
    <t>2026-27/449</t>
  </si>
  <si>
    <t>2026-27/450</t>
  </si>
  <si>
    <t>2026-27/453</t>
  </si>
  <si>
    <t>2026-27/454</t>
  </si>
  <si>
    <t>2026-27/455</t>
  </si>
  <si>
    <t>2026-27/437</t>
  </si>
  <si>
    <t>2026-27/452</t>
  </si>
  <si>
    <t>2026-27/448</t>
  </si>
  <si>
    <t>HA/26-27/0436</t>
  </si>
  <si>
    <t>HA/26-27/0437</t>
  </si>
  <si>
    <t>HA/26-27/0438</t>
  </si>
  <si>
    <t>HA/26-27/0439</t>
  </si>
  <si>
    <t>HA/26-27/0442</t>
  </si>
  <si>
    <t>HA/26-27/0443</t>
  </si>
  <si>
    <t>HA/26-27/0445</t>
  </si>
  <si>
    <t>HA/26-27/0444</t>
  </si>
  <si>
    <t>HA/26-27/0446</t>
  </si>
  <si>
    <t>5 Bags Short</t>
  </si>
  <si>
    <t>KOGMU1/FY 2026-27/POMSD/0466</t>
  </si>
  <si>
    <t>KOGMU1/FY 2026-27/POMSD/0473</t>
  </si>
  <si>
    <t>KOGMU1/FY 2026-27/POMSD/0472</t>
  </si>
  <si>
    <t>INWDMSD27/1348</t>
  </si>
  <si>
    <t>INWDMSD27/1347</t>
  </si>
  <si>
    <t>INWDMSD27/1349</t>
  </si>
  <si>
    <t>INWDMSD27/1350</t>
  </si>
  <si>
    <t>INWDMSD27/1351</t>
  </si>
  <si>
    <t>INWDMSD27/1352</t>
  </si>
  <si>
    <t>INWDMSD27/1353</t>
  </si>
  <si>
    <t>INWDMSD27/1354</t>
  </si>
  <si>
    <t>INWDMSD27/1355</t>
  </si>
  <si>
    <t>INWDMSD27/1356</t>
  </si>
  <si>
    <t>INWDMSD27/1357</t>
  </si>
  <si>
    <t>INWDMSD27/1359</t>
  </si>
  <si>
    <t>INWDMSD27/1360</t>
  </si>
  <si>
    <t>2026-27/456</t>
  </si>
  <si>
    <t>2026-27/451</t>
  </si>
  <si>
    <t>2026-27/458</t>
  </si>
  <si>
    <t>2026-27/446</t>
  </si>
  <si>
    <t>2026-27/443</t>
  </si>
  <si>
    <t>2026-27/457</t>
  </si>
  <si>
    <t>2026-27/465</t>
  </si>
  <si>
    <t>2026-27/464</t>
  </si>
  <si>
    <t>2026-27/461</t>
  </si>
  <si>
    <t>2026-27/460</t>
  </si>
  <si>
    <t>2026-27/467</t>
  </si>
  <si>
    <t>2026-27/466</t>
  </si>
  <si>
    <t>KOGMU1/FY 2026-27/POMSD/0475</t>
  </si>
  <si>
    <t>KOGMU1/FY 2026-27/POMSD/0471</t>
  </si>
  <si>
    <t>KOGMU1/FY 2026-27/POMSD/0477</t>
  </si>
  <si>
    <t>KOGMU1/FY 2026-27/POMSD/0476</t>
  </si>
  <si>
    <t>KOGMU1/FY 2026-27/POMSD/0479</t>
  </si>
  <si>
    <t>INWDMSD27/1361</t>
  </si>
  <si>
    <t>INWDMSD27/1362</t>
  </si>
  <si>
    <t>INWDMSD27/1363</t>
  </si>
  <si>
    <t>INWDMSD27/1364</t>
  </si>
  <si>
    <t>INWDMSD27/1365</t>
  </si>
  <si>
    <t>INWDMSD27/1366</t>
  </si>
  <si>
    <t>INWDMSD27/1367</t>
  </si>
  <si>
    <t>INWDMSD27/1368</t>
  </si>
  <si>
    <t>INWDMSD27/1369</t>
  </si>
  <si>
    <t>INWDMSD27/1370</t>
  </si>
  <si>
    <t>INWDMSD27/1371</t>
  </si>
  <si>
    <t>INWDMSD27/1372</t>
  </si>
  <si>
    <t>INWDMSD27/1373</t>
  </si>
  <si>
    <t>INWDMSD27/1374</t>
  </si>
  <si>
    <t>INWDMSD27/1375</t>
  </si>
  <si>
    <t>INWDMSD27/1376</t>
  </si>
  <si>
    <t>INWDMSD27/1377</t>
  </si>
  <si>
    <t>INWDMSD27/1378</t>
  </si>
  <si>
    <t>INWDMSD27/1379</t>
  </si>
  <si>
    <t>INWDMSD27/1380</t>
  </si>
  <si>
    <t>INWDMSD27/1381</t>
  </si>
  <si>
    <t>INWDMSD27/1382</t>
  </si>
  <si>
    <t>INWDMSD27/1383</t>
  </si>
  <si>
    <t>INWDMSD27/1384</t>
  </si>
  <si>
    <t>INWDMSD27/1385</t>
  </si>
  <si>
    <t>INWDMSD27/1386</t>
  </si>
  <si>
    <t>INWDMSD27/1387</t>
  </si>
  <si>
    <t>INWDMSD27/1388</t>
  </si>
  <si>
    <t>INWDMSD27/1389</t>
  </si>
  <si>
    <t>INWDMSD27/1390</t>
  </si>
  <si>
    <t>INWDMSD27/1391</t>
  </si>
  <si>
    <t>INWDMSD27/1392</t>
  </si>
  <si>
    <t>INWDMSD27/1393</t>
  </si>
  <si>
    <t>INWDMSD27/1394</t>
  </si>
  <si>
    <t>INWDMSD27/1395</t>
  </si>
  <si>
    <t>INWDMSD27/1396</t>
  </si>
  <si>
    <t>INWDMSD27/1397</t>
  </si>
  <si>
    <t>INWDMSD27/1398</t>
  </si>
  <si>
    <t>INWDMSD27/1399</t>
  </si>
  <si>
    <t>INWDMSD27/1400</t>
  </si>
  <si>
    <t>INWDMSD27/1401</t>
  </si>
  <si>
    <t>INWDMSD27/1402</t>
  </si>
  <si>
    <t>INWDMSD27/1403</t>
  </si>
  <si>
    <t>INWDMSD27/1404</t>
  </si>
  <si>
    <t>INWDMSD27/1405</t>
  </si>
  <si>
    <t>INWDMSD27/1406</t>
  </si>
  <si>
    <t>INWDMSD27/1407</t>
  </si>
  <si>
    <t>SCMSD007</t>
  </si>
  <si>
    <t>Bhagwati Trading Company</t>
  </si>
  <si>
    <t>2026-27/462</t>
  </si>
  <si>
    <t>2026-27/463</t>
  </si>
  <si>
    <t>GST48</t>
  </si>
  <si>
    <t>BTC-4/26-27</t>
  </si>
  <si>
    <t>BTC-6/26-27</t>
  </si>
  <si>
    <t>BTC-5/26-27</t>
  </si>
  <si>
    <t>2026-27/471</t>
  </si>
  <si>
    <t>HA/26-27/0452</t>
  </si>
  <si>
    <t>HA/26-27/0453</t>
  </si>
  <si>
    <t>HA/26-27/0454</t>
  </si>
  <si>
    <t>2026-27/472</t>
  </si>
  <si>
    <t>HA/26-27/0456</t>
  </si>
  <si>
    <t>HA/26-27/0457</t>
  </si>
  <si>
    <t>HA/26-27/0458</t>
  </si>
  <si>
    <t>HA/26-27/0459</t>
  </si>
  <si>
    <t>HA/26-27/0460</t>
  </si>
  <si>
    <t>HA/26-27/0461</t>
  </si>
  <si>
    <t>HA/26-27/0462</t>
  </si>
  <si>
    <t>HA/26-27/0463</t>
  </si>
  <si>
    <t>HA/26-27/0464</t>
  </si>
  <si>
    <t>HA/26-27/0465</t>
  </si>
  <si>
    <t>HA/26-27/0467</t>
  </si>
  <si>
    <t>HA/26-27/0468</t>
  </si>
  <si>
    <t>2026-27/473</t>
  </si>
  <si>
    <t>2026-27/474</t>
  </si>
  <si>
    <t>2026-27/469</t>
  </si>
  <si>
    <t>BTC-7/26-27</t>
  </si>
  <si>
    <t>MTC/2026-27/0263</t>
  </si>
  <si>
    <t>HA/26-27/0471</t>
  </si>
  <si>
    <t>HA/26-27/0470</t>
  </si>
  <si>
    <t>GST49</t>
  </si>
  <si>
    <t>HA/26-27/0472</t>
  </si>
  <si>
    <t>HA/26-27/473</t>
  </si>
  <si>
    <t>2026-27/478</t>
  </si>
  <si>
    <t>HA/26-27/0474</t>
  </si>
  <si>
    <t>HA/26-27/0475</t>
  </si>
  <si>
    <t>HA/26-27/0476</t>
  </si>
  <si>
    <t>HA/26-27/0477</t>
  </si>
  <si>
    <t>HA/26-27/0478</t>
  </si>
  <si>
    <t>HA/26-27/0479</t>
  </si>
  <si>
    <t>HA/26-27/0481</t>
  </si>
  <si>
    <t>HA/26-27/0482</t>
  </si>
  <si>
    <t>HA/26-27/0483</t>
  </si>
  <si>
    <t>2026-27/475</t>
  </si>
  <si>
    <t>HA/26-27/0485</t>
  </si>
  <si>
    <t>HA/26-27/0484</t>
  </si>
  <si>
    <t>KOGMU1/FY 2026-27/POMSD/0480</t>
  </si>
  <si>
    <t>KOGMU1/FY 2026-27/POMSD/0482</t>
  </si>
  <si>
    <t>KOGMU1/FY 2026-27/POMSD/0483</t>
  </si>
  <si>
    <t>17/07/0206</t>
  </si>
  <si>
    <t>INWDMSD27/1408</t>
  </si>
  <si>
    <t>INWDMSD27/1409</t>
  </si>
  <si>
    <t>INWDMSD27/1410</t>
  </si>
  <si>
    <t>INWDMSD27/1411</t>
  </si>
  <si>
    <t>INWDMSD27/1412</t>
  </si>
  <si>
    <t>INWDMSD27/1413</t>
  </si>
  <si>
    <t>INWDMSD27/1414</t>
  </si>
  <si>
    <t>INWDMSD27/1415</t>
  </si>
  <si>
    <t>INWDMSD27/1416</t>
  </si>
  <si>
    <t>INWDMSD27/1417</t>
  </si>
  <si>
    <t>INWDMSD27/1418</t>
  </si>
  <si>
    <t>INWDMSD27/1419</t>
  </si>
  <si>
    <t>INWDMSD27/1420</t>
  </si>
  <si>
    <t>INWDMSD27/1421</t>
  </si>
  <si>
    <t>INWDMSD27/1422</t>
  </si>
  <si>
    <t>INWDMSD27/1423</t>
  </si>
  <si>
    <t>INWDMSD27/1424</t>
  </si>
  <si>
    <t>INWDMSD27/1425</t>
  </si>
  <si>
    <t>INWDMSD27/1426</t>
  </si>
  <si>
    <t>INWDMSD27/1427</t>
  </si>
  <si>
    <t>INWDMSD27/1428</t>
  </si>
  <si>
    <t>INWDMSD27/1429</t>
  </si>
  <si>
    <t>INWDMSD27/1430</t>
  </si>
  <si>
    <t>INWDMSD27/1431</t>
  </si>
  <si>
    <t>INWDMSD27/1432</t>
  </si>
  <si>
    <t>INWDMSD27/1433</t>
  </si>
  <si>
    <t>INWDMSD27/1434</t>
  </si>
  <si>
    <t>INWDMSD27/1435</t>
  </si>
  <si>
    <t>INWDMSD27/1436</t>
  </si>
  <si>
    <t>2026-27/476</t>
  </si>
  <si>
    <t>2026-27/477</t>
  </si>
  <si>
    <t>STTC/2026-27/22</t>
  </si>
  <si>
    <t>HA/26-27/0486</t>
  </si>
  <si>
    <t>HA/26-27/0487</t>
  </si>
  <si>
    <t>HA/26-27/0488</t>
  </si>
  <si>
    <t>HA/26-27/0489</t>
  </si>
  <si>
    <t>HA/26-27/0490</t>
  </si>
  <si>
    <t>HA/26-27/0492</t>
  </si>
  <si>
    <t>HA/26-27/0493</t>
  </si>
  <si>
    <t>HA/26-27/0494</t>
  </si>
  <si>
    <t>HA/26-27/0495</t>
  </si>
  <si>
    <t>HA/26-27/0496</t>
  </si>
  <si>
    <t>2026-27/479</t>
  </si>
  <si>
    <t>2026-27/480</t>
  </si>
  <si>
    <t>2026-27/470</t>
  </si>
  <si>
    <t>HA/26-27/0498</t>
  </si>
  <si>
    <t>HA/26-27/0499</t>
  </si>
  <si>
    <t>HA/26-27/0500</t>
  </si>
  <si>
    <t>HA/26-27/0502</t>
  </si>
  <si>
    <t>HA/26-27/0501</t>
  </si>
  <si>
    <t>2026-27/481</t>
  </si>
  <si>
    <t>2026-27/482</t>
  </si>
  <si>
    <t>2026-27/483</t>
  </si>
  <si>
    <t>2026-27/484</t>
  </si>
  <si>
    <t>HA/26-27/0504</t>
  </si>
  <si>
    <t>KOGMU1/FY 2026-27/POMSD/0487</t>
  </si>
  <si>
    <t>KOGMU1/FY 2026-27/POMSD/0485</t>
  </si>
  <si>
    <t>KOGMU1/FY 2026-27/POMSD/0481</t>
  </si>
  <si>
    <t>KOGMU1/FY 2026-27/POMSD/0494</t>
  </si>
  <si>
    <t>KOGMU1/FY 2026-27/POMSD/0484</t>
  </si>
  <si>
    <t>INWDMSD27/1437</t>
  </si>
  <si>
    <t>INWDMSD27/1438</t>
  </si>
  <si>
    <t>INWDMSD27/1439</t>
  </si>
  <si>
    <t>INWDMSD27/1440</t>
  </si>
  <si>
    <t>INWDMSD27/1441</t>
  </si>
  <si>
    <t>INWDMSD27/1442</t>
  </si>
  <si>
    <t>INWDMSD27/1443</t>
  </si>
  <si>
    <t>INWDMSD27/1444</t>
  </si>
  <si>
    <t>INWDMSD27/1445</t>
  </si>
  <si>
    <t>INWDMSD27/1446</t>
  </si>
  <si>
    <t>INWDMSD27/1447</t>
  </si>
  <si>
    <t>INWDMSD27/1448</t>
  </si>
  <si>
    <t>INWDMSD27/1449</t>
  </si>
  <si>
    <t>INWDMSD27/1450</t>
  </si>
  <si>
    <t>INWDMSD27/1451</t>
  </si>
  <si>
    <t>INWDMSD27/1452</t>
  </si>
  <si>
    <t>INWDMSD27/1453</t>
  </si>
  <si>
    <t>INWDMSD27/1454</t>
  </si>
  <si>
    <t>INWDMSD27/1455</t>
  </si>
  <si>
    <t>INWDMSD27/1456</t>
  </si>
  <si>
    <t>INWDMSD27/1457</t>
  </si>
  <si>
    <t>INWDMSD27/1458</t>
  </si>
  <si>
    <t>INWDMSD27/1459</t>
  </si>
  <si>
    <t>INWDMSD27/1460</t>
  </si>
  <si>
    <t>INWDMSD27/1461</t>
  </si>
  <si>
    <t>HA/26-27/0503</t>
  </si>
  <si>
    <t>2026-27/486</t>
  </si>
  <si>
    <t>2026-27/485</t>
  </si>
  <si>
    <t>HA/26-27/0505</t>
  </si>
  <si>
    <t>2026/27/487</t>
  </si>
  <si>
    <t>HA/26-27/0506</t>
  </si>
  <si>
    <t>2026-27/488</t>
  </si>
  <si>
    <t>2026-27/489</t>
  </si>
  <si>
    <t>2026-27/490</t>
  </si>
  <si>
    <t>2026-27/491</t>
  </si>
  <si>
    <t>2026-27/492</t>
  </si>
  <si>
    <t>2026-27/493</t>
  </si>
  <si>
    <t>2026-27/494</t>
  </si>
  <si>
    <t>2026-27/495</t>
  </si>
  <si>
    <t>2026-27/496</t>
  </si>
  <si>
    <t>2026-27/497</t>
  </si>
  <si>
    <t>2026-27/498</t>
  </si>
  <si>
    <t>2026-27/499</t>
  </si>
  <si>
    <t>2026-27/500</t>
  </si>
  <si>
    <t>2026-27/501</t>
  </si>
  <si>
    <t>2026-27/502</t>
  </si>
  <si>
    <t>2026-27/503</t>
  </si>
  <si>
    <t>MTC/2026-27/0287</t>
  </si>
  <si>
    <t>NO Shortage</t>
  </si>
  <si>
    <t>KOGMU1/FY 2026-27/POMSD/0492</t>
  </si>
  <si>
    <t>KOGMU1/FY 2026-27/POMSD/0489</t>
  </si>
  <si>
    <t>KOGMU1/FY 2026-27/POMSD/0495</t>
  </si>
  <si>
    <t>KOGMU1/FY 2026-27/POMSD/0478</t>
  </si>
  <si>
    <t>KOGMU1/FY 2026-27/POMSD/0459</t>
  </si>
  <si>
    <t>INWDMSD27/1462</t>
  </si>
  <si>
    <t>INWDMSD27/1463</t>
  </si>
  <si>
    <t>INWDMSD27/1464</t>
  </si>
  <si>
    <t>INWDMSD27/1465</t>
  </si>
  <si>
    <t>INWDMSD27/1466</t>
  </si>
  <si>
    <t>INWDMSD27/1467</t>
  </si>
  <si>
    <t>INWDMSD27/1468</t>
  </si>
  <si>
    <t>INWDMSD27/1469</t>
  </si>
  <si>
    <t>INWDMSD27/1470</t>
  </si>
  <si>
    <t>INWDMSD27/1471</t>
  </si>
  <si>
    <t>INWDMSD27/1472</t>
  </si>
  <si>
    <t>INWDMSD27/1473</t>
  </si>
  <si>
    <t>INWDMSD27/1474</t>
  </si>
  <si>
    <t>INWDMSD27/1475</t>
  </si>
  <si>
    <t>INWDMSD27/1476</t>
  </si>
  <si>
    <t>INWDMSD27/1477</t>
  </si>
  <si>
    <t>INWDMSD27/1478</t>
  </si>
  <si>
    <t>INWDMSD27/1479</t>
  </si>
  <si>
    <t>INWDMSD27/1480</t>
  </si>
  <si>
    <t>INWDMSD27/1481</t>
  </si>
  <si>
    <t>INWDMSD27/1482</t>
  </si>
  <si>
    <t>INWDMSD27/1483</t>
  </si>
  <si>
    <t>INWDMSD27/1484</t>
  </si>
  <si>
    <t>INWDMSD27/1485</t>
  </si>
  <si>
    <t>INWDMSD27/1486</t>
  </si>
  <si>
    <t>INWDMSD27/1487</t>
  </si>
  <si>
    <t>INWDMSD27/1488</t>
  </si>
  <si>
    <t>INWDMSD27/1489</t>
  </si>
  <si>
    <t>INWDMSD27/1490</t>
  </si>
  <si>
    <t>INWDMSD27/1491</t>
  </si>
  <si>
    <t>INWDMSD27/1492</t>
  </si>
  <si>
    <t>STTC/2026-27/23</t>
  </si>
  <si>
    <t>MTC/2026-27/0269</t>
  </si>
  <si>
    <t>MTC/2026-27/0268</t>
  </si>
  <si>
    <t>BTC-8/26-27</t>
  </si>
  <si>
    <t>2026-27/506</t>
  </si>
  <si>
    <t>2026-27/504</t>
  </si>
  <si>
    <t>2026-27/505</t>
  </si>
  <si>
    <t>2026-27/507</t>
  </si>
  <si>
    <t>2026-27/508</t>
  </si>
  <si>
    <t>2026-27/510</t>
  </si>
  <si>
    <t>2026-27/509</t>
  </si>
  <si>
    <t>2026-27/511</t>
  </si>
  <si>
    <t>2026-27/512</t>
  </si>
  <si>
    <t>2026-27/513</t>
  </si>
  <si>
    <t>GST50</t>
  </si>
  <si>
    <t>HA/26-27/0511</t>
  </si>
  <si>
    <t>HA/26-27/0512</t>
  </si>
  <si>
    <t>HA/26-27/0513</t>
  </si>
  <si>
    <t>HA/26-27/0514</t>
  </si>
  <si>
    <t>HA/26-27/0515</t>
  </si>
  <si>
    <t>HA/26-27/0516</t>
  </si>
  <si>
    <t>HA/26-27/0517</t>
  </si>
  <si>
    <t>HA/26-27/0518</t>
  </si>
  <si>
    <t>HA/26-27/0519</t>
  </si>
  <si>
    <t>HA/26-27/0520</t>
  </si>
  <si>
    <t>HA/26-27/0521</t>
  </si>
  <si>
    <t>HA/26-27/0522</t>
  </si>
  <si>
    <t>HA/26-27/0523</t>
  </si>
  <si>
    <t>HA/26-27/0524</t>
  </si>
  <si>
    <t>HA/26-27/0525</t>
  </si>
  <si>
    <t>KOGMU1/FY 2026-27/POMSD/0490</t>
  </si>
  <si>
    <t>KOGMU1/FY 2026-27/POMSD/0497</t>
  </si>
  <si>
    <t>KOGMU1/FY 2026-27/POMSD/0493</t>
  </si>
  <si>
    <t>KOGMU1/FY 2026-27/POMSD/0496</t>
  </si>
  <si>
    <t>KOGMU1/FY 2026-27/POMSD/0498</t>
  </si>
  <si>
    <t>KOGMU1/FY 2026-27/POMSD/0491</t>
  </si>
  <si>
    <t>KOGMU1/FY 2026-27/POMSD/0500</t>
  </si>
  <si>
    <t>KOGMU1/FY 2026-27/POMSD/0502</t>
  </si>
  <si>
    <t>KOGMU1/FY 2026-27/POMSD/0501</t>
  </si>
  <si>
    <t>INWDMSD27/1493</t>
  </si>
  <si>
    <t>INWDMSD27/1494</t>
  </si>
  <si>
    <t>INWDMSD27/1495</t>
  </si>
  <si>
    <t>INWDMSD27/1496</t>
  </si>
  <si>
    <t>INWDMSD27/1497</t>
  </si>
  <si>
    <t>INWDMSD27/1498</t>
  </si>
  <si>
    <t>INWDMSD27/1499</t>
  </si>
  <si>
    <t>INWDMSD27/1500</t>
  </si>
  <si>
    <t>INWDMSD27/1501</t>
  </si>
  <si>
    <t>INWDMSD27/1502</t>
  </si>
  <si>
    <t>INWDMSD27/1503</t>
  </si>
  <si>
    <t>INWDMSD27/1504</t>
  </si>
  <si>
    <t>INWDMSD27/1505</t>
  </si>
  <si>
    <t>INWDMSD27/1506</t>
  </si>
  <si>
    <t>INWDMSD27/1507</t>
  </si>
  <si>
    <t>INWDMSD27/1508</t>
  </si>
  <si>
    <t>INWDMSD27/1509</t>
  </si>
  <si>
    <t>INWDMSD27/1510</t>
  </si>
  <si>
    <t>INWDMSD27/1511</t>
  </si>
  <si>
    <t>INWDMSD27/1512</t>
  </si>
  <si>
    <t>INWDMSD27/1513</t>
  </si>
  <si>
    <t>INWDMSD27/1514</t>
  </si>
  <si>
    <t>INWDMSD27/1515</t>
  </si>
  <si>
    <t>INWDMSD27/1516</t>
  </si>
  <si>
    <t>INWDMSD27/1517</t>
  </si>
  <si>
    <t>INWDMSD27/1518</t>
  </si>
  <si>
    <t>INWDMSD27/1519</t>
  </si>
  <si>
    <t>INWDMSD27/1520</t>
  </si>
  <si>
    <t>INWDMSD27/1521</t>
  </si>
  <si>
    <t>INWDMSD27/1522</t>
  </si>
  <si>
    <t>INWDMSD27/1523</t>
  </si>
  <si>
    <t>INWDMSD27/1524</t>
  </si>
  <si>
    <t>INWDMSD27/1525</t>
  </si>
  <si>
    <t>INWDMSD27/1526</t>
  </si>
  <si>
    <t>INWDMSD27/1527</t>
  </si>
  <si>
    <t>INWDMSD27/1528</t>
  </si>
  <si>
    <t>INWDMSD27/1529</t>
  </si>
  <si>
    <t>INWDMSD27/1530</t>
  </si>
  <si>
    <t>INWDMSD27/1531</t>
  </si>
  <si>
    <t>INWDMSD27/1532</t>
  </si>
  <si>
    <t>INWDMSD27/1533</t>
  </si>
  <si>
    <t>INWDMSD27/1534</t>
  </si>
  <si>
    <t>INWDMSD27/1535</t>
  </si>
  <si>
    <t>INWDMSD27/1536</t>
  </si>
  <si>
    <t>INWDMSD27/1537</t>
  </si>
  <si>
    <t>SCMSD719</t>
  </si>
  <si>
    <t>2026-27/00133</t>
  </si>
  <si>
    <t>2026-27/514</t>
  </si>
  <si>
    <t>GST51</t>
  </si>
  <si>
    <t>2026-27/518</t>
  </si>
  <si>
    <t>2026-27/519</t>
  </si>
  <si>
    <t>2026-27/520</t>
  </si>
  <si>
    <t>2026-27/521</t>
  </si>
  <si>
    <t>2026-27/522</t>
  </si>
  <si>
    <t>2026-27/523</t>
  </si>
  <si>
    <t>2026-27/525</t>
  </si>
  <si>
    <t>2026-27/524</t>
  </si>
  <si>
    <t>2026-27/516</t>
  </si>
  <si>
    <t>2026-27/527</t>
  </si>
  <si>
    <t>2026-27/528</t>
  </si>
  <si>
    <t>2026-27/529</t>
  </si>
  <si>
    <t>2026-27/532</t>
  </si>
  <si>
    <t>2026-27/533</t>
  </si>
  <si>
    <t>2026-27/534</t>
  </si>
  <si>
    <t>2026-27/537</t>
  </si>
  <si>
    <t>2026-27/538</t>
  </si>
  <si>
    <t>2026-27/517</t>
  </si>
  <si>
    <t>2026-27/515</t>
  </si>
  <si>
    <t>2026-27/0310</t>
  </si>
  <si>
    <t>2026-27/526</t>
  </si>
  <si>
    <t>2026-27/531</t>
  </si>
  <si>
    <t>2026-27/543</t>
  </si>
  <si>
    <t>2026-27/546</t>
  </si>
  <si>
    <t>2026-27/544</t>
  </si>
  <si>
    <t>2026-27/00136</t>
  </si>
  <si>
    <t>2026-27/547</t>
  </si>
  <si>
    <t>2026-27/548</t>
  </si>
  <si>
    <t>2026-27/00137</t>
  </si>
  <si>
    <t>2026-27/549</t>
  </si>
  <si>
    <t>2026-27/00138</t>
  </si>
  <si>
    <t>2026-27/550</t>
  </si>
  <si>
    <t>2026-27/00139</t>
  </si>
  <si>
    <t>HA/26-27/0549</t>
  </si>
  <si>
    <t>2026-27/00140</t>
  </si>
  <si>
    <t>2026-27/00141</t>
  </si>
  <si>
    <t>HA/26-27/0550</t>
  </si>
  <si>
    <t>2026-27/00142</t>
  </si>
  <si>
    <t>HA/26-27/0551</t>
  </si>
  <si>
    <t>HA/26-27/0552</t>
  </si>
  <si>
    <t xml:space="preserve">Oil </t>
  </si>
  <si>
    <t>KOGMU1/FY 2026-27/POMSD/0499</t>
  </si>
  <si>
    <t>KOGMU1/FY 2026-27/POMSD/0488</t>
  </si>
  <si>
    <t>INWDMSD27/1538</t>
  </si>
  <si>
    <t>INWDMSD27/1539</t>
  </si>
  <si>
    <t>INWDMSD27/1540</t>
  </si>
  <si>
    <t>INWDMSD27/1541</t>
  </si>
  <si>
    <t>INWDMSD27/1542</t>
  </si>
  <si>
    <t>INWDMSD27/1543</t>
  </si>
  <si>
    <t>INWDMSD27/1544</t>
  </si>
  <si>
    <t>INWDMSD27/1545</t>
  </si>
  <si>
    <t>INWDMSD27/1546</t>
  </si>
  <si>
    <t>INWDMSD27/1547</t>
  </si>
  <si>
    <t>INWDMSD27/1548</t>
  </si>
  <si>
    <t>INWDMSD27/1549</t>
  </si>
  <si>
    <t>INWDMSD27/1550</t>
  </si>
  <si>
    <t>INWDMSD27/1551</t>
  </si>
  <si>
    <t>INWDMSD27/1552</t>
  </si>
  <si>
    <t>INWDMSD27/1553</t>
  </si>
  <si>
    <t>INWDMSD27/1554</t>
  </si>
  <si>
    <t>INWDMSD27/1555</t>
  </si>
  <si>
    <t>INWDMSD27/1556</t>
  </si>
  <si>
    <t>INWDMSD27/1557</t>
  </si>
  <si>
    <t>INWDMSD27/1558</t>
  </si>
  <si>
    <t>INWDMSD27/1559</t>
  </si>
  <si>
    <t>INWDMSD27/1560</t>
  </si>
  <si>
    <t>INWDMSD27/1561</t>
  </si>
  <si>
    <t>INWDMSD27/1562</t>
  </si>
  <si>
    <t>INWDMSD27/1563</t>
  </si>
  <si>
    <t>INWDMSD27/1564</t>
  </si>
  <si>
    <t>INWDMSD27/1565</t>
  </si>
  <si>
    <t>INWDMSD27/1566</t>
  </si>
  <si>
    <t>INWDMSD27/1567</t>
  </si>
  <si>
    <t>INWDMSD27/1568</t>
  </si>
  <si>
    <t>INWDMSD27/1569</t>
  </si>
  <si>
    <t>INWDMSD27/1570</t>
  </si>
  <si>
    <t>INWDMSD27/1571</t>
  </si>
  <si>
    <t>2026-27/539</t>
  </si>
  <si>
    <t>2026-27/535</t>
  </si>
  <si>
    <t>2026-27/542</t>
  </si>
  <si>
    <t>2026-27/541</t>
  </si>
  <si>
    <t>2026-27/540</t>
  </si>
  <si>
    <t>HA/26-27/0554</t>
  </si>
  <si>
    <t>HA/26-27/0553</t>
  </si>
  <si>
    <t>2026-27/00143</t>
  </si>
  <si>
    <t>2026-27/00144</t>
  </si>
  <si>
    <t>2026-27/00145</t>
  </si>
  <si>
    <t>2026-27/00146</t>
  </si>
  <si>
    <t>2026-27/00147</t>
  </si>
  <si>
    <t>2026-27/00148</t>
  </si>
  <si>
    <t>2026-27/00149</t>
  </si>
  <si>
    <t>2026-27/00150</t>
  </si>
  <si>
    <t>2026-27/00151</t>
  </si>
  <si>
    <t>2026-27/00152</t>
  </si>
  <si>
    <t>2026-27/00153</t>
  </si>
  <si>
    <t>2026-27/530</t>
  </si>
  <si>
    <t>2026-27/551</t>
  </si>
  <si>
    <t>2026-27/552</t>
  </si>
  <si>
    <t>2026-27/555</t>
  </si>
  <si>
    <t>2026-27/558</t>
  </si>
  <si>
    <t>2026-27/559</t>
  </si>
  <si>
    <t>2026-27/554</t>
  </si>
  <si>
    <t>2026-27/557</t>
  </si>
  <si>
    <t>HA/26-27/0558</t>
  </si>
  <si>
    <t>HA/26-27/0559</t>
  </si>
  <si>
    <t>HA/26-27/0560</t>
  </si>
  <si>
    <t>HA/26-27/0561</t>
  </si>
  <si>
    <t>HA/26-27/0562</t>
  </si>
  <si>
    <t>2026-278/560</t>
  </si>
  <si>
    <t>INWDMSD27/1572</t>
  </si>
  <si>
    <t>INWDMSD27/1573</t>
  </si>
  <si>
    <t>INWDMSD27/1574</t>
  </si>
  <si>
    <t>INWDMSD27/1575</t>
  </si>
  <si>
    <t>INWDMSD27/1576</t>
  </si>
  <si>
    <t>INWDMSD27/1577</t>
  </si>
  <si>
    <t>INWDMSD27/1578</t>
  </si>
  <si>
    <t>INWDMSD27/1579</t>
  </si>
  <si>
    <t>INWDMSD27/1580</t>
  </si>
  <si>
    <t>INWDMSD27/1581</t>
  </si>
  <si>
    <t>INWDMSD27/1582</t>
  </si>
  <si>
    <t>INWDMSD27/1583</t>
  </si>
  <si>
    <t>INWDMSD27/1584</t>
  </si>
  <si>
    <t>INWDMSD27/1585</t>
  </si>
  <si>
    <t>INWDMSD27/1586</t>
  </si>
  <si>
    <t>INWDMSD27/1587</t>
  </si>
  <si>
    <t>INWDMSD27/1588</t>
  </si>
  <si>
    <t>INWDMSD27/1589</t>
  </si>
  <si>
    <t>INWDMSD27/1590</t>
  </si>
  <si>
    <t>INWDMSD27/1591</t>
  </si>
  <si>
    <t>2026-27/565</t>
  </si>
  <si>
    <t>2026-27/567</t>
  </si>
  <si>
    <t>2026-27/564</t>
  </si>
  <si>
    <t>2026-27/563</t>
  </si>
  <si>
    <t>2026-27/562</t>
  </si>
  <si>
    <t>HA/26-27/0563</t>
  </si>
  <si>
    <t>HA/26-27/0564</t>
  </si>
  <si>
    <t>HA/26-27/0565</t>
  </si>
  <si>
    <t>2026-27/568</t>
  </si>
  <si>
    <t>HA/26-27/0566</t>
  </si>
  <si>
    <t>HA/26-27/0567</t>
  </si>
  <si>
    <t>HA/26-27/0568</t>
  </si>
  <si>
    <t>2026-27/566</t>
  </si>
  <si>
    <t>2026-27/571</t>
  </si>
  <si>
    <t>2026-27/570</t>
  </si>
  <si>
    <t>2026-27/572</t>
  </si>
  <si>
    <t>2026-27/573</t>
  </si>
  <si>
    <t>KOGMU1/FY 2026-27/POMSD/0503</t>
  </si>
  <si>
    <t>KOGMU1/FY 2026-27/POMSD/0504</t>
  </si>
  <si>
    <t>KOGMU1/FY 2026-27/POMSD/0506</t>
  </si>
  <si>
    <t>KOGMU1/FY 2026-27/POMSD/0505</t>
  </si>
  <si>
    <t>INWDMSD27/1592</t>
  </si>
  <si>
    <t>INWDMSD27/1593</t>
  </si>
  <si>
    <t>INWDMSD27/1594</t>
  </si>
  <si>
    <t>INWDMSD27/1595</t>
  </si>
  <si>
    <t>INWDMSD27/1596</t>
  </si>
  <si>
    <t>INWDMSD27/1597</t>
  </si>
  <si>
    <t>INWDMSD27/1598</t>
  </si>
  <si>
    <t>INWDMSD27/1599</t>
  </si>
  <si>
    <t>INWDMSD27/1600</t>
  </si>
  <si>
    <t>INWDMSD27/1601</t>
  </si>
  <si>
    <t>INWDMSD27/1602</t>
  </si>
  <si>
    <t>INWDMSD27/1603</t>
  </si>
  <si>
    <t>INWDMSD27/1604</t>
  </si>
  <si>
    <t>INWDMSD27/1605</t>
  </si>
  <si>
    <t>INWDMSD27/1606</t>
  </si>
  <si>
    <t>INWDMSD27/1607</t>
  </si>
  <si>
    <t>INWDMSD27/1608</t>
  </si>
  <si>
    <t>INWDMSD27/1609</t>
  </si>
  <si>
    <t>INWDMSD27/1610</t>
  </si>
  <si>
    <t>INWDMSD27/1611</t>
  </si>
  <si>
    <t>KOGMU1/FY 2026-27/POMSD/0507</t>
  </si>
  <si>
    <t>KOGMU1/FY 2026-27/POMSD/0508</t>
  </si>
  <si>
    <t>KOGMU1/FY 2026-27/POMSD/0509</t>
  </si>
  <si>
    <t>KOGMU1/FY 2026-27/POMSD/0512</t>
  </si>
  <si>
    <t>KOGMU1/FY 2026-27/POMSD/0510</t>
  </si>
  <si>
    <t>INWDMSD27/1612</t>
  </si>
  <si>
    <t>INWDMSD27/1613</t>
  </si>
  <si>
    <t>INWDMSD27/1614</t>
  </si>
  <si>
    <t>INWDMSD27/1615</t>
  </si>
  <si>
    <t>INWDMSD27/1616</t>
  </si>
  <si>
    <t>INWDMSD27/1617</t>
  </si>
  <si>
    <t>INWDMSD27/1618</t>
  </si>
  <si>
    <t>INWDMSD27/1619</t>
  </si>
  <si>
    <t>INWDMSD27/1620</t>
  </si>
  <si>
    <t>INWDMSD27/1621</t>
  </si>
  <si>
    <t>INWDMSD27/1622</t>
  </si>
  <si>
    <t>INWDMSD27/1623</t>
  </si>
  <si>
    <t>INWDMSD27/1624</t>
  </si>
  <si>
    <t>INWDMSD27/1625</t>
  </si>
  <si>
    <t>INWDMSD27/1626</t>
  </si>
  <si>
    <t>INWDMSD27/1627</t>
  </si>
  <si>
    <t>INWDMSD27/1628</t>
  </si>
  <si>
    <t>2026-27/00163</t>
  </si>
  <si>
    <t>BTC-9/26-27</t>
  </si>
  <si>
    <t>BTC-10/26-27</t>
  </si>
  <si>
    <t>KOGMU1/FY 2026-27/POMSD/0511</t>
  </si>
  <si>
    <t>KOGMU1/FY 2026-27/POMSD/0513</t>
  </si>
  <si>
    <t>KOGMU1/FY 2026-27/POMSD/0516</t>
  </si>
  <si>
    <t>KOGMU1/FY 2026-27/POMSD/0515</t>
  </si>
  <si>
    <t>KOGMU1/FY 2026-27/POMSD/0514</t>
  </si>
  <si>
    <t>KOGMU1/FY 2026-27/POMSD/0521</t>
  </si>
  <si>
    <t>INWDMSD27/1629</t>
  </si>
  <si>
    <t>INWDMSD27/1630</t>
  </si>
  <si>
    <t>INWDMSD27/1631</t>
  </si>
  <si>
    <t>INWDMSD27/1632</t>
  </si>
  <si>
    <t>INWDMSD27/1633</t>
  </si>
  <si>
    <t>INWDMSD27/1634</t>
  </si>
  <si>
    <t>INWDMSD27/1635</t>
  </si>
  <si>
    <t>INWDMSD27/1636</t>
  </si>
  <si>
    <t>INWDMSD27/1637</t>
  </si>
  <si>
    <t>INWDMSD27/1638</t>
  </si>
  <si>
    <t>INWDMSD27/1639</t>
  </si>
  <si>
    <t>INWDMSD27/1640</t>
  </si>
  <si>
    <t>INWDMSD27/1641</t>
  </si>
  <si>
    <t>INWDMSD27/1642</t>
  </si>
  <si>
    <t>INWDMSD27/1643</t>
  </si>
  <si>
    <t>INWDMSD27/1644</t>
  </si>
  <si>
    <t>INWDMSD27/1645</t>
  </si>
  <si>
    <t>INWDMSD27/1646</t>
  </si>
  <si>
    <t>INWDMSD27/1647</t>
  </si>
  <si>
    <t>Btc-13/26-27</t>
  </si>
  <si>
    <t>2026-27/00170</t>
  </si>
  <si>
    <t>2026-27/00169</t>
  </si>
  <si>
    <t>2026-27/00171</t>
  </si>
  <si>
    <t>2026-27/00172</t>
  </si>
  <si>
    <t>BTC-11/26-27</t>
  </si>
  <si>
    <t>BTC-14/26-27</t>
  </si>
  <si>
    <t>BTC-12/26-27</t>
  </si>
  <si>
    <t>BTC-15/26-27</t>
  </si>
  <si>
    <t>BTC-16/26-27</t>
  </si>
  <si>
    <t>KAI/2026-27/183</t>
  </si>
  <si>
    <t>KAI/2026-27/184</t>
  </si>
  <si>
    <t>KAI/2026-27/182</t>
  </si>
  <si>
    <t>KOGMU1/FY 2026-27/POMSD/0517</t>
  </si>
  <si>
    <t>KOGMU1/FY 2026-27/POMSD/0520</t>
  </si>
  <si>
    <t>KOGMU1/FY 2026-27/POMSD/0525</t>
  </si>
  <si>
    <t>KOGMU1/FY 2026-27/POMSD/0524</t>
  </si>
  <si>
    <t>KOGMU1/FY 2026-27/POMSD/0522</t>
  </si>
  <si>
    <t>KOGMU1/FY 2026-27/POMSD/0528</t>
  </si>
  <si>
    <t>KOGMU1/FY 2026-27/POMSD/0519</t>
  </si>
  <si>
    <t>KOGMU1/FY 2026-27/POMSD/0523</t>
  </si>
  <si>
    <t>KOGMU1/FY 2026-27/POMSD/0533</t>
  </si>
  <si>
    <t>KOGMU1/FY 2026-27/POMSD/0526</t>
  </si>
  <si>
    <t>KOGMU1/FY 2026-27/POMSD/0529</t>
  </si>
  <si>
    <t>KOGMU1/FY 2026-27/POMSD/0527</t>
  </si>
  <si>
    <t>KOGMU1/FY 2026-27/POMSD/0532</t>
  </si>
  <si>
    <t>INWDMSD27/1648</t>
  </si>
  <si>
    <t>INWDMSD27/1649</t>
  </si>
  <si>
    <t>INWDMSD27/1650</t>
  </si>
  <si>
    <t>INWDMSD27/1651</t>
  </si>
  <si>
    <t>INWDMSD27/1652</t>
  </si>
  <si>
    <t>INWDMSD27/1653</t>
  </si>
  <si>
    <t>INWDMSD27/1654</t>
  </si>
  <si>
    <t>INWDMSD27/1655</t>
  </si>
  <si>
    <t>INWDMSD27/1656</t>
  </si>
  <si>
    <t>INWDMSD27/1657</t>
  </si>
  <si>
    <t>INWDMSD27/1658</t>
  </si>
  <si>
    <t>INWDMSD27/1659</t>
  </si>
  <si>
    <t>INWDMSD27/1660</t>
  </si>
  <si>
    <t>INWDMSD27/1678</t>
  </si>
  <si>
    <t>INWDMSD27/1679</t>
  </si>
  <si>
    <t>INWDMSD27/1680</t>
  </si>
  <si>
    <t>INWDMSD27/1681</t>
  </si>
  <si>
    <t>INWDMSD27/1665</t>
  </si>
  <si>
    <t>INWDMSD27/1682</t>
  </si>
  <si>
    <t>INWDMSD27/1667</t>
  </si>
  <si>
    <t>INWDMSD27/1683</t>
  </si>
  <si>
    <t>INWDMSD27/1669</t>
  </si>
  <si>
    <t>INWDMSD27/1670</t>
  </si>
  <si>
    <t>INWDMSD27/1671</t>
  </si>
  <si>
    <t>INWDMSD27/1672</t>
  </si>
  <si>
    <t>INWDMSD27/1673</t>
  </si>
  <si>
    <t>INWDMSD27/1674</t>
  </si>
  <si>
    <t>INWDMSD27/1675</t>
  </si>
  <si>
    <t>INWDMSD27/1676</t>
  </si>
  <si>
    <t>INWDMSD27/1677</t>
  </si>
  <si>
    <t>INWDMSD27/1684</t>
  </si>
  <si>
    <t>SCMSD477</t>
  </si>
  <si>
    <t>Narayan Trading Company</t>
  </si>
  <si>
    <t>SCMSD702</t>
  </si>
  <si>
    <t>Pritam Traders</t>
  </si>
  <si>
    <t>BTC-17/26-27</t>
  </si>
  <si>
    <t>BTC-18/26-27</t>
  </si>
  <si>
    <t>KAI/2026-27/186</t>
  </si>
  <si>
    <t>KAI/2026-27/187</t>
  </si>
  <si>
    <t>KAI/2026-27/188</t>
  </si>
  <si>
    <t>KAI/2026-27/189</t>
  </si>
  <si>
    <t>KAI/2026-27/190</t>
  </si>
  <si>
    <t>KAI/2026-27/191</t>
  </si>
  <si>
    <t>2026-27/19</t>
  </si>
  <si>
    <t>KAI/2026-27/192</t>
  </si>
  <si>
    <t>KOGMU1/FY 2026-27/POMSD/0530</t>
  </si>
  <si>
    <t>KOGMU1/FY 2026-27/POMSD/0531</t>
  </si>
  <si>
    <t>INWDMSD27/1685</t>
  </si>
  <si>
    <t>INWDMSD27/1686</t>
  </si>
  <si>
    <t>INWDMSD27/1687</t>
  </si>
  <si>
    <t>INWDMSD27/1688</t>
  </si>
  <si>
    <t>INWDMSD27/1689</t>
  </si>
  <si>
    <t>INWDMSD27/1690</t>
  </si>
  <si>
    <t>INWDMSD27/1691</t>
  </si>
  <si>
    <t>INWDMSD27/1692</t>
  </si>
  <si>
    <t>INWDMSD27/1693</t>
  </si>
  <si>
    <t>2026-27/0343</t>
  </si>
  <si>
    <t>KOGMU1/FY 2026-27/POMSD/0535</t>
  </si>
  <si>
    <t>KOGMU1/FY 2026-27/POMSD/0538</t>
  </si>
  <si>
    <t>KOGMU1/FY 2026-27/POMSD/0537</t>
  </si>
  <si>
    <t>INWDMSD27/1694</t>
  </si>
  <si>
    <t>INWDMSD27/1695</t>
  </si>
  <si>
    <t>INWDMSD27/1696</t>
  </si>
  <si>
    <t>INWDMSD27/1697</t>
  </si>
  <si>
    <t>INWDMSD27/1698</t>
  </si>
  <si>
    <t>INWDMSD27/1699</t>
  </si>
  <si>
    <t>INWDMSD27/1700</t>
  </si>
  <si>
    <t>INWDMSD27/1701</t>
  </si>
  <si>
    <t>42 % Cond</t>
  </si>
  <si>
    <t>KOGMU1/FY 2026-27/POMSD/0541</t>
  </si>
  <si>
    <t>KOGMU1/FY 2026-27/POMSD/0540</t>
  </si>
  <si>
    <t>KOGMU1/FY 2026-27/POMSD/0539</t>
  </si>
  <si>
    <t>KOGMU1/FY 2026-27/POMSD/0536</t>
  </si>
  <si>
    <t>INWDMSD27/1702</t>
  </si>
  <si>
    <t>INWDMSD27/1703</t>
  </si>
  <si>
    <t>INWDMSD27/1704</t>
  </si>
  <si>
    <t>INWDMSD27/1705</t>
  </si>
  <si>
    <t>INWDMSD27/1706</t>
  </si>
  <si>
    <t>INWDMSD27/1707</t>
  </si>
  <si>
    <t>INWDMSD27/1708</t>
  </si>
  <si>
    <t>INWDMSD27/1709</t>
  </si>
  <si>
    <t>INWDMSD27/1710</t>
  </si>
  <si>
    <t>INWDMSD27/1711</t>
  </si>
  <si>
    <t>INWDMSD27/1712</t>
  </si>
  <si>
    <t>INWDMSD27/1713</t>
  </si>
  <si>
    <t>INWDMSD27/1714</t>
  </si>
  <si>
    <t>INWDMSD27/1715</t>
  </si>
  <si>
    <t>SDMCRJ050</t>
  </si>
  <si>
    <t>Cargill India Private Limited</t>
  </si>
  <si>
    <t>KAI/2026-27/194</t>
  </si>
  <si>
    <t>KAI/2026-27/195</t>
  </si>
  <si>
    <t>KAI/2026-27/196</t>
  </si>
  <si>
    <t>KAI/2026-27/193</t>
  </si>
  <si>
    <t>RJT751/2026-27</t>
  </si>
  <si>
    <t>RJT752/2026-27</t>
  </si>
  <si>
    <t>RJT753/2026-27</t>
  </si>
  <si>
    <t>RJT755/2026-27</t>
  </si>
  <si>
    <t>RJT754/2026-27</t>
  </si>
  <si>
    <t>RJT756/2026-27</t>
  </si>
  <si>
    <t>RJT757/2026-27</t>
  </si>
  <si>
    <t>RIT764/2026-27</t>
  </si>
  <si>
    <t>KOGMU1/FY 2026-27/POMSD/0549</t>
  </si>
  <si>
    <t>KOGMU1/FY 2026-27/POMSD/0534</t>
  </si>
  <si>
    <t>INWDMSD27/1716</t>
  </si>
  <si>
    <t>INWDMSD27/1717</t>
  </si>
  <si>
    <t>INWDMSD27/1718</t>
  </si>
  <si>
    <t>INWDMSD27/1719</t>
  </si>
  <si>
    <t>INWDMSD27/1720</t>
  </si>
  <si>
    <t>INWDMSD27/1721</t>
  </si>
  <si>
    <t>INWDMSD27/1722</t>
  </si>
  <si>
    <t>INWDMSD27/1723</t>
  </si>
  <si>
    <t>INWDMSD27/1724</t>
  </si>
  <si>
    <t>INWDMSD27/1725</t>
  </si>
  <si>
    <t>INWDMSD27/1726</t>
  </si>
  <si>
    <t>INWDMSD27/1727</t>
  </si>
  <si>
    <t>INWDMSD27/1728</t>
  </si>
  <si>
    <t>INWDMSD27/1729</t>
  </si>
  <si>
    <t>INWDMSD27/1730</t>
  </si>
  <si>
    <t>INWDMSD27/1731</t>
  </si>
  <si>
    <t>INWDMSD27/1732</t>
  </si>
  <si>
    <t>INWDMSD27/1733</t>
  </si>
  <si>
    <t>INWDMSD27/1734</t>
  </si>
  <si>
    <t>INWDMSD27/1735</t>
  </si>
  <si>
    <t>INWDMSD27/1736</t>
  </si>
  <si>
    <t>INWDMSD27/1737</t>
  </si>
  <si>
    <t>INWDMSD27/1738</t>
  </si>
  <si>
    <t>INWDMSD27/1739</t>
  </si>
  <si>
    <t>INWDMSD27/1740</t>
  </si>
  <si>
    <t>INWDMSD27/1741</t>
  </si>
  <si>
    <t>INWDMSD27/1742</t>
  </si>
  <si>
    <t>INWDMSD27/1743</t>
  </si>
  <si>
    <t>INWDMSD27/1744</t>
  </si>
  <si>
    <t>INWDMSD27/1745</t>
  </si>
  <si>
    <t>INWDMSD27/1746</t>
  </si>
  <si>
    <t>INWDMSD27/1747</t>
  </si>
  <si>
    <t>INWDMSD27/1748</t>
  </si>
  <si>
    <t>INWDMSD27/1749</t>
  </si>
  <si>
    <t>INWDMSD27/1750</t>
  </si>
  <si>
    <t>INWDMSD27/1751</t>
  </si>
  <si>
    <t>INWDMSD27/1752</t>
  </si>
  <si>
    <t>INWDMSD27/1753</t>
  </si>
  <si>
    <t>RJT765/2026-27</t>
  </si>
  <si>
    <t>RJT763/2026-27</t>
  </si>
  <si>
    <t>RJT762/2026-27</t>
  </si>
  <si>
    <t>RJT772/2026-27</t>
  </si>
  <si>
    <t>RJT771/2026-27</t>
  </si>
  <si>
    <t>RJT770/2026-27</t>
  </si>
  <si>
    <t>RJT769/2026-27</t>
  </si>
  <si>
    <t>2026-27/459</t>
  </si>
  <si>
    <t>2026-27/00181</t>
  </si>
  <si>
    <t>2026-27/00182</t>
  </si>
  <si>
    <t>2026-27/00183</t>
  </si>
  <si>
    <t>2026-27/00184</t>
  </si>
  <si>
    <t>2026-27/00185</t>
  </si>
  <si>
    <t>2026-27/00186</t>
  </si>
  <si>
    <t>RJT778/2026-27</t>
  </si>
  <si>
    <t>RJT779/2026-27</t>
  </si>
  <si>
    <t>RJT781/2026-27</t>
  </si>
  <si>
    <t>RJT780/2026-27</t>
  </si>
  <si>
    <t>RJT783/2026-27</t>
  </si>
  <si>
    <t>RJT784/2026-27</t>
  </si>
  <si>
    <t>RJT782/2026-27</t>
  </si>
  <si>
    <t>RJT786/2026-27</t>
  </si>
  <si>
    <t>RJT785/2026-27</t>
  </si>
  <si>
    <t>KAI/2026-27/200</t>
  </si>
  <si>
    <t>KAI/2026-27/197</t>
  </si>
  <si>
    <t>RJT788/2026-27</t>
  </si>
  <si>
    <t>RJT789/2026-27</t>
  </si>
  <si>
    <t>RJT787/2026-27</t>
  </si>
  <si>
    <t>RJT790/2026-27</t>
  </si>
  <si>
    <t>star lab</t>
  </si>
  <si>
    <t>oil</t>
  </si>
  <si>
    <t>KOGMU1/FY 2026-27/POMSD/0550</t>
  </si>
  <si>
    <t>KOGMU1/FY 2026-27/POMSD/0548</t>
  </si>
  <si>
    <t>KOGMU1/FY 2026-27/POMSD/0552</t>
  </si>
  <si>
    <t>KOGMU1/FY 2026-27/POMSD/0547</t>
  </si>
  <si>
    <t>INWDMSD27/1754</t>
  </si>
  <si>
    <t>INWDMSD27/1755</t>
  </si>
  <si>
    <t>INWDMSD27/1756</t>
  </si>
  <si>
    <t>INWDMSD27/1757</t>
  </si>
  <si>
    <t>INWDMSD27/1758</t>
  </si>
  <si>
    <t>INWDMSD27/1759</t>
  </si>
  <si>
    <t>INWDMSD27/1760</t>
  </si>
  <si>
    <t>INWDMSD27/1761</t>
  </si>
  <si>
    <t>SCMSD759</t>
  </si>
  <si>
    <t>KGN Traders</t>
  </si>
  <si>
    <t>Sadulpur</t>
  </si>
  <si>
    <t>KAI/2026-27/199</t>
  </si>
  <si>
    <t>KAI/2026-27/198</t>
  </si>
  <si>
    <t xml:space="preserve">10/- Per Qtl Rate Difference </t>
  </si>
  <si>
    <t>KOGMU1/FY 2026-27/POMSD/0543</t>
  </si>
  <si>
    <t>KOGMU1/FY 2026-27/POMSD/0551</t>
  </si>
  <si>
    <t>KOGMU1/FY 2026-27/POMSD/0546</t>
  </si>
  <si>
    <t>INWDMSD27/1762</t>
  </si>
  <si>
    <t>INWDMSD27/1763</t>
  </si>
  <si>
    <t>INWDMSD27/1764</t>
  </si>
  <si>
    <t>INWDMSD27/1765</t>
  </si>
  <si>
    <t>INWDMSD27/1766</t>
  </si>
  <si>
    <t>INWDMSD27/1767</t>
  </si>
  <si>
    <t>INWDMSD27/1768</t>
  </si>
  <si>
    <t>INWDMSD27/1769</t>
  </si>
  <si>
    <t>INWDMSD27/1770</t>
  </si>
  <si>
    <t>INWDMSD27/1771</t>
  </si>
  <si>
    <t>INWDMSD27/1772</t>
  </si>
  <si>
    <t>INWDMSD27/1773</t>
  </si>
  <si>
    <t>INWDMSD27/1774</t>
  </si>
  <si>
    <t>INWDMSD27/1775</t>
  </si>
  <si>
    <t>INWDMSD27/1776</t>
  </si>
  <si>
    <t>INWDMSD27/1777</t>
  </si>
  <si>
    <t>INWDMSD27/1778</t>
  </si>
  <si>
    <t>INWDMSD27/1779</t>
  </si>
  <si>
    <t>INWDMSD27/1780</t>
  </si>
  <si>
    <t>INWDMSD27/1781</t>
  </si>
  <si>
    <t>INWDMSD27/1782</t>
  </si>
  <si>
    <t>INWDMSD27/1783</t>
  </si>
  <si>
    <t>INWDMSD27/1784</t>
  </si>
  <si>
    <t>INWDMSD27/1785</t>
  </si>
  <si>
    <t>INWDMSD27/1787</t>
  </si>
  <si>
    <t>INWDMSD27/1786</t>
  </si>
  <si>
    <t>KAI/2026-27/201</t>
  </si>
  <si>
    <t>RJT803/2026-27</t>
  </si>
  <si>
    <t>RJT805/2026-27</t>
  </si>
  <si>
    <t>RJT804/2026-27</t>
  </si>
  <si>
    <t>RJT806/2026-27</t>
  </si>
  <si>
    <t>RJT807/2026-27</t>
  </si>
  <si>
    <t>RJT808/2026-27</t>
  </si>
  <si>
    <t>RJT809/2026-27</t>
  </si>
  <si>
    <t>RJT810/2026-27</t>
  </si>
  <si>
    <t>RJT811/2026-27</t>
  </si>
  <si>
    <t>RJT812/2026-27</t>
  </si>
  <si>
    <t>RJT817/2026-27</t>
  </si>
  <si>
    <t>RJT816/2026-27</t>
  </si>
  <si>
    <t>RJT815/2026-27</t>
  </si>
  <si>
    <t>KOGMU1/FY 2026-27/POMSD/0553</t>
  </si>
  <si>
    <t>KOGMU1/FY 2026-27/POMSD/0554</t>
  </si>
  <si>
    <t>KOGMU1/FY 2026-27/POMSD/0557</t>
  </si>
  <si>
    <t>KOGMU1/FY 2026-27/POMSD/0559</t>
  </si>
  <si>
    <t>INWDMSD27/1788</t>
  </si>
  <si>
    <t>INWDMSD27/1789</t>
  </si>
  <si>
    <t>INWDMSD27/1790</t>
  </si>
  <si>
    <t>INWDMSD27/1791</t>
  </si>
  <si>
    <t>INWDMSD27/1792</t>
  </si>
  <si>
    <t>INWDMSD27/1793</t>
  </si>
  <si>
    <t>INWDMSD27/1794</t>
  </si>
  <si>
    <t>INWDMSD27/1795</t>
  </si>
  <si>
    <t>INWDMSD27/1796</t>
  </si>
  <si>
    <t>INWDMSD27/1797</t>
  </si>
  <si>
    <t>INWDMSD27/1798</t>
  </si>
  <si>
    <t>INWDMSD27/1799</t>
  </si>
  <si>
    <t>INWDMSD27/1800</t>
  </si>
  <si>
    <t>INWDMSD27/1801</t>
  </si>
  <si>
    <t>INWDMSD27/1802</t>
  </si>
  <si>
    <t>INWDMSD27/1803</t>
  </si>
  <si>
    <t>INWDMSD27/1804</t>
  </si>
  <si>
    <t>INWDMSD27/1805</t>
  </si>
  <si>
    <t>INWDMSD27/1806</t>
  </si>
  <si>
    <t>INWDMSD27/1807</t>
  </si>
  <si>
    <t>SCMSD744</t>
  </si>
  <si>
    <t>Sukhdev Singh Jakhar And Sons</t>
  </si>
  <si>
    <t>Goluwala</t>
  </si>
  <si>
    <t>42% CON</t>
  </si>
  <si>
    <t>RJT821/2026-27</t>
  </si>
  <si>
    <t>RJT822/2026-27</t>
  </si>
  <si>
    <t>RJT824/2026-27</t>
  </si>
  <si>
    <t>RJT825/2026-27</t>
  </si>
  <si>
    <t>RJT826/2026-27</t>
  </si>
  <si>
    <t>RJT828/2026-27</t>
  </si>
  <si>
    <t>RJT829/2026-27</t>
  </si>
  <si>
    <t>ST-84</t>
  </si>
  <si>
    <t>ST-85</t>
  </si>
  <si>
    <t xml:space="preserve">40 Bags PP </t>
  </si>
  <si>
    <t xml:space="preserve">50/- Qtl Rate Difference </t>
  </si>
  <si>
    <t>KOGMU1/FY 2026-27/POMSD/0560</t>
  </si>
  <si>
    <t>KOGMU1/FY 2026-27/POMSD/0555</t>
  </si>
  <si>
    <t>KOGMU1/FY 2026-27/POMSD/0558</t>
  </si>
  <si>
    <t>INWDMSD27/1808</t>
  </si>
  <si>
    <t>INWDMSD27/1809</t>
  </si>
  <si>
    <t>INWDMSD27/1810</t>
  </si>
  <si>
    <t>INWDMSD27/1811</t>
  </si>
  <si>
    <t>INWDMSD27/1812</t>
  </si>
  <si>
    <t>INWDMSD27/1813</t>
  </si>
  <si>
    <t>INWDMSD27/1814</t>
  </si>
  <si>
    <t>INWDMSD27/1815</t>
  </si>
  <si>
    <t>INWDMSD27/1816</t>
  </si>
  <si>
    <t>SCMSD761</t>
  </si>
  <si>
    <t>2026-27/468</t>
  </si>
  <si>
    <t>Oil</t>
  </si>
  <si>
    <t>KOGMU1/FY 2026-27/POMSD/0561</t>
  </si>
  <si>
    <t>KOGMU1/FY 2026-27/POMSD/0563</t>
  </si>
  <si>
    <t>KOGMU1/FY 2026-27/POMSD/0556</t>
  </si>
  <si>
    <t>INWDMSD27/1817</t>
  </si>
  <si>
    <t>INWDMSD27/1818</t>
  </si>
  <si>
    <t>INWDMSD27/1819</t>
  </si>
  <si>
    <t>INWDMSD27/1820</t>
  </si>
  <si>
    <t>INWDMSD27/1821</t>
  </si>
  <si>
    <t>INWDMSD27/1822</t>
  </si>
  <si>
    <t>INWDMSD27/1823</t>
  </si>
  <si>
    <t>INWDMSD27/1824</t>
  </si>
  <si>
    <t>INWDMSD27/1825</t>
  </si>
  <si>
    <t>INWDMSD27/1826</t>
  </si>
  <si>
    <t>INWDMSD27/1827</t>
  </si>
  <si>
    <t>INWDMSD27/1828</t>
  </si>
  <si>
    <t>INWDMSD27/1829</t>
  </si>
  <si>
    <t>INWDMSD27/1830</t>
  </si>
  <si>
    <t>INWDMSD27/1832</t>
  </si>
  <si>
    <t>INWDMSD27/1831</t>
  </si>
  <si>
    <t>RJT849/2026-27</t>
  </si>
  <si>
    <t>RJT851/2026-27</t>
  </si>
  <si>
    <t>RJT848/2026-27</t>
  </si>
  <si>
    <t>RJT847/2026-27</t>
  </si>
  <si>
    <t>RJT850/2026-27</t>
  </si>
  <si>
    <t>RJT855/2026-27</t>
  </si>
  <si>
    <t>RJT854/2026-27</t>
  </si>
  <si>
    <t>KOGMU1/FY 2026-27/POMSD/0562</t>
  </si>
  <si>
    <t>INWDMSD27/1833</t>
  </si>
  <si>
    <t>INWDMSD27/1834</t>
  </si>
  <si>
    <t>INWDMSD27/1835</t>
  </si>
  <si>
    <t>INWDMSD27/1836</t>
  </si>
  <si>
    <t>INWDMSD27/1837</t>
  </si>
  <si>
    <t>INWDMSD27/1838</t>
  </si>
  <si>
    <t>INWDMSD27/1839</t>
  </si>
  <si>
    <t>INWDMSD27/1840</t>
  </si>
  <si>
    <t>INWDMSD27/1841</t>
  </si>
  <si>
    <t>INWDMSD27/1842</t>
  </si>
  <si>
    <t>INWDMSD27/1843</t>
  </si>
  <si>
    <t>INWDMSD27/1844</t>
  </si>
  <si>
    <t>RJT856/2026-27</t>
  </si>
  <si>
    <t>RJT857/2026-27</t>
  </si>
  <si>
    <t>RJT859/2026-27</t>
  </si>
  <si>
    <t>RJT858/2026-27</t>
  </si>
  <si>
    <t>RJT860/2026-27</t>
  </si>
  <si>
    <t>RJT861/2026-27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</si>
</sst>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-m\-yy"/>
    <numFmt numFmtId="165" formatCode="_ * #,##0_ ;_ * \-#,##0_ ;_ * &quot;-&quot;??_ ;_ @_ 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mbria"/>
      <family val="1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sz val="9"/>
      <name val="Cambria"/>
      <family val="1"/>
    </font>
    <font>
      <sz val="9"/>
      <color rgb="FFFF0000"/>
      <name val="Calibri"/>
      <family val="2"/>
      <scheme val="minor"/>
    </font>
    <font>
      <sz val="9"/>
      <color rgb="FF1F1F1F"/>
      <name val="Arial"/>
      <family val="2"/>
    </font>
    <font>
      <sz val="8"/>
      <color theme="1"/>
      <name val="Century Gothic"/>
      <family val="2"/>
    </font>
    <font>
      <sz val="8"/>
      <color rgb="FF000000"/>
      <name val="Century Gothic"/>
      <family val="2"/>
    </font>
    <font>
      <sz val="8"/>
      <color rgb="FFFF0000"/>
      <name val="Century Gothic"/>
      <family val="2"/>
    </font>
    <font>
      <b/>
      <sz val="8"/>
      <color theme="1"/>
      <name val="Century Gothic"/>
      <family val="2"/>
    </font>
    <font>
      <sz val="8"/>
      <name val="Century Gothic"/>
      <family val="2"/>
    </font>
    <font>
      <sz val="8"/>
      <color rgb="FF222222"/>
      <name val="Century Gothic"/>
      <family val="2"/>
    </font>
    <font>
      <sz val="8"/>
      <color rgb="FF444444"/>
      <name val="Century Gothic"/>
      <family val="2"/>
    </font>
    <font>
      <sz val="8"/>
      <color rgb="FF1F1F1F"/>
      <name val="Century Gothic"/>
      <family val="2"/>
    </font>
    <font>
      <sz val="8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05">
    <xf numFmtId="0" fontId="0" fillId="0" borderId="0" xfId="0"/>
    <xf numFmtId="0" fontId="0" fillId="0" borderId="1" xfId="0" applyBorder="1"/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6" fillId="0" borderId="2" xfId="0" applyNumberFormat="1" applyFont="1" applyFill="1" applyBorder="1" applyAlignment="1">
      <alignment horizontal="center"/>
    </xf>
    <xf numFmtId="0" fontId="0" fillId="0" borderId="1" xfId="0" applyFont="1" applyBorder="1"/>
    <xf numFmtId="0" fontId="3" fillId="0" borderId="1" xfId="0" applyFont="1" applyFill="1" applyBorder="1" applyAlignment="1">
      <alignment horizontal="left"/>
    </xf>
    <xf numFmtId="0" fontId="0" fillId="0" borderId="2" xfId="0" applyBorder="1"/>
    <xf numFmtId="0" fontId="5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5" fillId="0" borderId="1" xfId="0" applyFont="1" applyBorder="1"/>
    <xf numFmtId="0" fontId="4" fillId="0" borderId="1" xfId="0" applyFont="1" applyBorder="1"/>
    <xf numFmtId="1" fontId="4" fillId="0" borderId="1" xfId="0" applyNumberFormat="1" applyFont="1" applyFill="1" applyBorder="1" applyAlignment="1">
      <alignment horizontal="center"/>
    </xf>
    <xf numFmtId="0" fontId="4" fillId="0" borderId="4" xfId="0" applyFont="1" applyBorder="1"/>
    <xf numFmtId="0" fontId="0" fillId="0" borderId="4" xfId="0" applyFont="1" applyBorder="1"/>
    <xf numFmtId="0" fontId="3" fillId="0" borderId="4" xfId="0" applyFont="1" applyFill="1" applyBorder="1" applyAlignment="1">
      <alignment horizontal="left"/>
    </xf>
    <xf numFmtId="1" fontId="6" fillId="0" borderId="4" xfId="0" applyNumberFormat="1" applyFont="1" applyFill="1" applyBorder="1" applyAlignment="1">
      <alignment horizontal="center"/>
    </xf>
    <xf numFmtId="1" fontId="6" fillId="0" borderId="5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5" fillId="0" borderId="0" xfId="0" applyFont="1"/>
    <xf numFmtId="2" fontId="1" fillId="0" borderId="1" xfId="0" applyNumberFormat="1" applyFont="1" applyBorder="1" applyAlignment="1">
      <alignment horizontal="center" wrapText="1"/>
    </xf>
    <xf numFmtId="2" fontId="1" fillId="4" borderId="1" xfId="0" applyNumberFormat="1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left"/>
    </xf>
    <xf numFmtId="2" fontId="1" fillId="6" borderId="1" xfId="0" applyNumberFormat="1" applyFont="1" applyFill="1" applyBorder="1" applyAlignment="1">
      <alignment horizontal="center" wrapText="1"/>
    </xf>
    <xf numFmtId="0" fontId="4" fillId="7" borderId="1" xfId="0" applyFont="1" applyFill="1" applyBorder="1"/>
    <xf numFmtId="0" fontId="5" fillId="7" borderId="1" xfId="0" applyFont="1" applyFill="1" applyBorder="1"/>
    <xf numFmtId="1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/>
    <xf numFmtId="0" fontId="10" fillId="0" borderId="1" xfId="0" applyFont="1" applyBorder="1"/>
    <xf numFmtId="0" fontId="9" fillId="0" borderId="1" xfId="0" applyFont="1" applyBorder="1"/>
    <xf numFmtId="0" fontId="9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1" fontId="9" fillId="0" borderId="1" xfId="0" applyNumberFormat="1" applyFont="1" applyFill="1" applyBorder="1" applyAlignment="1">
      <alignment horizontal="center"/>
    </xf>
    <xf numFmtId="0" fontId="10" fillId="0" borderId="0" xfId="0" applyFont="1"/>
    <xf numFmtId="0" fontId="9" fillId="5" borderId="1" xfId="0" applyFont="1" applyFill="1" applyBorder="1"/>
    <xf numFmtId="0" fontId="9" fillId="5" borderId="1" xfId="0" applyFont="1" applyFill="1" applyBorder="1" applyAlignment="1">
      <alignment horizontal="left"/>
    </xf>
    <xf numFmtId="2" fontId="1" fillId="0" borderId="4" xfId="0" applyNumberFormat="1" applyFont="1" applyBorder="1" applyAlignment="1">
      <alignment horizontal="center" wrapText="1"/>
    </xf>
    <xf numFmtId="0" fontId="9" fillId="0" borderId="4" xfId="0" applyFont="1" applyBorder="1"/>
    <xf numFmtId="0" fontId="9" fillId="0" borderId="4" xfId="0" applyFont="1" applyFill="1" applyBorder="1" applyAlignment="1">
      <alignment horizontal="left"/>
    </xf>
    <xf numFmtId="0" fontId="10" fillId="0" borderId="4" xfId="0" applyFont="1" applyBorder="1"/>
    <xf numFmtId="0" fontId="11" fillId="0" borderId="4" xfId="0" applyFont="1" applyFill="1" applyBorder="1" applyAlignment="1">
      <alignment horizontal="left"/>
    </xf>
    <xf numFmtId="1" fontId="9" fillId="0" borderId="4" xfId="0" applyNumberFormat="1" applyFont="1" applyFill="1" applyBorder="1" applyAlignment="1">
      <alignment horizontal="center"/>
    </xf>
    <xf numFmtId="0" fontId="10" fillId="5" borderId="1" xfId="0" applyFont="1" applyFill="1" applyBorder="1"/>
    <xf numFmtId="0" fontId="10" fillId="0" borderId="0" xfId="0" applyFont="1" applyBorder="1"/>
    <xf numFmtId="2" fontId="10" fillId="0" borderId="0" xfId="0" applyNumberFormat="1" applyFont="1" applyBorder="1"/>
    <xf numFmtId="0" fontId="10" fillId="0" borderId="0" xfId="0" applyFont="1" applyBorder="1" applyAlignment="1">
      <alignment horizontal="left"/>
    </xf>
    <xf numFmtId="0" fontId="13" fillId="0" borderId="0" xfId="0" applyFont="1" applyBorder="1"/>
    <xf numFmtId="0" fontId="10" fillId="5" borderId="4" xfId="0" applyFont="1" applyFill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13" fillId="11" borderId="1" xfId="0" applyFont="1" applyFill="1" applyBorder="1"/>
    <xf numFmtId="2" fontId="12" fillId="2" borderId="1" xfId="0" applyNumberFormat="1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left"/>
    </xf>
    <xf numFmtId="1" fontId="9" fillId="5" borderId="1" xfId="0" applyNumberFormat="1" applyFont="1" applyFill="1" applyBorder="1" applyAlignment="1">
      <alignment horizontal="center"/>
    </xf>
    <xf numFmtId="0" fontId="16" fillId="5" borderId="1" xfId="0" applyFont="1" applyFill="1" applyBorder="1"/>
    <xf numFmtId="0" fontId="16" fillId="5" borderId="1" xfId="0" applyFont="1" applyFill="1" applyBorder="1" applyAlignment="1">
      <alignment horizontal="left"/>
    </xf>
    <xf numFmtId="0" fontId="15" fillId="5" borderId="1" xfId="0" applyFont="1" applyFill="1" applyBorder="1"/>
    <xf numFmtId="0" fontId="17" fillId="5" borderId="1" xfId="0" applyFont="1" applyFill="1" applyBorder="1" applyAlignment="1">
      <alignment horizontal="left"/>
    </xf>
    <xf numFmtId="1" fontId="16" fillId="5" borderId="1" xfId="0" applyNumberFormat="1" applyFont="1" applyFill="1" applyBorder="1" applyAlignment="1">
      <alignment horizontal="center"/>
    </xf>
    <xf numFmtId="0" fontId="15" fillId="5" borderId="4" xfId="0" applyFont="1" applyFill="1" applyBorder="1"/>
    <xf numFmtId="0" fontId="16" fillId="5" borderId="4" xfId="0" applyFont="1" applyFill="1" applyBorder="1"/>
    <xf numFmtId="0" fontId="16" fillId="5" borderId="4" xfId="0" applyFont="1" applyFill="1" applyBorder="1" applyAlignment="1">
      <alignment horizontal="left"/>
    </xf>
    <xf numFmtId="0" fontId="12" fillId="0" borderId="1" xfId="0" applyFont="1" applyBorder="1" applyAlignment="1"/>
    <xf numFmtId="0" fontId="13" fillId="0" borderId="1" xfId="0" applyFont="1" applyBorder="1"/>
    <xf numFmtId="0" fontId="17" fillId="5" borderId="4" xfId="0" applyFont="1" applyFill="1" applyBorder="1" applyAlignment="1">
      <alignment horizontal="left"/>
    </xf>
    <xf numFmtId="1" fontId="16" fillId="5" borderId="4" xfId="0" applyNumberFormat="1" applyFont="1" applyFill="1" applyBorder="1" applyAlignment="1">
      <alignment horizontal="center"/>
    </xf>
    <xf numFmtId="0" fontId="10" fillId="0" borderId="0" xfId="0" applyFont="1" applyBorder="1" applyAlignment="1"/>
    <xf numFmtId="0" fontId="16" fillId="5" borderId="5" xfId="0" applyFont="1" applyFill="1" applyBorder="1"/>
    <xf numFmtId="0" fontId="16" fillId="5" borderId="10" xfId="0" applyFont="1" applyFill="1" applyBorder="1"/>
    <xf numFmtId="166" fontId="10" fillId="0" borderId="0" xfId="0" applyNumberFormat="1" applyFont="1" applyBorder="1"/>
    <xf numFmtId="166" fontId="18" fillId="0" borderId="0" xfId="0" applyNumberFormat="1" applyFont="1" applyBorder="1"/>
    <xf numFmtId="0" fontId="18" fillId="0" borderId="0" xfId="0" applyFont="1" applyBorder="1"/>
    <xf numFmtId="0" fontId="10" fillId="0" borderId="3" xfId="0" applyFont="1" applyBorder="1"/>
    <xf numFmtId="0" fontId="10" fillId="0" borderId="9" xfId="0" applyFont="1" applyBorder="1"/>
    <xf numFmtId="2" fontId="10" fillId="4" borderId="0" xfId="0" applyNumberFormat="1" applyFont="1" applyFill="1" applyBorder="1"/>
    <xf numFmtId="2" fontId="18" fillId="0" borderId="0" xfId="0" applyNumberFormat="1" applyFont="1" applyBorder="1"/>
    <xf numFmtId="2" fontId="19" fillId="0" borderId="1" xfId="0" applyNumberFormat="1" applyFont="1" applyBorder="1" applyAlignment="1">
      <alignment horizontal="center" wrapText="1"/>
    </xf>
    <xf numFmtId="1" fontId="10" fillId="0" borderId="0" xfId="0" applyNumberFormat="1" applyFont="1" applyBorder="1"/>
    <xf numFmtId="0" fontId="0" fillId="0" borderId="15" xfId="0" applyBorder="1"/>
    <xf numFmtId="0" fontId="0" fillId="0" borderId="3" xfId="0" applyBorder="1"/>
    <xf numFmtId="0" fontId="10" fillId="5" borderId="3" xfId="0" applyFont="1" applyFill="1" applyBorder="1"/>
    <xf numFmtId="0" fontId="15" fillId="5" borderId="3" xfId="0" applyFont="1" applyFill="1" applyBorder="1"/>
    <xf numFmtId="0" fontId="0" fillId="0" borderId="16" xfId="0" applyBorder="1"/>
    <xf numFmtId="0" fontId="0" fillId="0" borderId="5" xfId="0" applyBorder="1"/>
    <xf numFmtId="2" fontId="1" fillId="24" borderId="1" xfId="0" applyNumberFormat="1" applyFont="1" applyFill="1" applyBorder="1" applyAlignment="1">
      <alignment horizontal="center" wrapText="1"/>
    </xf>
    <xf numFmtId="2" fontId="2" fillId="6" borderId="1" xfId="0" applyNumberFormat="1" applyFont="1" applyFill="1" applyBorder="1" applyAlignment="1">
      <alignment wrapText="1"/>
    </xf>
    <xf numFmtId="2" fontId="1" fillId="25" borderId="1" xfId="0" applyNumberFormat="1" applyFont="1" applyFill="1" applyBorder="1" applyAlignment="1">
      <alignment horizontal="center" wrapText="1"/>
    </xf>
    <xf numFmtId="2" fontId="2" fillId="26" borderId="1" xfId="0" applyNumberFormat="1" applyFont="1" applyFill="1" applyBorder="1" applyAlignment="1">
      <alignment wrapText="1"/>
    </xf>
    <xf numFmtId="2" fontId="1" fillId="27" borderId="1" xfId="0" applyNumberFormat="1" applyFont="1" applyFill="1" applyBorder="1" applyAlignment="1">
      <alignment horizontal="center" wrapText="1"/>
    </xf>
    <xf numFmtId="0" fontId="20" fillId="2" borderId="1" xfId="0" applyFont="1" applyFill="1" applyBorder="1" applyAlignment="1">
      <alignment vertical="top" wrapText="1"/>
    </xf>
    <xf numFmtId="164" fontId="20" fillId="2" borderId="1" xfId="0" applyNumberFormat="1" applyFont="1" applyFill="1" applyBorder="1" applyAlignment="1">
      <alignment vertical="top" wrapText="1"/>
    </xf>
    <xf numFmtId="2" fontId="20" fillId="2" borderId="1" xfId="0" applyNumberFormat="1" applyFont="1" applyFill="1" applyBorder="1" applyAlignment="1">
      <alignment vertical="top" wrapText="1"/>
    </xf>
    <xf numFmtId="2" fontId="20" fillId="4" borderId="1" xfId="0" applyNumberFormat="1" applyFont="1" applyFill="1" applyBorder="1" applyAlignment="1">
      <alignment vertical="top" wrapText="1"/>
    </xf>
    <xf numFmtId="10" fontId="20" fillId="2" borderId="1" xfId="0" applyNumberFormat="1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vertical="top" wrapText="1"/>
    </xf>
    <xf numFmtId="0" fontId="20" fillId="20" borderId="1" xfId="0" applyFont="1" applyFill="1" applyBorder="1" applyAlignment="1">
      <alignment vertical="top" wrapText="1"/>
    </xf>
    <xf numFmtId="165" fontId="20" fillId="2" borderId="1" xfId="0" applyNumberFormat="1" applyFont="1" applyFill="1" applyBorder="1" applyAlignment="1">
      <alignment vertical="top" wrapText="1"/>
    </xf>
    <xf numFmtId="0" fontId="20" fillId="0" borderId="2" xfId="0" applyFont="1" applyBorder="1" applyAlignment="1">
      <alignment wrapText="1"/>
    </xf>
    <xf numFmtId="14" fontId="20" fillId="0" borderId="2" xfId="0" applyNumberFormat="1" applyFont="1" applyBorder="1" applyAlignment="1">
      <alignment horizontal="right" wrapText="1"/>
    </xf>
    <xf numFmtId="14" fontId="20" fillId="0" borderId="2" xfId="0" applyNumberFormat="1" applyFont="1" applyBorder="1" applyAlignment="1">
      <alignment wrapText="1"/>
    </xf>
    <xf numFmtId="0" fontId="20" fillId="0" borderId="2" xfId="0" applyFont="1" applyFill="1" applyBorder="1" applyAlignment="1">
      <alignment wrapText="1"/>
    </xf>
    <xf numFmtId="0" fontId="20" fillId="0" borderId="2" xfId="0" applyFont="1" applyFill="1" applyBorder="1"/>
    <xf numFmtId="0" fontId="20" fillId="0" borderId="2" xfId="0" applyFont="1" applyFill="1" applyBorder="1" applyAlignment="1">
      <alignment horizontal="right" wrapText="1"/>
    </xf>
    <xf numFmtId="14" fontId="20" fillId="0" borderId="2" xfId="0" applyNumberFormat="1" applyFont="1" applyFill="1" applyBorder="1" applyAlignment="1">
      <alignment horizontal="right" wrapText="1"/>
    </xf>
    <xf numFmtId="0" fontId="20" fillId="0" borderId="2" xfId="0" applyFont="1" applyBorder="1" applyAlignment="1">
      <alignment horizontal="right" wrapText="1"/>
    </xf>
    <xf numFmtId="0" fontId="20" fillId="0" borderId="2" xfId="0" applyFont="1" applyBorder="1"/>
    <xf numFmtId="1" fontId="20" fillId="0" borderId="2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10" fontId="20" fillId="0" borderId="2" xfId="0" applyNumberFormat="1" applyFont="1" applyBorder="1" applyAlignment="1">
      <alignment horizontal="right" wrapText="1"/>
    </xf>
    <xf numFmtId="1" fontId="20" fillId="0" borderId="2" xfId="0" applyNumberFormat="1" applyFont="1" applyFill="1" applyBorder="1" applyAlignment="1"/>
    <xf numFmtId="0" fontId="20" fillId="0" borderId="2" xfId="0" applyFont="1" applyFill="1" applyBorder="1" applyAlignment="1">
      <alignment horizontal="center"/>
    </xf>
    <xf numFmtId="1" fontId="22" fillId="0" borderId="2" xfId="0" applyNumberFormat="1" applyFont="1" applyFill="1" applyBorder="1" applyAlignment="1">
      <alignment horizontal="center"/>
    </xf>
    <xf numFmtId="2" fontId="20" fillId="0" borderId="2" xfId="0" applyNumberFormat="1" applyFont="1" applyFill="1" applyBorder="1" applyAlignment="1">
      <alignment horizontal="center"/>
    </xf>
    <xf numFmtId="165" fontId="20" fillId="0" borderId="2" xfId="0" applyNumberFormat="1" applyFont="1" applyFill="1" applyBorder="1" applyAlignment="1">
      <alignment horizontal="center"/>
    </xf>
    <xf numFmtId="0" fontId="20" fillId="0" borderId="1" xfId="0" applyFont="1" applyBorder="1" applyAlignment="1">
      <alignment wrapText="1"/>
    </xf>
    <xf numFmtId="14" fontId="20" fillId="0" borderId="1" xfId="0" applyNumberFormat="1" applyFont="1" applyBorder="1" applyAlignment="1">
      <alignment horizontal="right" wrapText="1"/>
    </xf>
    <xf numFmtId="14" fontId="20" fillId="0" borderId="1" xfId="0" applyNumberFormat="1" applyFont="1" applyBorder="1" applyAlignment="1">
      <alignment wrapText="1"/>
    </xf>
    <xf numFmtId="0" fontId="20" fillId="0" borderId="1" xfId="0" applyFont="1" applyFill="1" applyBorder="1" applyAlignment="1">
      <alignment wrapText="1"/>
    </xf>
    <xf numFmtId="0" fontId="20" fillId="0" borderId="1" xfId="0" applyFont="1" applyFill="1" applyBorder="1"/>
    <xf numFmtId="0" fontId="20" fillId="0" borderId="1" xfId="0" applyFont="1" applyFill="1" applyBorder="1" applyAlignment="1">
      <alignment horizontal="right" wrapText="1"/>
    </xf>
    <xf numFmtId="14" fontId="20" fillId="0" borderId="1" xfId="0" applyNumberFormat="1" applyFont="1" applyFill="1" applyBorder="1" applyAlignment="1">
      <alignment horizontal="right" wrapText="1"/>
    </xf>
    <xf numFmtId="0" fontId="20" fillId="0" borderId="1" xfId="0" applyFont="1" applyBorder="1" applyAlignment="1">
      <alignment horizontal="right" wrapText="1"/>
    </xf>
    <xf numFmtId="0" fontId="20" fillId="0" borderId="1" xfId="0" applyFont="1" applyBorder="1"/>
    <xf numFmtId="1" fontId="20" fillId="0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10" fontId="20" fillId="0" borderId="1" xfId="0" applyNumberFormat="1" applyFont="1" applyBorder="1" applyAlignment="1">
      <alignment horizontal="right" wrapText="1"/>
    </xf>
    <xf numFmtId="1" fontId="20" fillId="0" borderId="1" xfId="0" applyNumberFormat="1" applyFont="1" applyFill="1" applyBorder="1" applyAlignment="1"/>
    <xf numFmtId="0" fontId="20" fillId="0" borderId="1" xfId="0" applyFont="1" applyFill="1" applyBorder="1" applyAlignment="1">
      <alignment horizontal="center"/>
    </xf>
    <xf numFmtId="1" fontId="22" fillId="0" borderId="1" xfId="0" applyNumberFormat="1" applyFont="1" applyFill="1" applyBorder="1" applyAlignment="1">
      <alignment horizontal="center"/>
    </xf>
    <xf numFmtId="2" fontId="20" fillId="0" borderId="1" xfId="0" applyNumberFormat="1" applyFont="1" applyFill="1" applyBorder="1" applyAlignment="1">
      <alignment horizontal="center"/>
    </xf>
    <xf numFmtId="165" fontId="20" fillId="0" borderId="1" xfId="0" applyNumberFormat="1" applyFont="1" applyFill="1" applyBorder="1" applyAlignment="1">
      <alignment horizontal="center"/>
    </xf>
    <xf numFmtId="1" fontId="20" fillId="4" borderId="1" xfId="0" applyNumberFormat="1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center" wrapText="1"/>
    </xf>
    <xf numFmtId="2" fontId="20" fillId="0" borderId="1" xfId="0" applyNumberFormat="1" applyFont="1" applyBorder="1" applyAlignment="1">
      <alignment horizontal="center" wrapText="1"/>
    </xf>
    <xf numFmtId="2" fontId="20" fillId="0" borderId="1" xfId="0" applyNumberFormat="1" applyFont="1" applyBorder="1" applyAlignment="1">
      <alignment horizontal="right" wrapText="1"/>
    </xf>
    <xf numFmtId="0" fontId="23" fillId="0" borderId="1" xfId="0" applyFont="1" applyFill="1" applyBorder="1" applyAlignment="1">
      <alignment wrapText="1"/>
    </xf>
    <xf numFmtId="14" fontId="20" fillId="0" borderId="1" xfId="0" applyNumberFormat="1" applyFont="1" applyFill="1" applyBorder="1" applyAlignment="1">
      <alignment horizontal="center" wrapText="1"/>
    </xf>
    <xf numFmtId="1" fontId="20" fillId="4" borderId="1" xfId="0" applyNumberFormat="1" applyFont="1" applyFill="1" applyBorder="1" applyAlignment="1"/>
    <xf numFmtId="14" fontId="23" fillId="0" borderId="1" xfId="0" applyNumberFormat="1" applyFont="1" applyFill="1" applyBorder="1" applyAlignment="1">
      <alignment horizontal="right" wrapText="1"/>
    </xf>
    <xf numFmtId="0" fontId="23" fillId="0" borderId="1" xfId="0" applyFont="1" applyFill="1" applyBorder="1"/>
    <xf numFmtId="1" fontId="20" fillId="0" borderId="1" xfId="0" applyNumberFormat="1" applyFont="1" applyFill="1" applyBorder="1" applyAlignment="1">
      <alignment wrapText="1"/>
    </xf>
    <xf numFmtId="1" fontId="20" fillId="5" borderId="1" xfId="0" applyNumberFormat="1" applyFont="1" applyFill="1" applyBorder="1" applyAlignment="1">
      <alignment horizontal="center"/>
    </xf>
    <xf numFmtId="1" fontId="20" fillId="5" borderId="1" xfId="0" applyNumberFormat="1" applyFont="1" applyFill="1" applyBorder="1" applyAlignment="1"/>
    <xf numFmtId="0" fontId="20" fillId="5" borderId="1" xfId="0" applyFont="1" applyFill="1" applyBorder="1"/>
    <xf numFmtId="0" fontId="24" fillId="0" borderId="1" xfId="0" applyFont="1" applyBorder="1" applyAlignment="1">
      <alignment wrapText="1"/>
    </xf>
    <xf numFmtId="0" fontId="20" fillId="4" borderId="1" xfId="0" applyFont="1" applyFill="1" applyBorder="1" applyAlignment="1">
      <alignment wrapText="1"/>
    </xf>
    <xf numFmtId="0" fontId="22" fillId="0" borderId="1" xfId="0" applyFont="1" applyBorder="1" applyAlignment="1">
      <alignment wrapText="1"/>
    </xf>
    <xf numFmtId="0" fontId="24" fillId="5" borderId="1" xfId="0" applyFont="1" applyFill="1" applyBorder="1" applyAlignment="1">
      <alignment wrapText="1"/>
    </xf>
    <xf numFmtId="14" fontId="20" fillId="5" borderId="1" xfId="0" applyNumberFormat="1" applyFont="1" applyFill="1" applyBorder="1" applyAlignment="1">
      <alignment horizontal="right" wrapText="1"/>
    </xf>
    <xf numFmtId="0" fontId="20" fillId="5" borderId="1" xfId="0" applyFont="1" applyFill="1" applyBorder="1" applyAlignment="1">
      <alignment wrapText="1"/>
    </xf>
    <xf numFmtId="0" fontId="20" fillId="5" borderId="1" xfId="0" applyFont="1" applyFill="1" applyBorder="1" applyAlignment="1">
      <alignment horizontal="right" wrapText="1"/>
    </xf>
    <xf numFmtId="2" fontId="20" fillId="0" borderId="1" xfId="0" applyNumberFormat="1" applyFont="1" applyBorder="1"/>
    <xf numFmtId="14" fontId="20" fillId="5" borderId="1" xfId="0" applyNumberFormat="1" applyFont="1" applyFill="1" applyBorder="1" applyAlignment="1">
      <alignment wrapText="1"/>
    </xf>
    <xf numFmtId="0" fontId="20" fillId="6" borderId="1" xfId="0" applyFont="1" applyFill="1" applyBorder="1" applyAlignment="1">
      <alignment wrapText="1"/>
    </xf>
    <xf numFmtId="14" fontId="20" fillId="6" borderId="1" xfId="0" applyNumberFormat="1" applyFont="1" applyFill="1" applyBorder="1" applyAlignment="1">
      <alignment horizontal="center" wrapText="1"/>
    </xf>
    <xf numFmtId="2" fontId="20" fillId="0" borderId="1" xfId="0" applyNumberFormat="1" applyFont="1" applyBorder="1" applyAlignment="1">
      <alignment wrapText="1"/>
    </xf>
    <xf numFmtId="10" fontId="20" fillId="0" borderId="1" xfId="0" applyNumberFormat="1" applyFont="1" applyBorder="1" applyAlignment="1">
      <alignment wrapText="1"/>
    </xf>
    <xf numFmtId="14" fontId="20" fillId="5" borderId="1" xfId="0" applyNumberFormat="1" applyFont="1" applyFill="1" applyBorder="1" applyAlignment="1">
      <alignment horizontal="center" wrapText="1"/>
    </xf>
    <xf numFmtId="1" fontId="20" fillId="0" borderId="3" xfId="0" applyNumberFormat="1" applyFont="1" applyFill="1" applyBorder="1" applyAlignment="1">
      <alignment horizontal="center"/>
    </xf>
    <xf numFmtId="2" fontId="20" fillId="6" borderId="1" xfId="0" applyNumberFormat="1" applyFont="1" applyFill="1" applyBorder="1" applyAlignment="1">
      <alignment horizontal="center" wrapText="1"/>
    </xf>
    <xf numFmtId="0" fontId="20" fillId="0" borderId="4" xfId="0" applyFont="1" applyBorder="1" applyAlignment="1">
      <alignment wrapText="1"/>
    </xf>
    <xf numFmtId="14" fontId="20" fillId="0" borderId="4" xfId="0" applyNumberFormat="1" applyFont="1" applyBorder="1" applyAlignment="1">
      <alignment wrapText="1"/>
    </xf>
    <xf numFmtId="0" fontId="20" fillId="0" borderId="4" xfId="0" applyFont="1" applyBorder="1"/>
    <xf numFmtId="2" fontId="20" fillId="0" borderId="4" xfId="0" applyNumberFormat="1" applyFont="1" applyFill="1" applyBorder="1" applyAlignment="1">
      <alignment horizontal="center"/>
    </xf>
    <xf numFmtId="2" fontId="20" fillId="0" borderId="4" xfId="0" applyNumberFormat="1" applyFont="1" applyBorder="1" applyAlignment="1">
      <alignment horizontal="center" wrapText="1"/>
    </xf>
    <xf numFmtId="2" fontId="20" fillId="0" borderId="4" xfId="0" applyNumberFormat="1" applyFont="1" applyBorder="1" applyAlignment="1">
      <alignment wrapText="1"/>
    </xf>
    <xf numFmtId="10" fontId="20" fillId="0" borderId="4" xfId="0" applyNumberFormat="1" applyFont="1" applyBorder="1" applyAlignment="1">
      <alignment wrapText="1"/>
    </xf>
    <xf numFmtId="1" fontId="20" fillId="0" borderId="4" xfId="0" applyNumberFormat="1" applyFont="1" applyFill="1" applyBorder="1" applyAlignment="1">
      <alignment horizontal="center"/>
    </xf>
    <xf numFmtId="2" fontId="20" fillId="0" borderId="4" xfId="0" applyNumberFormat="1" applyFont="1" applyBorder="1"/>
    <xf numFmtId="1" fontId="20" fillId="0" borderId="4" xfId="0" applyNumberFormat="1" applyFont="1" applyFill="1" applyBorder="1" applyAlignment="1"/>
    <xf numFmtId="1" fontId="20" fillId="5" borderId="4" xfId="0" applyNumberFormat="1" applyFont="1" applyFill="1" applyBorder="1" applyAlignment="1">
      <alignment horizontal="center"/>
    </xf>
    <xf numFmtId="1" fontId="22" fillId="0" borderId="4" xfId="0" applyNumberFormat="1" applyFont="1" applyFill="1" applyBorder="1" applyAlignment="1">
      <alignment horizontal="center"/>
    </xf>
    <xf numFmtId="165" fontId="20" fillId="0" borderId="4" xfId="0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wrapText="1"/>
    </xf>
    <xf numFmtId="2" fontId="20" fillId="5" borderId="1" xfId="0" applyNumberFormat="1" applyFont="1" applyFill="1" applyBorder="1" applyAlignment="1">
      <alignment wrapText="1"/>
    </xf>
    <xf numFmtId="0" fontId="25" fillId="0" borderId="1" xfId="0" applyFont="1" applyBorder="1"/>
    <xf numFmtId="0" fontId="20" fillId="4" borderId="1" xfId="0" applyFont="1" applyFill="1" applyBorder="1" applyAlignment="1">
      <alignment horizontal="center" wrapText="1"/>
    </xf>
    <xf numFmtId="0" fontId="24" fillId="5" borderId="1" xfId="0" applyFont="1" applyFill="1" applyBorder="1" applyAlignment="1">
      <alignment horizontal="right" wrapText="1"/>
    </xf>
    <xf numFmtId="14" fontId="24" fillId="5" borderId="1" xfId="0" applyNumberFormat="1" applyFont="1" applyFill="1" applyBorder="1" applyAlignment="1">
      <alignment wrapText="1"/>
    </xf>
    <xf numFmtId="0" fontId="24" fillId="5" borderId="1" xfId="0" applyFont="1" applyFill="1" applyBorder="1"/>
    <xf numFmtId="14" fontId="20" fillId="4" borderId="1" xfId="0" applyNumberFormat="1" applyFont="1" applyFill="1" applyBorder="1" applyAlignment="1">
      <alignment wrapText="1"/>
    </xf>
    <xf numFmtId="10" fontId="20" fillId="4" borderId="1" xfId="0" applyNumberFormat="1" applyFont="1" applyFill="1" applyBorder="1" applyAlignment="1">
      <alignment wrapText="1"/>
    </xf>
    <xf numFmtId="2" fontId="20" fillId="4" borderId="1" xfId="0" applyNumberFormat="1" applyFont="1" applyFill="1" applyBorder="1" applyAlignment="1">
      <alignment horizontal="center" wrapText="1"/>
    </xf>
    <xf numFmtId="2" fontId="20" fillId="5" borderId="1" xfId="0" applyNumberFormat="1" applyFont="1" applyFill="1" applyBorder="1" applyAlignment="1">
      <alignment horizontal="center"/>
    </xf>
    <xf numFmtId="10" fontId="20" fillId="5" borderId="1" xfId="0" applyNumberFormat="1" applyFont="1" applyFill="1" applyBorder="1" applyAlignment="1">
      <alignment wrapText="1"/>
    </xf>
    <xf numFmtId="2" fontId="20" fillId="5" borderId="1" xfId="0" applyNumberFormat="1" applyFont="1" applyFill="1" applyBorder="1"/>
    <xf numFmtId="0" fontId="20" fillId="4" borderId="1" xfId="0" applyFont="1" applyFill="1" applyBorder="1" applyAlignment="1">
      <alignment horizontal="right" wrapText="1"/>
    </xf>
    <xf numFmtId="14" fontId="20" fillId="6" borderId="1" xfId="0" applyNumberFormat="1" applyFont="1" applyFill="1" applyBorder="1" applyAlignment="1">
      <alignment wrapText="1"/>
    </xf>
    <xf numFmtId="0" fontId="20" fillId="0" borderId="5" xfId="0" applyFont="1" applyBorder="1" applyAlignment="1">
      <alignment wrapText="1"/>
    </xf>
    <xf numFmtId="10" fontId="24" fillId="5" borderId="1" xfId="0" applyNumberFormat="1" applyFont="1" applyFill="1" applyBorder="1" applyAlignment="1">
      <alignment wrapText="1"/>
    </xf>
    <xf numFmtId="2" fontId="24" fillId="0" borderId="1" xfId="0" applyNumberFormat="1" applyFont="1" applyBorder="1"/>
    <xf numFmtId="2" fontId="20" fillId="0" borderId="6" xfId="0" applyNumberFormat="1" applyFont="1" applyBorder="1" applyAlignment="1">
      <alignment wrapText="1"/>
    </xf>
    <xf numFmtId="0" fontId="20" fillId="4" borderId="1" xfId="0" applyFont="1" applyFill="1" applyBorder="1"/>
    <xf numFmtId="2" fontId="20" fillId="0" borderId="7" xfId="0" applyNumberFormat="1" applyFont="1" applyBorder="1" applyAlignment="1">
      <alignment wrapText="1"/>
    </xf>
    <xf numFmtId="0" fontId="20" fillId="5" borderId="4" xfId="0" applyFont="1" applyFill="1" applyBorder="1"/>
    <xf numFmtId="0" fontId="20" fillId="5" borderId="4" xfId="0" applyFont="1" applyFill="1" applyBorder="1" applyAlignment="1">
      <alignment wrapText="1"/>
    </xf>
    <xf numFmtId="2" fontId="20" fillId="5" borderId="4" xfId="0" applyNumberFormat="1" applyFont="1" applyFill="1" applyBorder="1" applyAlignment="1">
      <alignment horizontal="center"/>
    </xf>
    <xf numFmtId="2" fontId="20" fillId="0" borderId="8" xfId="0" applyNumberFormat="1" applyFont="1" applyBorder="1" applyAlignment="1">
      <alignment wrapText="1"/>
    </xf>
    <xf numFmtId="2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7" borderId="1" xfId="0" applyFont="1" applyFill="1" applyBorder="1" applyAlignment="1">
      <alignment wrapText="1"/>
    </xf>
    <xf numFmtId="14" fontId="20" fillId="7" borderId="1" xfId="0" applyNumberFormat="1" applyFont="1" applyFill="1" applyBorder="1" applyAlignment="1">
      <alignment wrapText="1"/>
    </xf>
    <xf numFmtId="0" fontId="20" fillId="7" borderId="1" xfId="0" applyFont="1" applyFill="1" applyBorder="1" applyAlignment="1">
      <alignment horizontal="center" wrapText="1"/>
    </xf>
    <xf numFmtId="0" fontId="20" fillId="7" borderId="1" xfId="0" applyFont="1" applyFill="1" applyBorder="1"/>
    <xf numFmtId="2" fontId="20" fillId="7" borderId="1" xfId="0" applyNumberFormat="1" applyFont="1" applyFill="1" applyBorder="1" applyAlignment="1">
      <alignment wrapText="1"/>
    </xf>
    <xf numFmtId="2" fontId="20" fillId="7" borderId="1" xfId="0" applyNumberFormat="1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10" fontId="20" fillId="7" borderId="1" xfId="0" applyNumberFormat="1" applyFont="1" applyFill="1" applyBorder="1" applyAlignment="1">
      <alignment wrapText="1"/>
    </xf>
    <xf numFmtId="1" fontId="20" fillId="7" borderId="1" xfId="0" applyNumberFormat="1" applyFont="1" applyFill="1" applyBorder="1" applyAlignment="1">
      <alignment horizontal="center"/>
    </xf>
    <xf numFmtId="2" fontId="20" fillId="7" borderId="1" xfId="0" applyNumberFormat="1" applyFont="1" applyFill="1" applyBorder="1"/>
    <xf numFmtId="1" fontId="20" fillId="7" borderId="1" xfId="0" applyNumberFormat="1" applyFont="1" applyFill="1" applyBorder="1" applyAlignment="1"/>
    <xf numFmtId="1" fontId="22" fillId="7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 applyAlignment="1">
      <alignment horizontal="center"/>
    </xf>
    <xf numFmtId="10" fontId="20" fillId="8" borderId="1" xfId="0" applyNumberFormat="1" applyFont="1" applyFill="1" applyBorder="1" applyAlignment="1">
      <alignment wrapText="1"/>
    </xf>
    <xf numFmtId="0" fontId="20" fillId="10" borderId="4" xfId="0" applyFont="1" applyFill="1" applyBorder="1" applyAlignment="1">
      <alignment wrapText="1"/>
    </xf>
    <xf numFmtId="14" fontId="20" fillId="10" borderId="4" xfId="0" applyNumberFormat="1" applyFont="1" applyFill="1" applyBorder="1" applyAlignment="1">
      <alignment wrapText="1"/>
    </xf>
    <xf numFmtId="0" fontId="20" fillId="10" borderId="4" xfId="0" applyFont="1" applyFill="1" applyBorder="1" applyAlignment="1">
      <alignment horizontal="center" wrapText="1"/>
    </xf>
    <xf numFmtId="14" fontId="20" fillId="0" borderId="4" xfId="0" applyNumberFormat="1" applyFont="1" applyBorder="1" applyAlignment="1">
      <alignment horizontal="right" wrapText="1"/>
    </xf>
    <xf numFmtId="10" fontId="20" fillId="9" borderId="4" xfId="0" applyNumberFormat="1" applyFont="1" applyFill="1" applyBorder="1" applyAlignment="1">
      <alignment wrapText="1"/>
    </xf>
    <xf numFmtId="10" fontId="20" fillId="9" borderId="1" xfId="0" applyNumberFormat="1" applyFont="1" applyFill="1" applyBorder="1" applyAlignment="1">
      <alignment wrapText="1"/>
    </xf>
    <xf numFmtId="2" fontId="20" fillId="4" borderId="1" xfId="0" applyNumberFormat="1" applyFont="1" applyFill="1" applyBorder="1"/>
    <xf numFmtId="2" fontId="20" fillId="11" borderId="1" xfId="0" applyNumberFormat="1" applyFont="1" applyFill="1" applyBorder="1" applyAlignment="1">
      <alignment wrapText="1"/>
    </xf>
    <xf numFmtId="2" fontId="20" fillId="11" borderId="1" xfId="0" applyNumberFormat="1" applyFont="1" applyFill="1" applyBorder="1" applyAlignment="1">
      <alignment horizontal="center" wrapText="1"/>
    </xf>
    <xf numFmtId="0" fontId="24" fillId="4" borderId="1" xfId="0" applyFont="1" applyFill="1" applyBorder="1" applyAlignment="1">
      <alignment wrapText="1"/>
    </xf>
    <xf numFmtId="2" fontId="20" fillId="5" borderId="1" xfId="0" applyNumberFormat="1" applyFont="1" applyFill="1" applyBorder="1" applyAlignment="1">
      <alignment horizontal="center" wrapText="1"/>
    </xf>
    <xf numFmtId="14" fontId="20" fillId="4" borderId="1" xfId="0" applyNumberFormat="1" applyFont="1" applyFill="1" applyBorder="1" applyAlignment="1">
      <alignment horizontal="right" wrapText="1"/>
    </xf>
    <xf numFmtId="0" fontId="26" fillId="0" borderId="0" xfId="0" applyFont="1"/>
    <xf numFmtId="2" fontId="20" fillId="5" borderId="4" xfId="0" applyNumberFormat="1" applyFont="1" applyFill="1" applyBorder="1" applyAlignment="1">
      <alignment horizontal="center" wrapText="1"/>
    </xf>
    <xf numFmtId="1" fontId="22" fillId="5" borderId="1" xfId="0" applyNumberFormat="1" applyFont="1" applyFill="1" applyBorder="1" applyAlignment="1">
      <alignment horizontal="center"/>
    </xf>
    <xf numFmtId="165" fontId="20" fillId="5" borderId="1" xfId="0" applyNumberFormat="1" applyFont="1" applyFill="1" applyBorder="1" applyAlignment="1">
      <alignment horizontal="center"/>
    </xf>
    <xf numFmtId="2" fontId="20" fillId="5" borderId="3" xfId="0" applyNumberFormat="1" applyFont="1" applyFill="1" applyBorder="1" applyAlignment="1">
      <alignment horizontal="center"/>
    </xf>
    <xf numFmtId="2" fontId="20" fillId="5" borderId="5" xfId="0" applyNumberFormat="1" applyFont="1" applyFill="1" applyBorder="1" applyAlignment="1">
      <alignment wrapText="1"/>
    </xf>
    <xf numFmtId="1" fontId="20" fillId="11" borderId="1" xfId="0" applyNumberFormat="1" applyFont="1" applyFill="1" applyBorder="1" applyAlignment="1">
      <alignment horizontal="center"/>
    </xf>
    <xf numFmtId="2" fontId="20" fillId="4" borderId="5" xfId="0" applyNumberFormat="1" applyFont="1" applyFill="1" applyBorder="1" applyAlignment="1">
      <alignment wrapText="1"/>
    </xf>
    <xf numFmtId="10" fontId="20" fillId="5" borderId="1" xfId="1" applyNumberFormat="1" applyFont="1" applyFill="1" applyBorder="1" applyAlignment="1">
      <alignment wrapText="1"/>
    </xf>
    <xf numFmtId="14" fontId="20" fillId="5" borderId="4" xfId="0" applyNumberFormat="1" applyFont="1" applyFill="1" applyBorder="1" applyAlignment="1">
      <alignment horizontal="right" wrapText="1"/>
    </xf>
    <xf numFmtId="0" fontId="20" fillId="5" borderId="4" xfId="0" applyFont="1" applyFill="1" applyBorder="1" applyAlignment="1">
      <alignment horizontal="center" wrapText="1"/>
    </xf>
    <xf numFmtId="14" fontId="20" fillId="5" borderId="4" xfId="0" applyNumberFormat="1" applyFont="1" applyFill="1" applyBorder="1" applyAlignment="1">
      <alignment wrapText="1"/>
    </xf>
    <xf numFmtId="2" fontId="20" fillId="5" borderId="4" xfId="0" applyNumberFormat="1" applyFont="1" applyFill="1" applyBorder="1" applyAlignment="1">
      <alignment wrapText="1"/>
    </xf>
    <xf numFmtId="2" fontId="20" fillId="11" borderId="4" xfId="0" applyNumberFormat="1" applyFont="1" applyFill="1" applyBorder="1" applyAlignment="1">
      <alignment wrapText="1"/>
    </xf>
    <xf numFmtId="2" fontId="20" fillId="5" borderId="9" xfId="0" applyNumberFormat="1" applyFont="1" applyFill="1" applyBorder="1" applyAlignment="1">
      <alignment horizontal="center"/>
    </xf>
    <xf numFmtId="2" fontId="20" fillId="5" borderId="10" xfId="0" applyNumberFormat="1" applyFont="1" applyFill="1" applyBorder="1" applyAlignment="1">
      <alignment wrapText="1"/>
    </xf>
    <xf numFmtId="10" fontId="20" fillId="5" borderId="4" xfId="0" applyNumberFormat="1" applyFont="1" applyFill="1" applyBorder="1" applyAlignment="1">
      <alignment wrapText="1"/>
    </xf>
    <xf numFmtId="2" fontId="20" fillId="5" borderId="4" xfId="0" applyNumberFormat="1" applyFont="1" applyFill="1" applyBorder="1"/>
    <xf numFmtId="1" fontId="20" fillId="5" borderId="4" xfId="0" applyNumberFormat="1" applyFont="1" applyFill="1" applyBorder="1" applyAlignment="1"/>
    <xf numFmtId="1" fontId="22" fillId="5" borderId="4" xfId="0" applyNumberFormat="1" applyFont="1" applyFill="1" applyBorder="1" applyAlignment="1">
      <alignment horizontal="center"/>
    </xf>
    <xf numFmtId="1" fontId="20" fillId="11" borderId="4" xfId="0" applyNumberFormat="1" applyFont="1" applyFill="1" applyBorder="1" applyAlignment="1">
      <alignment horizontal="center"/>
    </xf>
    <xf numFmtId="165" fontId="20" fillId="5" borderId="4" xfId="0" applyNumberFormat="1" applyFont="1" applyFill="1" applyBorder="1" applyAlignment="1">
      <alignment horizontal="center"/>
    </xf>
    <xf numFmtId="0" fontId="20" fillId="11" borderId="1" xfId="0" applyFont="1" applyFill="1" applyBorder="1" applyAlignment="1">
      <alignment wrapText="1"/>
    </xf>
    <xf numFmtId="10" fontId="20" fillId="12" borderId="1" xfId="0" applyNumberFormat="1" applyFont="1" applyFill="1" applyBorder="1" applyAlignment="1">
      <alignment wrapText="1"/>
    </xf>
    <xf numFmtId="0" fontId="20" fillId="13" borderId="1" xfId="0" applyFont="1" applyFill="1" applyBorder="1" applyAlignment="1">
      <alignment wrapText="1"/>
    </xf>
    <xf numFmtId="14" fontId="20" fillId="13" borderId="1" xfId="0" applyNumberFormat="1" applyFont="1" applyFill="1" applyBorder="1" applyAlignment="1">
      <alignment wrapText="1"/>
    </xf>
    <xf numFmtId="0" fontId="20" fillId="13" borderId="1" xfId="0" applyFont="1" applyFill="1" applyBorder="1" applyAlignment="1">
      <alignment horizontal="center" wrapText="1"/>
    </xf>
    <xf numFmtId="0" fontId="20" fillId="13" borderId="1" xfId="0" applyFont="1" applyFill="1" applyBorder="1" applyAlignment="1">
      <alignment vertical="center"/>
    </xf>
    <xf numFmtId="0" fontId="20" fillId="13" borderId="1" xfId="0" applyFont="1" applyFill="1" applyBorder="1"/>
    <xf numFmtId="2" fontId="20" fillId="13" borderId="1" xfId="0" applyNumberFormat="1" applyFont="1" applyFill="1" applyBorder="1" applyAlignment="1">
      <alignment wrapText="1"/>
    </xf>
    <xf numFmtId="2" fontId="20" fillId="13" borderId="1" xfId="0" applyNumberFormat="1" applyFont="1" applyFill="1" applyBorder="1" applyAlignment="1">
      <alignment horizontal="center"/>
    </xf>
    <xf numFmtId="10" fontId="20" fillId="13" borderId="1" xfId="0" applyNumberFormat="1" applyFont="1" applyFill="1" applyBorder="1" applyAlignment="1">
      <alignment wrapText="1"/>
    </xf>
    <xf numFmtId="1" fontId="20" fillId="13" borderId="1" xfId="0" applyNumberFormat="1" applyFont="1" applyFill="1" applyBorder="1" applyAlignment="1">
      <alignment horizontal="center"/>
    </xf>
    <xf numFmtId="2" fontId="20" fillId="13" borderId="1" xfId="0" applyNumberFormat="1" applyFont="1" applyFill="1" applyBorder="1"/>
    <xf numFmtId="1" fontId="20" fillId="13" borderId="1" xfId="0" applyNumberFormat="1" applyFont="1" applyFill="1" applyBorder="1" applyAlignment="1"/>
    <xf numFmtId="0" fontId="20" fillId="0" borderId="4" xfId="0" applyFont="1" applyBorder="1" applyAlignment="1">
      <alignment horizontal="center" wrapText="1"/>
    </xf>
    <xf numFmtId="0" fontId="20" fillId="11" borderId="1" xfId="0" applyFont="1" applyFill="1" applyBorder="1" applyAlignment="1">
      <alignment horizontal="center" wrapText="1"/>
    </xf>
    <xf numFmtId="0" fontId="20" fillId="5" borderId="3" xfId="0" applyFont="1" applyFill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2" fontId="20" fillId="11" borderId="4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left" wrapText="1"/>
    </xf>
    <xf numFmtId="0" fontId="20" fillId="5" borderId="1" xfId="0" applyFont="1" applyFill="1" applyBorder="1" applyAlignment="1">
      <alignment horizontal="left" wrapText="1"/>
    </xf>
    <xf numFmtId="10" fontId="20" fillId="10" borderId="1" xfId="0" applyNumberFormat="1" applyFont="1" applyFill="1" applyBorder="1" applyAlignment="1">
      <alignment wrapText="1"/>
    </xf>
    <xf numFmtId="0" fontId="20" fillId="0" borderId="4" xfId="0" applyFont="1" applyBorder="1" applyAlignment="1">
      <alignment horizontal="left" wrapText="1"/>
    </xf>
    <xf numFmtId="2" fontId="20" fillId="5" borderId="1" xfId="0" applyNumberFormat="1" applyFont="1" applyFill="1" applyBorder="1" applyAlignment="1">
      <alignment horizontal="right"/>
    </xf>
    <xf numFmtId="10" fontId="20" fillId="10" borderId="1" xfId="0" applyNumberFormat="1" applyFont="1" applyFill="1" applyBorder="1" applyAlignment="1">
      <alignment horizontal="center" wrapText="1"/>
    </xf>
    <xf numFmtId="10" fontId="20" fillId="0" borderId="1" xfId="0" applyNumberFormat="1" applyFont="1" applyBorder="1" applyAlignment="1">
      <alignment horizontal="center" wrapText="1"/>
    </xf>
    <xf numFmtId="2" fontId="20" fillId="14" borderId="1" xfId="0" applyNumberFormat="1" applyFont="1" applyFill="1" applyBorder="1"/>
    <xf numFmtId="2" fontId="20" fillId="9" borderId="1" xfId="0" applyNumberFormat="1" applyFont="1" applyFill="1" applyBorder="1"/>
    <xf numFmtId="2" fontId="20" fillId="5" borderId="1" xfId="0" applyNumberFormat="1" applyFont="1" applyFill="1" applyBorder="1" applyAlignment="1">
      <alignment horizontal="right" wrapText="1"/>
    </xf>
    <xf numFmtId="10" fontId="20" fillId="5" borderId="1" xfId="0" applyNumberFormat="1" applyFont="1" applyFill="1" applyBorder="1" applyAlignment="1">
      <alignment horizontal="center" wrapText="1"/>
    </xf>
    <xf numFmtId="10" fontId="20" fillId="9" borderId="1" xfId="0" applyNumberFormat="1" applyFont="1" applyFill="1" applyBorder="1" applyAlignment="1">
      <alignment horizontal="center" wrapText="1"/>
    </xf>
    <xf numFmtId="0" fontId="20" fillId="10" borderId="1" xfId="0" applyFont="1" applyFill="1" applyBorder="1" applyAlignment="1">
      <alignment horizontal="center" wrapText="1"/>
    </xf>
    <xf numFmtId="10" fontId="20" fillId="15" borderId="1" xfId="0" applyNumberFormat="1" applyFont="1" applyFill="1" applyBorder="1" applyAlignment="1">
      <alignment horizontal="center" wrapText="1"/>
    </xf>
    <xf numFmtId="2" fontId="20" fillId="15" borderId="1" xfId="0" applyNumberFormat="1" applyFont="1" applyFill="1" applyBorder="1"/>
    <xf numFmtId="2" fontId="20" fillId="4" borderId="1" xfId="0" applyNumberFormat="1" applyFont="1" applyFill="1" applyBorder="1" applyAlignment="1">
      <alignment horizontal="right" wrapText="1"/>
    </xf>
    <xf numFmtId="0" fontId="20" fillId="16" borderId="4" xfId="0" applyFont="1" applyFill="1" applyBorder="1" applyAlignment="1">
      <alignment horizontal="center" wrapText="1"/>
    </xf>
    <xf numFmtId="14" fontId="20" fillId="16" borderId="4" xfId="0" applyNumberFormat="1" applyFont="1" applyFill="1" applyBorder="1" applyAlignment="1">
      <alignment horizontal="center" wrapText="1"/>
    </xf>
    <xf numFmtId="0" fontId="20" fillId="16" borderId="4" xfId="0" applyFont="1" applyFill="1" applyBorder="1" applyAlignment="1">
      <alignment horizontal="right" wrapText="1"/>
    </xf>
    <xf numFmtId="14" fontId="20" fillId="16" borderId="4" xfId="0" applyNumberFormat="1" applyFont="1" applyFill="1" applyBorder="1" applyAlignment="1">
      <alignment horizontal="right" wrapText="1"/>
    </xf>
    <xf numFmtId="0" fontId="20" fillId="16" borderId="4" xfId="0" applyFont="1" applyFill="1" applyBorder="1" applyAlignment="1">
      <alignment horizontal="left" wrapText="1"/>
    </xf>
    <xf numFmtId="0" fontId="20" fillId="16" borderId="4" xfId="0" applyFont="1" applyFill="1" applyBorder="1" applyAlignment="1">
      <alignment wrapText="1"/>
    </xf>
    <xf numFmtId="0" fontId="20" fillId="16" borderId="4" xfId="0" applyFont="1" applyFill="1" applyBorder="1"/>
    <xf numFmtId="0" fontId="20" fillId="16" borderId="0" xfId="0" applyFont="1" applyFill="1" applyBorder="1"/>
    <xf numFmtId="2" fontId="20" fillId="0" borderId="4" xfId="0" applyNumberFormat="1" applyFont="1" applyBorder="1" applyAlignment="1">
      <alignment horizontal="right" wrapText="1"/>
    </xf>
    <xf numFmtId="0" fontId="20" fillId="11" borderId="4" xfId="0" applyFont="1" applyFill="1" applyBorder="1" applyAlignment="1">
      <alignment horizontal="center" wrapText="1"/>
    </xf>
    <xf numFmtId="2" fontId="20" fillId="5" borderId="4" xfId="0" applyNumberFormat="1" applyFont="1" applyFill="1" applyBorder="1" applyAlignment="1">
      <alignment horizontal="right"/>
    </xf>
    <xf numFmtId="10" fontId="20" fillId="0" borderId="4" xfId="0" applyNumberFormat="1" applyFont="1" applyBorder="1" applyAlignment="1">
      <alignment horizontal="center" wrapText="1"/>
    </xf>
    <xf numFmtId="0" fontId="24" fillId="5" borderId="1" xfId="0" applyFont="1" applyFill="1" applyBorder="1" applyAlignment="1">
      <alignment horizontal="center" wrapText="1"/>
    </xf>
    <xf numFmtId="14" fontId="24" fillId="5" borderId="1" xfId="0" applyNumberFormat="1" applyFont="1" applyFill="1" applyBorder="1" applyAlignment="1">
      <alignment horizontal="center" wrapText="1"/>
    </xf>
    <xf numFmtId="14" fontId="24" fillId="5" borderId="1" xfId="0" applyNumberFormat="1" applyFont="1" applyFill="1" applyBorder="1" applyAlignment="1">
      <alignment horizontal="right" wrapText="1"/>
    </xf>
    <xf numFmtId="0" fontId="24" fillId="5" borderId="1" xfId="0" applyFont="1" applyFill="1" applyBorder="1" applyAlignment="1">
      <alignment horizontal="left" wrapText="1"/>
    </xf>
    <xf numFmtId="2" fontId="24" fillId="5" borderId="1" xfId="0" applyNumberFormat="1" applyFont="1" applyFill="1" applyBorder="1" applyAlignment="1">
      <alignment wrapText="1"/>
    </xf>
    <xf numFmtId="2" fontId="24" fillId="5" borderId="1" xfId="0" applyNumberFormat="1" applyFont="1" applyFill="1" applyBorder="1" applyAlignment="1">
      <alignment horizontal="right" wrapText="1"/>
    </xf>
    <xf numFmtId="2" fontId="24" fillId="5" borderId="1" xfId="0" applyNumberFormat="1" applyFont="1" applyFill="1" applyBorder="1" applyAlignment="1">
      <alignment horizontal="right"/>
    </xf>
    <xf numFmtId="2" fontId="24" fillId="5" borderId="1" xfId="0" applyNumberFormat="1" applyFont="1" applyFill="1" applyBorder="1" applyAlignment="1">
      <alignment horizontal="center" wrapText="1"/>
    </xf>
    <xf numFmtId="10" fontId="24" fillId="5" borderId="1" xfId="0" applyNumberFormat="1" applyFont="1" applyFill="1" applyBorder="1" applyAlignment="1">
      <alignment horizontal="center" wrapText="1"/>
    </xf>
    <xf numFmtId="1" fontId="24" fillId="5" borderId="1" xfId="0" applyNumberFormat="1" applyFont="1" applyFill="1" applyBorder="1" applyAlignment="1">
      <alignment horizontal="center"/>
    </xf>
    <xf numFmtId="2" fontId="24" fillId="5" borderId="1" xfId="0" applyNumberFormat="1" applyFont="1" applyFill="1" applyBorder="1"/>
    <xf numFmtId="1" fontId="24" fillId="5" borderId="1" xfId="0" applyNumberFormat="1" applyFont="1" applyFill="1" applyBorder="1" applyAlignment="1"/>
    <xf numFmtId="2" fontId="24" fillId="5" borderId="1" xfId="0" applyNumberFormat="1" applyFont="1" applyFill="1" applyBorder="1" applyAlignment="1">
      <alignment horizontal="center"/>
    </xf>
    <xf numFmtId="165" fontId="24" fillId="5" borderId="1" xfId="0" applyNumberFormat="1" applyFont="1" applyFill="1" applyBorder="1" applyAlignment="1">
      <alignment horizontal="center"/>
    </xf>
    <xf numFmtId="10" fontId="24" fillId="16" borderId="1" xfId="0" applyNumberFormat="1" applyFont="1" applyFill="1" applyBorder="1" applyAlignment="1">
      <alignment horizontal="center" wrapText="1"/>
    </xf>
    <xf numFmtId="2" fontId="24" fillId="4" borderId="1" xfId="0" applyNumberFormat="1" applyFont="1" applyFill="1" applyBorder="1"/>
    <xf numFmtId="1" fontId="24" fillId="4" borderId="1" xfId="0" applyNumberFormat="1" applyFont="1" applyFill="1" applyBorder="1" applyAlignment="1">
      <alignment horizontal="center"/>
    </xf>
    <xf numFmtId="2" fontId="24" fillId="4" borderId="1" xfId="0" applyNumberFormat="1" applyFont="1" applyFill="1" applyBorder="1" applyAlignment="1">
      <alignment horizontal="center"/>
    </xf>
    <xf numFmtId="2" fontId="24" fillId="11" borderId="1" xfId="0" applyNumberFormat="1" applyFont="1" applyFill="1" applyBorder="1" applyAlignment="1">
      <alignment horizontal="center" wrapText="1"/>
    </xf>
    <xf numFmtId="0" fontId="24" fillId="4" borderId="1" xfId="0" applyFont="1" applyFill="1" applyBorder="1"/>
    <xf numFmtId="0" fontId="24" fillId="5" borderId="4" xfId="0" applyFont="1" applyFill="1" applyBorder="1" applyAlignment="1">
      <alignment horizontal="center" wrapText="1"/>
    </xf>
    <xf numFmtId="14" fontId="24" fillId="5" borderId="4" xfId="0" applyNumberFormat="1" applyFont="1" applyFill="1" applyBorder="1" applyAlignment="1">
      <alignment horizontal="center" wrapText="1"/>
    </xf>
    <xf numFmtId="0" fontId="24" fillId="5" borderId="4" xfId="0" applyFont="1" applyFill="1" applyBorder="1" applyAlignment="1">
      <alignment horizontal="right" wrapText="1"/>
    </xf>
    <xf numFmtId="14" fontId="24" fillId="5" borderId="4" xfId="0" applyNumberFormat="1" applyFont="1" applyFill="1" applyBorder="1" applyAlignment="1">
      <alignment horizontal="right" wrapText="1"/>
    </xf>
    <xf numFmtId="0" fontId="24" fillId="5" borderId="4" xfId="0" applyFont="1" applyFill="1" applyBorder="1" applyAlignment="1">
      <alignment horizontal="left" wrapText="1"/>
    </xf>
    <xf numFmtId="0" fontId="24" fillId="5" borderId="4" xfId="0" applyFont="1" applyFill="1" applyBorder="1" applyAlignment="1">
      <alignment wrapText="1"/>
    </xf>
    <xf numFmtId="0" fontId="24" fillId="5" borderId="4" xfId="0" applyFont="1" applyFill="1" applyBorder="1"/>
    <xf numFmtId="2" fontId="24" fillId="5" borderId="4" xfId="0" applyNumberFormat="1" applyFont="1" applyFill="1" applyBorder="1" applyAlignment="1">
      <alignment wrapText="1"/>
    </xf>
    <xf numFmtId="2" fontId="24" fillId="5" borderId="4" xfId="0" applyNumberFormat="1" applyFont="1" applyFill="1" applyBorder="1" applyAlignment="1">
      <alignment horizontal="right" wrapText="1"/>
    </xf>
    <xf numFmtId="2" fontId="24" fillId="11" borderId="4" xfId="0" applyNumberFormat="1" applyFont="1" applyFill="1" applyBorder="1" applyAlignment="1">
      <alignment horizontal="center" wrapText="1"/>
    </xf>
    <xf numFmtId="2" fontId="24" fillId="5" borderId="4" xfId="0" applyNumberFormat="1" applyFont="1" applyFill="1" applyBorder="1" applyAlignment="1">
      <alignment horizontal="right"/>
    </xf>
    <xf numFmtId="2" fontId="24" fillId="5" borderId="4" xfId="0" applyNumberFormat="1" applyFont="1" applyFill="1" applyBorder="1" applyAlignment="1">
      <alignment horizontal="center" wrapText="1"/>
    </xf>
    <xf numFmtId="10" fontId="24" fillId="5" borderId="4" xfId="0" applyNumberFormat="1" applyFont="1" applyFill="1" applyBorder="1" applyAlignment="1">
      <alignment horizontal="center" wrapText="1"/>
    </xf>
    <xf numFmtId="1" fontId="24" fillId="5" borderId="4" xfId="0" applyNumberFormat="1" applyFont="1" applyFill="1" applyBorder="1" applyAlignment="1">
      <alignment horizontal="center"/>
    </xf>
    <xf numFmtId="2" fontId="24" fillId="5" borderId="4" xfId="0" applyNumberFormat="1" applyFont="1" applyFill="1" applyBorder="1"/>
    <xf numFmtId="1" fontId="24" fillId="5" borderId="4" xfId="0" applyNumberFormat="1" applyFont="1" applyFill="1" applyBorder="1" applyAlignment="1"/>
    <xf numFmtId="2" fontId="24" fillId="5" borderId="4" xfId="0" applyNumberFormat="1" applyFont="1" applyFill="1" applyBorder="1" applyAlignment="1">
      <alignment horizontal="center"/>
    </xf>
    <xf numFmtId="165" fontId="24" fillId="5" borderId="4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right" wrapText="1"/>
    </xf>
    <xf numFmtId="14" fontId="20" fillId="6" borderId="1" xfId="0" applyNumberFormat="1" applyFont="1" applyFill="1" applyBorder="1" applyAlignment="1">
      <alignment horizontal="right" wrapText="1"/>
    </xf>
    <xf numFmtId="2" fontId="20" fillId="6" borderId="1" xfId="0" applyNumberFormat="1" applyFont="1" applyFill="1" applyBorder="1" applyAlignment="1">
      <alignment horizontal="right" wrapText="1"/>
    </xf>
    <xf numFmtId="10" fontId="20" fillId="6" borderId="1" xfId="0" applyNumberFormat="1" applyFont="1" applyFill="1" applyBorder="1" applyAlignment="1">
      <alignment horizontal="center" wrapText="1"/>
    </xf>
    <xf numFmtId="0" fontId="22" fillId="0" borderId="1" xfId="0" applyFont="1" applyBorder="1" applyAlignment="1">
      <alignment horizontal="right" wrapText="1"/>
    </xf>
    <xf numFmtId="14" fontId="22" fillId="0" borderId="1" xfId="0" applyNumberFormat="1" applyFont="1" applyBorder="1" applyAlignment="1">
      <alignment horizontal="right" wrapText="1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/>
    <xf numFmtId="0" fontId="24" fillId="0" borderId="1" xfId="0" applyFont="1" applyBorder="1" applyAlignment="1">
      <alignment horizontal="right" wrapText="1"/>
    </xf>
    <xf numFmtId="14" fontId="24" fillId="0" borderId="1" xfId="0" applyNumberFormat="1" applyFont="1" applyBorder="1" applyAlignment="1">
      <alignment horizontal="right" wrapText="1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/>
    <xf numFmtId="0" fontId="22" fillId="5" borderId="1" xfId="0" applyFont="1" applyFill="1" applyBorder="1" applyAlignment="1">
      <alignment wrapText="1"/>
    </xf>
    <xf numFmtId="2" fontId="20" fillId="0" borderId="2" xfId="0" applyNumberFormat="1" applyFont="1" applyBorder="1" applyAlignment="1">
      <alignment horizontal="right" wrapText="1"/>
    </xf>
    <xf numFmtId="2" fontId="20" fillId="10" borderId="2" xfId="0" applyNumberFormat="1" applyFont="1" applyFill="1" applyBorder="1" applyAlignment="1">
      <alignment horizontal="center" wrapText="1"/>
    </xf>
    <xf numFmtId="10" fontId="20" fillId="0" borderId="2" xfId="0" applyNumberFormat="1" applyFont="1" applyBorder="1" applyAlignment="1">
      <alignment horizontal="center" wrapText="1"/>
    </xf>
    <xf numFmtId="1" fontId="24" fillId="5" borderId="2" xfId="0" applyNumberFormat="1" applyFont="1" applyFill="1" applyBorder="1" applyAlignment="1">
      <alignment horizontal="center"/>
    </xf>
    <xf numFmtId="2" fontId="20" fillId="0" borderId="11" xfId="0" applyNumberFormat="1" applyFont="1" applyBorder="1" applyAlignment="1">
      <alignment horizontal="right" wrapText="1"/>
    </xf>
    <xf numFmtId="2" fontId="24" fillId="5" borderId="11" xfId="0" applyNumberFormat="1" applyFont="1" applyFill="1" applyBorder="1" applyAlignment="1">
      <alignment horizontal="right"/>
    </xf>
    <xf numFmtId="0" fontId="20" fillId="0" borderId="12" xfId="0" applyFont="1" applyBorder="1" applyAlignment="1">
      <alignment horizontal="center" wrapText="1"/>
    </xf>
    <xf numFmtId="2" fontId="20" fillId="0" borderId="11" xfId="0" applyNumberFormat="1" applyFont="1" applyBorder="1" applyAlignment="1">
      <alignment horizontal="center" wrapText="1"/>
    </xf>
    <xf numFmtId="10" fontId="20" fillId="9" borderId="11" xfId="0" applyNumberFormat="1" applyFont="1" applyFill="1" applyBorder="1" applyAlignment="1">
      <alignment horizontal="center" wrapText="1"/>
    </xf>
    <xf numFmtId="10" fontId="20" fillId="0" borderId="11" xfId="0" applyNumberFormat="1" applyFont="1" applyBorder="1" applyAlignment="1">
      <alignment horizontal="center" wrapText="1"/>
    </xf>
    <xf numFmtId="2" fontId="20" fillId="0" borderId="2" xfId="0" applyNumberFormat="1" applyFont="1" applyBorder="1" applyAlignment="1">
      <alignment wrapText="1"/>
    </xf>
    <xf numFmtId="2" fontId="20" fillId="10" borderId="1" xfId="0" applyNumberFormat="1" applyFont="1" applyFill="1" applyBorder="1" applyAlignment="1">
      <alignment horizontal="center" wrapText="1"/>
    </xf>
    <xf numFmtId="0" fontId="24" fillId="5" borderId="3" xfId="0" applyFont="1" applyFill="1" applyBorder="1"/>
    <xf numFmtId="2" fontId="24" fillId="5" borderId="13" xfId="0" applyNumberFormat="1" applyFont="1" applyFill="1" applyBorder="1" applyAlignment="1">
      <alignment horizontal="center"/>
    </xf>
    <xf numFmtId="2" fontId="24" fillId="5" borderId="5" xfId="0" applyNumberFormat="1" applyFont="1" applyFill="1" applyBorder="1" applyAlignment="1">
      <alignment horizontal="center"/>
    </xf>
    <xf numFmtId="14" fontId="20" fillId="0" borderId="4" xfId="0" applyNumberFormat="1" applyFont="1" applyBorder="1" applyAlignment="1">
      <alignment horizontal="center" wrapText="1"/>
    </xf>
    <xf numFmtId="0" fontId="20" fillId="0" borderId="4" xfId="0" applyFont="1" applyBorder="1" applyAlignment="1">
      <alignment horizontal="right" wrapText="1"/>
    </xf>
    <xf numFmtId="0" fontId="20" fillId="6" borderId="4" xfId="0" applyFont="1" applyFill="1" applyBorder="1" applyAlignment="1">
      <alignment horizontal="center" wrapText="1"/>
    </xf>
    <xf numFmtId="10" fontId="20" fillId="9" borderId="4" xfId="0" applyNumberFormat="1" applyFont="1" applyFill="1" applyBorder="1" applyAlignment="1">
      <alignment horizontal="center" wrapText="1"/>
    </xf>
    <xf numFmtId="0" fontId="24" fillId="5" borderId="9" xfId="0" applyFont="1" applyFill="1" applyBorder="1"/>
    <xf numFmtId="2" fontId="24" fillId="5" borderId="14" xfId="0" applyNumberFormat="1" applyFont="1" applyFill="1" applyBorder="1" applyAlignment="1">
      <alignment horizontal="center"/>
    </xf>
    <xf numFmtId="2" fontId="24" fillId="5" borderId="10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left" wrapText="1"/>
    </xf>
    <xf numFmtId="2" fontId="20" fillId="6" borderId="1" xfId="0" applyNumberFormat="1" applyFont="1" applyFill="1" applyBorder="1" applyAlignment="1">
      <alignment wrapText="1"/>
    </xf>
    <xf numFmtId="0" fontId="24" fillId="9" borderId="1" xfId="0" applyFont="1" applyFill="1" applyBorder="1"/>
    <xf numFmtId="2" fontId="24" fillId="9" borderId="1" xfId="0" applyNumberFormat="1" applyFont="1" applyFill="1" applyBorder="1"/>
    <xf numFmtId="0" fontId="20" fillId="9" borderId="1" xfId="0" applyFont="1" applyFill="1" applyBorder="1" applyAlignment="1">
      <alignment horizontal="center" wrapText="1"/>
    </xf>
    <xf numFmtId="2" fontId="24" fillId="10" borderId="1" xfId="0" applyNumberFormat="1" applyFont="1" applyFill="1" applyBorder="1"/>
    <xf numFmtId="2" fontId="20" fillId="0" borderId="3" xfId="0" applyNumberFormat="1" applyFont="1" applyBorder="1" applyAlignment="1">
      <alignment wrapText="1"/>
    </xf>
    <xf numFmtId="2" fontId="20" fillId="0" borderId="5" xfId="0" applyNumberFormat="1" applyFont="1" applyBorder="1" applyAlignment="1">
      <alignment horizontal="center" wrapText="1"/>
    </xf>
    <xf numFmtId="2" fontId="20" fillId="0" borderId="3" xfId="0" applyNumberFormat="1" applyFont="1" applyBorder="1" applyAlignment="1">
      <alignment horizontal="right" wrapText="1"/>
    </xf>
    <xf numFmtId="10" fontId="20" fillId="4" borderId="1" xfId="0" applyNumberFormat="1" applyFont="1" applyFill="1" applyBorder="1" applyAlignment="1">
      <alignment horizontal="center" wrapText="1"/>
    </xf>
    <xf numFmtId="2" fontId="24" fillId="17" borderId="1" xfId="0" applyNumberFormat="1" applyFont="1" applyFill="1" applyBorder="1"/>
    <xf numFmtId="10" fontId="20" fillId="9" borderId="5" xfId="0" applyNumberFormat="1" applyFont="1" applyFill="1" applyBorder="1" applyAlignment="1">
      <alignment horizontal="center" wrapText="1"/>
    </xf>
    <xf numFmtId="10" fontId="20" fillId="0" borderId="5" xfId="0" applyNumberFormat="1" applyFont="1" applyBorder="1" applyAlignment="1">
      <alignment horizontal="center" wrapText="1"/>
    </xf>
    <xf numFmtId="10" fontId="20" fillId="0" borderId="10" xfId="0" applyNumberFormat="1" applyFont="1" applyBorder="1" applyAlignment="1">
      <alignment horizontal="center" wrapText="1"/>
    </xf>
    <xf numFmtId="10" fontId="20" fillId="14" borderId="1" xfId="0" applyNumberFormat="1" applyFont="1" applyFill="1" applyBorder="1" applyAlignment="1">
      <alignment horizontal="center" wrapText="1"/>
    </xf>
    <xf numFmtId="14" fontId="20" fillId="5" borderId="4" xfId="0" applyNumberFormat="1" applyFont="1" applyFill="1" applyBorder="1" applyAlignment="1">
      <alignment horizontal="center" wrapText="1"/>
    </xf>
    <xf numFmtId="0" fontId="20" fillId="5" borderId="4" xfId="0" applyFont="1" applyFill="1" applyBorder="1" applyAlignment="1">
      <alignment horizontal="right" wrapText="1"/>
    </xf>
    <xf numFmtId="2" fontId="20" fillId="5" borderId="4" xfId="0" applyNumberFormat="1" applyFont="1" applyFill="1" applyBorder="1" applyAlignment="1">
      <alignment horizontal="right" wrapText="1"/>
    </xf>
    <xf numFmtId="2" fontId="20" fillId="10" borderId="4" xfId="0" applyNumberFormat="1" applyFont="1" applyFill="1" applyBorder="1" applyAlignment="1">
      <alignment horizontal="center" wrapText="1"/>
    </xf>
    <xf numFmtId="10" fontId="20" fillId="5" borderId="4" xfId="0" applyNumberFormat="1" applyFont="1" applyFill="1" applyBorder="1" applyAlignment="1">
      <alignment horizontal="center" wrapText="1"/>
    </xf>
    <xf numFmtId="10" fontId="20" fillId="17" borderId="1" xfId="0" applyNumberFormat="1" applyFont="1" applyFill="1" applyBorder="1" applyAlignment="1">
      <alignment horizontal="center" wrapText="1"/>
    </xf>
    <xf numFmtId="10" fontId="20" fillId="18" borderId="1" xfId="0" applyNumberFormat="1" applyFont="1" applyFill="1" applyBorder="1" applyAlignment="1">
      <alignment horizontal="center" wrapText="1"/>
    </xf>
    <xf numFmtId="0" fontId="24" fillId="8" borderId="1" xfId="0" applyFont="1" applyFill="1" applyBorder="1"/>
    <xf numFmtId="0" fontId="24" fillId="14" borderId="1" xfId="0" applyFont="1" applyFill="1" applyBorder="1"/>
    <xf numFmtId="10" fontId="20" fillId="19" borderId="1" xfId="0" applyNumberFormat="1" applyFont="1" applyFill="1" applyBorder="1" applyAlignment="1">
      <alignment horizontal="center" wrapText="1"/>
    </xf>
    <xf numFmtId="0" fontId="24" fillId="0" borderId="1" xfId="0" applyFont="1" applyFill="1" applyBorder="1"/>
    <xf numFmtId="1" fontId="24" fillId="10" borderId="1" xfId="0" applyNumberFormat="1" applyFont="1" applyFill="1" applyBorder="1" applyAlignment="1">
      <alignment horizontal="center"/>
    </xf>
    <xf numFmtId="2" fontId="24" fillId="21" borderId="1" xfId="0" applyNumberFormat="1" applyFont="1" applyFill="1" applyBorder="1"/>
    <xf numFmtId="0" fontId="20" fillId="0" borderId="0" xfId="0" applyFont="1"/>
    <xf numFmtId="10" fontId="20" fillId="15" borderId="4" xfId="0" applyNumberFormat="1" applyFont="1" applyFill="1" applyBorder="1" applyAlignment="1">
      <alignment horizontal="center" wrapText="1"/>
    </xf>
    <xf numFmtId="0" fontId="24" fillId="16" borderId="1" xfId="0" applyFont="1" applyFill="1" applyBorder="1"/>
    <xf numFmtId="0" fontId="20" fillId="18" borderId="1" xfId="0" applyFont="1" applyFill="1" applyBorder="1" applyAlignment="1">
      <alignment horizontal="center" wrapText="1"/>
    </xf>
    <xf numFmtId="10" fontId="22" fillId="0" borderId="1" xfId="0" applyNumberFormat="1" applyFont="1" applyBorder="1" applyAlignment="1">
      <alignment horizontal="center" wrapText="1"/>
    </xf>
    <xf numFmtId="0" fontId="24" fillId="10" borderId="1" xfId="0" applyFont="1" applyFill="1" applyBorder="1"/>
    <xf numFmtId="14" fontId="20" fillId="4" borderId="1" xfId="0" applyNumberFormat="1" applyFont="1" applyFill="1" applyBorder="1" applyAlignment="1">
      <alignment horizontal="center" wrapText="1"/>
    </xf>
    <xf numFmtId="10" fontId="20" fillId="22" borderId="1" xfId="0" applyNumberFormat="1" applyFont="1" applyFill="1" applyBorder="1" applyAlignment="1">
      <alignment horizontal="center" wrapText="1"/>
    </xf>
    <xf numFmtId="2" fontId="20" fillId="6" borderId="4" xfId="0" applyNumberFormat="1" applyFont="1" applyFill="1" applyBorder="1" applyAlignment="1">
      <alignment horizontal="center" wrapText="1"/>
    </xf>
    <xf numFmtId="2" fontId="24" fillId="15" borderId="1" xfId="0" applyNumberFormat="1" applyFont="1" applyFill="1" applyBorder="1"/>
    <xf numFmtId="0" fontId="20" fillId="4" borderId="1" xfId="0" applyFont="1" applyFill="1" applyBorder="1" applyAlignment="1">
      <alignment horizontal="left" wrapText="1"/>
    </xf>
    <xf numFmtId="2" fontId="20" fillId="0" borderId="1" xfId="0" applyNumberFormat="1" applyFont="1" applyBorder="1" applyAlignment="1">
      <alignment horizontal="right"/>
    </xf>
    <xf numFmtId="166" fontId="20" fillId="4" borderId="1" xfId="0" applyNumberFormat="1" applyFont="1" applyFill="1" applyBorder="1" applyAlignment="1">
      <alignment horizontal="left"/>
    </xf>
    <xf numFmtId="0" fontId="22" fillId="5" borderId="1" xfId="0" applyFont="1" applyFill="1" applyBorder="1" applyAlignment="1">
      <alignment horizontal="left" wrapText="1"/>
    </xf>
    <xf numFmtId="10" fontId="20" fillId="23" borderId="1" xfId="0" applyNumberFormat="1" applyFont="1" applyFill="1" applyBorder="1" applyAlignment="1">
      <alignment horizontal="center" wrapText="1"/>
    </xf>
    <xf numFmtId="10" fontId="20" fillId="20" borderId="1" xfId="0" applyNumberFormat="1" applyFont="1" applyFill="1" applyBorder="1" applyAlignment="1">
      <alignment horizontal="center" wrapText="1"/>
    </xf>
    <xf numFmtId="2" fontId="20" fillId="10" borderId="1" xfId="0" applyNumberFormat="1" applyFont="1" applyFill="1" applyBorder="1" applyAlignment="1">
      <alignment horizontal="center"/>
    </xf>
    <xf numFmtId="2" fontId="20" fillId="10" borderId="4" xfId="0" applyNumberFormat="1" applyFont="1" applyFill="1" applyBorder="1" applyAlignment="1">
      <alignment horizontal="center"/>
    </xf>
    <xf numFmtId="10" fontId="20" fillId="8" borderId="1" xfId="0" applyNumberFormat="1" applyFont="1" applyFill="1" applyBorder="1" applyAlignment="1">
      <alignment horizontal="center" wrapText="1"/>
    </xf>
    <xf numFmtId="1" fontId="24" fillId="8" borderId="1" xfId="0" applyNumberFormat="1" applyFont="1" applyFill="1" applyBorder="1" applyAlignment="1">
      <alignment horizontal="center"/>
    </xf>
    <xf numFmtId="0" fontId="20" fillId="0" borderId="3" xfId="0" applyFont="1" applyBorder="1"/>
    <xf numFmtId="2" fontId="24" fillId="14" borderId="1" xfId="0" applyNumberFormat="1" applyFont="1" applyFill="1" applyBorder="1"/>
    <xf numFmtId="0" fontId="20" fillId="0" borderId="9" xfId="0" applyFont="1" applyBorder="1"/>
    <xf numFmtId="10" fontId="20" fillId="16" borderId="1" xfId="0" applyNumberFormat="1" applyFont="1" applyFill="1" applyBorder="1" applyAlignment="1">
      <alignment horizontal="center" wrapText="1"/>
    </xf>
    <xf numFmtId="1" fontId="24" fillId="20" borderId="1" xfId="0" applyNumberFormat="1" applyFont="1" applyFill="1" applyBorder="1" applyAlignment="1"/>
    <xf numFmtId="0" fontId="22" fillId="0" borderId="4" xfId="0" applyFont="1" applyBorder="1" applyAlignment="1">
      <alignment wrapText="1"/>
    </xf>
    <xf numFmtId="10" fontId="20" fillId="16" borderId="4" xfId="0" applyNumberFormat="1" applyFont="1" applyFill="1" applyBorder="1" applyAlignment="1">
      <alignment horizontal="center" wrapText="1"/>
    </xf>
    <xf numFmtId="0" fontId="20" fillId="4" borderId="4" xfId="0" applyFont="1" applyFill="1" applyBorder="1"/>
    <xf numFmtId="1" fontId="24" fillId="14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left" wrapText="1"/>
    </xf>
    <xf numFmtId="2" fontId="20" fillId="11" borderId="1" xfId="0" applyNumberFormat="1" applyFont="1" applyFill="1" applyBorder="1" applyAlignment="1">
      <alignment horizontal="center"/>
    </xf>
    <xf numFmtId="10" fontId="20" fillId="14" borderId="4" xfId="0" applyNumberFormat="1" applyFont="1" applyFill="1" applyBorder="1" applyAlignment="1">
      <alignment horizontal="center" wrapText="1"/>
    </xf>
    <xf numFmtId="2" fontId="20" fillId="17" borderId="1" xfId="0" applyNumberFormat="1" applyFont="1" applyFill="1" applyBorder="1" applyAlignment="1">
      <alignment horizontal="center" wrapText="1"/>
    </xf>
    <xf numFmtId="2" fontId="27" fillId="0" borderId="1" xfId="0" applyNumberFormat="1" applyFont="1" applyBorder="1" applyAlignment="1">
      <alignment horizontal="center" wrapText="1"/>
    </xf>
    <xf numFmtId="2" fontId="20" fillId="0" borderId="3" xfId="0" applyNumberFormat="1" applyFont="1" applyBorder="1" applyAlignment="1">
      <alignment horizontal="center" wrapText="1"/>
    </xf>
    <xf numFmtId="2" fontId="20" fillId="0" borderId="9" xfId="0" applyNumberFormat="1" applyFont="1" applyBorder="1" applyAlignment="1">
      <alignment horizontal="center" wrapText="1"/>
    </xf>
    <xf numFmtId="2" fontId="20" fillId="17" borderId="4" xfId="0" applyNumberFormat="1" applyFont="1" applyFill="1" applyBorder="1" applyAlignment="1">
      <alignment horizontal="center" wrapText="1"/>
    </xf>
    <xf numFmtId="2" fontId="20" fillId="0" borderId="10" xfId="0" applyNumberFormat="1" applyFont="1" applyBorder="1" applyAlignment="1">
      <alignment horizontal="center" wrapText="1"/>
    </xf>
    <xf numFmtId="0" fontId="24" fillId="5" borderId="1" xfId="0" applyFont="1" applyFill="1" applyBorder="1" applyAlignment="1">
      <alignment horizontal="left"/>
    </xf>
    <xf numFmtId="10" fontId="20" fillId="0" borderId="1" xfId="0" applyNumberFormat="1" applyFont="1" applyBorder="1"/>
    <xf numFmtId="1" fontId="10" fillId="4" borderId="0" xfId="0" applyNumberFormat="1" applyFont="1" applyFill="1" applyBorder="1"/>
    <xf numFmtId="10" fontId="20" fillId="28" borderId="1" xfId="0" applyNumberFormat="1" applyFont="1" applyFill="1" applyBorder="1" applyAlignment="1">
      <alignment horizontal="center" wrapText="1"/>
    </xf>
    <xf numFmtId="0" fontId="24" fillId="5" borderId="4" xfId="0" applyFont="1" applyFill="1" applyBorder="1" applyAlignment="1">
      <alignment horizontal="left"/>
    </xf>
    <xf numFmtId="1" fontId="24" fillId="18" borderId="1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right"/>
    </xf>
    <xf numFmtId="0" fontId="20" fillId="29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2" fontId="1" fillId="5" borderId="1" xfId="0" applyNumberFormat="1" applyFont="1" applyFill="1" applyBorder="1" applyAlignment="1">
      <alignment horizontal="center" wrapText="1"/>
    </xf>
    <xf numFmtId="2" fontId="10" fillId="30" borderId="0" xfId="0" applyNumberFormat="1" applyFont="1" applyFill="1" applyBorder="1"/>
    <xf numFmtId="2" fontId="24" fillId="0" borderId="1" xfId="0" applyNumberFormat="1" applyFont="1" applyBorder="1" applyAlignment="1">
      <alignment horizontal="center" wrapText="1"/>
    </xf>
    <xf numFmtId="1" fontId="24" fillId="5" borderId="1" xfId="0" applyNumberFormat="1" applyFont="1" applyFill="1" applyBorder="1"/>
    <xf numFmtId="1" fontId="24" fillId="5" borderId="4" xfId="0" applyNumberFormat="1" applyFont="1" applyFill="1" applyBorder="1"/>
    <xf numFmtId="1" fontId="24" fillId="5" borderId="1" xfId="0" applyNumberFormat="1" applyFont="1" applyFill="1" applyBorder="1" applyAlignment="1">
      <alignment horizontal="left"/>
    </xf>
    <xf numFmtId="14" fontId="20" fillId="0" borderId="1" xfId="0" applyNumberFormat="1" applyFont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0" fontId="24" fillId="5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right"/>
    </xf>
    <xf numFmtId="1" fontId="24" fillId="5" borderId="1" xfId="0" applyNumberFormat="1" applyFont="1" applyFill="1" applyBorder="1" applyAlignment="1">
      <alignment horizontal="right"/>
    </xf>
    <xf numFmtId="2" fontId="24" fillId="5" borderId="3" xfId="0" applyNumberFormat="1" applyFont="1" applyFill="1" applyBorder="1" applyAlignment="1">
      <alignment horizontal="center"/>
    </xf>
    <xf numFmtId="2" fontId="20" fillId="15" borderId="1" xfId="0" applyNumberFormat="1" applyFont="1" applyFill="1" applyBorder="1" applyAlignment="1">
      <alignment horizontal="center" wrapText="1"/>
    </xf>
    <xf numFmtId="2" fontId="24" fillId="5" borderId="9" xfId="0" applyNumberFormat="1" applyFont="1" applyFill="1" applyBorder="1" applyAlignment="1">
      <alignment horizontal="center"/>
    </xf>
    <xf numFmtId="0" fontId="24" fillId="5" borderId="4" xfId="0" applyFont="1" applyFill="1" applyBorder="1" applyAlignment="1">
      <alignment horizontal="center"/>
    </xf>
    <xf numFmtId="1" fontId="24" fillId="5" borderId="4" xfId="0" applyNumberFormat="1" applyFont="1" applyFill="1" applyBorder="1" applyAlignment="1">
      <alignment horizontal="left"/>
    </xf>
    <xf numFmtId="0" fontId="20" fillId="4" borderId="3" xfId="0" applyFont="1" applyFill="1" applyBorder="1" applyAlignment="1">
      <alignment horizontal="center" wrapText="1"/>
    </xf>
    <xf numFmtId="2" fontId="20" fillId="4" borderId="3" xfId="0" applyNumberFormat="1" applyFont="1" applyFill="1" applyBorder="1" applyAlignment="1">
      <alignment horizontal="center" wrapText="1"/>
    </xf>
    <xf numFmtId="0" fontId="24" fillId="5" borderId="3" xfId="0" applyFont="1" applyFill="1" applyBorder="1" applyAlignment="1">
      <alignment horizontal="center"/>
    </xf>
    <xf numFmtId="10" fontId="20" fillId="22" borderId="5" xfId="0" applyNumberFormat="1" applyFont="1" applyFill="1" applyBorder="1" applyAlignment="1">
      <alignment horizontal="center" wrapText="1"/>
    </xf>
    <xf numFmtId="2" fontId="20" fillId="20" borderId="3" xfId="0" applyNumberFormat="1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left" wrapText="1"/>
    </xf>
    <xf numFmtId="164" fontId="20" fillId="2" borderId="1" xfId="0" applyNumberFormat="1" applyFont="1" applyFill="1" applyBorder="1" applyAlignment="1">
      <alignment horizontal="right" vertical="top" wrapText="1"/>
    </xf>
    <xf numFmtId="0" fontId="20" fillId="20" borderId="1" xfId="0" applyFont="1" applyFill="1" applyBorder="1" applyAlignment="1">
      <alignment horizontal="left" wrapText="1"/>
    </xf>
    <xf numFmtId="0" fontId="20" fillId="20" borderId="4" xfId="0" applyFont="1" applyFill="1" applyBorder="1" applyAlignment="1">
      <alignment horizontal="left" wrapText="1"/>
    </xf>
    <xf numFmtId="0" fontId="20" fillId="20" borderId="1" xfId="0" applyFont="1" applyFill="1" applyBorder="1" applyAlignment="1">
      <alignment wrapText="1"/>
    </xf>
    <xf numFmtId="0" fontId="20" fillId="20" borderId="1" xfId="0" applyFont="1" applyFill="1" applyBorder="1"/>
    <xf numFmtId="14" fontId="20" fillId="20" borderId="1" xfId="0" applyNumberFormat="1" applyFont="1" applyFill="1" applyBorder="1" applyAlignment="1">
      <alignment horizontal="center" wrapText="1"/>
    </xf>
    <xf numFmtId="0" fontId="20" fillId="20" borderId="4" xfId="0" applyFont="1" applyFill="1" applyBorder="1" applyAlignment="1">
      <alignment wrapText="1"/>
    </xf>
    <xf numFmtId="0" fontId="20" fillId="20" borderId="4" xfId="0" applyFont="1" applyFill="1" applyBorder="1"/>
    <xf numFmtId="14" fontId="20" fillId="20" borderId="4" xfId="0" applyNumberFormat="1" applyFont="1" applyFill="1" applyBorder="1" applyAlignment="1">
      <alignment horizontal="center" wrapText="1"/>
    </xf>
    <xf numFmtId="2" fontId="24" fillId="5" borderId="1" xfId="0" applyNumberFormat="1" applyFont="1" applyFill="1" applyBorder="1" applyAlignment="1"/>
    <xf numFmtId="2" fontId="10" fillId="0" borderId="0" xfId="0" applyNumberFormat="1" applyFont="1" applyBorder="1" applyAlignment="1"/>
    <xf numFmtId="1" fontId="10" fillId="18" borderId="0" xfId="0" applyNumberFormat="1" applyFont="1" applyFill="1" applyBorder="1"/>
    <xf numFmtId="2" fontId="24" fillId="5" borderId="3" xfId="0" applyNumberFormat="1" applyFont="1" applyFill="1" applyBorder="1" applyAlignment="1"/>
    <xf numFmtId="1" fontId="24" fillId="4" borderId="1" xfId="0" applyNumberFormat="1" applyFont="1" applyFill="1" applyBorder="1" applyAlignment="1">
      <alignment horizontal="left"/>
    </xf>
    <xf numFmtId="2" fontId="10" fillId="5" borderId="0" xfId="0" applyNumberFormat="1" applyFont="1" applyFill="1" applyBorder="1"/>
    <xf numFmtId="2" fontId="24" fillId="5" borderId="3" xfId="0" applyNumberFormat="1" applyFont="1" applyFill="1" applyBorder="1" applyAlignment="1">
      <alignment horizontal="right"/>
    </xf>
    <xf numFmtId="0" fontId="24" fillId="18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wrapText="1"/>
    </xf>
    <xf numFmtId="0" fontId="20" fillId="12" borderId="1" xfId="0" applyFont="1" applyFill="1" applyBorder="1" applyAlignment="1">
      <alignment horizontal="right"/>
    </xf>
    <xf numFmtId="2" fontId="28" fillId="6" borderId="1" xfId="0" applyNumberFormat="1" applyFont="1" applyFill="1" applyBorder="1" applyAlignment="1">
      <alignment horizontal="center" wrapText="1"/>
    </xf>
    <xf numFmtId="2" fontId="28" fillId="0" borderId="1" xfId="0" applyNumberFormat="1" applyFont="1" applyBorder="1" applyAlignment="1">
      <alignment horizontal="center" wrapText="1"/>
    </xf>
    <xf numFmtId="2" fontId="28" fillId="0" borderId="1" xfId="0" applyNumberFormat="1" applyFont="1" applyBorder="1" applyAlignment="1">
      <alignment horizontal="center"/>
    </xf>
    <xf numFmtId="2" fontId="20" fillId="4" borderId="1" xfId="0" applyNumberFormat="1" applyFont="1" applyFill="1" applyBorder="1" applyAlignment="1">
      <alignment wrapText="1"/>
    </xf>
    <xf numFmtId="2" fontId="28" fillId="0" borderId="4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CP1861"/>
  <sheetViews>
    <sheetView tabSelected="1" zoomScaleNormal="100" workbookViewId="0">
      <pane ySplit="1" topLeftCell="A2" activePane="bottomLeft" state="frozen"/>
      <selection activeCell="BL1" sqref="BL1"/>
      <selection pane="bottomLeft" activeCell="F1867" sqref="A1:XFD1048576"/>
    </sheetView>
  </sheetViews>
  <sheetFormatPr defaultRowHeight="14.1" customHeight="1" x14ac:dyDescent="0.2"/>
  <cols>
    <col min="1" max="1" width="31.85546875" style="79" customWidth="1"/>
    <col min="2" max="2" width="10.140625" style="58" bestFit="1" customWidth="1"/>
    <col min="3" max="3" width="6.5703125" style="58" customWidth="1"/>
    <col min="4" max="4" width="16.7109375" style="79" customWidth="1"/>
    <col min="5" max="5" width="11" style="456" customWidth="1"/>
    <col min="6" max="6" width="10.85546875" style="79" customWidth="1"/>
    <col min="7" max="7" width="31.5703125" style="79" customWidth="1"/>
    <col min="8" max="8" width="12.5703125" style="58" customWidth="1"/>
    <col min="9" max="9" width="2.7109375" style="56" customWidth="1"/>
    <col min="10" max="10" width="7.42578125" style="79" customWidth="1"/>
    <col min="11" max="11" width="2" style="56" customWidth="1"/>
    <col min="12" max="12" width="10.140625" style="56" customWidth="1"/>
    <col min="13" max="13" width="2.140625" style="56" customWidth="1"/>
    <col min="14" max="14" width="16.42578125" style="58" customWidth="1"/>
    <col min="15" max="15" width="10.42578125" style="456" customWidth="1"/>
    <col min="16" max="16" width="4.85546875" style="56" customWidth="1"/>
    <col min="17" max="18" width="4" style="56" customWidth="1"/>
    <col min="19" max="19" width="4.28515625" style="56" customWidth="1"/>
    <col min="20" max="21" width="4" style="56" customWidth="1"/>
    <col min="22" max="22" width="8.28515625" style="56" customWidth="1"/>
    <col min="23" max="23" width="7.28515625" style="56" customWidth="1"/>
    <col min="24" max="24" width="8.7109375" style="56" customWidth="1"/>
    <col min="25" max="25" width="11.5703125" style="491" customWidth="1"/>
    <col min="26" max="26" width="12.85546875" style="57" customWidth="1"/>
    <col min="27" max="28" width="11.5703125" style="491" customWidth="1"/>
    <col min="29" max="30" width="10.5703125" style="491" customWidth="1"/>
    <col min="31" max="31" width="12" style="57" customWidth="1"/>
    <col min="32" max="32" width="5.5703125" style="57" customWidth="1"/>
    <col min="33" max="33" width="12.85546875" style="57" customWidth="1"/>
    <col min="34" max="34" width="7.85546875" style="56" customWidth="1"/>
    <col min="35" max="35" width="8.5703125" style="56" customWidth="1"/>
    <col min="36" max="36" width="6.28515625" style="56" customWidth="1"/>
    <col min="37" max="37" width="9.85546875" style="56" customWidth="1"/>
    <col min="38" max="38" width="7.28515625" style="56" customWidth="1"/>
    <col min="39" max="39" width="9.140625" style="56" customWidth="1"/>
    <col min="40" max="40" width="9.42578125" style="56" customWidth="1"/>
    <col min="41" max="41" width="8" style="56" customWidth="1"/>
    <col min="42" max="42" width="9.140625" style="56" customWidth="1"/>
    <col min="43" max="43" width="7.5703125" style="56" customWidth="1"/>
    <col min="44" max="44" width="8.5703125" style="56" customWidth="1"/>
    <col min="45" max="45" width="8.28515625" style="56" customWidth="1"/>
    <col min="46" max="46" width="6.5703125" style="56" customWidth="1"/>
    <col min="47" max="47" width="27.140625" style="56" customWidth="1"/>
    <col min="48" max="48" width="9.140625" style="56" customWidth="1"/>
    <col min="49" max="49" width="6" style="56" customWidth="1"/>
    <col min="50" max="50" width="2" style="56" customWidth="1"/>
    <col min="51" max="51" width="6" style="56" customWidth="1"/>
    <col min="52" max="52" width="9" style="56" customWidth="1"/>
    <col min="53" max="53" width="9.7109375" style="56" customWidth="1"/>
    <col min="54" max="54" width="9.140625" style="56" customWidth="1"/>
    <col min="55" max="55" width="5" style="56" customWidth="1"/>
    <col min="56" max="56" width="2" style="56" customWidth="1"/>
    <col min="57" max="57" width="8.28515625" style="56" customWidth="1"/>
    <col min="58" max="58" width="4.42578125" style="56" customWidth="1"/>
    <col min="59" max="59" width="6.42578125" style="56" customWidth="1"/>
    <col min="60" max="60" width="9.5703125" style="56" customWidth="1"/>
    <col min="61" max="61" width="11.85546875" style="56" customWidth="1"/>
    <col min="62" max="62" width="4.42578125" style="56" customWidth="1"/>
    <col min="63" max="63" width="9.7109375" style="56" customWidth="1"/>
    <col min="64" max="64" width="9.140625" style="56" customWidth="1"/>
    <col min="65" max="65" width="148.7109375" style="58" customWidth="1"/>
    <col min="66" max="66" width="9.140625" style="56" customWidth="1"/>
    <col min="67" max="67" width="80.42578125" style="58" customWidth="1"/>
    <col min="68" max="68" width="10.85546875" style="56" customWidth="1"/>
    <col min="69" max="69" width="5.5703125" style="56" customWidth="1"/>
    <col min="70" max="70" width="7.5703125" style="56" customWidth="1"/>
    <col min="71" max="71" width="18.85546875" style="56" customWidth="1"/>
    <col min="72" max="72" width="14.42578125" style="56" customWidth="1"/>
    <col min="73" max="75" width="9.140625" style="56" customWidth="1"/>
    <col min="76" max="76" width="9.7109375" style="56" customWidth="1"/>
    <col min="77" max="77" width="10.5703125" style="56" customWidth="1"/>
    <col min="78" max="82" width="9.140625" style="56" customWidth="1"/>
    <col min="83" max="83" width="10" style="56" customWidth="1"/>
    <col min="84" max="91" width="9.140625" style="56" customWidth="1"/>
    <col min="92" max="92" width="9.140625" style="56"/>
    <col min="93" max="96" width="9.140625" style="56" customWidth="1"/>
    <col min="97" max="16384" width="9.140625" style="56"/>
  </cols>
  <sheetData>
    <row r="1" spans="1:94" s="59" customFormat="1" ht="14.1" customHeight="1" x14ac:dyDescent="0.3">
      <c r="A1" s="498" t="s">
        <v>0</v>
      </c>
      <c r="B1" s="480" t="s">
        <v>1</v>
      </c>
      <c r="C1" s="455" t="s">
        <v>2</v>
      </c>
      <c r="D1" s="102" t="s">
        <v>3</v>
      </c>
      <c r="E1" s="499" t="s">
        <v>2666</v>
      </c>
      <c r="F1" s="102" t="s">
        <v>4</v>
      </c>
      <c r="G1" s="102" t="s">
        <v>5</v>
      </c>
      <c r="H1" s="455" t="s">
        <v>6</v>
      </c>
      <c r="I1" s="102" t="s">
        <v>7</v>
      </c>
      <c r="J1" s="102" t="s">
        <v>8</v>
      </c>
      <c r="K1" s="102" t="s">
        <v>9</v>
      </c>
      <c r="L1" s="103" t="s">
        <v>10</v>
      </c>
      <c r="M1" s="102" t="s">
        <v>11</v>
      </c>
      <c r="N1" s="455" t="s">
        <v>12</v>
      </c>
      <c r="O1" s="481" t="s">
        <v>13</v>
      </c>
      <c r="P1" s="102" t="s">
        <v>14</v>
      </c>
      <c r="Q1" s="102" t="s">
        <v>15</v>
      </c>
      <c r="R1" s="102" t="s">
        <v>16</v>
      </c>
      <c r="S1" s="102" t="s">
        <v>17</v>
      </c>
      <c r="T1" s="102" t="s">
        <v>18</v>
      </c>
      <c r="U1" s="102" t="s">
        <v>19</v>
      </c>
      <c r="V1" s="102" t="s">
        <v>20</v>
      </c>
      <c r="W1" s="102" t="s">
        <v>21</v>
      </c>
      <c r="X1" s="104" t="s">
        <v>22</v>
      </c>
      <c r="Y1" s="104" t="s">
        <v>23</v>
      </c>
      <c r="Z1" s="104" t="s">
        <v>1174</v>
      </c>
      <c r="AA1" s="104" t="s">
        <v>24</v>
      </c>
      <c r="AB1" s="104" t="s">
        <v>25</v>
      </c>
      <c r="AC1" s="104" t="s">
        <v>26</v>
      </c>
      <c r="AD1" s="104" t="s">
        <v>27</v>
      </c>
      <c r="AE1" s="105" t="s">
        <v>28</v>
      </c>
      <c r="AF1" s="104" t="s">
        <v>29</v>
      </c>
      <c r="AG1" s="104" t="s">
        <v>30</v>
      </c>
      <c r="AH1" s="102" t="s">
        <v>31</v>
      </c>
      <c r="AI1" s="106" t="s">
        <v>32</v>
      </c>
      <c r="AJ1" s="102" t="s">
        <v>33</v>
      </c>
      <c r="AK1" s="102" t="s">
        <v>34</v>
      </c>
      <c r="AL1" s="102" t="s">
        <v>35</v>
      </c>
      <c r="AM1" s="102" t="s">
        <v>36</v>
      </c>
      <c r="AN1" s="102" t="s">
        <v>37</v>
      </c>
      <c r="AO1" s="102" t="s">
        <v>38</v>
      </c>
      <c r="AP1" s="102" t="s">
        <v>39</v>
      </c>
      <c r="AQ1" s="102" t="s">
        <v>40</v>
      </c>
      <c r="AR1" s="102" t="s">
        <v>41</v>
      </c>
      <c r="AS1" s="102" t="s">
        <v>42</v>
      </c>
      <c r="AT1" s="107" t="s">
        <v>43</v>
      </c>
      <c r="AU1" s="102" t="s">
        <v>44</v>
      </c>
      <c r="AV1" s="102" t="s">
        <v>45</v>
      </c>
      <c r="AW1" s="102" t="s">
        <v>46</v>
      </c>
      <c r="AX1" s="102" t="s">
        <v>47</v>
      </c>
      <c r="AY1" s="102" t="s">
        <v>48</v>
      </c>
      <c r="AZ1" s="102" t="s">
        <v>49</v>
      </c>
      <c r="BA1" s="102" t="s">
        <v>50</v>
      </c>
      <c r="BB1" s="102" t="s">
        <v>51</v>
      </c>
      <c r="BC1" s="102" t="s">
        <v>52</v>
      </c>
      <c r="BD1" s="108" t="s">
        <v>53</v>
      </c>
      <c r="BE1" s="109" t="s">
        <v>54</v>
      </c>
      <c r="BF1" s="102" t="s">
        <v>55</v>
      </c>
      <c r="BG1" s="102" t="s">
        <v>56</v>
      </c>
      <c r="BH1" s="102" t="s">
        <v>49</v>
      </c>
      <c r="BI1" s="110" t="s">
        <v>50</v>
      </c>
      <c r="BJ1" s="110" t="s">
        <v>51</v>
      </c>
      <c r="BK1" s="110" t="s">
        <v>52</v>
      </c>
      <c r="BL1" s="36"/>
      <c r="BM1" s="37" t="s">
        <v>57</v>
      </c>
      <c r="BN1" s="38"/>
      <c r="BO1" s="39" t="s">
        <v>58</v>
      </c>
      <c r="BP1" s="40" t="s">
        <v>59</v>
      </c>
      <c r="BQ1" s="75" t="s">
        <v>60</v>
      </c>
      <c r="BR1" s="75" t="s">
        <v>61</v>
      </c>
      <c r="BS1" s="75" t="s">
        <v>62</v>
      </c>
      <c r="BT1" s="75" t="s">
        <v>63</v>
      </c>
      <c r="BU1" s="76"/>
      <c r="BV1" s="76"/>
      <c r="BW1" s="76"/>
      <c r="BX1" s="63" t="s">
        <v>1175</v>
      </c>
      <c r="BY1" s="64" t="s">
        <v>30</v>
      </c>
      <c r="CG1" s="59" t="s">
        <v>3835</v>
      </c>
      <c r="CO1" s="63" t="s">
        <v>1175</v>
      </c>
      <c r="CP1" s="64" t="s">
        <v>30</v>
      </c>
    </row>
    <row r="2" spans="1:94" s="11" customFormat="1" ht="15" hidden="1" customHeight="1" x14ac:dyDescent="0.3">
      <c r="A2" s="111" t="s">
        <v>64</v>
      </c>
      <c r="B2" s="112">
        <v>46109</v>
      </c>
      <c r="C2" s="111">
        <v>1</v>
      </c>
      <c r="D2" s="111" t="s">
        <v>76</v>
      </c>
      <c r="E2" s="113">
        <v>46113</v>
      </c>
      <c r="F2" s="114" t="s">
        <v>95</v>
      </c>
      <c r="G2" s="114" t="s">
        <v>96</v>
      </c>
      <c r="H2" s="114" t="s">
        <v>97</v>
      </c>
      <c r="I2" s="115"/>
      <c r="J2" s="114" t="s">
        <v>113</v>
      </c>
      <c r="K2" s="116">
        <v>0</v>
      </c>
      <c r="L2" s="117">
        <v>46109</v>
      </c>
      <c r="M2" s="115"/>
      <c r="N2" s="114">
        <v>612</v>
      </c>
      <c r="O2" s="113">
        <v>46110</v>
      </c>
      <c r="P2" s="118">
        <v>0</v>
      </c>
      <c r="Q2" s="118">
        <v>240</v>
      </c>
      <c r="R2" s="118">
        <v>182</v>
      </c>
      <c r="S2" s="118">
        <v>0</v>
      </c>
      <c r="T2" s="118">
        <v>422</v>
      </c>
      <c r="U2" s="118">
        <v>422</v>
      </c>
      <c r="V2" s="118">
        <v>0</v>
      </c>
      <c r="W2" s="118">
        <v>255</v>
      </c>
      <c r="X2" s="118">
        <v>256.5</v>
      </c>
      <c r="Y2" s="118">
        <f>1749277.9-13033.82</f>
        <v>1736244.0799999998</v>
      </c>
      <c r="Z2" s="119"/>
      <c r="AA2" s="118">
        <f>Y2*2.5%</f>
        <v>43406.101999999999</v>
      </c>
      <c r="AB2" s="118">
        <f>Y2*2.5%</f>
        <v>43406.101999999999</v>
      </c>
      <c r="AC2" s="118">
        <v>1836741.8</v>
      </c>
      <c r="AD2" s="120">
        <f t="shared" ref="AD2:AD65" si="0">SUM(AC2-AC2*0.1%)</f>
        <v>1834905.0582000001</v>
      </c>
      <c r="AE2" s="121">
        <v>41.02</v>
      </c>
      <c r="AF2" s="118">
        <v>39.590000000000003</v>
      </c>
      <c r="AG2" s="121">
        <v>41.14</v>
      </c>
      <c r="AH2" s="122">
        <v>4.4999999999999997E-3</v>
      </c>
      <c r="AI2" s="122">
        <v>4.7E-2</v>
      </c>
      <c r="AJ2" s="122">
        <v>5.8999999999999997E-2</v>
      </c>
      <c r="AK2" s="120">
        <f t="shared" ref="AK2:AK20" si="1">+IF(AF2=42,IF(MIN(AE2,AG2)&lt;AF2,Y2*((AF2-MIN(AE2,AG2))/AF2)),IF(MIN(AE2,AG2)&lt;AF2,Y2*((AF2-MIN(AE2,AG2))/AF2),0))</f>
        <v>0</v>
      </c>
      <c r="AL2" s="120">
        <v>0</v>
      </c>
      <c r="AM2" s="120"/>
      <c r="AN2" s="120">
        <v>0</v>
      </c>
      <c r="AO2" s="123">
        <f t="shared" ref="AO2:AO20" si="2">AT2*Y2/AW2</f>
        <v>0</v>
      </c>
      <c r="AP2" s="120"/>
      <c r="AQ2" s="120">
        <v>0</v>
      </c>
      <c r="AR2" s="120">
        <f t="shared" ref="AR2:AR20" si="3">SUM(AK2:AQ2)</f>
        <v>0</v>
      </c>
      <c r="AS2" s="120">
        <f t="shared" ref="AS2:AS20" si="4">ROUND(AR2*1.05,0)</f>
        <v>0</v>
      </c>
      <c r="AT2" s="120">
        <v>0</v>
      </c>
      <c r="AU2" s="124"/>
      <c r="AV2" s="124"/>
      <c r="AW2" s="120">
        <f t="shared" ref="AW2:AW20" si="5">W2*100</f>
        <v>25500</v>
      </c>
      <c r="AX2" s="120">
        <v>0</v>
      </c>
      <c r="AY2" s="120">
        <f t="shared" ref="AY2:AY20" si="6">+AW2+AX2</f>
        <v>25500</v>
      </c>
      <c r="AZ2" s="120">
        <f t="shared" ref="AZ2:AZ20" si="7">X2*100</f>
        <v>25650</v>
      </c>
      <c r="BA2" s="125">
        <f t="shared" ref="BA2:BA20" si="8">AY2-AZ2</f>
        <v>-150</v>
      </c>
      <c r="BB2" s="120"/>
      <c r="BC2" s="120">
        <v>0</v>
      </c>
      <c r="BD2" s="125">
        <v>0</v>
      </c>
      <c r="BE2" s="118">
        <v>258.39999999999998</v>
      </c>
      <c r="BF2" s="126">
        <f t="shared" ref="BF2:BF20" si="9">+BE2*0.15/100</f>
        <v>0.3876</v>
      </c>
      <c r="BG2" s="126">
        <f t="shared" ref="BG2:BG20" si="10">BE2-BF2</f>
        <v>258.01239999999996</v>
      </c>
      <c r="BH2" s="126">
        <f t="shared" ref="BH2:BH20" si="11">X2</f>
        <v>256.5</v>
      </c>
      <c r="BI2" s="127">
        <f t="shared" ref="BI2:BI20" si="12">(BE2-BH2)*100</f>
        <v>189.99999999999773</v>
      </c>
      <c r="BJ2" s="127">
        <v>0</v>
      </c>
      <c r="BK2" s="120">
        <f t="shared" ref="BK2:BK20" si="13">BI2</f>
        <v>189.99999999999773</v>
      </c>
      <c r="BL2" s="12"/>
      <c r="BM2" s="13" t="str">
        <f t="shared" ref="BM2:BM20" si="14">+$C$1&amp;" "&amp;C2 &amp;" "&amp;$N$1&amp;" "&amp;N2&amp;" "&amp;$BM$1&amp;" "&amp;$AK$1&amp;" "&amp;AK2&amp;" "&amp;$AL$1&amp;" "&amp;AL2&amp;" "&amp;$AM$1&amp;" "&amp;AM2&amp;" "&amp;$AN$1&amp;" "&amp;AN2&amp;" "&amp;$AO$1&amp;" "&amp;AO2&amp;" "&amp;$AP$1&amp;" "&amp;AP2&amp;" "&amp;$AQ$1&amp;" "&amp;AQ2</f>
        <v>Unloading no. 1 Bill No 612 ,Deduction For Oil Deduction= 0 ,Bardana= 0 ,F.M=  Brokerage/Rate Difference 0 ,Shortage = 0 ,Greenish=  ,Moisture= 0</v>
      </c>
      <c r="BN2" s="14"/>
      <c r="BO2" s="13" t="str">
        <f>+" "&amp;$AF$1&amp;" "&amp;AF2&amp;" "&amp;" "&amp;$AH$1&amp;" "&amp;AH2*100&amp;" "&amp;$AI$1&amp;" "&amp;AI2*100&amp;" "&amp;$AJ$1&amp;" "&amp;AJ2*100&amp;" ,"&amp;$AT$1&amp;" "&amp;AT2&amp;" "&amp;IF(AE2&gt;AG2," ,Oil%"&amp;" "&amp;AG2," ,Oil%"&amp;" "&amp;AE2)</f>
        <v xml:space="preserve"> Party Condition 39.59  ,F.M% 0.45 ,Greenish 4.7 ,Moisture 5.9 ,Shortage in KG= 0  ,Oil% 41.02</v>
      </c>
      <c r="BP2" s="15">
        <f>(Y2-AR2)/X2</f>
        <v>6768.9827680311882</v>
      </c>
      <c r="BQ2" s="7" t="str">
        <f t="shared" ref="BQ2:BQ20" si="15">RIGHT(BO2,5)</f>
        <v>41.02</v>
      </c>
      <c r="BR2" s="8">
        <f t="shared" ref="BR2:BR20" si="16">BP2*42/BQ2</f>
        <v>6930.6990798954139</v>
      </c>
      <c r="BS2" s="7" t="s">
        <v>62</v>
      </c>
      <c r="BT2" s="7" t="s">
        <v>63</v>
      </c>
      <c r="BW2" s="91"/>
      <c r="BX2" s="27">
        <v>41.02</v>
      </c>
      <c r="BY2" s="27">
        <v>41.14</v>
      </c>
      <c r="BZ2" s="95"/>
    </row>
    <row r="3" spans="1:94" s="1" customFormat="1" ht="15" hidden="1" customHeight="1" x14ac:dyDescent="0.3">
      <c r="A3" s="128" t="s">
        <v>65</v>
      </c>
      <c r="B3" s="129">
        <v>46107</v>
      </c>
      <c r="C3" s="128">
        <v>2</v>
      </c>
      <c r="D3" s="128" t="s">
        <v>77</v>
      </c>
      <c r="E3" s="130">
        <v>46113</v>
      </c>
      <c r="F3" s="131" t="s">
        <v>95</v>
      </c>
      <c r="G3" s="131" t="s">
        <v>96</v>
      </c>
      <c r="H3" s="131" t="s">
        <v>97</v>
      </c>
      <c r="I3" s="132"/>
      <c r="J3" s="131" t="s">
        <v>113</v>
      </c>
      <c r="K3" s="133">
        <v>0</v>
      </c>
      <c r="L3" s="134">
        <v>46107</v>
      </c>
      <c r="M3" s="132"/>
      <c r="N3" s="131">
        <v>608</v>
      </c>
      <c r="O3" s="130">
        <v>46110</v>
      </c>
      <c r="P3" s="135">
        <v>0</v>
      </c>
      <c r="Q3" s="135">
        <v>400</v>
      </c>
      <c r="R3" s="135">
        <v>96</v>
      </c>
      <c r="S3" s="135">
        <v>0</v>
      </c>
      <c r="T3" s="135">
        <v>496</v>
      </c>
      <c r="U3" s="135">
        <v>496</v>
      </c>
      <c r="V3" s="135">
        <v>0</v>
      </c>
      <c r="W3" s="135">
        <v>297.60000000000002</v>
      </c>
      <c r="X3" s="135">
        <v>300.2</v>
      </c>
      <c r="Y3" s="135">
        <v>2062360.06</v>
      </c>
      <c r="Z3" s="136"/>
      <c r="AA3" s="135">
        <v>51559.001499999998</v>
      </c>
      <c r="AB3" s="135">
        <v>51559.001499999998</v>
      </c>
      <c r="AC3" s="135">
        <v>2165478.06</v>
      </c>
      <c r="AD3" s="137">
        <f t="shared" si="0"/>
        <v>2163312.5819399999</v>
      </c>
      <c r="AE3" s="138">
        <v>40.25</v>
      </c>
      <c r="AF3" s="135">
        <v>39.880000000000003</v>
      </c>
      <c r="AG3" s="138">
        <v>40.17</v>
      </c>
      <c r="AH3" s="139">
        <v>4.1999999999999997E-3</v>
      </c>
      <c r="AI3" s="139">
        <v>4.1599999999999998E-2</v>
      </c>
      <c r="AJ3" s="139">
        <v>0.06</v>
      </c>
      <c r="AK3" s="137">
        <f t="shared" si="1"/>
        <v>0</v>
      </c>
      <c r="AL3" s="137">
        <v>0</v>
      </c>
      <c r="AM3" s="137"/>
      <c r="AN3" s="137">
        <v>0</v>
      </c>
      <c r="AO3" s="140">
        <f t="shared" si="2"/>
        <v>6999.273053091476</v>
      </c>
      <c r="AP3" s="137"/>
      <c r="AQ3" s="137">
        <v>0</v>
      </c>
      <c r="AR3" s="137">
        <f t="shared" si="3"/>
        <v>6999.273053091476</v>
      </c>
      <c r="AS3" s="137">
        <f t="shared" si="4"/>
        <v>7349</v>
      </c>
      <c r="AT3" s="137">
        <f>BK3+81-60</f>
        <v>101.00000000000114</v>
      </c>
      <c r="AU3" s="141"/>
      <c r="AV3" s="141"/>
      <c r="AW3" s="137">
        <f t="shared" si="5"/>
        <v>29760.000000000004</v>
      </c>
      <c r="AX3" s="137">
        <v>0</v>
      </c>
      <c r="AY3" s="137">
        <f t="shared" si="6"/>
        <v>29760.000000000004</v>
      </c>
      <c r="AZ3" s="137">
        <f t="shared" si="7"/>
        <v>30020</v>
      </c>
      <c r="BA3" s="142">
        <f t="shared" si="8"/>
        <v>-259.99999999999636</v>
      </c>
      <c r="BB3" s="137"/>
      <c r="BC3" s="137">
        <v>0</v>
      </c>
      <c r="BD3" s="142">
        <v>0</v>
      </c>
      <c r="BE3" s="135">
        <v>301</v>
      </c>
      <c r="BF3" s="143">
        <f t="shared" si="9"/>
        <v>0.45150000000000001</v>
      </c>
      <c r="BG3" s="143">
        <f t="shared" si="10"/>
        <v>300.54849999999999</v>
      </c>
      <c r="BH3" s="143">
        <f t="shared" si="11"/>
        <v>300.2</v>
      </c>
      <c r="BI3" s="144">
        <f t="shared" si="12"/>
        <v>80.000000000001137</v>
      </c>
      <c r="BJ3" s="144">
        <v>0</v>
      </c>
      <c r="BK3" s="137">
        <f t="shared" si="13"/>
        <v>80.000000000001137</v>
      </c>
      <c r="BL3" s="2"/>
      <c r="BM3" s="10" t="str">
        <f t="shared" si="14"/>
        <v>Unloading no. 2 Bill No 608 ,Deduction For Oil Deduction= 0 ,Bardana= 0 ,F.M=  Brokerage/Rate Difference 0 ,Shortage = 6999.27305309148 ,Greenish=  ,Moisture= 0</v>
      </c>
      <c r="BN3" s="3"/>
      <c r="BO3" s="13" t="str">
        <f t="shared" ref="BO3:BO66" si="17">+" "&amp;$AF$1&amp;" "&amp;AF3&amp;" "&amp;" "&amp;$AH$1&amp;" "&amp;AH3*100&amp;" "&amp;$AI$1&amp;" "&amp;AI3*100&amp;" "&amp;$AJ$1&amp;" "&amp;AJ3*100&amp;" ,"&amp;$AT$1&amp;" "&amp;AT3&amp;" "&amp;IF(AE3&gt;AG3," ,Oil%"&amp;" "&amp;AG3," ,Oil%"&amp;" "&amp;AE3)</f>
        <v xml:space="preserve"> Party Condition 39.88  ,F.M% 0.42 ,Greenish 4.16 ,Moisture 6 ,Shortage in KG= 101.000000000001  ,Oil% 40.17</v>
      </c>
      <c r="BP3" s="4">
        <f t="shared" ref="BP3:BP66" si="18">(Y3-AR3)/X3</f>
        <v>6846.6381976912344</v>
      </c>
      <c r="BQ3" s="5" t="str">
        <f t="shared" si="15"/>
        <v>40.17</v>
      </c>
      <c r="BR3" s="6">
        <f t="shared" si="16"/>
        <v>7158.5462858608862</v>
      </c>
      <c r="BS3" s="5" t="s">
        <v>62</v>
      </c>
      <c r="BT3" s="5" t="s">
        <v>63</v>
      </c>
      <c r="BW3" s="92"/>
      <c r="BX3" s="27">
        <v>40.25</v>
      </c>
      <c r="BY3" s="27">
        <v>40.17</v>
      </c>
      <c r="BZ3" s="96"/>
    </row>
    <row r="4" spans="1:94" s="1" customFormat="1" ht="15" hidden="1" customHeight="1" x14ac:dyDescent="0.3">
      <c r="A4" s="128" t="s">
        <v>66</v>
      </c>
      <c r="B4" s="129">
        <v>46109</v>
      </c>
      <c r="C4" s="128">
        <v>3</v>
      </c>
      <c r="D4" s="128" t="s">
        <v>78</v>
      </c>
      <c r="E4" s="130">
        <v>46113</v>
      </c>
      <c r="F4" s="131" t="s">
        <v>98</v>
      </c>
      <c r="G4" s="131" t="s">
        <v>99</v>
      </c>
      <c r="H4" s="131" t="s">
        <v>100</v>
      </c>
      <c r="I4" s="132"/>
      <c r="J4" s="131" t="s">
        <v>113</v>
      </c>
      <c r="K4" s="133">
        <v>0</v>
      </c>
      <c r="L4" s="134">
        <v>46109</v>
      </c>
      <c r="M4" s="132"/>
      <c r="N4" s="131">
        <v>333</v>
      </c>
      <c r="O4" s="130">
        <v>46110</v>
      </c>
      <c r="P4" s="135">
        <v>0</v>
      </c>
      <c r="Q4" s="135">
        <v>539</v>
      </c>
      <c r="R4" s="135">
        <v>0</v>
      </c>
      <c r="S4" s="135">
        <v>0</v>
      </c>
      <c r="T4" s="135">
        <v>539</v>
      </c>
      <c r="U4" s="135">
        <v>539</v>
      </c>
      <c r="V4" s="135">
        <v>0</v>
      </c>
      <c r="W4" s="135">
        <v>323.39999999999998</v>
      </c>
      <c r="X4" s="135">
        <v>327.3</v>
      </c>
      <c r="Y4" s="135">
        <v>2219793.88</v>
      </c>
      <c r="Z4" s="136"/>
      <c r="AA4" s="135">
        <v>55494.847000000002</v>
      </c>
      <c r="AB4" s="135">
        <v>55494.847000000002</v>
      </c>
      <c r="AC4" s="135">
        <v>2330783.5699999998</v>
      </c>
      <c r="AD4" s="137">
        <f t="shared" si="0"/>
        <v>2328452.7864299999</v>
      </c>
      <c r="AE4" s="138">
        <v>40.28</v>
      </c>
      <c r="AF4" s="135">
        <v>39.49</v>
      </c>
      <c r="AG4" s="138">
        <v>40.200000000000003</v>
      </c>
      <c r="AH4" s="139">
        <v>4.7000000000000002E-3</v>
      </c>
      <c r="AI4" s="139">
        <v>0.05</v>
      </c>
      <c r="AJ4" s="139">
        <v>5.8000000000000003E-2</v>
      </c>
      <c r="AK4" s="137">
        <f t="shared" si="1"/>
        <v>0</v>
      </c>
      <c r="AL4" s="137">
        <f>T4*0.5</f>
        <v>269.5</v>
      </c>
      <c r="AM4" s="137"/>
      <c r="AN4" s="137">
        <v>0</v>
      </c>
      <c r="AO4" s="140">
        <f t="shared" si="2"/>
        <v>0</v>
      </c>
      <c r="AP4" s="137"/>
      <c r="AQ4" s="137">
        <v>0</v>
      </c>
      <c r="AR4" s="137">
        <f t="shared" si="3"/>
        <v>269.5</v>
      </c>
      <c r="AS4" s="137">
        <f t="shared" si="4"/>
        <v>283</v>
      </c>
      <c r="AT4" s="137">
        <v>0</v>
      </c>
      <c r="AU4" s="141"/>
      <c r="AV4" s="141"/>
      <c r="AW4" s="137">
        <f t="shared" si="5"/>
        <v>32339.999999999996</v>
      </c>
      <c r="AX4" s="137">
        <v>0</v>
      </c>
      <c r="AY4" s="137">
        <f t="shared" si="6"/>
        <v>32339.999999999996</v>
      </c>
      <c r="AZ4" s="137">
        <f t="shared" si="7"/>
        <v>32730</v>
      </c>
      <c r="BA4" s="142">
        <f t="shared" si="8"/>
        <v>-390.00000000000364</v>
      </c>
      <c r="BB4" s="137"/>
      <c r="BC4" s="137">
        <v>0</v>
      </c>
      <c r="BD4" s="142">
        <v>0</v>
      </c>
      <c r="BE4" s="135">
        <v>327.60000000000002</v>
      </c>
      <c r="BF4" s="143">
        <f t="shared" si="9"/>
        <v>0.4914</v>
      </c>
      <c r="BG4" s="143">
        <f t="shared" si="10"/>
        <v>327.10860000000002</v>
      </c>
      <c r="BH4" s="143">
        <f t="shared" si="11"/>
        <v>327.3</v>
      </c>
      <c r="BI4" s="144">
        <f t="shared" si="12"/>
        <v>30.000000000001137</v>
      </c>
      <c r="BJ4" s="144">
        <v>0</v>
      </c>
      <c r="BK4" s="137">
        <f t="shared" si="13"/>
        <v>30.000000000001137</v>
      </c>
      <c r="BL4" s="2"/>
      <c r="BM4" s="10" t="str">
        <f t="shared" si="14"/>
        <v>Unloading no. 3 Bill No 333 ,Deduction For Oil Deduction= 0 ,Bardana= 269.5 ,F.M=  Brokerage/Rate Difference 0 ,Shortage = 0 ,Greenish=  ,Moisture= 0</v>
      </c>
      <c r="BN4" s="3"/>
      <c r="BO4" s="13" t="str">
        <f t="shared" si="17"/>
        <v xml:space="preserve"> Party Condition 39.49  ,F.M% 0.47 ,Greenish 5 ,Moisture 5.8 ,Shortage in KG= 0  ,Oil% 40.2</v>
      </c>
      <c r="BP4" s="4">
        <f t="shared" si="18"/>
        <v>6781.314940421631</v>
      </c>
      <c r="BQ4" s="5" t="str">
        <f t="shared" si="15"/>
        <v xml:space="preserve"> 40.2</v>
      </c>
      <c r="BR4" s="6">
        <f t="shared" si="16"/>
        <v>7084.955907903196</v>
      </c>
      <c r="BS4" s="5" t="s">
        <v>62</v>
      </c>
      <c r="BT4" s="5" t="s">
        <v>63</v>
      </c>
      <c r="BW4" s="92"/>
      <c r="BX4" s="27">
        <v>40.28</v>
      </c>
      <c r="BY4" s="27">
        <v>40.200000000000003</v>
      </c>
      <c r="BZ4" s="96"/>
    </row>
    <row r="5" spans="1:94" s="1" customFormat="1" ht="15" hidden="1" customHeight="1" x14ac:dyDescent="0.3">
      <c r="A5" s="128" t="s">
        <v>67</v>
      </c>
      <c r="B5" s="129">
        <v>46105</v>
      </c>
      <c r="C5" s="128">
        <v>4</v>
      </c>
      <c r="D5" s="128" t="s">
        <v>79</v>
      </c>
      <c r="E5" s="130">
        <v>46113</v>
      </c>
      <c r="F5" s="131" t="s">
        <v>98</v>
      </c>
      <c r="G5" s="131" t="s">
        <v>99</v>
      </c>
      <c r="H5" s="131" t="s">
        <v>100</v>
      </c>
      <c r="I5" s="132"/>
      <c r="J5" s="131" t="s">
        <v>113</v>
      </c>
      <c r="K5" s="133">
        <v>0</v>
      </c>
      <c r="L5" s="134">
        <v>46105</v>
      </c>
      <c r="M5" s="132"/>
      <c r="N5" s="131">
        <v>332</v>
      </c>
      <c r="O5" s="130">
        <v>46110</v>
      </c>
      <c r="P5" s="135">
        <v>0</v>
      </c>
      <c r="Q5" s="135">
        <v>310</v>
      </c>
      <c r="R5" s="135">
        <v>117</v>
      </c>
      <c r="S5" s="135">
        <v>0</v>
      </c>
      <c r="T5" s="135">
        <v>427</v>
      </c>
      <c r="U5" s="135">
        <v>427</v>
      </c>
      <c r="V5" s="135">
        <v>0</v>
      </c>
      <c r="W5" s="135">
        <v>256.2</v>
      </c>
      <c r="X5" s="135">
        <v>258.3</v>
      </c>
      <c r="Y5" s="135">
        <v>1747552.16</v>
      </c>
      <c r="Z5" s="136"/>
      <c r="AA5" s="135">
        <v>43688.803999999996</v>
      </c>
      <c r="AB5" s="135">
        <v>43688.803999999996</v>
      </c>
      <c r="AC5" s="135">
        <v>1834929.77</v>
      </c>
      <c r="AD5" s="137">
        <f t="shared" si="0"/>
        <v>1833094.84023</v>
      </c>
      <c r="AE5" s="138">
        <v>40.35</v>
      </c>
      <c r="AF5" s="135">
        <v>39.299999999999997</v>
      </c>
      <c r="AG5" s="138">
        <v>40.270000000000003</v>
      </c>
      <c r="AH5" s="139">
        <v>4.1000000000000003E-3</v>
      </c>
      <c r="AI5" s="139">
        <v>0.05</v>
      </c>
      <c r="AJ5" s="139">
        <v>6.5000000000000002E-2</v>
      </c>
      <c r="AK5" s="137">
        <f t="shared" si="1"/>
        <v>0</v>
      </c>
      <c r="AL5" s="137">
        <f>T5*0.5</f>
        <v>213.5</v>
      </c>
      <c r="AM5" s="137"/>
      <c r="AN5" s="137">
        <v>0</v>
      </c>
      <c r="AO5" s="140">
        <f t="shared" si="2"/>
        <v>6957.4676159249802</v>
      </c>
      <c r="AP5" s="137"/>
      <c r="AQ5" s="137">
        <v>0</v>
      </c>
      <c r="AR5" s="137">
        <f t="shared" si="3"/>
        <v>7170.9676159249802</v>
      </c>
      <c r="AS5" s="137">
        <f t="shared" si="4"/>
        <v>7530</v>
      </c>
      <c r="AT5" s="137">
        <f>BK5+133-51</f>
        <v>101.99999999999886</v>
      </c>
      <c r="AU5" s="141"/>
      <c r="AV5" s="141"/>
      <c r="AW5" s="137">
        <f t="shared" si="5"/>
        <v>25620</v>
      </c>
      <c r="AX5" s="137">
        <v>0</v>
      </c>
      <c r="AY5" s="137">
        <f t="shared" si="6"/>
        <v>25620</v>
      </c>
      <c r="AZ5" s="137">
        <f t="shared" si="7"/>
        <v>25830</v>
      </c>
      <c r="BA5" s="142">
        <f t="shared" si="8"/>
        <v>-210</v>
      </c>
      <c r="BB5" s="137"/>
      <c r="BC5" s="137">
        <v>0</v>
      </c>
      <c r="BD5" s="142">
        <v>0</v>
      </c>
      <c r="BE5" s="135">
        <v>258.5</v>
      </c>
      <c r="BF5" s="143">
        <f t="shared" si="9"/>
        <v>0.38774999999999998</v>
      </c>
      <c r="BG5" s="143">
        <f t="shared" si="10"/>
        <v>258.11225000000002</v>
      </c>
      <c r="BH5" s="143">
        <f t="shared" si="11"/>
        <v>258.3</v>
      </c>
      <c r="BI5" s="144">
        <f t="shared" si="12"/>
        <v>19.999999999998863</v>
      </c>
      <c r="BJ5" s="144">
        <v>0</v>
      </c>
      <c r="BK5" s="137">
        <f t="shared" si="13"/>
        <v>19.999999999998863</v>
      </c>
      <c r="BL5" s="2"/>
      <c r="BM5" s="10" t="str">
        <f t="shared" si="14"/>
        <v>Unloading no. 4 Bill No 332 ,Deduction For Oil Deduction= 0 ,Bardana= 213.5 ,F.M=  Brokerage/Rate Difference 0 ,Shortage = 6957.46761592498 ,Greenish=  ,Moisture= 0</v>
      </c>
      <c r="BN5" s="3"/>
      <c r="BO5" s="13" t="str">
        <f t="shared" si="17"/>
        <v xml:space="preserve"> Party Condition 39.3  ,F.M% 0.41 ,Greenish 5 ,Moisture 6.5 ,Shortage in KG= 101.999999999999  ,Oil% 40.27</v>
      </c>
      <c r="BP5" s="4">
        <f t="shared" si="18"/>
        <v>6737.8288516611492</v>
      </c>
      <c r="BQ5" s="5" t="str">
        <f t="shared" si="15"/>
        <v>40.27</v>
      </c>
      <c r="BR5" s="6">
        <f t="shared" si="16"/>
        <v>7027.2861129815801</v>
      </c>
      <c r="BS5" s="5" t="s">
        <v>62</v>
      </c>
      <c r="BT5" s="5" t="s">
        <v>63</v>
      </c>
      <c r="BW5" s="92"/>
      <c r="BX5" s="27">
        <v>40.35</v>
      </c>
      <c r="BY5" s="27">
        <v>40.270000000000003</v>
      </c>
      <c r="BZ5" s="96"/>
    </row>
    <row r="6" spans="1:94" s="1" customFormat="1" ht="15" hidden="1" customHeight="1" x14ac:dyDescent="0.3">
      <c r="A6" s="128" t="s">
        <v>68</v>
      </c>
      <c r="B6" s="129">
        <v>46108</v>
      </c>
      <c r="C6" s="128">
        <v>5</v>
      </c>
      <c r="D6" s="128" t="s">
        <v>80</v>
      </c>
      <c r="E6" s="130">
        <v>46113</v>
      </c>
      <c r="F6" s="131" t="s">
        <v>101</v>
      </c>
      <c r="G6" s="131" t="s">
        <v>102</v>
      </c>
      <c r="H6" s="131" t="s">
        <v>103</v>
      </c>
      <c r="I6" s="132"/>
      <c r="J6" s="131" t="s">
        <v>113</v>
      </c>
      <c r="K6" s="133">
        <v>0</v>
      </c>
      <c r="L6" s="134">
        <v>46108</v>
      </c>
      <c r="M6" s="132"/>
      <c r="N6" s="131" t="s">
        <v>114</v>
      </c>
      <c r="O6" s="130">
        <v>46110</v>
      </c>
      <c r="P6" s="135">
        <v>0</v>
      </c>
      <c r="Q6" s="135">
        <v>700</v>
      </c>
      <c r="R6" s="135">
        <v>104</v>
      </c>
      <c r="S6" s="135">
        <v>0</v>
      </c>
      <c r="T6" s="135">
        <v>804</v>
      </c>
      <c r="U6" s="135">
        <v>804</v>
      </c>
      <c r="V6" s="135">
        <v>0</v>
      </c>
      <c r="W6" s="135">
        <v>482.4</v>
      </c>
      <c r="X6" s="135">
        <v>487.5</v>
      </c>
      <c r="Y6" s="135">
        <v>3335508.17</v>
      </c>
      <c r="Z6" s="136"/>
      <c r="AA6" s="135">
        <v>83387.704249999995</v>
      </c>
      <c r="AB6" s="135">
        <v>83387.704249999995</v>
      </c>
      <c r="AC6" s="135">
        <v>3502283.58</v>
      </c>
      <c r="AD6" s="137">
        <f t="shared" si="0"/>
        <v>3498781.29642</v>
      </c>
      <c r="AE6" s="138">
        <v>40.880000000000003</v>
      </c>
      <c r="AF6" s="135">
        <v>39.950000000000003</v>
      </c>
      <c r="AG6" s="138">
        <v>40.950000000000003</v>
      </c>
      <c r="AH6" s="139">
        <v>4.4000000000000003E-3</v>
      </c>
      <c r="AI6" s="139">
        <v>4.6600000000000003E-2</v>
      </c>
      <c r="AJ6" s="139">
        <v>6.3E-2</v>
      </c>
      <c r="AK6" s="137">
        <f t="shared" si="1"/>
        <v>0</v>
      </c>
      <c r="AL6" s="137">
        <v>0</v>
      </c>
      <c r="AM6" s="137"/>
      <c r="AN6" s="137">
        <v>0</v>
      </c>
      <c r="AO6" s="140">
        <f t="shared" si="2"/>
        <v>5324.0905698589595</v>
      </c>
      <c r="AP6" s="137"/>
      <c r="AQ6" s="137">
        <v>0</v>
      </c>
      <c r="AR6" s="137">
        <f t="shared" si="3"/>
        <v>5324.0905698589595</v>
      </c>
      <c r="AS6" s="137">
        <f t="shared" si="4"/>
        <v>5590</v>
      </c>
      <c r="AT6" s="137">
        <f>BK6+103-96</f>
        <v>76.999999999998863</v>
      </c>
      <c r="AU6" s="141"/>
      <c r="AV6" s="141"/>
      <c r="AW6" s="137">
        <f t="shared" si="5"/>
        <v>48240</v>
      </c>
      <c r="AX6" s="137">
        <v>0</v>
      </c>
      <c r="AY6" s="137">
        <f t="shared" si="6"/>
        <v>48240</v>
      </c>
      <c r="AZ6" s="137">
        <f t="shared" si="7"/>
        <v>48750</v>
      </c>
      <c r="BA6" s="142">
        <f t="shared" si="8"/>
        <v>-510</v>
      </c>
      <c r="BB6" s="137"/>
      <c r="BC6" s="137">
        <v>0</v>
      </c>
      <c r="BD6" s="142">
        <v>0</v>
      </c>
      <c r="BE6" s="135">
        <v>488.2</v>
      </c>
      <c r="BF6" s="143">
        <f t="shared" si="9"/>
        <v>0.73229999999999995</v>
      </c>
      <c r="BG6" s="143">
        <f t="shared" si="10"/>
        <v>487.46769999999998</v>
      </c>
      <c r="BH6" s="143">
        <f t="shared" si="11"/>
        <v>487.5</v>
      </c>
      <c r="BI6" s="144">
        <f t="shared" si="12"/>
        <v>69.999999999998863</v>
      </c>
      <c r="BJ6" s="144">
        <v>0</v>
      </c>
      <c r="BK6" s="137">
        <f t="shared" si="13"/>
        <v>69.999999999998863</v>
      </c>
      <c r="BL6" s="2"/>
      <c r="BM6" s="10" t="str">
        <f t="shared" si="14"/>
        <v>Unloading no. 5 Bill No L/PB/25-26/212 ,Deduction For Oil Deduction= 0 ,Bardana= 0 ,F.M=  Brokerage/Rate Difference 0 ,Shortage = 5324.09056985896 ,Greenish=  ,Moisture= 0</v>
      </c>
      <c r="BN6" s="3"/>
      <c r="BO6" s="13" t="str">
        <f t="shared" si="17"/>
        <v xml:space="preserve"> Party Condition 39.95  ,F.M% 0.44 ,Greenish 4.66 ,Moisture 6.3 ,Shortage in KG= 76.9999999999989  ,Oil% 40.88</v>
      </c>
      <c r="BP6" s="4">
        <f t="shared" si="18"/>
        <v>6831.1468296002895</v>
      </c>
      <c r="BQ6" s="5" t="str">
        <f t="shared" si="15"/>
        <v>40.88</v>
      </c>
      <c r="BR6" s="6">
        <f t="shared" si="16"/>
        <v>7018.3015372605705</v>
      </c>
      <c r="BS6" s="5" t="s">
        <v>62</v>
      </c>
      <c r="BT6" s="5" t="s">
        <v>63</v>
      </c>
      <c r="BW6" s="92"/>
      <c r="BX6" s="27">
        <v>40.880000000000003</v>
      </c>
      <c r="BY6" s="27">
        <v>40.950000000000003</v>
      </c>
      <c r="BZ6" s="96"/>
    </row>
    <row r="7" spans="1:94" s="1" customFormat="1" ht="15" hidden="1" customHeight="1" x14ac:dyDescent="0.3">
      <c r="A7" s="128" t="s">
        <v>69</v>
      </c>
      <c r="B7" s="129">
        <v>46108</v>
      </c>
      <c r="C7" s="128">
        <v>6</v>
      </c>
      <c r="D7" s="128" t="s">
        <v>81</v>
      </c>
      <c r="E7" s="130">
        <v>46113</v>
      </c>
      <c r="F7" s="131" t="s">
        <v>104</v>
      </c>
      <c r="G7" s="131" t="s">
        <v>105</v>
      </c>
      <c r="H7" s="131" t="s">
        <v>106</v>
      </c>
      <c r="I7" s="132"/>
      <c r="J7" s="131" t="s">
        <v>113</v>
      </c>
      <c r="K7" s="133">
        <v>0</v>
      </c>
      <c r="L7" s="134">
        <v>46108</v>
      </c>
      <c r="M7" s="132"/>
      <c r="N7" s="131" t="s">
        <v>115</v>
      </c>
      <c r="O7" s="130">
        <v>46110</v>
      </c>
      <c r="P7" s="135">
        <v>0</v>
      </c>
      <c r="Q7" s="135">
        <v>366</v>
      </c>
      <c r="R7" s="135">
        <v>215</v>
      </c>
      <c r="S7" s="135">
        <v>0</v>
      </c>
      <c r="T7" s="135">
        <v>581</v>
      </c>
      <c r="U7" s="135">
        <v>581</v>
      </c>
      <c r="V7" s="135">
        <v>0</v>
      </c>
      <c r="W7" s="135">
        <v>348.6</v>
      </c>
      <c r="X7" s="135">
        <v>352.7</v>
      </c>
      <c r="Y7" s="135">
        <v>2395722.13</v>
      </c>
      <c r="Z7" s="136"/>
      <c r="AA7" s="135">
        <v>59893.053249999997</v>
      </c>
      <c r="AB7" s="135">
        <v>59893.053249999997</v>
      </c>
      <c r="AC7" s="135">
        <v>2515508</v>
      </c>
      <c r="AD7" s="137">
        <f t="shared" si="0"/>
        <v>2512992.4920000001</v>
      </c>
      <c r="AE7" s="138">
        <v>39.630000000000003</v>
      </c>
      <c r="AF7" s="135">
        <v>39.4</v>
      </c>
      <c r="AG7" s="138">
        <v>39.44</v>
      </c>
      <c r="AH7" s="139">
        <v>4.5999999999999999E-3</v>
      </c>
      <c r="AI7" s="139">
        <v>0.05</v>
      </c>
      <c r="AJ7" s="139">
        <v>5.6000000000000001E-2</v>
      </c>
      <c r="AK7" s="137">
        <f t="shared" si="1"/>
        <v>0</v>
      </c>
      <c r="AL7" s="137">
        <v>0</v>
      </c>
      <c r="AM7" s="137"/>
      <c r="AN7" s="137">
        <v>0</v>
      </c>
      <c r="AO7" s="140">
        <f t="shared" si="2"/>
        <v>0</v>
      </c>
      <c r="AP7" s="137"/>
      <c r="AQ7" s="137">
        <v>0</v>
      </c>
      <c r="AR7" s="137">
        <f t="shared" si="3"/>
        <v>0</v>
      </c>
      <c r="AS7" s="137">
        <f t="shared" si="4"/>
        <v>0</v>
      </c>
      <c r="AT7" s="137">
        <v>0</v>
      </c>
      <c r="AU7" s="141"/>
      <c r="AV7" s="141"/>
      <c r="AW7" s="137">
        <f t="shared" si="5"/>
        <v>34860</v>
      </c>
      <c r="AX7" s="137">
        <v>0</v>
      </c>
      <c r="AY7" s="137">
        <f t="shared" si="6"/>
        <v>34860</v>
      </c>
      <c r="AZ7" s="137">
        <f t="shared" si="7"/>
        <v>35270</v>
      </c>
      <c r="BA7" s="142">
        <f t="shared" si="8"/>
        <v>-410</v>
      </c>
      <c r="BB7" s="137"/>
      <c r="BC7" s="137">
        <v>0</v>
      </c>
      <c r="BD7" s="142">
        <v>0</v>
      </c>
      <c r="BE7" s="135">
        <v>353</v>
      </c>
      <c r="BF7" s="143">
        <f t="shared" si="9"/>
        <v>0.52949999999999997</v>
      </c>
      <c r="BG7" s="143">
        <f t="shared" si="10"/>
        <v>352.47050000000002</v>
      </c>
      <c r="BH7" s="143">
        <f t="shared" si="11"/>
        <v>352.7</v>
      </c>
      <c r="BI7" s="144">
        <f t="shared" si="12"/>
        <v>30.000000000001137</v>
      </c>
      <c r="BJ7" s="144">
        <v>0</v>
      </c>
      <c r="BK7" s="137">
        <f t="shared" si="13"/>
        <v>30.000000000001137</v>
      </c>
      <c r="BL7" s="2"/>
      <c r="BM7" s="10" t="str">
        <f t="shared" si="14"/>
        <v>Unloading no. 6 Bill No MTC/2025-26/584 ,Deduction For Oil Deduction= 0 ,Bardana= 0 ,F.M=  Brokerage/Rate Difference 0 ,Shortage = 0 ,Greenish=  ,Moisture= 0</v>
      </c>
      <c r="BN7" s="3"/>
      <c r="BO7" s="13" t="str">
        <f t="shared" si="17"/>
        <v xml:space="preserve"> Party Condition 39.4  ,F.M% 0.46 ,Greenish 5 ,Moisture 5.6 ,Shortage in KG= 0  ,Oil% 39.44</v>
      </c>
      <c r="BP7" s="4">
        <f t="shared" si="18"/>
        <v>6792.5209242982701</v>
      </c>
      <c r="BQ7" s="5" t="str">
        <f t="shared" si="15"/>
        <v>39.44</v>
      </c>
      <c r="BR7" s="6">
        <f t="shared" si="16"/>
        <v>7233.4147773967379</v>
      </c>
      <c r="BS7" s="5" t="s">
        <v>62</v>
      </c>
      <c r="BT7" s="5" t="s">
        <v>63</v>
      </c>
      <c r="BW7" s="92"/>
      <c r="BX7" s="27">
        <v>39.630000000000003</v>
      </c>
      <c r="BY7" s="27">
        <v>39.44</v>
      </c>
      <c r="BZ7" s="96"/>
    </row>
    <row r="8" spans="1:94" s="1" customFormat="1" ht="15" hidden="1" customHeight="1" x14ac:dyDescent="0.3">
      <c r="A8" s="128" t="s">
        <v>64</v>
      </c>
      <c r="B8" s="129">
        <v>46109</v>
      </c>
      <c r="C8" s="128">
        <v>7</v>
      </c>
      <c r="D8" s="128" t="s">
        <v>82</v>
      </c>
      <c r="E8" s="130">
        <v>46113</v>
      </c>
      <c r="F8" s="131" t="s">
        <v>95</v>
      </c>
      <c r="G8" s="131" t="s">
        <v>96</v>
      </c>
      <c r="H8" s="131" t="s">
        <v>97</v>
      </c>
      <c r="I8" s="132"/>
      <c r="J8" s="131" t="s">
        <v>113</v>
      </c>
      <c r="K8" s="133">
        <v>0</v>
      </c>
      <c r="L8" s="134">
        <v>46109</v>
      </c>
      <c r="M8" s="132"/>
      <c r="N8" s="131">
        <v>611</v>
      </c>
      <c r="O8" s="130">
        <v>46110</v>
      </c>
      <c r="P8" s="135">
        <v>0</v>
      </c>
      <c r="Q8" s="135">
        <v>400</v>
      </c>
      <c r="R8" s="135">
        <v>25</v>
      </c>
      <c r="S8" s="135">
        <v>0</v>
      </c>
      <c r="T8" s="135">
        <v>425</v>
      </c>
      <c r="U8" s="135">
        <v>425</v>
      </c>
      <c r="V8" s="135">
        <v>0</v>
      </c>
      <c r="W8" s="135">
        <v>255</v>
      </c>
      <c r="X8" s="135">
        <v>257.89999999999998</v>
      </c>
      <c r="Y8" s="135">
        <v>1749277.9</v>
      </c>
      <c r="Z8" s="136"/>
      <c r="AA8" s="135">
        <v>43731.947500000002</v>
      </c>
      <c r="AB8" s="135">
        <v>43731.947500000002</v>
      </c>
      <c r="AC8" s="135">
        <v>1836742</v>
      </c>
      <c r="AD8" s="137">
        <f t="shared" si="0"/>
        <v>1834905.2579999999</v>
      </c>
      <c r="AE8" s="138">
        <v>40.96</v>
      </c>
      <c r="AF8" s="135">
        <v>39.590000000000003</v>
      </c>
      <c r="AG8" s="138">
        <v>40.909999999999997</v>
      </c>
      <c r="AH8" s="139">
        <v>4.3E-3</v>
      </c>
      <c r="AI8" s="139">
        <v>0.05</v>
      </c>
      <c r="AJ8" s="139">
        <v>5.5E-2</v>
      </c>
      <c r="AK8" s="137">
        <f t="shared" si="1"/>
        <v>0</v>
      </c>
      <c r="AL8" s="137">
        <v>0</v>
      </c>
      <c r="AM8" s="137"/>
      <c r="AN8" s="137">
        <v>0</v>
      </c>
      <c r="AO8" s="140">
        <f t="shared" si="2"/>
        <v>1303.3835333334894</v>
      </c>
      <c r="AP8" s="137"/>
      <c r="AQ8" s="137">
        <v>0</v>
      </c>
      <c r="AR8" s="137">
        <f t="shared" si="3"/>
        <v>1303.3835333334894</v>
      </c>
      <c r="AS8" s="137">
        <f t="shared" si="4"/>
        <v>1369</v>
      </c>
      <c r="AT8" s="137">
        <f>BK8+61-52</f>
        <v>19.000000000002274</v>
      </c>
      <c r="AU8" s="141"/>
      <c r="AV8" s="141"/>
      <c r="AW8" s="137">
        <f t="shared" si="5"/>
        <v>25500</v>
      </c>
      <c r="AX8" s="137">
        <v>0</v>
      </c>
      <c r="AY8" s="137">
        <f t="shared" si="6"/>
        <v>25500</v>
      </c>
      <c r="AZ8" s="137">
        <f t="shared" si="7"/>
        <v>25789.999999999996</v>
      </c>
      <c r="BA8" s="142">
        <f t="shared" si="8"/>
        <v>-289.99999999999636</v>
      </c>
      <c r="BB8" s="137"/>
      <c r="BC8" s="137">
        <v>0</v>
      </c>
      <c r="BD8" s="142">
        <v>0</v>
      </c>
      <c r="BE8" s="135">
        <v>258</v>
      </c>
      <c r="BF8" s="143">
        <f t="shared" si="9"/>
        <v>0.38699999999999996</v>
      </c>
      <c r="BG8" s="143">
        <f t="shared" si="10"/>
        <v>257.613</v>
      </c>
      <c r="BH8" s="143">
        <f t="shared" si="11"/>
        <v>257.89999999999998</v>
      </c>
      <c r="BI8" s="144">
        <f t="shared" si="12"/>
        <v>10.000000000002274</v>
      </c>
      <c r="BJ8" s="144">
        <v>0</v>
      </c>
      <c r="BK8" s="137">
        <f t="shared" si="13"/>
        <v>10.000000000002274</v>
      </c>
      <c r="BL8" s="2"/>
      <c r="BM8" s="10" t="str">
        <f t="shared" si="14"/>
        <v>Unloading no. 7 Bill No 611 ,Deduction For Oil Deduction= 0 ,Bardana= 0 ,F.M=  Brokerage/Rate Difference 0 ,Shortage = 1303.38353333349 ,Greenish=  ,Moisture= 0</v>
      </c>
      <c r="BN8" s="3"/>
      <c r="BO8" s="13" t="str">
        <f t="shared" si="17"/>
        <v xml:space="preserve"> Party Condition 39.59  ,F.M% 0.43 ,Greenish 5 ,Moisture 5.5 ,Shortage in KG= 19.0000000000023  ,Oil% 40.91</v>
      </c>
      <c r="BP8" s="4">
        <f t="shared" si="18"/>
        <v>6777.7220491146436</v>
      </c>
      <c r="BQ8" s="5" t="str">
        <f t="shared" si="15"/>
        <v>40.91</v>
      </c>
      <c r="BR8" s="6">
        <f t="shared" si="16"/>
        <v>6958.3066747204857</v>
      </c>
      <c r="BS8" s="5" t="s">
        <v>62</v>
      </c>
      <c r="BT8" s="5" t="s">
        <v>63</v>
      </c>
      <c r="BW8" s="92"/>
      <c r="BX8" s="27">
        <v>40.96</v>
      </c>
      <c r="BY8" s="27">
        <v>40.909999999999997</v>
      </c>
      <c r="BZ8" s="96"/>
    </row>
    <row r="9" spans="1:94" s="1" customFormat="1" ht="15" hidden="1" customHeight="1" x14ac:dyDescent="0.3">
      <c r="A9" s="128" t="s">
        <v>68</v>
      </c>
      <c r="B9" s="129">
        <v>46108</v>
      </c>
      <c r="C9" s="128">
        <v>8</v>
      </c>
      <c r="D9" s="128" t="s">
        <v>83</v>
      </c>
      <c r="E9" s="130">
        <v>46113</v>
      </c>
      <c r="F9" s="131" t="s">
        <v>101</v>
      </c>
      <c r="G9" s="131" t="s">
        <v>102</v>
      </c>
      <c r="H9" s="131" t="s">
        <v>103</v>
      </c>
      <c r="I9" s="132"/>
      <c r="J9" s="131" t="s">
        <v>113</v>
      </c>
      <c r="K9" s="133">
        <v>0</v>
      </c>
      <c r="L9" s="134">
        <v>46108</v>
      </c>
      <c r="M9" s="132"/>
      <c r="N9" s="131" t="s">
        <v>116</v>
      </c>
      <c r="O9" s="130">
        <v>46110</v>
      </c>
      <c r="P9" s="135">
        <v>0</v>
      </c>
      <c r="Q9" s="135">
        <v>567</v>
      </c>
      <c r="R9" s="135">
        <v>50</v>
      </c>
      <c r="S9" s="135">
        <v>0</v>
      </c>
      <c r="T9" s="135">
        <v>617</v>
      </c>
      <c r="U9" s="135">
        <v>617</v>
      </c>
      <c r="V9" s="135">
        <v>0</v>
      </c>
      <c r="W9" s="135">
        <v>370.2</v>
      </c>
      <c r="X9" s="135">
        <v>374.6</v>
      </c>
      <c r="Y9" s="135">
        <v>2559712.11</v>
      </c>
      <c r="Z9" s="136"/>
      <c r="AA9" s="135">
        <v>63992.802750000003</v>
      </c>
      <c r="AB9" s="135">
        <v>63992.802750000003</v>
      </c>
      <c r="AC9" s="135">
        <v>2687698</v>
      </c>
      <c r="AD9" s="137">
        <f t="shared" si="0"/>
        <v>2685010.3020000001</v>
      </c>
      <c r="AE9" s="138">
        <v>40.35</v>
      </c>
      <c r="AF9" s="135">
        <v>39.950000000000003</v>
      </c>
      <c r="AG9" s="138">
        <v>40.15</v>
      </c>
      <c r="AH9" s="139">
        <v>4.1999999999999997E-3</v>
      </c>
      <c r="AI9" s="139">
        <v>4.3499999999999997E-2</v>
      </c>
      <c r="AJ9" s="139">
        <v>5.2999999999999999E-2</v>
      </c>
      <c r="AK9" s="137">
        <f t="shared" si="1"/>
        <v>0</v>
      </c>
      <c r="AL9" s="137">
        <v>0</v>
      </c>
      <c r="AM9" s="137"/>
      <c r="AN9" s="137">
        <v>0</v>
      </c>
      <c r="AO9" s="140">
        <f t="shared" si="2"/>
        <v>0</v>
      </c>
      <c r="AP9" s="137"/>
      <c r="AQ9" s="137">
        <v>0</v>
      </c>
      <c r="AR9" s="137">
        <f t="shared" si="3"/>
        <v>0</v>
      </c>
      <c r="AS9" s="137">
        <f t="shared" si="4"/>
        <v>0</v>
      </c>
      <c r="AT9" s="137">
        <v>0</v>
      </c>
      <c r="AU9" s="141"/>
      <c r="AV9" s="141"/>
      <c r="AW9" s="137">
        <f t="shared" si="5"/>
        <v>37020</v>
      </c>
      <c r="AX9" s="137">
        <v>0</v>
      </c>
      <c r="AY9" s="137">
        <f t="shared" si="6"/>
        <v>37020</v>
      </c>
      <c r="AZ9" s="137">
        <f t="shared" si="7"/>
        <v>37460</v>
      </c>
      <c r="BA9" s="142">
        <f t="shared" si="8"/>
        <v>-440</v>
      </c>
      <c r="BB9" s="137"/>
      <c r="BC9" s="137">
        <v>0</v>
      </c>
      <c r="BD9" s="142">
        <v>0</v>
      </c>
      <c r="BE9" s="135">
        <v>374.8</v>
      </c>
      <c r="BF9" s="143">
        <f t="shared" si="9"/>
        <v>0.56220000000000003</v>
      </c>
      <c r="BG9" s="143">
        <f t="shared" si="10"/>
        <v>374.23779999999999</v>
      </c>
      <c r="BH9" s="143">
        <f t="shared" si="11"/>
        <v>374.6</v>
      </c>
      <c r="BI9" s="144">
        <f t="shared" si="12"/>
        <v>19.999999999998863</v>
      </c>
      <c r="BJ9" s="144">
        <v>0</v>
      </c>
      <c r="BK9" s="137">
        <f t="shared" si="13"/>
        <v>19.999999999998863</v>
      </c>
      <c r="BL9" s="2"/>
      <c r="BM9" s="10" t="str">
        <f t="shared" si="14"/>
        <v>Unloading no. 8 Bill No L/PB/25-26/211 ,Deduction For Oil Deduction= 0 ,Bardana= 0 ,F.M=  Brokerage/Rate Difference 0 ,Shortage = 0 ,Greenish=  ,Moisture= 0</v>
      </c>
      <c r="BN9" s="3"/>
      <c r="BO9" s="13" t="str">
        <f t="shared" si="17"/>
        <v xml:space="preserve"> Party Condition 39.95  ,F.M% 0.42 ,Greenish 4.35 ,Moisture 5.3 ,Shortage in KG= 0  ,Oil% 40.15</v>
      </c>
      <c r="BP9" s="4">
        <f t="shared" si="18"/>
        <v>6833.187693539775</v>
      </c>
      <c r="BQ9" s="5" t="str">
        <f t="shared" si="15"/>
        <v>40.15</v>
      </c>
      <c r="BR9" s="6">
        <f t="shared" si="16"/>
        <v>7148.0419210129658</v>
      </c>
      <c r="BS9" s="5" t="s">
        <v>62</v>
      </c>
      <c r="BT9" s="5" t="s">
        <v>63</v>
      </c>
      <c r="BW9" s="92"/>
      <c r="BX9" s="27">
        <v>40.35</v>
      </c>
      <c r="BY9" s="27">
        <v>40.15</v>
      </c>
      <c r="BZ9" s="96"/>
    </row>
    <row r="10" spans="1:94" s="1" customFormat="1" ht="15" hidden="1" customHeight="1" x14ac:dyDescent="0.3">
      <c r="A10" s="128" t="s">
        <v>69</v>
      </c>
      <c r="B10" s="129">
        <v>46108</v>
      </c>
      <c r="C10" s="128">
        <v>9</v>
      </c>
      <c r="D10" s="128" t="s">
        <v>84</v>
      </c>
      <c r="E10" s="130">
        <v>46113</v>
      </c>
      <c r="F10" s="131" t="s">
        <v>104</v>
      </c>
      <c r="G10" s="131" t="s">
        <v>105</v>
      </c>
      <c r="H10" s="131" t="s">
        <v>106</v>
      </c>
      <c r="I10" s="132"/>
      <c r="J10" s="131" t="s">
        <v>113</v>
      </c>
      <c r="K10" s="133">
        <v>0</v>
      </c>
      <c r="L10" s="134">
        <v>46108</v>
      </c>
      <c r="M10" s="132"/>
      <c r="N10" s="131" t="s">
        <v>117</v>
      </c>
      <c r="O10" s="130">
        <v>46110</v>
      </c>
      <c r="P10" s="135">
        <v>0</v>
      </c>
      <c r="Q10" s="135">
        <v>170</v>
      </c>
      <c r="R10" s="135">
        <v>35</v>
      </c>
      <c r="S10" s="135">
        <v>0</v>
      </c>
      <c r="T10" s="135">
        <v>205</v>
      </c>
      <c r="U10" s="135">
        <v>205</v>
      </c>
      <c r="V10" s="135">
        <v>0</v>
      </c>
      <c r="W10" s="135">
        <v>123</v>
      </c>
      <c r="X10" s="135">
        <v>124.6</v>
      </c>
      <c r="Y10" s="135">
        <v>845306.43</v>
      </c>
      <c r="Z10" s="136"/>
      <c r="AA10" s="135">
        <v>21132.660749999999</v>
      </c>
      <c r="AB10" s="135">
        <v>21132.660749999999</v>
      </c>
      <c r="AC10" s="135">
        <v>887572</v>
      </c>
      <c r="AD10" s="137">
        <f t="shared" si="0"/>
        <v>886684.42799999996</v>
      </c>
      <c r="AE10" s="138">
        <v>40</v>
      </c>
      <c r="AF10" s="135">
        <v>39.4</v>
      </c>
      <c r="AG10" s="138">
        <v>39.83</v>
      </c>
      <c r="AH10" s="139">
        <v>5.0000000000000001E-3</v>
      </c>
      <c r="AI10" s="139">
        <v>4.2999999999999997E-2</v>
      </c>
      <c r="AJ10" s="139">
        <v>5.3999999999999999E-2</v>
      </c>
      <c r="AK10" s="137">
        <f t="shared" si="1"/>
        <v>0</v>
      </c>
      <c r="AL10" s="137">
        <v>0</v>
      </c>
      <c r="AM10" s="137"/>
      <c r="AN10" s="137">
        <v>0</v>
      </c>
      <c r="AO10" s="140">
        <f t="shared" si="2"/>
        <v>0</v>
      </c>
      <c r="AP10" s="137"/>
      <c r="AQ10" s="137">
        <v>0</v>
      </c>
      <c r="AR10" s="137">
        <f t="shared" si="3"/>
        <v>0</v>
      </c>
      <c r="AS10" s="137">
        <f t="shared" si="4"/>
        <v>0</v>
      </c>
      <c r="AT10" s="137">
        <v>0</v>
      </c>
      <c r="AU10" s="141"/>
      <c r="AV10" s="141"/>
      <c r="AW10" s="137">
        <f t="shared" si="5"/>
        <v>12300</v>
      </c>
      <c r="AX10" s="137">
        <v>0</v>
      </c>
      <c r="AY10" s="137">
        <f t="shared" si="6"/>
        <v>12300</v>
      </c>
      <c r="AZ10" s="137">
        <f t="shared" si="7"/>
        <v>12460</v>
      </c>
      <c r="BA10" s="142">
        <f t="shared" si="8"/>
        <v>-160</v>
      </c>
      <c r="BB10" s="137"/>
      <c r="BC10" s="137">
        <v>0</v>
      </c>
      <c r="BD10" s="142">
        <v>0</v>
      </c>
      <c r="BE10" s="135">
        <v>124.65</v>
      </c>
      <c r="BF10" s="143">
        <f t="shared" si="9"/>
        <v>0.186975</v>
      </c>
      <c r="BG10" s="143">
        <f t="shared" si="10"/>
        <v>124.463025</v>
      </c>
      <c r="BH10" s="143">
        <f t="shared" si="11"/>
        <v>124.6</v>
      </c>
      <c r="BI10" s="144">
        <f t="shared" si="12"/>
        <v>5.0000000000011369</v>
      </c>
      <c r="BJ10" s="144">
        <v>0</v>
      </c>
      <c r="BK10" s="137">
        <f t="shared" si="13"/>
        <v>5.0000000000011369</v>
      </c>
      <c r="BL10" s="2"/>
      <c r="BM10" s="10" t="str">
        <f t="shared" si="14"/>
        <v>Unloading no. 9 Bill No MTC/2025-26/585 ,Deduction For Oil Deduction= 0 ,Bardana= 0 ,F.M=  Brokerage/Rate Difference 0 ,Shortage = 0 ,Greenish=  ,Moisture= 0</v>
      </c>
      <c r="BN10" s="3"/>
      <c r="BO10" s="13" t="str">
        <f t="shared" si="17"/>
        <v xml:space="preserve"> Party Condition 39.4  ,F.M% 0.5 ,Greenish 4.3 ,Moisture 5.4 ,Shortage in KG= 0  ,Oil% 39.83</v>
      </c>
      <c r="BP10" s="4">
        <f t="shared" si="18"/>
        <v>6784.1607544141261</v>
      </c>
      <c r="BQ10" s="5" t="str">
        <f t="shared" si="15"/>
        <v>39.83</v>
      </c>
      <c r="BR10" s="6">
        <f t="shared" si="16"/>
        <v>7153.7723245140169</v>
      </c>
      <c r="BS10" s="5" t="s">
        <v>62</v>
      </c>
      <c r="BT10" s="5" t="s">
        <v>63</v>
      </c>
      <c r="BW10" s="92"/>
      <c r="BX10" s="27">
        <v>40</v>
      </c>
      <c r="BY10" s="27">
        <v>39.83</v>
      </c>
      <c r="BZ10" s="96"/>
    </row>
    <row r="11" spans="1:94" s="1" customFormat="1" ht="15" hidden="1" customHeight="1" x14ac:dyDescent="0.3">
      <c r="A11" s="128" t="s">
        <v>70</v>
      </c>
      <c r="B11" s="129">
        <v>46109</v>
      </c>
      <c r="C11" s="128">
        <v>10</v>
      </c>
      <c r="D11" s="128" t="s">
        <v>85</v>
      </c>
      <c r="E11" s="130">
        <v>46113</v>
      </c>
      <c r="F11" s="131" t="s">
        <v>107</v>
      </c>
      <c r="G11" s="131" t="s">
        <v>108</v>
      </c>
      <c r="H11" s="131" t="s">
        <v>109</v>
      </c>
      <c r="I11" s="132"/>
      <c r="J11" s="131" t="s">
        <v>113</v>
      </c>
      <c r="K11" s="133">
        <v>0</v>
      </c>
      <c r="L11" s="134">
        <v>46109</v>
      </c>
      <c r="M11" s="132"/>
      <c r="N11" s="131">
        <v>428</v>
      </c>
      <c r="O11" s="130">
        <v>46110</v>
      </c>
      <c r="P11" s="135">
        <v>0</v>
      </c>
      <c r="Q11" s="135">
        <v>200</v>
      </c>
      <c r="R11" s="135">
        <v>20</v>
      </c>
      <c r="S11" s="135">
        <v>0</v>
      </c>
      <c r="T11" s="135">
        <v>220</v>
      </c>
      <c r="U11" s="135">
        <v>220</v>
      </c>
      <c r="V11" s="135">
        <v>0</v>
      </c>
      <c r="W11" s="135">
        <v>132</v>
      </c>
      <c r="X11" s="135">
        <v>133.5</v>
      </c>
      <c r="Y11" s="135">
        <v>897264.72</v>
      </c>
      <c r="Z11" s="136"/>
      <c r="AA11" s="135">
        <v>22431.617999999999</v>
      </c>
      <c r="AB11" s="135">
        <v>22431.617999999999</v>
      </c>
      <c r="AC11" s="135">
        <v>942128</v>
      </c>
      <c r="AD11" s="137">
        <f t="shared" si="0"/>
        <v>941185.87199999997</v>
      </c>
      <c r="AE11" s="138">
        <v>39.65</v>
      </c>
      <c r="AF11" s="135">
        <v>39.090000000000003</v>
      </c>
      <c r="AG11" s="138">
        <v>39.46</v>
      </c>
      <c r="AH11" s="139">
        <v>4.8999999999999998E-3</v>
      </c>
      <c r="AI11" s="139">
        <v>4.4600000000000001E-2</v>
      </c>
      <c r="AJ11" s="139">
        <v>5.3999999999999999E-2</v>
      </c>
      <c r="AK11" s="137">
        <f t="shared" si="1"/>
        <v>0</v>
      </c>
      <c r="AL11" s="137">
        <v>0</v>
      </c>
      <c r="AM11" s="137"/>
      <c r="AN11" s="137">
        <f>W11*1.62</f>
        <v>213.84</v>
      </c>
      <c r="AO11" s="140">
        <f t="shared" si="2"/>
        <v>271.89839999999998</v>
      </c>
      <c r="AP11" s="137"/>
      <c r="AQ11" s="137">
        <v>0</v>
      </c>
      <c r="AR11" s="137">
        <f t="shared" si="3"/>
        <v>485.73839999999996</v>
      </c>
      <c r="AS11" s="145">
        <f t="shared" si="4"/>
        <v>510</v>
      </c>
      <c r="AT11" s="137">
        <v>4</v>
      </c>
      <c r="AU11" s="141"/>
      <c r="AV11" s="141"/>
      <c r="AW11" s="137">
        <f t="shared" si="5"/>
        <v>13200</v>
      </c>
      <c r="AX11" s="137">
        <v>0</v>
      </c>
      <c r="AY11" s="137">
        <f t="shared" si="6"/>
        <v>13200</v>
      </c>
      <c r="AZ11" s="137">
        <f t="shared" si="7"/>
        <v>13350</v>
      </c>
      <c r="BA11" s="142">
        <f t="shared" si="8"/>
        <v>-150</v>
      </c>
      <c r="BB11" s="137"/>
      <c r="BC11" s="137">
        <v>0</v>
      </c>
      <c r="BD11" s="142">
        <v>0</v>
      </c>
      <c r="BE11" s="135">
        <v>133.80000000000001</v>
      </c>
      <c r="BF11" s="143">
        <f t="shared" si="9"/>
        <v>0.20069999999999999</v>
      </c>
      <c r="BG11" s="143">
        <f t="shared" si="10"/>
        <v>133.5993</v>
      </c>
      <c r="BH11" s="143">
        <f t="shared" si="11"/>
        <v>133.5</v>
      </c>
      <c r="BI11" s="144">
        <f t="shared" si="12"/>
        <v>30.000000000001137</v>
      </c>
      <c r="BJ11" s="144">
        <v>0</v>
      </c>
      <c r="BK11" s="137">
        <f t="shared" si="13"/>
        <v>30.000000000001137</v>
      </c>
      <c r="BL11" s="2"/>
      <c r="BM11" s="10" t="str">
        <f t="shared" si="14"/>
        <v>Unloading no. 10 Bill No 428 ,Deduction For Oil Deduction= 0 ,Bardana= 0 ,F.M=  Brokerage/Rate Difference 213.84 ,Shortage = 271.8984 ,Greenish=  ,Moisture= 0</v>
      </c>
      <c r="BN11" s="3"/>
      <c r="BO11" s="13" t="str">
        <f t="shared" si="17"/>
        <v xml:space="preserve"> Party Condition 39.09  ,F.M% 0.49 ,Greenish 4.46 ,Moisture 5.4 ,Shortage in KG= 4  ,Oil% 39.46</v>
      </c>
      <c r="BP11" s="4">
        <f t="shared" si="18"/>
        <v>6717.4455550561797</v>
      </c>
      <c r="BQ11" s="5" t="str">
        <f t="shared" si="15"/>
        <v>39.46</v>
      </c>
      <c r="BR11" s="6">
        <f t="shared" si="16"/>
        <v>7149.8406820162072</v>
      </c>
      <c r="BS11" s="5" t="s">
        <v>62</v>
      </c>
      <c r="BT11" s="5" t="s">
        <v>63</v>
      </c>
      <c r="BW11" s="92"/>
      <c r="BX11" s="27">
        <v>39.65</v>
      </c>
      <c r="BY11" s="27">
        <v>39.46</v>
      </c>
      <c r="BZ11" s="96"/>
    </row>
    <row r="12" spans="1:94" s="1" customFormat="1" ht="15" hidden="1" customHeight="1" x14ac:dyDescent="0.3">
      <c r="A12" s="128" t="s">
        <v>69</v>
      </c>
      <c r="B12" s="129">
        <v>46108</v>
      </c>
      <c r="C12" s="128">
        <v>11</v>
      </c>
      <c r="D12" s="128" t="s">
        <v>86</v>
      </c>
      <c r="E12" s="130">
        <v>46113</v>
      </c>
      <c r="F12" s="131" t="s">
        <v>104</v>
      </c>
      <c r="G12" s="131" t="s">
        <v>105</v>
      </c>
      <c r="H12" s="131" t="s">
        <v>106</v>
      </c>
      <c r="I12" s="132"/>
      <c r="J12" s="131" t="s">
        <v>113</v>
      </c>
      <c r="K12" s="133">
        <v>0</v>
      </c>
      <c r="L12" s="134">
        <v>46108</v>
      </c>
      <c r="M12" s="132"/>
      <c r="N12" s="131" t="s">
        <v>118</v>
      </c>
      <c r="O12" s="130">
        <v>46110</v>
      </c>
      <c r="P12" s="135">
        <v>0</v>
      </c>
      <c r="Q12" s="135">
        <v>383</v>
      </c>
      <c r="R12" s="135">
        <v>200</v>
      </c>
      <c r="S12" s="135">
        <v>0</v>
      </c>
      <c r="T12" s="135">
        <v>583</v>
      </c>
      <c r="U12" s="135">
        <v>583</v>
      </c>
      <c r="V12" s="135">
        <v>0</v>
      </c>
      <c r="W12" s="135">
        <v>349.8</v>
      </c>
      <c r="X12" s="135">
        <v>354.6</v>
      </c>
      <c r="Y12" s="135">
        <v>2403969.02</v>
      </c>
      <c r="Z12" s="136"/>
      <c r="AA12" s="135">
        <v>60099.2255</v>
      </c>
      <c r="AB12" s="135">
        <v>60099.2255</v>
      </c>
      <c r="AC12" s="135">
        <v>2524167</v>
      </c>
      <c r="AD12" s="137">
        <f t="shared" si="0"/>
        <v>2521642.8330000001</v>
      </c>
      <c r="AE12" s="138">
        <v>39.590000000000003</v>
      </c>
      <c r="AF12" s="135">
        <v>39.4</v>
      </c>
      <c r="AG12" s="138">
        <v>39.479999999999997</v>
      </c>
      <c r="AH12" s="139">
        <v>4.7000000000000002E-3</v>
      </c>
      <c r="AI12" s="139">
        <v>7.1599999999999997E-2</v>
      </c>
      <c r="AJ12" s="139">
        <v>5.1999999999999998E-2</v>
      </c>
      <c r="AK12" s="137">
        <f t="shared" si="1"/>
        <v>0</v>
      </c>
      <c r="AL12" s="137">
        <v>0</v>
      </c>
      <c r="AM12" s="137"/>
      <c r="AN12" s="137">
        <v>0</v>
      </c>
      <c r="AO12" s="140">
        <f t="shared" si="2"/>
        <v>0</v>
      </c>
      <c r="AP12" s="137">
        <v>11209.34</v>
      </c>
      <c r="AQ12" s="137">
        <v>0</v>
      </c>
      <c r="AR12" s="137">
        <f t="shared" si="3"/>
        <v>11209.34</v>
      </c>
      <c r="AS12" s="137">
        <f t="shared" si="4"/>
        <v>11770</v>
      </c>
      <c r="AT12" s="137">
        <v>0</v>
      </c>
      <c r="AU12" s="141"/>
      <c r="AV12" s="141"/>
      <c r="AW12" s="137">
        <f t="shared" si="5"/>
        <v>34980</v>
      </c>
      <c r="AX12" s="137">
        <v>0</v>
      </c>
      <c r="AY12" s="137">
        <f t="shared" si="6"/>
        <v>34980</v>
      </c>
      <c r="AZ12" s="137">
        <f t="shared" si="7"/>
        <v>35460</v>
      </c>
      <c r="BA12" s="142">
        <f t="shared" si="8"/>
        <v>-480</v>
      </c>
      <c r="BB12" s="137"/>
      <c r="BC12" s="137">
        <v>0</v>
      </c>
      <c r="BD12" s="142">
        <v>0</v>
      </c>
      <c r="BE12" s="135">
        <v>354.1</v>
      </c>
      <c r="BF12" s="143">
        <f t="shared" si="9"/>
        <v>0.53115000000000001</v>
      </c>
      <c r="BG12" s="143">
        <f t="shared" si="10"/>
        <v>353.56885</v>
      </c>
      <c r="BH12" s="143">
        <f t="shared" si="11"/>
        <v>354.6</v>
      </c>
      <c r="BI12" s="144">
        <f t="shared" si="12"/>
        <v>-50</v>
      </c>
      <c r="BJ12" s="144">
        <v>0</v>
      </c>
      <c r="BK12" s="137">
        <f t="shared" si="13"/>
        <v>-50</v>
      </c>
      <c r="BL12" s="2"/>
      <c r="BM12" s="10" t="str">
        <f t="shared" si="14"/>
        <v>Unloading no. 11 Bill No MTC/2025-26/583 ,Deduction For Oil Deduction= 0 ,Bardana= 0 ,F.M=  Brokerage/Rate Difference 0 ,Shortage = 0 ,Greenish= 11209.34 ,Moisture= 0</v>
      </c>
      <c r="BN12" s="3"/>
      <c r="BO12" s="13" t="str">
        <f t="shared" si="17"/>
        <v xml:space="preserve"> Party Condition 39.4  ,F.M% 0.47 ,Greenish 7.16 ,Moisture 5.2 ,Shortage in KG= 0  ,Oil% 39.48</v>
      </c>
      <c r="BP12" s="4">
        <f t="shared" si="18"/>
        <v>6747.7712351945856</v>
      </c>
      <c r="BQ12" s="5" t="str">
        <f t="shared" si="15"/>
        <v>39.48</v>
      </c>
      <c r="BR12" s="6">
        <f t="shared" si="16"/>
        <v>7178.4800374410488</v>
      </c>
      <c r="BS12" s="5" t="s">
        <v>62</v>
      </c>
      <c r="BT12" s="5" t="s">
        <v>63</v>
      </c>
      <c r="BW12" s="92"/>
      <c r="BX12" s="27">
        <v>39.590000000000003</v>
      </c>
      <c r="BY12" s="27">
        <v>39.479999999999997</v>
      </c>
      <c r="BZ12" s="96"/>
    </row>
    <row r="13" spans="1:94" s="1" customFormat="1" ht="15" hidden="1" customHeight="1" x14ac:dyDescent="0.3">
      <c r="A13" s="128" t="s">
        <v>71</v>
      </c>
      <c r="B13" s="129">
        <v>46109</v>
      </c>
      <c r="C13" s="128">
        <v>12</v>
      </c>
      <c r="D13" s="128" t="s">
        <v>87</v>
      </c>
      <c r="E13" s="130">
        <v>46113</v>
      </c>
      <c r="F13" s="131" t="s">
        <v>98</v>
      </c>
      <c r="G13" s="131" t="s">
        <v>99</v>
      </c>
      <c r="H13" s="131" t="s">
        <v>100</v>
      </c>
      <c r="I13" s="132"/>
      <c r="J13" s="131" t="s">
        <v>113</v>
      </c>
      <c r="K13" s="133">
        <v>0</v>
      </c>
      <c r="L13" s="134">
        <v>46109</v>
      </c>
      <c r="M13" s="132"/>
      <c r="N13" s="131">
        <v>334</v>
      </c>
      <c r="O13" s="130">
        <v>46110</v>
      </c>
      <c r="P13" s="135">
        <v>0</v>
      </c>
      <c r="Q13" s="135">
        <v>500</v>
      </c>
      <c r="R13" s="135">
        <v>94</v>
      </c>
      <c r="S13" s="135">
        <v>0</v>
      </c>
      <c r="T13" s="135">
        <v>594</v>
      </c>
      <c r="U13" s="135">
        <v>594</v>
      </c>
      <c r="V13" s="135">
        <v>0</v>
      </c>
      <c r="W13" s="135">
        <v>356.4</v>
      </c>
      <c r="X13" s="135">
        <v>360.9</v>
      </c>
      <c r="Y13" s="135">
        <v>2429527.7200000002</v>
      </c>
      <c r="Z13" s="136"/>
      <c r="AA13" s="135">
        <v>60738.192999999999</v>
      </c>
      <c r="AB13" s="135">
        <v>60738.192999999999</v>
      </c>
      <c r="AC13" s="135">
        <v>2551004</v>
      </c>
      <c r="AD13" s="137">
        <f t="shared" si="0"/>
        <v>2548452.9959999998</v>
      </c>
      <c r="AE13" s="138">
        <v>40.020000000000003</v>
      </c>
      <c r="AF13" s="135">
        <v>39.46</v>
      </c>
      <c r="AG13" s="138">
        <v>39.96</v>
      </c>
      <c r="AH13" s="139">
        <v>4.7999999999999996E-3</v>
      </c>
      <c r="AI13" s="139">
        <v>4.5400000000000003E-2</v>
      </c>
      <c r="AJ13" s="139">
        <v>6.6000000000000003E-2</v>
      </c>
      <c r="AK13" s="137">
        <f t="shared" si="1"/>
        <v>0</v>
      </c>
      <c r="AL13" s="137">
        <f>T13*0.5</f>
        <v>297</v>
      </c>
      <c r="AM13" s="137"/>
      <c r="AN13" s="137">
        <v>0</v>
      </c>
      <c r="AO13" s="140">
        <f t="shared" si="2"/>
        <v>0</v>
      </c>
      <c r="AP13" s="137"/>
      <c r="AQ13" s="137">
        <v>0</v>
      </c>
      <c r="AR13" s="137">
        <f t="shared" si="3"/>
        <v>297</v>
      </c>
      <c r="AS13" s="137">
        <f t="shared" si="4"/>
        <v>312</v>
      </c>
      <c r="AT13" s="137">
        <v>0</v>
      </c>
      <c r="AU13" s="141"/>
      <c r="AV13" s="141"/>
      <c r="AW13" s="137">
        <f t="shared" si="5"/>
        <v>35640</v>
      </c>
      <c r="AX13" s="137">
        <v>0</v>
      </c>
      <c r="AY13" s="137">
        <f t="shared" si="6"/>
        <v>35640</v>
      </c>
      <c r="AZ13" s="137">
        <f t="shared" si="7"/>
        <v>36090</v>
      </c>
      <c r="BA13" s="142">
        <f t="shared" si="8"/>
        <v>-450</v>
      </c>
      <c r="BB13" s="137"/>
      <c r="BC13" s="137">
        <v>0</v>
      </c>
      <c r="BD13" s="142">
        <v>0</v>
      </c>
      <c r="BE13" s="135">
        <v>361.1</v>
      </c>
      <c r="BF13" s="143">
        <f t="shared" si="9"/>
        <v>0.54164999999999996</v>
      </c>
      <c r="BG13" s="143">
        <f t="shared" si="10"/>
        <v>360.55835000000002</v>
      </c>
      <c r="BH13" s="143">
        <f t="shared" si="11"/>
        <v>360.9</v>
      </c>
      <c r="BI13" s="144">
        <f t="shared" si="12"/>
        <v>20.000000000004547</v>
      </c>
      <c r="BJ13" s="144">
        <v>0</v>
      </c>
      <c r="BK13" s="137">
        <f t="shared" si="13"/>
        <v>20.000000000004547</v>
      </c>
      <c r="BL13" s="2"/>
      <c r="BM13" s="10" t="str">
        <f t="shared" si="14"/>
        <v>Unloading no. 12 Bill No 334 ,Deduction For Oil Deduction= 0 ,Bardana= 297 ,F.M=  Brokerage/Rate Difference 0 ,Shortage = 0 ,Greenish=  ,Moisture= 0</v>
      </c>
      <c r="BN13" s="3"/>
      <c r="BO13" s="13" t="str">
        <f t="shared" si="17"/>
        <v xml:space="preserve"> Party Condition 39.46  ,F.M% 0.48 ,Greenish 4.54 ,Moisture 6.6 ,Shortage in KG= 0  ,Oil% 39.96</v>
      </c>
      <c r="BP13" s="4">
        <f t="shared" si="18"/>
        <v>6731.0355223053484</v>
      </c>
      <c r="BQ13" s="5" t="str">
        <f t="shared" si="15"/>
        <v>39.96</v>
      </c>
      <c r="BR13" s="6">
        <f t="shared" si="16"/>
        <v>7074.6619603809968</v>
      </c>
      <c r="BS13" s="5" t="s">
        <v>62</v>
      </c>
      <c r="BT13" s="5" t="s">
        <v>63</v>
      </c>
      <c r="BW13" s="92"/>
      <c r="BX13" s="27">
        <v>40.020000000000003</v>
      </c>
      <c r="BY13" s="27">
        <v>39.96</v>
      </c>
      <c r="BZ13" s="96"/>
    </row>
    <row r="14" spans="1:94" s="1" customFormat="1" ht="15" hidden="1" customHeight="1" x14ac:dyDescent="0.3">
      <c r="A14" s="128" t="s">
        <v>69</v>
      </c>
      <c r="B14" s="129">
        <v>46108</v>
      </c>
      <c r="C14" s="128">
        <v>13</v>
      </c>
      <c r="D14" s="128" t="s">
        <v>88</v>
      </c>
      <c r="E14" s="130">
        <v>46113</v>
      </c>
      <c r="F14" s="131" t="s">
        <v>104</v>
      </c>
      <c r="G14" s="131" t="s">
        <v>105</v>
      </c>
      <c r="H14" s="131" t="s">
        <v>106</v>
      </c>
      <c r="I14" s="132"/>
      <c r="J14" s="131" t="s">
        <v>113</v>
      </c>
      <c r="K14" s="133">
        <v>0</v>
      </c>
      <c r="L14" s="134">
        <v>46108</v>
      </c>
      <c r="M14" s="132"/>
      <c r="N14" s="131" t="s">
        <v>119</v>
      </c>
      <c r="O14" s="130">
        <v>46110</v>
      </c>
      <c r="P14" s="135">
        <v>0</v>
      </c>
      <c r="Q14" s="135">
        <v>440</v>
      </c>
      <c r="R14" s="135">
        <v>239</v>
      </c>
      <c r="S14" s="135">
        <v>0</v>
      </c>
      <c r="T14" s="135">
        <v>679</v>
      </c>
      <c r="U14" s="135">
        <v>679</v>
      </c>
      <c r="V14" s="135">
        <v>0</v>
      </c>
      <c r="W14" s="135">
        <v>407.4</v>
      </c>
      <c r="X14" s="135">
        <v>413.3</v>
      </c>
      <c r="Y14" s="135">
        <v>2799819.83</v>
      </c>
      <c r="Z14" s="136"/>
      <c r="AA14" s="135">
        <v>69995.495750000002</v>
      </c>
      <c r="AB14" s="135">
        <v>69995.495750000002</v>
      </c>
      <c r="AC14" s="135">
        <v>2939811</v>
      </c>
      <c r="AD14" s="137">
        <f t="shared" si="0"/>
        <v>2936871.1889999998</v>
      </c>
      <c r="AE14" s="138">
        <v>39.5</v>
      </c>
      <c r="AF14" s="135">
        <v>39.4</v>
      </c>
      <c r="AG14" s="138">
        <v>39.380000000000003</v>
      </c>
      <c r="AH14" s="139">
        <v>5.0000000000000001E-3</v>
      </c>
      <c r="AI14" s="139">
        <v>4.9599999999999998E-2</v>
      </c>
      <c r="AJ14" s="139">
        <v>5.7000000000000002E-2</v>
      </c>
      <c r="AK14" s="137">
        <v>0</v>
      </c>
      <c r="AL14" s="137">
        <v>0</v>
      </c>
      <c r="AM14" s="137"/>
      <c r="AN14" s="137">
        <v>0</v>
      </c>
      <c r="AO14" s="140">
        <f t="shared" si="2"/>
        <v>0</v>
      </c>
      <c r="AP14" s="137"/>
      <c r="AQ14" s="137">
        <v>0</v>
      </c>
      <c r="AR14" s="137">
        <f t="shared" si="3"/>
        <v>0</v>
      </c>
      <c r="AS14" s="137">
        <f t="shared" si="4"/>
        <v>0</v>
      </c>
      <c r="AT14" s="137">
        <v>0</v>
      </c>
      <c r="AU14" s="141"/>
      <c r="AV14" s="141"/>
      <c r="AW14" s="137">
        <f t="shared" si="5"/>
        <v>40740</v>
      </c>
      <c r="AX14" s="137">
        <v>0</v>
      </c>
      <c r="AY14" s="137">
        <f t="shared" si="6"/>
        <v>40740</v>
      </c>
      <c r="AZ14" s="137">
        <f t="shared" si="7"/>
        <v>41330</v>
      </c>
      <c r="BA14" s="142">
        <f t="shared" si="8"/>
        <v>-590</v>
      </c>
      <c r="BB14" s="137"/>
      <c r="BC14" s="137">
        <v>0</v>
      </c>
      <c r="BD14" s="142">
        <v>0</v>
      </c>
      <c r="BE14" s="135">
        <v>413.65</v>
      </c>
      <c r="BF14" s="143">
        <f t="shared" si="9"/>
        <v>0.62047499999999989</v>
      </c>
      <c r="BG14" s="143">
        <f t="shared" si="10"/>
        <v>413.02952499999998</v>
      </c>
      <c r="BH14" s="143">
        <f t="shared" si="11"/>
        <v>413.3</v>
      </c>
      <c r="BI14" s="144">
        <f t="shared" si="12"/>
        <v>34.999999999996589</v>
      </c>
      <c r="BJ14" s="144">
        <v>0</v>
      </c>
      <c r="BK14" s="137">
        <f t="shared" si="13"/>
        <v>34.999999999996589</v>
      </c>
      <c r="BL14" s="2"/>
      <c r="BM14" s="10" t="str">
        <f t="shared" si="14"/>
        <v>Unloading no. 13 Bill No MTC/2025-26/586 ,Deduction For Oil Deduction= 0 ,Bardana= 0 ,F.M=  Brokerage/Rate Difference 0 ,Shortage = 0 ,Greenish=  ,Moisture= 0</v>
      </c>
      <c r="BN14" s="3"/>
      <c r="BO14" s="13" t="str">
        <f t="shared" si="17"/>
        <v xml:space="preserve"> Party Condition 39.4  ,F.M% 0.5 ,Greenish 4.96 ,Moisture 5.7 ,Shortage in KG= 0  ,Oil% 39.38</v>
      </c>
      <c r="BP14" s="4">
        <f t="shared" si="18"/>
        <v>6774.3039680619404</v>
      </c>
      <c r="BQ14" s="5" t="str">
        <f t="shared" si="15"/>
        <v>39.38</v>
      </c>
      <c r="BR14" s="6">
        <f t="shared" si="16"/>
        <v>7225.0067714220786</v>
      </c>
      <c r="BS14" s="5" t="s">
        <v>62</v>
      </c>
      <c r="BT14" s="5" t="s">
        <v>63</v>
      </c>
      <c r="BW14" s="92"/>
      <c r="BX14" s="27">
        <v>39.5</v>
      </c>
      <c r="BY14" s="27">
        <v>39.380000000000003</v>
      </c>
      <c r="BZ14" s="96"/>
    </row>
    <row r="15" spans="1:94" s="1" customFormat="1" ht="15" hidden="1" customHeight="1" x14ac:dyDescent="0.3">
      <c r="A15" s="128" t="s">
        <v>68</v>
      </c>
      <c r="B15" s="129">
        <v>46108</v>
      </c>
      <c r="C15" s="128">
        <v>14</v>
      </c>
      <c r="D15" s="128" t="s">
        <v>89</v>
      </c>
      <c r="E15" s="130">
        <v>46113</v>
      </c>
      <c r="F15" s="131" t="s">
        <v>101</v>
      </c>
      <c r="G15" s="131" t="s">
        <v>102</v>
      </c>
      <c r="H15" s="131" t="s">
        <v>103</v>
      </c>
      <c r="I15" s="132"/>
      <c r="J15" s="131" t="s">
        <v>113</v>
      </c>
      <c r="K15" s="133">
        <v>0</v>
      </c>
      <c r="L15" s="134">
        <v>46108</v>
      </c>
      <c r="M15" s="132"/>
      <c r="N15" s="131" t="s">
        <v>120</v>
      </c>
      <c r="O15" s="130">
        <v>46108</v>
      </c>
      <c r="P15" s="135">
        <v>0</v>
      </c>
      <c r="Q15" s="135">
        <v>514</v>
      </c>
      <c r="R15" s="135">
        <v>0</v>
      </c>
      <c r="S15" s="135">
        <v>0</v>
      </c>
      <c r="T15" s="135">
        <v>514</v>
      </c>
      <c r="U15" s="135">
        <v>514</v>
      </c>
      <c r="V15" s="135">
        <v>0</v>
      </c>
      <c r="W15" s="135">
        <v>308.39999999999998</v>
      </c>
      <c r="X15" s="135">
        <v>311.89999999999998</v>
      </c>
      <c r="Y15" s="135">
        <v>2132401.9900000002</v>
      </c>
      <c r="Z15" s="136"/>
      <c r="AA15" s="135">
        <v>53310.049749999998</v>
      </c>
      <c r="AB15" s="135">
        <v>53310.049749999998</v>
      </c>
      <c r="AC15" s="135">
        <v>2239022</v>
      </c>
      <c r="AD15" s="137">
        <f t="shared" si="0"/>
        <v>2236782.9780000001</v>
      </c>
      <c r="AE15" s="138">
        <v>40.299999999999997</v>
      </c>
      <c r="AF15" s="135">
        <v>39.950000000000003</v>
      </c>
      <c r="AG15" s="138">
        <v>40.14</v>
      </c>
      <c r="AH15" s="139">
        <v>4.3E-3</v>
      </c>
      <c r="AI15" s="139">
        <v>4.6800000000000001E-2</v>
      </c>
      <c r="AJ15" s="139">
        <v>5.5E-2</v>
      </c>
      <c r="AK15" s="137">
        <f t="shared" si="1"/>
        <v>0</v>
      </c>
      <c r="AL15" s="137">
        <v>0</v>
      </c>
      <c r="AM15" s="137"/>
      <c r="AN15" s="137">
        <v>0</v>
      </c>
      <c r="AO15" s="140">
        <f t="shared" si="2"/>
        <v>553.15226718578799</v>
      </c>
      <c r="AP15" s="137"/>
      <c r="AQ15" s="137">
        <v>0</v>
      </c>
      <c r="AR15" s="137">
        <f t="shared" si="3"/>
        <v>553.15226718578799</v>
      </c>
      <c r="AS15" s="137">
        <f t="shared" si="4"/>
        <v>581</v>
      </c>
      <c r="AT15" s="137">
        <f>BK15-62</f>
        <v>8.0000000000045475</v>
      </c>
      <c r="AU15" s="141"/>
      <c r="AV15" s="141"/>
      <c r="AW15" s="137">
        <f t="shared" si="5"/>
        <v>30839.999999999996</v>
      </c>
      <c r="AX15" s="137">
        <v>0</v>
      </c>
      <c r="AY15" s="137">
        <f t="shared" si="6"/>
        <v>30839.999999999996</v>
      </c>
      <c r="AZ15" s="137">
        <f t="shared" si="7"/>
        <v>31189.999999999996</v>
      </c>
      <c r="BA15" s="142">
        <f t="shared" si="8"/>
        <v>-350</v>
      </c>
      <c r="BB15" s="137"/>
      <c r="BC15" s="137">
        <v>0</v>
      </c>
      <c r="BD15" s="142">
        <v>0</v>
      </c>
      <c r="BE15" s="135">
        <v>312.60000000000002</v>
      </c>
      <c r="BF15" s="143">
        <f t="shared" si="9"/>
        <v>0.46889999999999998</v>
      </c>
      <c r="BG15" s="143">
        <f t="shared" si="10"/>
        <v>312.1311</v>
      </c>
      <c r="BH15" s="143">
        <f t="shared" si="11"/>
        <v>311.89999999999998</v>
      </c>
      <c r="BI15" s="144">
        <f t="shared" si="12"/>
        <v>70.000000000004547</v>
      </c>
      <c r="BJ15" s="144">
        <v>0</v>
      </c>
      <c r="BK15" s="137">
        <f t="shared" si="13"/>
        <v>70.000000000004547</v>
      </c>
      <c r="BL15" s="2"/>
      <c r="BM15" s="10" t="str">
        <f t="shared" si="14"/>
        <v>Unloading no. 14 Bill No L/PB/25-26/209 ,Deduction For Oil Deduction= 0 ,Bardana= 0 ,F.M=  Brokerage/Rate Difference 0 ,Shortage = 553.152267185788 ,Greenish=  ,Moisture= 0</v>
      </c>
      <c r="BN15" s="3"/>
      <c r="BO15" s="13" t="str">
        <f t="shared" si="17"/>
        <v xml:space="preserve"> Party Condition 39.95  ,F.M% 0.43 ,Greenish 4.68 ,Moisture 5.5 ,Shortage in KG= 8.00000000000455  ,Oil% 40.14</v>
      </c>
      <c r="BP15" s="4">
        <f t="shared" si="18"/>
        <v>6835.0395566938587</v>
      </c>
      <c r="BQ15" s="5" t="str">
        <f t="shared" si="15"/>
        <v>40.14</v>
      </c>
      <c r="BR15" s="6">
        <f t="shared" si="16"/>
        <v>7151.7603732222733</v>
      </c>
      <c r="BS15" s="5" t="s">
        <v>62</v>
      </c>
      <c r="BT15" s="5" t="s">
        <v>63</v>
      </c>
      <c r="BW15" s="92"/>
      <c r="BX15" s="27">
        <v>40.299999999999997</v>
      </c>
      <c r="BY15" s="27">
        <v>40.14</v>
      </c>
      <c r="BZ15" s="96"/>
    </row>
    <row r="16" spans="1:94" s="1" customFormat="1" ht="15" hidden="1" customHeight="1" x14ac:dyDescent="0.3">
      <c r="A16" s="128" t="s">
        <v>68</v>
      </c>
      <c r="B16" s="129">
        <v>46108</v>
      </c>
      <c r="C16" s="128">
        <v>15</v>
      </c>
      <c r="D16" s="128" t="s">
        <v>90</v>
      </c>
      <c r="E16" s="130">
        <v>46113</v>
      </c>
      <c r="F16" s="131" t="s">
        <v>101</v>
      </c>
      <c r="G16" s="131" t="s">
        <v>102</v>
      </c>
      <c r="H16" s="131" t="s">
        <v>103</v>
      </c>
      <c r="I16" s="132"/>
      <c r="J16" s="131" t="s">
        <v>113</v>
      </c>
      <c r="K16" s="133">
        <v>0</v>
      </c>
      <c r="L16" s="134">
        <v>46108</v>
      </c>
      <c r="M16" s="132"/>
      <c r="N16" s="131" t="s">
        <v>121</v>
      </c>
      <c r="O16" s="130">
        <v>46111</v>
      </c>
      <c r="P16" s="135">
        <v>0</v>
      </c>
      <c r="Q16" s="135">
        <v>380</v>
      </c>
      <c r="R16" s="135">
        <v>135</v>
      </c>
      <c r="S16" s="135">
        <v>0</v>
      </c>
      <c r="T16" s="135">
        <v>515</v>
      </c>
      <c r="U16" s="135">
        <v>515</v>
      </c>
      <c r="V16" s="135">
        <v>0</v>
      </c>
      <c r="W16" s="135">
        <v>309</v>
      </c>
      <c r="X16" s="135">
        <v>311.7</v>
      </c>
      <c r="Y16" s="135">
        <v>2136550.63</v>
      </c>
      <c r="Z16" s="136"/>
      <c r="AA16" s="135">
        <v>53413.765749999999</v>
      </c>
      <c r="AB16" s="135">
        <v>53413.765749999999</v>
      </c>
      <c r="AC16" s="135">
        <v>2243378</v>
      </c>
      <c r="AD16" s="137">
        <f t="shared" si="0"/>
        <v>2241134.622</v>
      </c>
      <c r="AE16" s="138">
        <v>40.42</v>
      </c>
      <c r="AF16" s="135">
        <v>39.950000000000003</v>
      </c>
      <c r="AG16" s="138">
        <v>40.26</v>
      </c>
      <c r="AH16" s="139">
        <v>4.8999999999999998E-3</v>
      </c>
      <c r="AI16" s="139">
        <v>0.05</v>
      </c>
      <c r="AJ16" s="139">
        <v>4.9000000000000002E-2</v>
      </c>
      <c r="AK16" s="137">
        <f t="shared" si="1"/>
        <v>0</v>
      </c>
      <c r="AL16" s="137">
        <v>0</v>
      </c>
      <c r="AM16" s="137"/>
      <c r="AN16" s="137">
        <v>0</v>
      </c>
      <c r="AO16" s="140">
        <f t="shared" si="2"/>
        <v>7329.2675333334118</v>
      </c>
      <c r="AP16" s="137"/>
      <c r="AQ16" s="137">
        <v>0</v>
      </c>
      <c r="AR16" s="137">
        <f t="shared" si="3"/>
        <v>7329.2675333334118</v>
      </c>
      <c r="AS16" s="137">
        <f t="shared" si="4"/>
        <v>7696</v>
      </c>
      <c r="AT16" s="137">
        <f>BK16+88-62</f>
        <v>106.00000000000114</v>
      </c>
      <c r="AU16" s="141"/>
      <c r="AV16" s="141"/>
      <c r="AW16" s="137">
        <f t="shared" si="5"/>
        <v>30900</v>
      </c>
      <c r="AX16" s="137">
        <v>0</v>
      </c>
      <c r="AY16" s="137">
        <f t="shared" si="6"/>
        <v>30900</v>
      </c>
      <c r="AZ16" s="137">
        <f t="shared" si="7"/>
        <v>31170</v>
      </c>
      <c r="BA16" s="142">
        <f t="shared" si="8"/>
        <v>-270</v>
      </c>
      <c r="BB16" s="137"/>
      <c r="BC16" s="137">
        <v>0</v>
      </c>
      <c r="BD16" s="142">
        <v>0</v>
      </c>
      <c r="BE16" s="135">
        <v>312.5</v>
      </c>
      <c r="BF16" s="143">
        <f t="shared" si="9"/>
        <v>0.46875</v>
      </c>
      <c r="BG16" s="143">
        <f t="shared" si="10"/>
        <v>312.03125</v>
      </c>
      <c r="BH16" s="143">
        <f t="shared" si="11"/>
        <v>311.7</v>
      </c>
      <c r="BI16" s="144">
        <f t="shared" si="12"/>
        <v>80.000000000001137</v>
      </c>
      <c r="BJ16" s="144">
        <v>0</v>
      </c>
      <c r="BK16" s="137">
        <f t="shared" si="13"/>
        <v>80.000000000001137</v>
      </c>
      <c r="BL16" s="2"/>
      <c r="BM16" s="10" t="str">
        <f t="shared" si="14"/>
        <v>Unloading no. 15 Bill No L/PB/25-26/213 ,Deduction For Oil Deduction= 0 ,Bardana= 0 ,F.M=  Brokerage/Rate Difference 0 ,Shortage = 7329.26753333341 ,Greenish=  ,Moisture= 0</v>
      </c>
      <c r="BN16" s="3"/>
      <c r="BO16" s="13" t="str">
        <f t="shared" si="17"/>
        <v xml:space="preserve"> Party Condition 39.95  ,F.M% 0.49 ,Greenish 5 ,Moisture 4.9 ,Shortage in KG= 106.000000000001  ,Oil% 40.26</v>
      </c>
      <c r="BP16" s="4">
        <f t="shared" si="18"/>
        <v>6830.9957089081372</v>
      </c>
      <c r="BQ16" s="5" t="str">
        <f t="shared" si="15"/>
        <v>40.26</v>
      </c>
      <c r="BR16" s="6">
        <f t="shared" si="16"/>
        <v>7126.2250316478339</v>
      </c>
      <c r="BS16" s="5" t="s">
        <v>62</v>
      </c>
      <c r="BT16" s="5" t="s">
        <v>63</v>
      </c>
      <c r="BW16" s="92"/>
      <c r="BX16" s="27">
        <v>40.42</v>
      </c>
      <c r="BY16" s="27">
        <v>40.26</v>
      </c>
      <c r="BZ16" s="96"/>
    </row>
    <row r="17" spans="1:78" s="1" customFormat="1" ht="15" hidden="1" customHeight="1" x14ac:dyDescent="0.3">
      <c r="A17" s="128" t="s">
        <v>72</v>
      </c>
      <c r="B17" s="129">
        <v>46106</v>
      </c>
      <c r="C17" s="128">
        <v>16</v>
      </c>
      <c r="D17" s="128" t="s">
        <v>91</v>
      </c>
      <c r="E17" s="130">
        <v>46113</v>
      </c>
      <c r="F17" s="131" t="s">
        <v>98</v>
      </c>
      <c r="G17" s="131" t="s">
        <v>99</v>
      </c>
      <c r="H17" s="131" t="s">
        <v>100</v>
      </c>
      <c r="I17" s="132"/>
      <c r="J17" s="131" t="s">
        <v>113</v>
      </c>
      <c r="K17" s="133">
        <v>0</v>
      </c>
      <c r="L17" s="134">
        <v>46106</v>
      </c>
      <c r="M17" s="132"/>
      <c r="N17" s="131">
        <v>335</v>
      </c>
      <c r="O17" s="130">
        <v>46111</v>
      </c>
      <c r="P17" s="135">
        <v>0</v>
      </c>
      <c r="Q17" s="135">
        <v>314</v>
      </c>
      <c r="R17" s="135">
        <v>150</v>
      </c>
      <c r="S17" s="135">
        <v>0</v>
      </c>
      <c r="T17" s="135">
        <v>464</v>
      </c>
      <c r="U17" s="135">
        <v>464</v>
      </c>
      <c r="V17" s="135">
        <v>0</v>
      </c>
      <c r="W17" s="135">
        <v>278.39999999999998</v>
      </c>
      <c r="X17" s="135">
        <v>281.8</v>
      </c>
      <c r="Y17" s="135">
        <v>1884419.07</v>
      </c>
      <c r="Z17" s="136"/>
      <c r="AA17" s="135">
        <v>47110.476750000002</v>
      </c>
      <c r="AB17" s="135">
        <v>47110.476750000002</v>
      </c>
      <c r="AC17" s="135">
        <v>1978640</v>
      </c>
      <c r="AD17" s="137">
        <f t="shared" si="0"/>
        <v>1976661.36</v>
      </c>
      <c r="AE17" s="138">
        <v>40.32</v>
      </c>
      <c r="AF17" s="135">
        <v>39.78</v>
      </c>
      <c r="AG17" s="138">
        <v>40.020000000000003</v>
      </c>
      <c r="AH17" s="139">
        <v>5.0000000000000001E-3</v>
      </c>
      <c r="AI17" s="139">
        <v>4.6600000000000003E-2</v>
      </c>
      <c r="AJ17" s="139">
        <v>5.8000000000000003E-2</v>
      </c>
      <c r="AK17" s="137">
        <f t="shared" si="1"/>
        <v>0</v>
      </c>
      <c r="AL17" s="137">
        <f>T17*0.5</f>
        <v>232</v>
      </c>
      <c r="AM17" s="137"/>
      <c r="AN17" s="137">
        <v>0</v>
      </c>
      <c r="AO17" s="140">
        <f t="shared" si="2"/>
        <v>0</v>
      </c>
      <c r="AP17" s="137"/>
      <c r="AQ17" s="137">
        <v>0</v>
      </c>
      <c r="AR17" s="137">
        <f t="shared" si="3"/>
        <v>232</v>
      </c>
      <c r="AS17" s="137">
        <f t="shared" si="4"/>
        <v>244</v>
      </c>
      <c r="AT17" s="137">
        <v>0</v>
      </c>
      <c r="AU17" s="141"/>
      <c r="AV17" s="141"/>
      <c r="AW17" s="137">
        <f t="shared" si="5"/>
        <v>27839.999999999996</v>
      </c>
      <c r="AX17" s="137">
        <v>0</v>
      </c>
      <c r="AY17" s="137">
        <f t="shared" si="6"/>
        <v>27839.999999999996</v>
      </c>
      <c r="AZ17" s="137">
        <f t="shared" si="7"/>
        <v>28180</v>
      </c>
      <c r="BA17" s="142">
        <f t="shared" si="8"/>
        <v>-340.00000000000364</v>
      </c>
      <c r="BB17" s="137"/>
      <c r="BC17" s="137">
        <v>0</v>
      </c>
      <c r="BD17" s="142">
        <v>0</v>
      </c>
      <c r="BE17" s="135">
        <v>282.3</v>
      </c>
      <c r="BF17" s="143">
        <f t="shared" si="9"/>
        <v>0.42344999999999999</v>
      </c>
      <c r="BG17" s="143">
        <f t="shared" si="10"/>
        <v>281.87655000000001</v>
      </c>
      <c r="BH17" s="143">
        <f t="shared" si="11"/>
        <v>281.8</v>
      </c>
      <c r="BI17" s="144">
        <f t="shared" si="12"/>
        <v>50</v>
      </c>
      <c r="BJ17" s="144">
        <v>0</v>
      </c>
      <c r="BK17" s="137">
        <f t="shared" si="13"/>
        <v>50</v>
      </c>
      <c r="BL17" s="2"/>
      <c r="BM17" s="10" t="str">
        <f t="shared" si="14"/>
        <v>Unloading no. 16 Bill No 335 ,Deduction For Oil Deduction= 0 ,Bardana= 232 ,F.M=  Brokerage/Rate Difference 0 ,Shortage = 0 ,Greenish=  ,Moisture= 0</v>
      </c>
      <c r="BN17" s="3"/>
      <c r="BO17" s="13" t="str">
        <f t="shared" si="17"/>
        <v xml:space="preserve"> Party Condition 39.78  ,F.M% 0.5 ,Greenish 4.66 ,Moisture 5.8 ,Shortage in KG= 0  ,Oil% 40.02</v>
      </c>
      <c r="BP17" s="4">
        <f t="shared" si="18"/>
        <v>6686.2564584811926</v>
      </c>
      <c r="BQ17" s="5" t="str">
        <f t="shared" si="15"/>
        <v>40.02</v>
      </c>
      <c r="BR17" s="6">
        <f t="shared" si="16"/>
        <v>7017.0607510297377</v>
      </c>
      <c r="BS17" s="5" t="s">
        <v>62</v>
      </c>
      <c r="BT17" s="5" t="s">
        <v>63</v>
      </c>
      <c r="BW17" s="92"/>
      <c r="BX17" s="27">
        <v>40.32</v>
      </c>
      <c r="BY17" s="27">
        <v>40.020000000000003</v>
      </c>
      <c r="BZ17" s="96"/>
    </row>
    <row r="18" spans="1:78" s="1" customFormat="1" ht="15" hidden="1" customHeight="1" x14ac:dyDescent="0.3">
      <c r="A18" s="128" t="s">
        <v>73</v>
      </c>
      <c r="B18" s="129">
        <v>46106</v>
      </c>
      <c r="C18" s="128">
        <v>17</v>
      </c>
      <c r="D18" s="128" t="s">
        <v>92</v>
      </c>
      <c r="E18" s="130">
        <v>46113</v>
      </c>
      <c r="F18" s="131" t="s">
        <v>98</v>
      </c>
      <c r="G18" s="131" t="s">
        <v>99</v>
      </c>
      <c r="H18" s="131" t="s">
        <v>100</v>
      </c>
      <c r="I18" s="132"/>
      <c r="J18" s="131" t="s">
        <v>113</v>
      </c>
      <c r="K18" s="133">
        <v>0</v>
      </c>
      <c r="L18" s="134">
        <v>46106</v>
      </c>
      <c r="M18" s="132"/>
      <c r="N18" s="131">
        <v>336</v>
      </c>
      <c r="O18" s="130">
        <v>46111</v>
      </c>
      <c r="P18" s="135">
        <v>0</v>
      </c>
      <c r="Q18" s="135">
        <v>479</v>
      </c>
      <c r="R18" s="135">
        <v>0</v>
      </c>
      <c r="S18" s="135">
        <v>0</v>
      </c>
      <c r="T18" s="135">
        <v>479</v>
      </c>
      <c r="U18" s="135">
        <v>479</v>
      </c>
      <c r="V18" s="135">
        <v>0</v>
      </c>
      <c r="W18" s="135">
        <v>287.39999999999998</v>
      </c>
      <c r="X18" s="135">
        <v>290.10000000000002</v>
      </c>
      <c r="Y18" s="135">
        <v>1935718.51</v>
      </c>
      <c r="Z18" s="136"/>
      <c r="AA18" s="135">
        <v>48392.962749999999</v>
      </c>
      <c r="AB18" s="135">
        <v>48392.962749999999</v>
      </c>
      <c r="AC18" s="135">
        <v>2032504</v>
      </c>
      <c r="AD18" s="137">
        <f t="shared" si="0"/>
        <v>2030471.496</v>
      </c>
      <c r="AE18" s="138">
        <v>39.880000000000003</v>
      </c>
      <c r="AF18" s="135">
        <v>39.270000000000003</v>
      </c>
      <c r="AG18" s="138">
        <v>39.869999999999997</v>
      </c>
      <c r="AH18" s="139">
        <v>4.4000000000000003E-3</v>
      </c>
      <c r="AI18" s="139">
        <v>4.8000000000000001E-2</v>
      </c>
      <c r="AJ18" s="139">
        <v>5.1999999999999998E-2</v>
      </c>
      <c r="AK18" s="137">
        <f t="shared" si="1"/>
        <v>0</v>
      </c>
      <c r="AL18" s="137">
        <f>T18*0.5</f>
        <v>239.5</v>
      </c>
      <c r="AM18" s="137"/>
      <c r="AN18" s="137">
        <v>0</v>
      </c>
      <c r="AO18" s="140">
        <f t="shared" si="2"/>
        <v>1818.5246962419417</v>
      </c>
      <c r="AP18" s="137"/>
      <c r="AQ18" s="137">
        <v>0</v>
      </c>
      <c r="AR18" s="137">
        <f t="shared" si="3"/>
        <v>2058.0246962419415</v>
      </c>
      <c r="AS18" s="137">
        <f t="shared" si="4"/>
        <v>2161</v>
      </c>
      <c r="AT18" s="137">
        <f>BK18-58</f>
        <v>26.999999999996589</v>
      </c>
      <c r="AU18" s="141"/>
      <c r="AV18" s="141"/>
      <c r="AW18" s="137">
        <f t="shared" si="5"/>
        <v>28739.999999999996</v>
      </c>
      <c r="AX18" s="137">
        <v>0</v>
      </c>
      <c r="AY18" s="137">
        <f t="shared" si="6"/>
        <v>28739.999999999996</v>
      </c>
      <c r="AZ18" s="137">
        <f t="shared" si="7"/>
        <v>29010.000000000004</v>
      </c>
      <c r="BA18" s="142">
        <f t="shared" si="8"/>
        <v>-270.00000000000728</v>
      </c>
      <c r="BB18" s="137"/>
      <c r="BC18" s="137">
        <v>0</v>
      </c>
      <c r="BD18" s="142">
        <v>0</v>
      </c>
      <c r="BE18" s="135">
        <v>290.95</v>
      </c>
      <c r="BF18" s="143">
        <f t="shared" si="9"/>
        <v>0.43642500000000001</v>
      </c>
      <c r="BG18" s="143">
        <f t="shared" si="10"/>
        <v>290.513575</v>
      </c>
      <c r="BH18" s="143">
        <f t="shared" si="11"/>
        <v>290.10000000000002</v>
      </c>
      <c r="BI18" s="144">
        <f t="shared" si="12"/>
        <v>84.999999999996589</v>
      </c>
      <c r="BJ18" s="144">
        <v>0</v>
      </c>
      <c r="BK18" s="137">
        <f t="shared" si="13"/>
        <v>84.999999999996589</v>
      </c>
      <c r="BL18" s="2"/>
      <c r="BM18" s="10" t="str">
        <f t="shared" si="14"/>
        <v>Unloading no. 17 Bill No 336 ,Deduction For Oil Deduction= 0 ,Bardana= 239.5 ,F.M=  Brokerage/Rate Difference 0 ,Shortage = 1818.52469624194 ,Greenish=  ,Moisture= 0</v>
      </c>
      <c r="BN18" s="3"/>
      <c r="BO18" s="13" t="str">
        <f t="shared" si="17"/>
        <v xml:space="preserve"> Party Condition 39.27  ,F.M% 0.44 ,Greenish 4.8 ,Moisture 5.2 ,Shortage in KG= 26.9999999999966  ,Oil% 39.87</v>
      </c>
      <c r="BP18" s="4">
        <f t="shared" si="18"/>
        <v>6665.4963298992006</v>
      </c>
      <c r="BQ18" s="5" t="str">
        <f t="shared" si="15"/>
        <v>39.87</v>
      </c>
      <c r="BR18" s="6">
        <f t="shared" si="16"/>
        <v>7021.5913181782407</v>
      </c>
      <c r="BS18" s="5" t="s">
        <v>62</v>
      </c>
      <c r="BT18" s="5" t="s">
        <v>63</v>
      </c>
      <c r="BW18" s="92"/>
      <c r="BX18" s="27">
        <v>39.880000000000003</v>
      </c>
      <c r="BY18" s="27">
        <v>39.869999999999997</v>
      </c>
      <c r="BZ18" s="96"/>
    </row>
    <row r="19" spans="1:78" s="1" customFormat="1" ht="15" hidden="1" customHeight="1" x14ac:dyDescent="0.3">
      <c r="A19" s="128" t="s">
        <v>74</v>
      </c>
      <c r="B19" s="129">
        <v>46109</v>
      </c>
      <c r="C19" s="128">
        <v>18</v>
      </c>
      <c r="D19" s="128" t="s">
        <v>93</v>
      </c>
      <c r="E19" s="130">
        <v>46113</v>
      </c>
      <c r="F19" s="131" t="s">
        <v>98</v>
      </c>
      <c r="G19" s="131" t="s">
        <v>99</v>
      </c>
      <c r="H19" s="131" t="s">
        <v>100</v>
      </c>
      <c r="I19" s="132"/>
      <c r="J19" s="131" t="s">
        <v>113</v>
      </c>
      <c r="K19" s="133">
        <v>0</v>
      </c>
      <c r="L19" s="134">
        <v>46109</v>
      </c>
      <c r="M19" s="132"/>
      <c r="N19" s="131">
        <v>337</v>
      </c>
      <c r="O19" s="130">
        <v>46111</v>
      </c>
      <c r="P19" s="135">
        <v>0</v>
      </c>
      <c r="Q19" s="135">
        <v>550</v>
      </c>
      <c r="R19" s="135">
        <v>71</v>
      </c>
      <c r="S19" s="135">
        <v>0</v>
      </c>
      <c r="T19" s="135">
        <v>621</v>
      </c>
      <c r="U19" s="135">
        <v>621</v>
      </c>
      <c r="V19" s="135">
        <v>0</v>
      </c>
      <c r="W19" s="135">
        <v>372.6</v>
      </c>
      <c r="X19" s="135">
        <v>376.9</v>
      </c>
      <c r="Y19" s="135">
        <v>2553214.1800000002</v>
      </c>
      <c r="Z19" s="136"/>
      <c r="AA19" s="135">
        <v>63830.354500000001</v>
      </c>
      <c r="AB19" s="135">
        <v>63830.354500000001</v>
      </c>
      <c r="AC19" s="135">
        <v>2680875</v>
      </c>
      <c r="AD19" s="137">
        <f t="shared" si="0"/>
        <v>2678194.125</v>
      </c>
      <c r="AE19" s="138">
        <v>40.299999999999997</v>
      </c>
      <c r="AF19" s="135">
        <v>39.72</v>
      </c>
      <c r="AG19" s="138">
        <v>40.32</v>
      </c>
      <c r="AH19" s="139">
        <v>4.7999999999999996E-3</v>
      </c>
      <c r="AI19" s="139">
        <v>0.05</v>
      </c>
      <c r="AJ19" s="139">
        <v>5.6000000000000001E-2</v>
      </c>
      <c r="AK19" s="137">
        <f t="shared" si="1"/>
        <v>0</v>
      </c>
      <c r="AL19" s="137">
        <f>T19*0.5</f>
        <v>310.5</v>
      </c>
      <c r="AM19" s="137"/>
      <c r="AN19" s="137">
        <v>0</v>
      </c>
      <c r="AO19" s="140">
        <f t="shared" si="2"/>
        <v>0</v>
      </c>
      <c r="AP19" s="137"/>
      <c r="AQ19" s="137">
        <v>0</v>
      </c>
      <c r="AR19" s="137">
        <f t="shared" si="3"/>
        <v>310.5</v>
      </c>
      <c r="AS19" s="137">
        <f t="shared" si="4"/>
        <v>326</v>
      </c>
      <c r="AT19" s="137">
        <v>0</v>
      </c>
      <c r="AU19" s="141"/>
      <c r="AV19" s="141"/>
      <c r="AW19" s="137">
        <f t="shared" si="5"/>
        <v>37260</v>
      </c>
      <c r="AX19" s="137">
        <v>0</v>
      </c>
      <c r="AY19" s="137">
        <f t="shared" si="6"/>
        <v>37260</v>
      </c>
      <c r="AZ19" s="137">
        <f t="shared" si="7"/>
        <v>37690</v>
      </c>
      <c r="BA19" s="142">
        <f t="shared" si="8"/>
        <v>-430</v>
      </c>
      <c r="BB19" s="137"/>
      <c r="BC19" s="137">
        <v>0</v>
      </c>
      <c r="BD19" s="142">
        <v>0</v>
      </c>
      <c r="BE19" s="135">
        <v>377.3</v>
      </c>
      <c r="BF19" s="143">
        <f t="shared" si="9"/>
        <v>0.56594999999999995</v>
      </c>
      <c r="BG19" s="143">
        <f t="shared" si="10"/>
        <v>376.73405000000002</v>
      </c>
      <c r="BH19" s="143">
        <f t="shared" si="11"/>
        <v>376.9</v>
      </c>
      <c r="BI19" s="144">
        <f t="shared" si="12"/>
        <v>40.000000000003411</v>
      </c>
      <c r="BJ19" s="144">
        <v>0</v>
      </c>
      <c r="BK19" s="137">
        <f t="shared" si="13"/>
        <v>40.000000000003411</v>
      </c>
      <c r="BL19" s="2"/>
      <c r="BM19" s="10" t="str">
        <f t="shared" si="14"/>
        <v>Unloading no. 18 Bill No 337 ,Deduction For Oil Deduction= 0 ,Bardana= 310.5 ,F.M=  Brokerage/Rate Difference 0 ,Shortage = 0 ,Greenish=  ,Moisture= 0</v>
      </c>
      <c r="BN19" s="3"/>
      <c r="BO19" s="13" t="str">
        <f t="shared" si="17"/>
        <v xml:space="preserve"> Party Condition 39.72  ,F.M% 0.48 ,Greenish 5 ,Moisture 5.6 ,Shortage in KG= 0  ,Oil% 40.3</v>
      </c>
      <c r="BP19" s="4">
        <f t="shared" si="18"/>
        <v>6773.4244627222088</v>
      </c>
      <c r="BQ19" s="5" t="str">
        <f t="shared" si="15"/>
        <v xml:space="preserve"> 40.3</v>
      </c>
      <c r="BR19" s="6">
        <f t="shared" si="16"/>
        <v>7059.1520455169421</v>
      </c>
      <c r="BS19" s="5" t="s">
        <v>62</v>
      </c>
      <c r="BT19" s="5" t="s">
        <v>63</v>
      </c>
      <c r="BW19" s="92"/>
      <c r="BX19" s="27">
        <v>40.299999999999997</v>
      </c>
      <c r="BY19" s="27">
        <v>40.32</v>
      </c>
      <c r="BZ19" s="96"/>
    </row>
    <row r="20" spans="1:78" s="1" customFormat="1" ht="15" hidden="1" customHeight="1" x14ac:dyDescent="0.3">
      <c r="A20" s="128" t="s">
        <v>75</v>
      </c>
      <c r="B20" s="129">
        <v>46109</v>
      </c>
      <c r="C20" s="128">
        <v>19</v>
      </c>
      <c r="D20" s="128" t="s">
        <v>94</v>
      </c>
      <c r="E20" s="130">
        <v>46113</v>
      </c>
      <c r="F20" s="131" t="s">
        <v>110</v>
      </c>
      <c r="G20" s="131" t="s">
        <v>111</v>
      </c>
      <c r="H20" s="131" t="s">
        <v>112</v>
      </c>
      <c r="I20" s="132"/>
      <c r="J20" s="131" t="s">
        <v>113</v>
      </c>
      <c r="K20" s="133">
        <v>0</v>
      </c>
      <c r="L20" s="134">
        <v>46109</v>
      </c>
      <c r="M20" s="132"/>
      <c r="N20" s="131" t="s">
        <v>122</v>
      </c>
      <c r="O20" s="130">
        <v>46111</v>
      </c>
      <c r="P20" s="135">
        <v>0</v>
      </c>
      <c r="Q20" s="135">
        <v>560</v>
      </c>
      <c r="R20" s="135">
        <v>200</v>
      </c>
      <c r="S20" s="135">
        <v>0</v>
      </c>
      <c r="T20" s="135">
        <v>760</v>
      </c>
      <c r="U20" s="135">
        <v>760</v>
      </c>
      <c r="V20" s="135">
        <v>0</v>
      </c>
      <c r="W20" s="135">
        <v>456</v>
      </c>
      <c r="X20" s="135">
        <v>460.9</v>
      </c>
      <c r="Y20" s="135">
        <v>3107184</v>
      </c>
      <c r="Z20" s="136"/>
      <c r="AA20" s="135">
        <v>77679.600000000006</v>
      </c>
      <c r="AB20" s="135">
        <v>77679.600000000006</v>
      </c>
      <c r="AC20" s="135">
        <v>3262543</v>
      </c>
      <c r="AD20" s="137">
        <f t="shared" si="0"/>
        <v>3259280.4569999999</v>
      </c>
      <c r="AE20" s="138">
        <v>40.5</v>
      </c>
      <c r="AF20" s="135">
        <v>39.65</v>
      </c>
      <c r="AG20" s="138">
        <v>40.4</v>
      </c>
      <c r="AH20" s="139">
        <v>4.4999999999999997E-3</v>
      </c>
      <c r="AI20" s="139">
        <v>4.2999999999999997E-2</v>
      </c>
      <c r="AJ20" s="139">
        <v>5.3999999999999999E-2</v>
      </c>
      <c r="AK20" s="137">
        <f t="shared" si="1"/>
        <v>0</v>
      </c>
      <c r="AL20" s="137">
        <f>T20*1</f>
        <v>760</v>
      </c>
      <c r="AM20" s="137"/>
      <c r="AN20" s="137">
        <v>0</v>
      </c>
      <c r="AO20" s="140">
        <f t="shared" si="2"/>
        <v>4429.100000000155</v>
      </c>
      <c r="AP20" s="137"/>
      <c r="AQ20" s="137">
        <v>0</v>
      </c>
      <c r="AR20" s="137">
        <f t="shared" si="3"/>
        <v>5189.100000000155</v>
      </c>
      <c r="AS20" s="137">
        <f t="shared" si="4"/>
        <v>5449</v>
      </c>
      <c r="AT20" s="137">
        <f>BK20+146-91</f>
        <v>65.000000000002274</v>
      </c>
      <c r="AU20" s="141"/>
      <c r="AV20" s="141"/>
      <c r="AW20" s="137">
        <f t="shared" si="5"/>
        <v>45600</v>
      </c>
      <c r="AX20" s="137">
        <v>0</v>
      </c>
      <c r="AY20" s="137">
        <f t="shared" si="6"/>
        <v>45600</v>
      </c>
      <c r="AZ20" s="137">
        <f t="shared" si="7"/>
        <v>46090</v>
      </c>
      <c r="BA20" s="142">
        <f t="shared" si="8"/>
        <v>-490</v>
      </c>
      <c r="BB20" s="137"/>
      <c r="BC20" s="137">
        <v>0</v>
      </c>
      <c r="BD20" s="142">
        <v>0</v>
      </c>
      <c r="BE20" s="135">
        <v>461</v>
      </c>
      <c r="BF20" s="143">
        <f t="shared" si="9"/>
        <v>0.69149999999999989</v>
      </c>
      <c r="BG20" s="143">
        <f t="shared" si="10"/>
        <v>460.30849999999998</v>
      </c>
      <c r="BH20" s="143">
        <f t="shared" si="11"/>
        <v>460.9</v>
      </c>
      <c r="BI20" s="144">
        <f t="shared" si="12"/>
        <v>10.000000000002274</v>
      </c>
      <c r="BJ20" s="144">
        <v>0</v>
      </c>
      <c r="BK20" s="137">
        <f t="shared" si="13"/>
        <v>10.000000000002274</v>
      </c>
      <c r="BL20" s="2"/>
      <c r="BM20" s="10" t="str">
        <f t="shared" si="14"/>
        <v>Unloading no. 19 Bill No G1632 ,Deduction For Oil Deduction= 0 ,Bardana= 760 ,F.M=  Brokerage/Rate Difference 0 ,Shortage = 4429.10000000015 ,Greenish=  ,Moisture= 0</v>
      </c>
      <c r="BN20" s="3"/>
      <c r="BO20" s="13" t="str">
        <f t="shared" si="17"/>
        <v xml:space="preserve"> Party Condition 39.65  ,F.M% 0.45 ,Greenish 4.3 ,Moisture 5.4 ,Shortage in KG= 65.0000000000023  ,Oil% 40.4</v>
      </c>
      <c r="BP20" s="4">
        <f t="shared" si="18"/>
        <v>6730.2991972228247</v>
      </c>
      <c r="BQ20" s="5" t="str">
        <f t="shared" si="15"/>
        <v xml:space="preserve"> 40.4</v>
      </c>
      <c r="BR20" s="6">
        <f t="shared" si="16"/>
        <v>6996.845700083134</v>
      </c>
      <c r="BS20" s="5" t="s">
        <v>62</v>
      </c>
      <c r="BT20" s="5" t="s">
        <v>63</v>
      </c>
      <c r="BW20" s="92"/>
      <c r="BX20" s="27">
        <v>40.5</v>
      </c>
      <c r="BY20" s="27">
        <v>40.4</v>
      </c>
      <c r="BZ20" s="96"/>
    </row>
    <row r="21" spans="1:78" s="1" customFormat="1" ht="15" hidden="1" customHeight="1" x14ac:dyDescent="0.3">
      <c r="A21" s="128" t="s">
        <v>64</v>
      </c>
      <c r="B21" s="146">
        <v>46109</v>
      </c>
      <c r="C21" s="128">
        <v>20</v>
      </c>
      <c r="D21" s="128" t="s">
        <v>144</v>
      </c>
      <c r="E21" s="146">
        <v>46114</v>
      </c>
      <c r="F21" s="131" t="s">
        <v>95</v>
      </c>
      <c r="G21" s="131" t="s">
        <v>96</v>
      </c>
      <c r="H21" s="131" t="s">
        <v>97</v>
      </c>
      <c r="I21" s="132"/>
      <c r="J21" s="131" t="s">
        <v>113</v>
      </c>
      <c r="K21" s="133">
        <v>0</v>
      </c>
      <c r="L21" s="134">
        <v>46109</v>
      </c>
      <c r="M21" s="132"/>
      <c r="N21" s="131">
        <v>613</v>
      </c>
      <c r="O21" s="146">
        <v>46111</v>
      </c>
      <c r="P21" s="135">
        <v>0</v>
      </c>
      <c r="Q21" s="135">
        <v>502</v>
      </c>
      <c r="R21" s="135">
        <v>80</v>
      </c>
      <c r="S21" s="135">
        <v>0</v>
      </c>
      <c r="T21" s="135">
        <v>582</v>
      </c>
      <c r="U21" s="135">
        <v>582</v>
      </c>
      <c r="V21" s="135">
        <v>0</v>
      </c>
      <c r="W21" s="135">
        <v>349.2</v>
      </c>
      <c r="X21" s="135">
        <v>353</v>
      </c>
      <c r="Y21" s="135">
        <v>2395481.7400000002</v>
      </c>
      <c r="Z21" s="136"/>
      <c r="AA21" s="135">
        <v>59887.0435</v>
      </c>
      <c r="AB21" s="135">
        <v>59887.0435</v>
      </c>
      <c r="AC21" s="135">
        <v>2515255.83</v>
      </c>
      <c r="AD21" s="137">
        <f t="shared" si="0"/>
        <v>2512740.5741699999</v>
      </c>
      <c r="AE21" s="147">
        <v>39.65</v>
      </c>
      <c r="AF21" s="148">
        <v>39.590000000000003</v>
      </c>
      <c r="AG21" s="147">
        <v>39.56</v>
      </c>
      <c r="AH21" s="139">
        <v>4.3E-3</v>
      </c>
      <c r="AI21" s="139">
        <v>4.2500000000000003E-2</v>
      </c>
      <c r="AJ21" s="139">
        <v>5.8999999999999997E-2</v>
      </c>
      <c r="AK21" s="137">
        <v>0</v>
      </c>
      <c r="AL21" s="137"/>
      <c r="AM21" s="137"/>
      <c r="AN21" s="137">
        <v>0</v>
      </c>
      <c r="AO21" s="140">
        <f>AT21*Y21/AW21</f>
        <v>3086.9610051545615</v>
      </c>
      <c r="AP21" s="137"/>
      <c r="AQ21" s="137">
        <v>0</v>
      </c>
      <c r="AR21" s="137">
        <f t="shared" ref="AR21:AR78" si="19">SUM(AK21:AQ21)</f>
        <v>3086.9610051545615</v>
      </c>
      <c r="AS21" s="137">
        <f t="shared" ref="AS21:AS78" si="20">ROUND(AR21*1.05,0)</f>
        <v>3241</v>
      </c>
      <c r="AT21" s="137">
        <f>BK21+45-70</f>
        <v>44.999999999998863</v>
      </c>
      <c r="AU21" s="141"/>
      <c r="AV21" s="141"/>
      <c r="AW21" s="137">
        <f t="shared" ref="AW21:AW78" si="21">W21*100</f>
        <v>34920</v>
      </c>
      <c r="AX21" s="137">
        <v>0</v>
      </c>
      <c r="AY21" s="137">
        <f t="shared" ref="AY21:AY78" si="22">+AW21+AX21</f>
        <v>34920</v>
      </c>
      <c r="AZ21" s="137">
        <f t="shared" ref="AZ21:AZ78" si="23">X21*100</f>
        <v>35300</v>
      </c>
      <c r="BA21" s="142">
        <f t="shared" ref="BA21:BA78" si="24">AY21-AZ21</f>
        <v>-380</v>
      </c>
      <c r="BB21" s="137"/>
      <c r="BC21" s="137">
        <v>0</v>
      </c>
      <c r="BD21" s="142">
        <v>0</v>
      </c>
      <c r="BE21" s="135">
        <v>353.7</v>
      </c>
      <c r="BF21" s="143">
        <f t="shared" ref="BF21:BF78" si="25">+BE21*0.15/100</f>
        <v>0.53054999999999997</v>
      </c>
      <c r="BG21" s="143">
        <f t="shared" ref="BG21:BG78" si="26">BE21-BF21</f>
        <v>353.16944999999998</v>
      </c>
      <c r="BH21" s="143">
        <f t="shared" ref="BH21:BH78" si="27">X21</f>
        <v>353</v>
      </c>
      <c r="BI21" s="144">
        <f t="shared" ref="BI21:BI78" si="28">(BE21-BH21)*100</f>
        <v>69.999999999998863</v>
      </c>
      <c r="BJ21" s="144">
        <v>0</v>
      </c>
      <c r="BK21" s="137">
        <f t="shared" ref="BK21:BK78" si="29">BI21</f>
        <v>69.999999999998863</v>
      </c>
      <c r="BL21" s="2"/>
      <c r="BM21" s="10" t="str">
        <f t="shared" ref="BM21:BM78" si="30">+$C$1&amp;" "&amp;C21 &amp;" "&amp;$N$1&amp;" "&amp;N21&amp;" "&amp;$BM$1&amp;" "&amp;$AK$1&amp;" "&amp;AK21&amp;" "&amp;$AL$1&amp;" "&amp;AL21&amp;" "&amp;$AM$1&amp;" "&amp;AM21&amp;" "&amp;$AN$1&amp;" "&amp;AN21&amp;" "&amp;$AO$1&amp;" "&amp;AO21&amp;" "&amp;$AP$1&amp;" "&amp;AP21&amp;" "&amp;$AQ$1&amp;" "&amp;AQ21</f>
        <v>Unloading no. 20 Bill No 613 ,Deduction For Oil Deduction= 0 ,Bardana=  ,F.M=  Brokerage/Rate Difference 0 ,Shortage = 3086.96100515456 ,Greenish=  ,Moisture= 0</v>
      </c>
      <c r="BN21" s="3"/>
      <c r="BO21" s="13" t="str">
        <f t="shared" si="17"/>
        <v xml:space="preserve"> Party Condition 39.59  ,F.M% 0.43 ,Greenish 4.25 ,Moisture 5.9 ,Shortage in KG= 44.9999999999989  ,Oil% 39.56</v>
      </c>
      <c r="BP21" s="4">
        <f t="shared" si="18"/>
        <v>6777.3223200987131</v>
      </c>
      <c r="BQ21" s="5" t="str">
        <f t="shared" ref="BQ21:BQ78" si="31">RIGHT(BO21,5)</f>
        <v>39.56</v>
      </c>
      <c r="BR21" s="6">
        <f t="shared" ref="BR21:BR78" si="32">BP21*42/BQ21</f>
        <v>7195.337144695296</v>
      </c>
      <c r="BS21" s="5" t="s">
        <v>62</v>
      </c>
      <c r="BT21" s="5" t="s">
        <v>63</v>
      </c>
      <c r="BW21" s="92"/>
      <c r="BX21" s="27">
        <v>39.65</v>
      </c>
      <c r="BY21" s="27">
        <v>39.56</v>
      </c>
      <c r="BZ21" s="96"/>
    </row>
    <row r="22" spans="1:78" s="1" customFormat="1" ht="15" hidden="1" customHeight="1" x14ac:dyDescent="0.3">
      <c r="A22" s="128" t="s">
        <v>68</v>
      </c>
      <c r="B22" s="146">
        <v>46108</v>
      </c>
      <c r="C22" s="128">
        <v>21</v>
      </c>
      <c r="D22" s="128" t="s">
        <v>145</v>
      </c>
      <c r="E22" s="146">
        <v>46114</v>
      </c>
      <c r="F22" s="131" t="s">
        <v>101</v>
      </c>
      <c r="G22" s="131" t="s">
        <v>102</v>
      </c>
      <c r="H22" s="131" t="s">
        <v>97</v>
      </c>
      <c r="I22" s="132"/>
      <c r="J22" s="131" t="s">
        <v>113</v>
      </c>
      <c r="K22" s="133">
        <v>0</v>
      </c>
      <c r="L22" s="134">
        <v>46108</v>
      </c>
      <c r="M22" s="132"/>
      <c r="N22" s="131" t="s">
        <v>206</v>
      </c>
      <c r="O22" s="146">
        <v>46111</v>
      </c>
      <c r="P22" s="135">
        <v>0</v>
      </c>
      <c r="Q22" s="135">
        <v>500</v>
      </c>
      <c r="R22" s="135">
        <v>107</v>
      </c>
      <c r="S22" s="135">
        <v>0</v>
      </c>
      <c r="T22" s="135">
        <v>607</v>
      </c>
      <c r="U22" s="135">
        <v>607</v>
      </c>
      <c r="V22" s="135">
        <v>0</v>
      </c>
      <c r="W22" s="135">
        <v>364.2</v>
      </c>
      <c r="X22" s="135">
        <v>366.9</v>
      </c>
      <c r="Y22" s="135">
        <v>2518225.69</v>
      </c>
      <c r="Z22" s="136"/>
      <c r="AA22" s="135">
        <v>62955.642249999997</v>
      </c>
      <c r="AB22" s="135">
        <v>62955.642249999997</v>
      </c>
      <c r="AC22" s="135">
        <v>2644136.9700000002</v>
      </c>
      <c r="AD22" s="137">
        <f t="shared" si="0"/>
        <v>2641492.8330300003</v>
      </c>
      <c r="AE22" s="147">
        <v>40.57</v>
      </c>
      <c r="AF22" s="148">
        <v>39.950000000000003</v>
      </c>
      <c r="AG22" s="147">
        <v>40.5</v>
      </c>
      <c r="AH22" s="139">
        <v>4.1999999999999997E-3</v>
      </c>
      <c r="AI22" s="139">
        <v>4.3400000000000001E-2</v>
      </c>
      <c r="AJ22" s="139">
        <v>5.2999999999999999E-2</v>
      </c>
      <c r="AK22" s="137">
        <f t="shared" ref="AK22:AK78" si="33">+IF(AF22=42,IF(MIN(AE22,AG22)&lt;AF22,Y22*((AF22-MIN(AE22,AG22))/AF22)),IF(MIN(AE22,AG22)&lt;AF22,Y22*((AF22-MIN(AE22,AG22))/AF22),0))</f>
        <v>0</v>
      </c>
      <c r="AL22" s="137"/>
      <c r="AM22" s="137"/>
      <c r="AN22" s="137">
        <v>0</v>
      </c>
      <c r="AO22" s="140">
        <f>AT22*Y22/AW22</f>
        <v>2558.3292292697893</v>
      </c>
      <c r="AP22" s="137"/>
      <c r="AQ22" s="137">
        <v>0</v>
      </c>
      <c r="AR22" s="137">
        <f t="shared" si="19"/>
        <v>2558.3292292697893</v>
      </c>
      <c r="AS22" s="137">
        <f t="shared" si="20"/>
        <v>2686</v>
      </c>
      <c r="AT22" s="137">
        <f>BK22-73</f>
        <v>37.000000000002274</v>
      </c>
      <c r="AU22" s="141"/>
      <c r="AV22" s="141"/>
      <c r="AW22" s="137">
        <f t="shared" si="21"/>
        <v>36420</v>
      </c>
      <c r="AX22" s="137">
        <v>0</v>
      </c>
      <c r="AY22" s="137">
        <f t="shared" si="22"/>
        <v>36420</v>
      </c>
      <c r="AZ22" s="137">
        <f t="shared" si="23"/>
        <v>36690</v>
      </c>
      <c r="BA22" s="142">
        <f t="shared" si="24"/>
        <v>-270</v>
      </c>
      <c r="BB22" s="137"/>
      <c r="BC22" s="137">
        <v>0</v>
      </c>
      <c r="BD22" s="142">
        <v>0</v>
      </c>
      <c r="BE22" s="135">
        <v>368</v>
      </c>
      <c r="BF22" s="143">
        <f t="shared" si="25"/>
        <v>0.55199999999999994</v>
      </c>
      <c r="BG22" s="143">
        <f t="shared" si="26"/>
        <v>367.44799999999998</v>
      </c>
      <c r="BH22" s="143">
        <f t="shared" si="27"/>
        <v>366.9</v>
      </c>
      <c r="BI22" s="144">
        <f t="shared" si="28"/>
        <v>110.00000000000227</v>
      </c>
      <c r="BJ22" s="144">
        <v>0</v>
      </c>
      <c r="BK22" s="137">
        <f t="shared" si="29"/>
        <v>110.00000000000227</v>
      </c>
      <c r="BL22" s="2"/>
      <c r="BM22" s="10" t="str">
        <f t="shared" si="30"/>
        <v>Unloading no. 21 Bill No L/PB/25-26/214 ,Deduction For Oil Deduction= 0 ,Bardana=  ,F.M=  Brokerage/Rate Difference 0 ,Shortage = 2558.32922926979 ,Greenish=  ,Moisture= 0</v>
      </c>
      <c r="BN22" s="3"/>
      <c r="BO22" s="13" t="str">
        <f t="shared" si="17"/>
        <v xml:space="preserve"> Party Condition 39.95  ,F.M% 0.42 ,Greenish 4.34 ,Moisture 5.3 ,Shortage in KG= 37.0000000000023  ,Oil% 40.5</v>
      </c>
      <c r="BP22" s="4">
        <f t="shared" si="18"/>
        <v>6856.5477262761797</v>
      </c>
      <c r="BQ22" s="5" t="str">
        <f t="shared" si="31"/>
        <v xml:space="preserve"> 40.5</v>
      </c>
      <c r="BR22" s="6">
        <f t="shared" si="32"/>
        <v>7110.4939383604824</v>
      </c>
      <c r="BS22" s="5" t="s">
        <v>62</v>
      </c>
      <c r="BT22" s="5" t="s">
        <v>63</v>
      </c>
      <c r="BW22" s="92"/>
      <c r="BX22" s="27">
        <v>40.57</v>
      </c>
      <c r="BY22" s="27">
        <v>40.5</v>
      </c>
      <c r="BZ22" s="96"/>
    </row>
    <row r="23" spans="1:78" s="1" customFormat="1" ht="15" hidden="1" customHeight="1" x14ac:dyDescent="0.3">
      <c r="A23" s="128" t="s">
        <v>123</v>
      </c>
      <c r="B23" s="146">
        <v>46107</v>
      </c>
      <c r="C23" s="128">
        <v>22</v>
      </c>
      <c r="D23" s="128" t="s">
        <v>146</v>
      </c>
      <c r="E23" s="146">
        <v>46114</v>
      </c>
      <c r="F23" s="131" t="s">
        <v>98</v>
      </c>
      <c r="G23" s="131" t="s">
        <v>99</v>
      </c>
      <c r="H23" s="131" t="s">
        <v>199</v>
      </c>
      <c r="I23" s="132"/>
      <c r="J23" s="131" t="s">
        <v>113</v>
      </c>
      <c r="K23" s="133">
        <v>0</v>
      </c>
      <c r="L23" s="134">
        <v>46107</v>
      </c>
      <c r="M23" s="132"/>
      <c r="N23" s="131">
        <v>339</v>
      </c>
      <c r="O23" s="146">
        <v>46111</v>
      </c>
      <c r="P23" s="135">
        <v>0</v>
      </c>
      <c r="Q23" s="135">
        <v>400</v>
      </c>
      <c r="R23" s="135">
        <v>80</v>
      </c>
      <c r="S23" s="135">
        <v>0</v>
      </c>
      <c r="T23" s="135">
        <v>480</v>
      </c>
      <c r="U23" s="135">
        <v>480</v>
      </c>
      <c r="V23" s="135">
        <v>0</v>
      </c>
      <c r="W23" s="135">
        <v>288</v>
      </c>
      <c r="X23" s="135">
        <v>291.39999999999998</v>
      </c>
      <c r="Y23" s="135">
        <v>1962353.28</v>
      </c>
      <c r="Z23" s="136"/>
      <c r="AA23" s="135">
        <v>49058.832000000002</v>
      </c>
      <c r="AB23" s="135">
        <v>49058.832000000002</v>
      </c>
      <c r="AC23" s="135">
        <v>2060470.94</v>
      </c>
      <c r="AD23" s="137">
        <f t="shared" si="0"/>
        <v>2058410.46906</v>
      </c>
      <c r="AE23" s="147">
        <v>40.880000000000003</v>
      </c>
      <c r="AF23" s="148">
        <v>39.65</v>
      </c>
      <c r="AG23" s="147">
        <v>40.69</v>
      </c>
      <c r="AH23" s="139">
        <v>4.3E-3</v>
      </c>
      <c r="AI23" s="139">
        <v>4.7E-2</v>
      </c>
      <c r="AJ23" s="139">
        <v>6.3E-2</v>
      </c>
      <c r="AK23" s="137">
        <f t="shared" si="33"/>
        <v>0</v>
      </c>
      <c r="AL23" s="137">
        <f>T23*0.5</f>
        <v>240</v>
      </c>
      <c r="AM23" s="137"/>
      <c r="AN23" s="137">
        <v>0</v>
      </c>
      <c r="AO23" s="140">
        <f t="shared" ref="AO23:AO78" si="34">AT23*Y23/AW23</f>
        <v>681.37266666666665</v>
      </c>
      <c r="AP23" s="137"/>
      <c r="AQ23" s="137">
        <v>0</v>
      </c>
      <c r="AR23" s="137">
        <f>SUM(AL23:AQ23)</f>
        <v>921.37266666666665</v>
      </c>
      <c r="AS23" s="137">
        <f t="shared" si="20"/>
        <v>967</v>
      </c>
      <c r="AT23" s="137">
        <f>BK23+43-58</f>
        <v>10</v>
      </c>
      <c r="AU23" s="141"/>
      <c r="AV23" s="141"/>
      <c r="AW23" s="137">
        <f t="shared" si="21"/>
        <v>28800</v>
      </c>
      <c r="AX23" s="137">
        <v>0</v>
      </c>
      <c r="AY23" s="137">
        <f t="shared" si="22"/>
        <v>28800</v>
      </c>
      <c r="AZ23" s="137">
        <f t="shared" si="23"/>
        <v>29139.999999999996</v>
      </c>
      <c r="BA23" s="142">
        <f t="shared" si="24"/>
        <v>-339.99999999999636</v>
      </c>
      <c r="BB23" s="137"/>
      <c r="BC23" s="137">
        <v>0</v>
      </c>
      <c r="BD23" s="142">
        <v>0</v>
      </c>
      <c r="BE23" s="135">
        <v>291.64999999999998</v>
      </c>
      <c r="BF23" s="143">
        <f t="shared" si="25"/>
        <v>0.43747499999999995</v>
      </c>
      <c r="BG23" s="143">
        <f t="shared" si="26"/>
        <v>291.21252499999997</v>
      </c>
      <c r="BH23" s="143">
        <f t="shared" si="27"/>
        <v>291.39999999999998</v>
      </c>
      <c r="BI23" s="144">
        <f t="shared" si="28"/>
        <v>25</v>
      </c>
      <c r="BJ23" s="144">
        <v>0</v>
      </c>
      <c r="BK23" s="137">
        <f t="shared" si="29"/>
        <v>25</v>
      </c>
      <c r="BL23" s="2"/>
      <c r="BM23" s="10" t="str">
        <f t="shared" si="30"/>
        <v>Unloading no. 22 Bill No 339 ,Deduction For Oil Deduction= 0 ,Bardana= 240 ,F.M=  Brokerage/Rate Difference 0 ,Shortage = 681.372666666667 ,Greenish=  ,Moisture= 0</v>
      </c>
      <c r="BN23" s="3"/>
      <c r="BO23" s="13" t="str">
        <f t="shared" si="17"/>
        <v xml:space="preserve"> Party Condition 39.65  ,F.M% 0.43 ,Greenish 4.7 ,Moisture 6.3 ,Shortage in KG= 10  ,Oil% 40.69</v>
      </c>
      <c r="BP23" s="4">
        <f t="shared" si="18"/>
        <v>6731.0635117822012</v>
      </c>
      <c r="BQ23" s="5" t="str">
        <f t="shared" si="31"/>
        <v>40.69</v>
      </c>
      <c r="BR23" s="6">
        <f t="shared" si="32"/>
        <v>6947.7676946387919</v>
      </c>
      <c r="BS23" s="5" t="s">
        <v>62</v>
      </c>
      <c r="BT23" s="5" t="s">
        <v>63</v>
      </c>
      <c r="BW23" s="92"/>
      <c r="BX23" s="27">
        <v>40.880000000000003</v>
      </c>
      <c r="BY23" s="27">
        <v>40.69</v>
      </c>
      <c r="BZ23" s="96"/>
    </row>
    <row r="24" spans="1:78" s="1" customFormat="1" ht="15" hidden="1" customHeight="1" x14ac:dyDescent="0.3">
      <c r="A24" s="128" t="s">
        <v>124</v>
      </c>
      <c r="B24" s="146">
        <v>46108</v>
      </c>
      <c r="C24" s="128">
        <v>23</v>
      </c>
      <c r="D24" s="128" t="s">
        <v>147</v>
      </c>
      <c r="E24" s="146">
        <v>46114</v>
      </c>
      <c r="F24" s="131" t="s">
        <v>98</v>
      </c>
      <c r="G24" s="131" t="s">
        <v>99</v>
      </c>
      <c r="H24" s="131" t="s">
        <v>199</v>
      </c>
      <c r="I24" s="132"/>
      <c r="J24" s="131" t="s">
        <v>113</v>
      </c>
      <c r="K24" s="133">
        <v>0</v>
      </c>
      <c r="L24" s="134">
        <v>46108</v>
      </c>
      <c r="M24" s="132"/>
      <c r="N24" s="149">
        <v>338</v>
      </c>
      <c r="O24" s="146">
        <v>46111</v>
      </c>
      <c r="P24" s="135">
        <v>0</v>
      </c>
      <c r="Q24" s="135">
        <v>100</v>
      </c>
      <c r="R24" s="135">
        <v>181</v>
      </c>
      <c r="S24" s="135">
        <v>0</v>
      </c>
      <c r="T24" s="135">
        <v>281</v>
      </c>
      <c r="U24" s="135">
        <v>281</v>
      </c>
      <c r="V24" s="135">
        <v>0</v>
      </c>
      <c r="W24" s="135">
        <v>168.6</v>
      </c>
      <c r="X24" s="135">
        <v>170.5</v>
      </c>
      <c r="Y24" s="135">
        <v>1160785.1499999999</v>
      </c>
      <c r="Z24" s="136"/>
      <c r="AA24" s="135">
        <v>29019.62875</v>
      </c>
      <c r="AB24" s="135">
        <v>29019.62875</v>
      </c>
      <c r="AC24" s="135">
        <v>1218824.4099999999</v>
      </c>
      <c r="AD24" s="137">
        <f t="shared" si="0"/>
        <v>1217605.58559</v>
      </c>
      <c r="AE24" s="147">
        <v>40.270000000000003</v>
      </c>
      <c r="AF24" s="148">
        <v>39.65</v>
      </c>
      <c r="AG24" s="147">
        <v>40.21</v>
      </c>
      <c r="AH24" s="139">
        <v>4.4000000000000003E-3</v>
      </c>
      <c r="AI24" s="139">
        <v>4.1399999999999999E-2</v>
      </c>
      <c r="AJ24" s="139">
        <v>5.3999999999999999E-2</v>
      </c>
      <c r="AK24" s="136"/>
      <c r="AL24" s="137">
        <f>T24*0.5</f>
        <v>140.5</v>
      </c>
      <c r="AM24" s="137"/>
      <c r="AN24" s="137">
        <v>0</v>
      </c>
      <c r="AO24" s="140">
        <f t="shared" si="34"/>
        <v>0</v>
      </c>
      <c r="AP24" s="137"/>
      <c r="AQ24" s="137">
        <v>0</v>
      </c>
      <c r="AR24" s="137">
        <f>SUM(AL24:AQ24)</f>
        <v>140.5</v>
      </c>
      <c r="AS24" s="137">
        <f t="shared" si="20"/>
        <v>148</v>
      </c>
      <c r="AT24" s="137">
        <v>0</v>
      </c>
      <c r="AU24" s="141"/>
      <c r="AV24" s="141"/>
      <c r="AW24" s="137">
        <f t="shared" si="21"/>
        <v>16860</v>
      </c>
      <c r="AX24" s="137">
        <v>0</v>
      </c>
      <c r="AY24" s="137">
        <f t="shared" si="22"/>
        <v>16860</v>
      </c>
      <c r="AZ24" s="137">
        <f t="shared" si="23"/>
        <v>17050</v>
      </c>
      <c r="BA24" s="142">
        <f t="shared" si="24"/>
        <v>-190</v>
      </c>
      <c r="BB24" s="137"/>
      <c r="BC24" s="137">
        <v>0</v>
      </c>
      <c r="BD24" s="142">
        <v>0</v>
      </c>
      <c r="BE24" s="135">
        <v>170.7</v>
      </c>
      <c r="BF24" s="143">
        <f t="shared" si="25"/>
        <v>0.25604999999999994</v>
      </c>
      <c r="BG24" s="143">
        <f t="shared" si="26"/>
        <v>170.44395</v>
      </c>
      <c r="BH24" s="143">
        <f t="shared" si="27"/>
        <v>170.5</v>
      </c>
      <c r="BI24" s="144">
        <f t="shared" si="28"/>
        <v>19.999999999998863</v>
      </c>
      <c r="BJ24" s="144">
        <v>0</v>
      </c>
      <c r="BK24" s="137">
        <f t="shared" si="29"/>
        <v>19.999999999998863</v>
      </c>
      <c r="BL24" s="2"/>
      <c r="BM24" s="10" t="str">
        <f t="shared" si="30"/>
        <v>Unloading no. 23 Bill No 338 ,Deduction For Oil Deduction=  ,Bardana= 140.5 ,F.M=  Brokerage/Rate Difference 0 ,Shortage = 0 ,Greenish=  ,Moisture= 0</v>
      </c>
      <c r="BN24" s="3"/>
      <c r="BO24" s="13" t="str">
        <f t="shared" si="17"/>
        <v xml:space="preserve"> Party Condition 39.65  ,F.M% 0.44 ,Greenish 4.14 ,Moisture 5.4 ,Shortage in KG= 0  ,Oil% 40.21</v>
      </c>
      <c r="BP24" s="4">
        <f t="shared" si="18"/>
        <v>6807.2999999999993</v>
      </c>
      <c r="BQ24" s="5" t="str">
        <f t="shared" si="31"/>
        <v>40.21</v>
      </c>
      <c r="BR24" s="6">
        <f t="shared" si="32"/>
        <v>7110.3357373787612</v>
      </c>
      <c r="BS24" s="5" t="s">
        <v>62</v>
      </c>
      <c r="BT24" s="5" t="s">
        <v>63</v>
      </c>
      <c r="BW24" s="92"/>
      <c r="BX24" s="27">
        <v>40.270000000000003</v>
      </c>
      <c r="BY24" s="27">
        <v>40.21</v>
      </c>
      <c r="BZ24" s="96"/>
    </row>
    <row r="25" spans="1:78" s="1" customFormat="1" ht="15" hidden="1" customHeight="1" x14ac:dyDescent="0.3">
      <c r="A25" s="128" t="s">
        <v>68</v>
      </c>
      <c r="B25" s="146">
        <v>46108</v>
      </c>
      <c r="C25" s="128">
        <v>24</v>
      </c>
      <c r="D25" s="128" t="s">
        <v>148</v>
      </c>
      <c r="E25" s="146">
        <v>46114</v>
      </c>
      <c r="F25" s="131" t="s">
        <v>101</v>
      </c>
      <c r="G25" s="131" t="s">
        <v>102</v>
      </c>
      <c r="H25" s="131" t="s">
        <v>97</v>
      </c>
      <c r="I25" s="132"/>
      <c r="J25" s="131" t="s">
        <v>113</v>
      </c>
      <c r="K25" s="133">
        <v>0</v>
      </c>
      <c r="L25" s="134">
        <v>46108</v>
      </c>
      <c r="M25" s="132"/>
      <c r="N25" s="131" t="s">
        <v>207</v>
      </c>
      <c r="O25" s="146">
        <v>46111</v>
      </c>
      <c r="P25" s="135">
        <v>0</v>
      </c>
      <c r="Q25" s="135">
        <v>400</v>
      </c>
      <c r="R25" s="135">
        <v>15</v>
      </c>
      <c r="S25" s="135">
        <v>0</v>
      </c>
      <c r="T25" s="135">
        <v>415</v>
      </c>
      <c r="U25" s="135">
        <v>415</v>
      </c>
      <c r="V25" s="135">
        <v>0</v>
      </c>
      <c r="W25" s="135">
        <v>249</v>
      </c>
      <c r="X25" s="135">
        <v>252.2</v>
      </c>
      <c r="Y25" s="135">
        <v>1721686.43</v>
      </c>
      <c r="Z25" s="136"/>
      <c r="AA25" s="135">
        <v>43042.160750000003</v>
      </c>
      <c r="AB25" s="135">
        <v>43042.160750000003</v>
      </c>
      <c r="AC25" s="135">
        <v>1807770.75</v>
      </c>
      <c r="AD25" s="137">
        <f t="shared" si="0"/>
        <v>1805962.9792500001</v>
      </c>
      <c r="AE25" s="147">
        <v>41.06</v>
      </c>
      <c r="AF25" s="148">
        <v>39.950000000000003</v>
      </c>
      <c r="AG25" s="147">
        <v>41.13</v>
      </c>
      <c r="AH25" s="139">
        <v>4.1000000000000003E-3</v>
      </c>
      <c r="AI25" s="139">
        <v>4.3999999999999997E-2</v>
      </c>
      <c r="AJ25" s="139">
        <v>5.8000000000000003E-2</v>
      </c>
      <c r="AK25" s="137">
        <f t="shared" si="33"/>
        <v>0</v>
      </c>
      <c r="AL25" s="137"/>
      <c r="AM25" s="137"/>
      <c r="AN25" s="137">
        <v>0</v>
      </c>
      <c r="AO25" s="140">
        <f t="shared" si="34"/>
        <v>0</v>
      </c>
      <c r="AP25" s="137"/>
      <c r="AQ25" s="137">
        <v>0</v>
      </c>
      <c r="AR25" s="137">
        <f t="shared" si="19"/>
        <v>0</v>
      </c>
      <c r="AS25" s="137">
        <f t="shared" si="20"/>
        <v>0</v>
      </c>
      <c r="AT25" s="137">
        <v>0</v>
      </c>
      <c r="AU25" s="141"/>
      <c r="AV25" s="141"/>
      <c r="AW25" s="137">
        <f t="shared" si="21"/>
        <v>24900</v>
      </c>
      <c r="AX25" s="137">
        <v>0</v>
      </c>
      <c r="AY25" s="137">
        <f t="shared" si="22"/>
        <v>24900</v>
      </c>
      <c r="AZ25" s="137">
        <f t="shared" si="23"/>
        <v>25220</v>
      </c>
      <c r="BA25" s="142">
        <f t="shared" si="24"/>
        <v>-320</v>
      </c>
      <c r="BB25" s="137"/>
      <c r="BC25" s="137">
        <v>0</v>
      </c>
      <c r="BD25" s="142">
        <v>0</v>
      </c>
      <c r="BE25" s="135">
        <v>252.5</v>
      </c>
      <c r="BF25" s="143">
        <f t="shared" si="25"/>
        <v>0.37874999999999998</v>
      </c>
      <c r="BG25" s="143">
        <f t="shared" si="26"/>
        <v>252.12125</v>
      </c>
      <c r="BH25" s="143">
        <f t="shared" si="27"/>
        <v>252.2</v>
      </c>
      <c r="BI25" s="144">
        <f t="shared" si="28"/>
        <v>30.000000000001137</v>
      </c>
      <c r="BJ25" s="144">
        <v>0</v>
      </c>
      <c r="BK25" s="137">
        <f t="shared" si="29"/>
        <v>30.000000000001137</v>
      </c>
      <c r="BL25" s="2"/>
      <c r="BM25" s="10" t="str">
        <f t="shared" si="30"/>
        <v>Unloading no. 24 Bill No L/PB/25-26/215 ,Deduction For Oil Deduction= 0 ,Bardana=  ,F.M=  Brokerage/Rate Difference 0 ,Shortage = 0 ,Greenish=  ,Moisture= 0</v>
      </c>
      <c r="BN25" s="3"/>
      <c r="BO25" s="13" t="str">
        <f t="shared" si="17"/>
        <v xml:space="preserve"> Party Condition 39.95  ,F.M% 0.41 ,Greenish 4.4 ,Moisture 5.8 ,Shortage in KG= 0  ,Oil% 41.06</v>
      </c>
      <c r="BP25" s="4">
        <f t="shared" si="18"/>
        <v>6826.6710150674071</v>
      </c>
      <c r="BQ25" s="5" t="str">
        <f t="shared" si="31"/>
        <v>41.06</v>
      </c>
      <c r="BR25" s="6">
        <f t="shared" si="32"/>
        <v>6982.9562258361202</v>
      </c>
      <c r="BS25" s="5" t="s">
        <v>62</v>
      </c>
      <c r="BT25" s="5" t="s">
        <v>63</v>
      </c>
      <c r="BW25" s="92"/>
      <c r="BX25" s="27">
        <v>41.06</v>
      </c>
      <c r="BY25" s="27">
        <v>41.13</v>
      </c>
      <c r="BZ25" s="96"/>
    </row>
    <row r="26" spans="1:78" s="1" customFormat="1" ht="15" hidden="1" customHeight="1" x14ac:dyDescent="0.3">
      <c r="A26" s="128" t="s">
        <v>64</v>
      </c>
      <c r="B26" s="146">
        <v>46109</v>
      </c>
      <c r="C26" s="128">
        <v>25</v>
      </c>
      <c r="D26" s="128" t="s">
        <v>149</v>
      </c>
      <c r="E26" s="146">
        <v>46114</v>
      </c>
      <c r="F26" s="131" t="s">
        <v>95</v>
      </c>
      <c r="G26" s="131" t="s">
        <v>96</v>
      </c>
      <c r="H26" s="131" t="s">
        <v>97</v>
      </c>
      <c r="I26" s="132"/>
      <c r="J26" s="131" t="s">
        <v>113</v>
      </c>
      <c r="K26" s="133">
        <v>0</v>
      </c>
      <c r="L26" s="134">
        <v>46109</v>
      </c>
      <c r="M26" s="132"/>
      <c r="N26" s="131">
        <v>615</v>
      </c>
      <c r="O26" s="146">
        <v>46111</v>
      </c>
      <c r="P26" s="135">
        <v>0</v>
      </c>
      <c r="Q26" s="135">
        <v>387</v>
      </c>
      <c r="R26" s="135">
        <v>110</v>
      </c>
      <c r="S26" s="135">
        <v>0</v>
      </c>
      <c r="T26" s="135">
        <v>497</v>
      </c>
      <c r="U26" s="135">
        <v>497</v>
      </c>
      <c r="V26" s="135">
        <v>0</v>
      </c>
      <c r="W26" s="135">
        <v>298.2</v>
      </c>
      <c r="X26" s="135">
        <v>301.89999999999998</v>
      </c>
      <c r="Y26" s="135">
        <v>2045626.16</v>
      </c>
      <c r="Z26" s="136"/>
      <c r="AA26" s="135">
        <v>51140.654000000002</v>
      </c>
      <c r="AB26" s="135">
        <v>51140.654000000002</v>
      </c>
      <c r="AC26" s="135">
        <v>2147907.4700000002</v>
      </c>
      <c r="AD26" s="137">
        <f t="shared" si="0"/>
        <v>2145759.5625300002</v>
      </c>
      <c r="AE26" s="147">
        <v>40.130000000000003</v>
      </c>
      <c r="AF26" s="148">
        <v>39.590000000000003</v>
      </c>
      <c r="AG26" s="147">
        <v>40.11</v>
      </c>
      <c r="AH26" s="139">
        <v>4.0000000000000001E-3</v>
      </c>
      <c r="AI26" s="139">
        <v>0.05</v>
      </c>
      <c r="AJ26" s="139">
        <v>0.06</v>
      </c>
      <c r="AK26" s="137">
        <f t="shared" si="33"/>
        <v>0</v>
      </c>
      <c r="AL26" s="137"/>
      <c r="AM26" s="137"/>
      <c r="AN26" s="137">
        <v>0</v>
      </c>
      <c r="AO26" s="140">
        <f t="shared" si="34"/>
        <v>2057.9740040243787</v>
      </c>
      <c r="AP26" s="137"/>
      <c r="AQ26" s="137">
        <v>0</v>
      </c>
      <c r="AR26" s="137">
        <f t="shared" si="19"/>
        <v>2057.9740040243787</v>
      </c>
      <c r="AS26" s="137">
        <f t="shared" si="20"/>
        <v>2161</v>
      </c>
      <c r="AT26" s="137">
        <f>BK26-60</f>
        <v>30.000000000003411</v>
      </c>
      <c r="AU26" s="141"/>
      <c r="AV26" s="141"/>
      <c r="AW26" s="137">
        <f t="shared" si="21"/>
        <v>29820</v>
      </c>
      <c r="AX26" s="137">
        <v>0</v>
      </c>
      <c r="AY26" s="137">
        <f t="shared" si="22"/>
        <v>29820</v>
      </c>
      <c r="AZ26" s="137">
        <f t="shared" si="23"/>
        <v>30189.999999999996</v>
      </c>
      <c r="BA26" s="142">
        <f t="shared" si="24"/>
        <v>-369.99999999999636</v>
      </c>
      <c r="BB26" s="137"/>
      <c r="BC26" s="137">
        <v>0</v>
      </c>
      <c r="BD26" s="142">
        <v>0</v>
      </c>
      <c r="BE26" s="135">
        <v>302.8</v>
      </c>
      <c r="BF26" s="143">
        <f t="shared" si="25"/>
        <v>0.45419999999999999</v>
      </c>
      <c r="BG26" s="143">
        <f t="shared" si="26"/>
        <v>302.3458</v>
      </c>
      <c r="BH26" s="143">
        <f t="shared" si="27"/>
        <v>301.89999999999998</v>
      </c>
      <c r="BI26" s="144">
        <f t="shared" si="28"/>
        <v>90.000000000003411</v>
      </c>
      <c r="BJ26" s="144">
        <v>0</v>
      </c>
      <c r="BK26" s="137">
        <f t="shared" si="29"/>
        <v>90.000000000003411</v>
      </c>
      <c r="BL26" s="2"/>
      <c r="BM26" s="10" t="str">
        <f t="shared" si="30"/>
        <v>Unloading no. 25 Bill No 615 ,Deduction For Oil Deduction= 0 ,Bardana=  ,F.M=  Brokerage/Rate Difference 0 ,Shortage = 2057.97400402438 ,Greenish=  ,Moisture= 0</v>
      </c>
      <c r="BN26" s="3"/>
      <c r="BO26" s="13" t="str">
        <f t="shared" si="17"/>
        <v xml:space="preserve"> Party Condition 39.59  ,F.M% 0.4 ,Greenish 5 ,Moisture 6 ,Shortage in KG= 30.0000000000034  ,Oil% 40.11</v>
      </c>
      <c r="BP26" s="4">
        <f t="shared" si="18"/>
        <v>6769.0234713347982</v>
      </c>
      <c r="BQ26" s="5" t="str">
        <f t="shared" si="31"/>
        <v>40.11</v>
      </c>
      <c r="BR26" s="6">
        <f t="shared" si="32"/>
        <v>7087.9826924971712</v>
      </c>
      <c r="BS26" s="5" t="s">
        <v>62</v>
      </c>
      <c r="BT26" s="5" t="s">
        <v>63</v>
      </c>
      <c r="BW26" s="92"/>
      <c r="BX26" s="27">
        <v>40.130000000000003</v>
      </c>
      <c r="BY26" s="27">
        <v>40.11</v>
      </c>
      <c r="BZ26" s="96"/>
    </row>
    <row r="27" spans="1:78" s="1" customFormat="1" ht="15" hidden="1" customHeight="1" x14ac:dyDescent="0.3">
      <c r="A27" s="128" t="s">
        <v>125</v>
      </c>
      <c r="B27" s="146">
        <v>46111</v>
      </c>
      <c r="C27" s="128">
        <v>26</v>
      </c>
      <c r="D27" s="128" t="s">
        <v>150</v>
      </c>
      <c r="E27" s="146">
        <v>46114</v>
      </c>
      <c r="F27" s="131" t="s">
        <v>107</v>
      </c>
      <c r="G27" s="131" t="s">
        <v>108</v>
      </c>
      <c r="H27" s="131" t="s">
        <v>109</v>
      </c>
      <c r="I27" s="132"/>
      <c r="J27" s="131" t="s">
        <v>113</v>
      </c>
      <c r="K27" s="133">
        <v>0</v>
      </c>
      <c r="L27" s="134">
        <v>46111</v>
      </c>
      <c r="M27" s="132"/>
      <c r="N27" s="131">
        <v>435</v>
      </c>
      <c r="O27" s="146">
        <v>46111</v>
      </c>
      <c r="P27" s="135">
        <v>0</v>
      </c>
      <c r="Q27" s="135">
        <v>260</v>
      </c>
      <c r="R27" s="135">
        <v>7</v>
      </c>
      <c r="S27" s="135">
        <v>0</v>
      </c>
      <c r="T27" s="135">
        <v>267</v>
      </c>
      <c r="U27" s="135">
        <v>267</v>
      </c>
      <c r="V27" s="135">
        <v>0</v>
      </c>
      <c r="W27" s="135">
        <v>160.19999999999999</v>
      </c>
      <c r="X27" s="135">
        <v>162.19999999999999</v>
      </c>
      <c r="Y27" s="135">
        <v>1121776.47</v>
      </c>
      <c r="Z27" s="136"/>
      <c r="AA27" s="135">
        <v>28044.411749999999</v>
      </c>
      <c r="AB27" s="135">
        <v>28044.411749999999</v>
      </c>
      <c r="AC27" s="135">
        <v>1177865.29</v>
      </c>
      <c r="AD27" s="137">
        <f t="shared" si="0"/>
        <v>1176687.4247099999</v>
      </c>
      <c r="AE27" s="147">
        <v>39.46</v>
      </c>
      <c r="AF27" s="148">
        <v>39.020000000000003</v>
      </c>
      <c r="AG27" s="147">
        <v>39.53</v>
      </c>
      <c r="AH27" s="139">
        <v>4.0000000000000001E-3</v>
      </c>
      <c r="AI27" s="139">
        <v>4.2999999999999997E-2</v>
      </c>
      <c r="AJ27" s="139">
        <v>5.8999999999999997E-2</v>
      </c>
      <c r="AK27" s="137">
        <f t="shared" si="33"/>
        <v>0</v>
      </c>
      <c r="AL27" s="137"/>
      <c r="AM27" s="137"/>
      <c r="AN27" s="137">
        <f>W27*1.65</f>
        <v>264.33</v>
      </c>
      <c r="AO27" s="140">
        <f t="shared" si="34"/>
        <v>1260.4230000000002</v>
      </c>
      <c r="AP27" s="137"/>
      <c r="AQ27" s="137">
        <v>0</v>
      </c>
      <c r="AR27" s="137">
        <f t="shared" si="19"/>
        <v>1524.7530000000002</v>
      </c>
      <c r="AS27" s="137">
        <f t="shared" si="20"/>
        <v>1601</v>
      </c>
      <c r="AT27" s="137">
        <f>BK27-32</f>
        <v>18</v>
      </c>
      <c r="AU27" s="141"/>
      <c r="AV27" s="141"/>
      <c r="AW27" s="137">
        <f t="shared" si="21"/>
        <v>16019.999999999998</v>
      </c>
      <c r="AX27" s="137">
        <v>0</v>
      </c>
      <c r="AY27" s="137">
        <f t="shared" si="22"/>
        <v>16019.999999999998</v>
      </c>
      <c r="AZ27" s="137">
        <f t="shared" si="23"/>
        <v>16219.999999999998</v>
      </c>
      <c r="BA27" s="142">
        <f t="shared" si="24"/>
        <v>-200</v>
      </c>
      <c r="BB27" s="137"/>
      <c r="BC27" s="137">
        <v>0</v>
      </c>
      <c r="BD27" s="142">
        <v>0</v>
      </c>
      <c r="BE27" s="135">
        <v>162.69999999999999</v>
      </c>
      <c r="BF27" s="143">
        <f t="shared" si="25"/>
        <v>0.24404999999999999</v>
      </c>
      <c r="BG27" s="143">
        <f t="shared" si="26"/>
        <v>162.45595</v>
      </c>
      <c r="BH27" s="143">
        <f t="shared" si="27"/>
        <v>162.19999999999999</v>
      </c>
      <c r="BI27" s="144">
        <f t="shared" si="28"/>
        <v>50</v>
      </c>
      <c r="BJ27" s="144">
        <v>0</v>
      </c>
      <c r="BK27" s="137">
        <f t="shared" si="29"/>
        <v>50</v>
      </c>
      <c r="BL27" s="2"/>
      <c r="BM27" s="10" t="str">
        <f t="shared" si="30"/>
        <v>Unloading no. 26 Bill No 435 ,Deduction For Oil Deduction= 0 ,Bardana=  ,F.M=  Brokerage/Rate Difference 264.33 ,Shortage = 1260.423 ,Greenish=  ,Moisture= 0</v>
      </c>
      <c r="BN27" s="3"/>
      <c r="BO27" s="13" t="str">
        <f t="shared" si="17"/>
        <v xml:space="preserve"> Party Condition 39.02  ,F.M% 0.4 ,Greenish 4.3 ,Moisture 5.9 ,Shortage in KG= 18  ,Oil% 39.46</v>
      </c>
      <c r="BP27" s="4">
        <f t="shared" si="18"/>
        <v>6906.6073797780518</v>
      </c>
      <c r="BQ27" s="5" t="str">
        <f t="shared" si="31"/>
        <v>39.46</v>
      </c>
      <c r="BR27" s="6">
        <f t="shared" si="32"/>
        <v>7351.1786606862179</v>
      </c>
      <c r="BS27" s="5" t="s">
        <v>62</v>
      </c>
      <c r="BT27" s="5" t="s">
        <v>63</v>
      </c>
      <c r="BW27" s="92"/>
      <c r="BX27" s="27">
        <v>39.46</v>
      </c>
      <c r="BY27" s="27">
        <v>39.53</v>
      </c>
      <c r="BZ27" s="96"/>
    </row>
    <row r="28" spans="1:78" s="1" customFormat="1" ht="15" hidden="1" customHeight="1" x14ac:dyDescent="0.3">
      <c r="A28" s="128" t="s">
        <v>125</v>
      </c>
      <c r="B28" s="146">
        <v>46111</v>
      </c>
      <c r="C28" s="128">
        <v>27</v>
      </c>
      <c r="D28" s="128" t="s">
        <v>151</v>
      </c>
      <c r="E28" s="146">
        <v>46114</v>
      </c>
      <c r="F28" s="131" t="s">
        <v>107</v>
      </c>
      <c r="G28" s="131" t="s">
        <v>108</v>
      </c>
      <c r="H28" s="131" t="s">
        <v>109</v>
      </c>
      <c r="I28" s="132"/>
      <c r="J28" s="131" t="s">
        <v>113</v>
      </c>
      <c r="K28" s="133">
        <v>0</v>
      </c>
      <c r="L28" s="134">
        <v>46111</v>
      </c>
      <c r="M28" s="132"/>
      <c r="N28" s="131">
        <v>434</v>
      </c>
      <c r="O28" s="146">
        <v>46111</v>
      </c>
      <c r="P28" s="135">
        <v>0</v>
      </c>
      <c r="Q28" s="135">
        <v>265</v>
      </c>
      <c r="R28" s="135">
        <v>0</v>
      </c>
      <c r="S28" s="135">
        <v>0</v>
      </c>
      <c r="T28" s="135">
        <v>265</v>
      </c>
      <c r="U28" s="135">
        <v>265</v>
      </c>
      <c r="V28" s="135">
        <v>0</v>
      </c>
      <c r="W28" s="135">
        <v>159</v>
      </c>
      <c r="X28" s="135">
        <v>160.9</v>
      </c>
      <c r="Y28" s="135">
        <v>1113373.6499999999</v>
      </c>
      <c r="Z28" s="136"/>
      <c r="AA28" s="135">
        <v>27834.341250000001</v>
      </c>
      <c r="AB28" s="135">
        <v>27834.341250000001</v>
      </c>
      <c r="AC28" s="135">
        <v>1169042.33</v>
      </c>
      <c r="AD28" s="137">
        <f t="shared" si="0"/>
        <v>1167873.28767</v>
      </c>
      <c r="AE28" s="147">
        <v>39.89</v>
      </c>
      <c r="AF28" s="148">
        <v>39.020000000000003</v>
      </c>
      <c r="AG28" s="147">
        <v>39.69</v>
      </c>
      <c r="AH28" s="139">
        <v>4.3E-3</v>
      </c>
      <c r="AI28" s="139">
        <v>5.5E-2</v>
      </c>
      <c r="AJ28" s="139">
        <v>5.7000000000000002E-2</v>
      </c>
      <c r="AK28" s="137">
        <f t="shared" si="33"/>
        <v>0</v>
      </c>
      <c r="AL28" s="137"/>
      <c r="AM28" s="137"/>
      <c r="AN28" s="137">
        <f>W28*1.65</f>
        <v>262.34999999999997</v>
      </c>
      <c r="AO28" s="140">
        <f t="shared" si="34"/>
        <v>1960.6579999999601</v>
      </c>
      <c r="AP28" s="137"/>
      <c r="AQ28" s="137">
        <v>0</v>
      </c>
      <c r="AR28" s="137">
        <f t="shared" si="19"/>
        <v>2223.0079999999602</v>
      </c>
      <c r="AS28" s="137">
        <f t="shared" si="20"/>
        <v>2334</v>
      </c>
      <c r="AT28" s="137">
        <f>BK28-32</f>
        <v>27.999999999999432</v>
      </c>
      <c r="AU28" s="141"/>
      <c r="AV28" s="141"/>
      <c r="AW28" s="137">
        <f t="shared" si="21"/>
        <v>15900</v>
      </c>
      <c r="AX28" s="137">
        <v>0</v>
      </c>
      <c r="AY28" s="137">
        <f t="shared" si="22"/>
        <v>15900</v>
      </c>
      <c r="AZ28" s="137">
        <f t="shared" si="23"/>
        <v>16090</v>
      </c>
      <c r="BA28" s="142">
        <f t="shared" si="24"/>
        <v>-190</v>
      </c>
      <c r="BB28" s="137"/>
      <c r="BC28" s="137">
        <v>0</v>
      </c>
      <c r="BD28" s="142">
        <v>0</v>
      </c>
      <c r="BE28" s="135">
        <v>161.5</v>
      </c>
      <c r="BF28" s="143">
        <f t="shared" si="25"/>
        <v>0.24224999999999997</v>
      </c>
      <c r="BG28" s="143">
        <f t="shared" si="26"/>
        <v>161.25774999999999</v>
      </c>
      <c r="BH28" s="143">
        <f t="shared" si="27"/>
        <v>160.9</v>
      </c>
      <c r="BI28" s="144">
        <f t="shared" si="28"/>
        <v>59.999999999999432</v>
      </c>
      <c r="BJ28" s="144">
        <v>0</v>
      </c>
      <c r="BK28" s="137">
        <f t="shared" si="29"/>
        <v>59.999999999999432</v>
      </c>
      <c r="BL28" s="2"/>
      <c r="BM28" s="10" t="str">
        <f t="shared" si="30"/>
        <v>Unloading no. 27 Bill No 434 ,Deduction For Oil Deduction= 0 ,Bardana=  ,F.M=  Brokerage/Rate Difference 262.35 ,Shortage = 1960.65799999996 ,Greenish=  ,Moisture= 0</v>
      </c>
      <c r="BN28" s="3"/>
      <c r="BO28" s="13" t="str">
        <f t="shared" si="17"/>
        <v xml:space="preserve"> Party Condition 39.02  ,F.M% 0.43 ,Greenish 5.5 ,Moisture 5.7 ,Shortage in KG= 27.9999999999994  ,Oil% 39.69</v>
      </c>
      <c r="BP28" s="4">
        <f t="shared" si="18"/>
        <v>6905.8461280298316</v>
      </c>
      <c r="BQ28" s="5" t="str">
        <f t="shared" si="31"/>
        <v>39.69</v>
      </c>
      <c r="BR28" s="6">
        <f t="shared" si="32"/>
        <v>7307.7736804548495</v>
      </c>
      <c r="BS28" s="5" t="s">
        <v>62</v>
      </c>
      <c r="BT28" s="5" t="s">
        <v>63</v>
      </c>
      <c r="BW28" s="92"/>
      <c r="BX28" s="27">
        <v>39.89</v>
      </c>
      <c r="BY28" s="27">
        <v>39.69</v>
      </c>
      <c r="BZ28" s="96"/>
    </row>
    <row r="29" spans="1:78" s="1" customFormat="1" ht="15" hidden="1" customHeight="1" x14ac:dyDescent="0.3">
      <c r="A29" s="131" t="s">
        <v>68</v>
      </c>
      <c r="B29" s="150">
        <v>46108</v>
      </c>
      <c r="C29" s="131">
        <v>28</v>
      </c>
      <c r="D29" s="131" t="s">
        <v>152</v>
      </c>
      <c r="E29" s="150">
        <v>46114</v>
      </c>
      <c r="F29" s="131" t="s">
        <v>101</v>
      </c>
      <c r="G29" s="131" t="s">
        <v>102</v>
      </c>
      <c r="H29" s="131" t="s">
        <v>97</v>
      </c>
      <c r="I29" s="132"/>
      <c r="J29" s="131" t="s">
        <v>113</v>
      </c>
      <c r="K29" s="133">
        <v>0</v>
      </c>
      <c r="L29" s="134">
        <v>46108</v>
      </c>
      <c r="M29" s="132"/>
      <c r="N29" s="131" t="s">
        <v>208</v>
      </c>
      <c r="O29" s="150">
        <v>46111</v>
      </c>
      <c r="P29" s="133">
        <v>0</v>
      </c>
      <c r="Q29" s="133">
        <v>500</v>
      </c>
      <c r="R29" s="133">
        <v>50</v>
      </c>
      <c r="S29" s="135">
        <v>0</v>
      </c>
      <c r="T29" s="135">
        <v>550</v>
      </c>
      <c r="U29" s="135">
        <v>550</v>
      </c>
      <c r="V29" s="135">
        <v>0</v>
      </c>
      <c r="W29" s="135">
        <v>330</v>
      </c>
      <c r="X29" s="135">
        <v>331.7</v>
      </c>
      <c r="Y29" s="135">
        <v>2281753.1</v>
      </c>
      <c r="Z29" s="136"/>
      <c r="AA29" s="135">
        <v>57043.827499999999</v>
      </c>
      <c r="AB29" s="135">
        <v>57043.827499999999</v>
      </c>
      <c r="AC29" s="135">
        <v>2395840.7599999998</v>
      </c>
      <c r="AD29" s="137">
        <f t="shared" si="0"/>
        <v>2393444.9192399997</v>
      </c>
      <c r="AE29" s="147">
        <v>40.65</v>
      </c>
      <c r="AF29" s="148">
        <v>39.950000000000003</v>
      </c>
      <c r="AG29" s="147">
        <v>40.630000000000003</v>
      </c>
      <c r="AH29" s="139">
        <v>4.4000000000000003E-3</v>
      </c>
      <c r="AI29" s="139">
        <v>4.8000000000000001E-2</v>
      </c>
      <c r="AJ29" s="139">
        <v>5.6000000000000001E-2</v>
      </c>
      <c r="AK29" s="137">
        <f t="shared" si="33"/>
        <v>0</v>
      </c>
      <c r="AL29" s="137"/>
      <c r="AM29" s="137"/>
      <c r="AN29" s="137">
        <v>0</v>
      </c>
      <c r="AO29" s="140">
        <f t="shared" si="34"/>
        <v>15972.271700000001</v>
      </c>
      <c r="AP29" s="137"/>
      <c r="AQ29" s="137">
        <v>0</v>
      </c>
      <c r="AR29" s="137">
        <f t="shared" si="19"/>
        <v>15972.271700000001</v>
      </c>
      <c r="AS29" s="137">
        <f t="shared" si="20"/>
        <v>16771</v>
      </c>
      <c r="AT29" s="137">
        <f>BK29+197-66</f>
        <v>231</v>
      </c>
      <c r="AU29" s="141"/>
      <c r="AV29" s="141"/>
      <c r="AW29" s="137">
        <f t="shared" si="21"/>
        <v>33000</v>
      </c>
      <c r="AX29" s="137">
        <v>0</v>
      </c>
      <c r="AY29" s="137">
        <f t="shared" si="22"/>
        <v>33000</v>
      </c>
      <c r="AZ29" s="137">
        <f t="shared" si="23"/>
        <v>33170</v>
      </c>
      <c r="BA29" s="142">
        <f t="shared" si="24"/>
        <v>-170</v>
      </c>
      <c r="BB29" s="137"/>
      <c r="BC29" s="137">
        <v>0</v>
      </c>
      <c r="BD29" s="142">
        <v>0</v>
      </c>
      <c r="BE29" s="135">
        <v>332.7</v>
      </c>
      <c r="BF29" s="143">
        <f t="shared" si="25"/>
        <v>0.49904999999999994</v>
      </c>
      <c r="BG29" s="143">
        <f t="shared" si="26"/>
        <v>332.20094999999998</v>
      </c>
      <c r="BH29" s="143">
        <f t="shared" si="27"/>
        <v>331.7</v>
      </c>
      <c r="BI29" s="144">
        <f t="shared" si="28"/>
        <v>100</v>
      </c>
      <c r="BJ29" s="144">
        <v>0</v>
      </c>
      <c r="BK29" s="137">
        <f t="shared" si="29"/>
        <v>100</v>
      </c>
      <c r="BL29" s="2"/>
      <c r="BM29" s="10" t="str">
        <f t="shared" si="30"/>
        <v>Unloading no. 28 Bill No L/PB/25-26/216 ,Deduction For Oil Deduction= 0 ,Bardana=  ,F.M=  Brokerage/Rate Difference 0 ,Shortage = 15972.2717 ,Greenish=  ,Moisture= 0</v>
      </c>
      <c r="BN29" s="3"/>
      <c r="BO29" s="13" t="str">
        <f t="shared" si="17"/>
        <v xml:space="preserve"> Party Condition 39.95  ,F.M% 0.44 ,Greenish 4.8 ,Moisture 5.6 ,Shortage in KG= 231  ,Oil% 40.63</v>
      </c>
      <c r="BP29" s="4">
        <f t="shared" si="18"/>
        <v>6830.8134709074475</v>
      </c>
      <c r="BQ29" s="5" t="str">
        <f t="shared" si="31"/>
        <v>40.63</v>
      </c>
      <c r="BR29" s="6">
        <f t="shared" si="32"/>
        <v>7061.1411710094208</v>
      </c>
      <c r="BS29" s="5" t="s">
        <v>62</v>
      </c>
      <c r="BT29" s="5" t="s">
        <v>63</v>
      </c>
      <c r="BW29" s="92"/>
      <c r="BX29" s="27">
        <v>40.65</v>
      </c>
      <c r="BY29" s="27">
        <v>40.630000000000003</v>
      </c>
      <c r="BZ29" s="96"/>
    </row>
    <row r="30" spans="1:78" s="1" customFormat="1" ht="15" hidden="1" customHeight="1" x14ac:dyDescent="0.3">
      <c r="A30" s="128" t="s">
        <v>126</v>
      </c>
      <c r="B30" s="146">
        <v>46108</v>
      </c>
      <c r="C30" s="128">
        <v>29</v>
      </c>
      <c r="D30" s="128" t="s">
        <v>153</v>
      </c>
      <c r="E30" s="146">
        <v>46114</v>
      </c>
      <c r="F30" s="131" t="s">
        <v>98</v>
      </c>
      <c r="G30" s="131" t="s">
        <v>99</v>
      </c>
      <c r="H30" s="131" t="s">
        <v>199</v>
      </c>
      <c r="I30" s="132"/>
      <c r="J30" s="131" t="s">
        <v>113</v>
      </c>
      <c r="K30" s="133">
        <v>0</v>
      </c>
      <c r="L30" s="134">
        <v>46108</v>
      </c>
      <c r="M30" s="132"/>
      <c r="N30" s="149">
        <v>340</v>
      </c>
      <c r="O30" s="146">
        <v>46111</v>
      </c>
      <c r="P30" s="135">
        <v>0</v>
      </c>
      <c r="Q30" s="135">
        <v>400</v>
      </c>
      <c r="R30" s="135">
        <v>69</v>
      </c>
      <c r="S30" s="135">
        <v>0</v>
      </c>
      <c r="T30" s="135">
        <v>469</v>
      </c>
      <c r="U30" s="135">
        <v>469</v>
      </c>
      <c r="V30" s="135">
        <v>0</v>
      </c>
      <c r="W30" s="135">
        <v>281.39999999999998</v>
      </c>
      <c r="X30" s="135">
        <v>285.3</v>
      </c>
      <c r="Y30" s="135">
        <v>1929744.59</v>
      </c>
      <c r="Z30" s="136"/>
      <c r="AA30" s="135">
        <v>48243.614750000001</v>
      </c>
      <c r="AB30" s="135">
        <v>48243.614750000001</v>
      </c>
      <c r="AC30" s="135">
        <v>2026231.82</v>
      </c>
      <c r="AD30" s="137">
        <f t="shared" si="0"/>
        <v>2024205.58818</v>
      </c>
      <c r="AE30" s="147">
        <v>39.78</v>
      </c>
      <c r="AF30" s="148">
        <v>39.36</v>
      </c>
      <c r="AG30" s="147">
        <v>39.75</v>
      </c>
      <c r="AH30" s="139">
        <v>4.5999999999999999E-3</v>
      </c>
      <c r="AI30" s="139">
        <v>3.7499999999999999E-2</v>
      </c>
      <c r="AJ30" s="139">
        <v>6.0999999999999999E-2</v>
      </c>
      <c r="AK30" s="137">
        <f t="shared" si="33"/>
        <v>0</v>
      </c>
      <c r="AL30" s="137">
        <f>T30*0.5</f>
        <v>234.5</v>
      </c>
      <c r="AM30" s="137"/>
      <c r="AN30" s="137">
        <v>0</v>
      </c>
      <c r="AO30" s="140">
        <f t="shared" si="34"/>
        <v>0</v>
      </c>
      <c r="AP30" s="137"/>
      <c r="AQ30" s="137">
        <v>0</v>
      </c>
      <c r="AR30" s="137">
        <f t="shared" si="19"/>
        <v>234.5</v>
      </c>
      <c r="AS30" s="137">
        <f t="shared" si="20"/>
        <v>246</v>
      </c>
      <c r="AT30" s="137">
        <v>0</v>
      </c>
      <c r="AU30" s="141"/>
      <c r="AV30" s="141"/>
      <c r="AW30" s="137">
        <f t="shared" si="21"/>
        <v>28139.999999999996</v>
      </c>
      <c r="AX30" s="137">
        <v>0</v>
      </c>
      <c r="AY30" s="137">
        <f t="shared" si="22"/>
        <v>28139.999999999996</v>
      </c>
      <c r="AZ30" s="137">
        <f t="shared" si="23"/>
        <v>28530</v>
      </c>
      <c r="BA30" s="142">
        <f t="shared" si="24"/>
        <v>-390.00000000000364</v>
      </c>
      <c r="BB30" s="137"/>
      <c r="BC30" s="137">
        <v>0</v>
      </c>
      <c r="BD30" s="142">
        <v>0</v>
      </c>
      <c r="BE30" s="135">
        <v>285.7</v>
      </c>
      <c r="BF30" s="143">
        <f t="shared" si="25"/>
        <v>0.42854999999999999</v>
      </c>
      <c r="BG30" s="143">
        <f t="shared" si="26"/>
        <v>285.27145000000002</v>
      </c>
      <c r="BH30" s="143">
        <f t="shared" si="27"/>
        <v>285.3</v>
      </c>
      <c r="BI30" s="144">
        <f t="shared" si="28"/>
        <v>39.999999999997726</v>
      </c>
      <c r="BJ30" s="144">
        <v>0</v>
      </c>
      <c r="BK30" s="137">
        <f t="shared" si="29"/>
        <v>39.999999999997726</v>
      </c>
      <c r="BL30" s="2"/>
      <c r="BM30" s="10" t="str">
        <f t="shared" si="30"/>
        <v>Unloading no. 29 Bill No 340 ,Deduction For Oil Deduction= 0 ,Bardana= 234.5 ,F.M=  Brokerage/Rate Difference 0 ,Shortage = 0 ,Greenish=  ,Moisture= 0</v>
      </c>
      <c r="BN30" s="3"/>
      <c r="BO30" s="13" t="str">
        <f t="shared" si="17"/>
        <v xml:space="preserve"> Party Condition 39.36  ,F.M% 0.46 ,Greenish 3.75 ,Moisture 6.1 ,Shortage in KG= 0  ,Oil% 39.75</v>
      </c>
      <c r="BP30" s="4">
        <f t="shared" si="18"/>
        <v>6763.0917981072553</v>
      </c>
      <c r="BQ30" s="5" t="str">
        <f t="shared" si="31"/>
        <v>39.75</v>
      </c>
      <c r="BR30" s="6">
        <f t="shared" si="32"/>
        <v>7145.9083149812504</v>
      </c>
      <c r="BS30" s="5" t="s">
        <v>62</v>
      </c>
      <c r="BT30" s="5" t="s">
        <v>63</v>
      </c>
      <c r="BW30" s="92"/>
      <c r="BX30" s="27">
        <v>39.78</v>
      </c>
      <c r="BY30" s="27">
        <v>39.75</v>
      </c>
      <c r="BZ30" s="96"/>
    </row>
    <row r="31" spans="1:78" s="1" customFormat="1" ht="15" hidden="1" customHeight="1" x14ac:dyDescent="0.3">
      <c r="A31" s="131" t="s">
        <v>68</v>
      </c>
      <c r="B31" s="150">
        <v>46108</v>
      </c>
      <c r="C31" s="131">
        <v>30</v>
      </c>
      <c r="D31" s="131" t="s">
        <v>154</v>
      </c>
      <c r="E31" s="150">
        <v>46114</v>
      </c>
      <c r="F31" s="131" t="s">
        <v>101</v>
      </c>
      <c r="G31" s="131" t="s">
        <v>102</v>
      </c>
      <c r="H31" s="131" t="s">
        <v>97</v>
      </c>
      <c r="I31" s="132"/>
      <c r="J31" s="131" t="s">
        <v>113</v>
      </c>
      <c r="K31" s="133">
        <v>0</v>
      </c>
      <c r="L31" s="134">
        <v>46108</v>
      </c>
      <c r="M31" s="132"/>
      <c r="N31" s="131" t="s">
        <v>209</v>
      </c>
      <c r="O31" s="150">
        <v>46111</v>
      </c>
      <c r="P31" s="133">
        <v>0</v>
      </c>
      <c r="Q31" s="133">
        <v>475</v>
      </c>
      <c r="R31" s="133">
        <v>25</v>
      </c>
      <c r="S31" s="135">
        <v>0</v>
      </c>
      <c r="T31" s="135">
        <v>500</v>
      </c>
      <c r="U31" s="135">
        <v>500</v>
      </c>
      <c r="V31" s="135">
        <v>0</v>
      </c>
      <c r="W31" s="135">
        <v>300</v>
      </c>
      <c r="X31" s="135">
        <v>302.89999999999998</v>
      </c>
      <c r="Y31" s="135">
        <v>2074321</v>
      </c>
      <c r="Z31" s="136"/>
      <c r="AA31" s="135">
        <v>51858.025000000001</v>
      </c>
      <c r="AB31" s="135">
        <v>51858.025000000001</v>
      </c>
      <c r="AC31" s="135">
        <v>2178037.0499999998</v>
      </c>
      <c r="AD31" s="137">
        <f t="shared" si="0"/>
        <v>2175859.0129499999</v>
      </c>
      <c r="AE31" s="147">
        <v>40.880000000000003</v>
      </c>
      <c r="AF31" s="148">
        <v>39.590000000000003</v>
      </c>
      <c r="AG31" s="147">
        <v>40.94</v>
      </c>
      <c r="AH31" s="139">
        <v>4.5999999999999999E-3</v>
      </c>
      <c r="AI31" s="139">
        <v>4.4900000000000002E-2</v>
      </c>
      <c r="AJ31" s="139">
        <v>5.3999999999999999E-2</v>
      </c>
      <c r="AK31" s="137">
        <f t="shared" si="33"/>
        <v>0</v>
      </c>
      <c r="AL31" s="137"/>
      <c r="AM31" s="137"/>
      <c r="AN31" s="137">
        <v>0</v>
      </c>
      <c r="AO31" s="140">
        <f t="shared" si="34"/>
        <v>5185.8024999999998</v>
      </c>
      <c r="AP31" s="137"/>
      <c r="AQ31" s="137">
        <v>0</v>
      </c>
      <c r="AR31" s="137">
        <f t="shared" si="19"/>
        <v>5185.8024999999998</v>
      </c>
      <c r="AS31" s="137">
        <f t="shared" si="20"/>
        <v>5445</v>
      </c>
      <c r="AT31" s="137">
        <f>BK31+85-60</f>
        <v>75</v>
      </c>
      <c r="AU31" s="141"/>
      <c r="AV31" s="141"/>
      <c r="AW31" s="137">
        <f t="shared" si="21"/>
        <v>30000</v>
      </c>
      <c r="AX31" s="137">
        <v>0</v>
      </c>
      <c r="AY31" s="137">
        <f t="shared" si="22"/>
        <v>30000</v>
      </c>
      <c r="AZ31" s="137">
        <f t="shared" si="23"/>
        <v>30289.999999999996</v>
      </c>
      <c r="BA31" s="142">
        <f t="shared" si="24"/>
        <v>-289.99999999999636</v>
      </c>
      <c r="BB31" s="137"/>
      <c r="BC31" s="137">
        <v>0</v>
      </c>
      <c r="BD31" s="142">
        <v>0</v>
      </c>
      <c r="BE31" s="135">
        <v>303.39999999999998</v>
      </c>
      <c r="BF31" s="143">
        <f t="shared" si="25"/>
        <v>0.4551</v>
      </c>
      <c r="BG31" s="143">
        <f t="shared" si="26"/>
        <v>302.94489999999996</v>
      </c>
      <c r="BH31" s="143">
        <f t="shared" si="27"/>
        <v>302.89999999999998</v>
      </c>
      <c r="BI31" s="144">
        <f t="shared" si="28"/>
        <v>50</v>
      </c>
      <c r="BJ31" s="144">
        <v>0</v>
      </c>
      <c r="BK31" s="137">
        <f t="shared" si="29"/>
        <v>50</v>
      </c>
      <c r="BL31" s="2"/>
      <c r="BM31" s="10" t="str">
        <f t="shared" si="30"/>
        <v>Unloading no. 30 Bill No L/PB/25-26/217 ,Deduction For Oil Deduction= 0 ,Bardana=  ,F.M=  Brokerage/Rate Difference 0 ,Shortage = 5185.8025 ,Greenish=  ,Moisture= 0</v>
      </c>
      <c r="BN31" s="3"/>
      <c r="BO31" s="13" t="str">
        <f t="shared" si="17"/>
        <v xml:space="preserve"> Party Condition 39.59  ,F.M% 0.46 ,Greenish 4.49 ,Moisture 5.4 ,Shortage in KG= 75  ,Oil% 40.88</v>
      </c>
      <c r="BP31" s="4">
        <f t="shared" si="18"/>
        <v>6831.0835176625951</v>
      </c>
      <c r="BQ31" s="5" t="str">
        <f t="shared" si="31"/>
        <v>40.88</v>
      </c>
      <c r="BR31" s="6">
        <f t="shared" si="32"/>
        <v>7018.2364907492401</v>
      </c>
      <c r="BS31" s="5" t="s">
        <v>62</v>
      </c>
      <c r="BT31" s="5" t="s">
        <v>63</v>
      </c>
      <c r="BW31" s="92"/>
      <c r="BX31" s="27">
        <v>40.880000000000003</v>
      </c>
      <c r="BY31" s="27">
        <v>40.94</v>
      </c>
      <c r="BZ31" s="96"/>
    </row>
    <row r="32" spans="1:78" s="1" customFormat="1" ht="15" hidden="1" customHeight="1" x14ac:dyDescent="0.3">
      <c r="A32" s="128" t="s">
        <v>64</v>
      </c>
      <c r="B32" s="146">
        <v>46109</v>
      </c>
      <c r="C32" s="128">
        <v>31</v>
      </c>
      <c r="D32" s="128" t="s">
        <v>155</v>
      </c>
      <c r="E32" s="146">
        <v>46114</v>
      </c>
      <c r="F32" s="131" t="s">
        <v>95</v>
      </c>
      <c r="G32" s="131" t="s">
        <v>96</v>
      </c>
      <c r="H32" s="131" t="s">
        <v>97</v>
      </c>
      <c r="I32" s="132"/>
      <c r="J32" s="131" t="s">
        <v>113</v>
      </c>
      <c r="K32" s="133">
        <v>0</v>
      </c>
      <c r="L32" s="134">
        <v>46109</v>
      </c>
      <c r="M32" s="132"/>
      <c r="N32" s="131">
        <v>617</v>
      </c>
      <c r="O32" s="146">
        <v>46111</v>
      </c>
      <c r="P32" s="135">
        <v>0</v>
      </c>
      <c r="Q32" s="135">
        <v>500</v>
      </c>
      <c r="R32" s="135">
        <v>65</v>
      </c>
      <c r="S32" s="135">
        <v>0</v>
      </c>
      <c r="T32" s="135">
        <v>565</v>
      </c>
      <c r="U32" s="135">
        <v>565</v>
      </c>
      <c r="V32" s="135">
        <v>0</v>
      </c>
      <c r="W32" s="135">
        <v>339</v>
      </c>
      <c r="X32" s="135">
        <v>341.9</v>
      </c>
      <c r="Y32" s="135">
        <v>2325510.62</v>
      </c>
      <c r="Z32" s="136"/>
      <c r="AA32" s="135">
        <v>58137.765500000001</v>
      </c>
      <c r="AB32" s="135">
        <v>58137.765500000001</v>
      </c>
      <c r="AC32" s="135">
        <v>2441786.15</v>
      </c>
      <c r="AD32" s="137">
        <f t="shared" si="0"/>
        <v>2439344.3638499998</v>
      </c>
      <c r="AE32" s="147">
        <v>40.4</v>
      </c>
      <c r="AF32" s="148">
        <v>39.590000000000003</v>
      </c>
      <c r="AG32" s="147">
        <v>40.33</v>
      </c>
      <c r="AH32" s="139">
        <v>4.1000000000000003E-3</v>
      </c>
      <c r="AI32" s="139">
        <v>4.1000000000000002E-2</v>
      </c>
      <c r="AJ32" s="139">
        <v>5.2999999999999999E-2</v>
      </c>
      <c r="AK32" s="137">
        <f t="shared" si="33"/>
        <v>0</v>
      </c>
      <c r="AL32" s="137"/>
      <c r="AM32" s="137"/>
      <c r="AN32" s="137">
        <v>0</v>
      </c>
      <c r="AO32" s="140">
        <f t="shared" si="34"/>
        <v>8369.0942666668234</v>
      </c>
      <c r="AP32" s="137"/>
      <c r="AQ32" s="137">
        <v>0</v>
      </c>
      <c r="AR32" s="137">
        <f t="shared" si="19"/>
        <v>8369.0942666668234</v>
      </c>
      <c r="AS32" s="137">
        <f t="shared" si="20"/>
        <v>8788</v>
      </c>
      <c r="AT32" s="137">
        <f>BK32+80-68</f>
        <v>122.00000000000227</v>
      </c>
      <c r="AU32" s="141"/>
      <c r="AV32" s="141"/>
      <c r="AW32" s="137">
        <f t="shared" si="21"/>
        <v>33900</v>
      </c>
      <c r="AX32" s="137">
        <v>0</v>
      </c>
      <c r="AY32" s="137">
        <f t="shared" si="22"/>
        <v>33900</v>
      </c>
      <c r="AZ32" s="137">
        <f t="shared" si="23"/>
        <v>34190</v>
      </c>
      <c r="BA32" s="142">
        <f t="shared" si="24"/>
        <v>-290</v>
      </c>
      <c r="BB32" s="137"/>
      <c r="BC32" s="137">
        <v>0</v>
      </c>
      <c r="BD32" s="142">
        <v>0</v>
      </c>
      <c r="BE32" s="135">
        <v>343</v>
      </c>
      <c r="BF32" s="143">
        <f t="shared" si="25"/>
        <v>0.51449999999999996</v>
      </c>
      <c r="BG32" s="143">
        <f t="shared" si="26"/>
        <v>342.4855</v>
      </c>
      <c r="BH32" s="143">
        <f t="shared" si="27"/>
        <v>341.9</v>
      </c>
      <c r="BI32" s="144">
        <f t="shared" si="28"/>
        <v>110.00000000000227</v>
      </c>
      <c r="BJ32" s="144">
        <v>0</v>
      </c>
      <c r="BK32" s="137">
        <f t="shared" si="29"/>
        <v>110.00000000000227</v>
      </c>
      <c r="BL32" s="2"/>
      <c r="BM32" s="10" t="str">
        <f t="shared" si="30"/>
        <v>Unloading no. 31 Bill No 617 ,Deduction For Oil Deduction= 0 ,Bardana=  ,F.M=  Brokerage/Rate Difference 0 ,Shortage = 8369.09426666682 ,Greenish=  ,Moisture= 0</v>
      </c>
      <c r="BN32" s="3"/>
      <c r="BO32" s="13" t="str">
        <f t="shared" si="17"/>
        <v xml:space="preserve"> Party Condition 39.59  ,F.M% 0.41 ,Greenish 4.1 ,Moisture 5.3 ,Shortage in KG= 122.000000000002  ,Oil% 40.33</v>
      </c>
      <c r="BP32" s="4">
        <f t="shared" si="18"/>
        <v>6777.2492709369208</v>
      </c>
      <c r="BQ32" s="5" t="str">
        <f t="shared" si="31"/>
        <v>40.33</v>
      </c>
      <c r="BR32" s="6">
        <f t="shared" si="32"/>
        <v>7057.884189916952</v>
      </c>
      <c r="BS32" s="5" t="s">
        <v>62</v>
      </c>
      <c r="BT32" s="5" t="s">
        <v>63</v>
      </c>
      <c r="BW32" s="92"/>
      <c r="BX32" s="27">
        <v>40.4</v>
      </c>
      <c r="BY32" s="27">
        <v>40.33</v>
      </c>
      <c r="BZ32" s="96"/>
    </row>
    <row r="33" spans="1:78" s="1" customFormat="1" ht="15" hidden="1" customHeight="1" x14ac:dyDescent="0.3">
      <c r="A33" s="128" t="s">
        <v>127</v>
      </c>
      <c r="B33" s="146">
        <v>46109</v>
      </c>
      <c r="C33" s="128">
        <v>32</v>
      </c>
      <c r="D33" s="128" t="s">
        <v>156</v>
      </c>
      <c r="E33" s="146">
        <v>46114</v>
      </c>
      <c r="F33" s="131" t="s">
        <v>98</v>
      </c>
      <c r="G33" s="131" t="s">
        <v>99</v>
      </c>
      <c r="H33" s="131" t="s">
        <v>199</v>
      </c>
      <c r="I33" s="132"/>
      <c r="J33" s="131" t="s">
        <v>113</v>
      </c>
      <c r="K33" s="133">
        <v>0</v>
      </c>
      <c r="L33" s="134">
        <v>46109</v>
      </c>
      <c r="M33" s="132"/>
      <c r="N33" s="149">
        <v>341</v>
      </c>
      <c r="O33" s="146">
        <v>46111</v>
      </c>
      <c r="P33" s="135">
        <v>0</v>
      </c>
      <c r="Q33" s="135">
        <v>533</v>
      </c>
      <c r="R33" s="135">
        <v>0</v>
      </c>
      <c r="S33" s="135">
        <v>0</v>
      </c>
      <c r="T33" s="135">
        <v>533</v>
      </c>
      <c r="U33" s="135">
        <v>533</v>
      </c>
      <c r="V33" s="135">
        <v>0</v>
      </c>
      <c r="W33" s="135">
        <v>319.8</v>
      </c>
      <c r="X33" s="135">
        <v>324.39999999999998</v>
      </c>
      <c r="Y33" s="135">
        <v>2186388.39</v>
      </c>
      <c r="Z33" s="136"/>
      <c r="AA33" s="135">
        <v>54659.709750000002</v>
      </c>
      <c r="AB33" s="135">
        <v>54659.709750000002</v>
      </c>
      <c r="AC33" s="135">
        <v>2295707.81</v>
      </c>
      <c r="AD33" s="137">
        <f t="shared" si="0"/>
        <v>2293412.10219</v>
      </c>
      <c r="AE33" s="147">
        <v>39.85</v>
      </c>
      <c r="AF33" s="148">
        <v>39.200000000000003</v>
      </c>
      <c r="AG33" s="147">
        <v>40.090000000000003</v>
      </c>
      <c r="AH33" s="139">
        <v>4.5999999999999999E-3</v>
      </c>
      <c r="AI33" s="139">
        <v>0.04</v>
      </c>
      <c r="AJ33" s="139">
        <v>5.0999999999999997E-2</v>
      </c>
      <c r="AK33" s="137">
        <f t="shared" si="33"/>
        <v>0</v>
      </c>
      <c r="AL33" s="137">
        <f>T33*0.5</f>
        <v>266.5</v>
      </c>
      <c r="AM33" s="137"/>
      <c r="AN33" s="137">
        <v>0</v>
      </c>
      <c r="AO33" s="140">
        <f t="shared" si="34"/>
        <v>0</v>
      </c>
      <c r="AP33" s="137"/>
      <c r="AQ33" s="137">
        <v>0</v>
      </c>
      <c r="AR33" s="137">
        <f t="shared" si="19"/>
        <v>266.5</v>
      </c>
      <c r="AS33" s="137">
        <f t="shared" si="20"/>
        <v>280</v>
      </c>
      <c r="AT33" s="137">
        <v>0</v>
      </c>
      <c r="AU33" s="141"/>
      <c r="AV33" s="141"/>
      <c r="AW33" s="137">
        <f t="shared" si="21"/>
        <v>31980</v>
      </c>
      <c r="AX33" s="137">
        <v>0</v>
      </c>
      <c r="AY33" s="137">
        <f t="shared" si="22"/>
        <v>31980</v>
      </c>
      <c r="AZ33" s="137">
        <f t="shared" si="23"/>
        <v>32439.999999999996</v>
      </c>
      <c r="BA33" s="142">
        <f t="shared" si="24"/>
        <v>-459.99999999999636</v>
      </c>
      <c r="BB33" s="137"/>
      <c r="BC33" s="137">
        <v>0</v>
      </c>
      <c r="BD33" s="142">
        <v>0</v>
      </c>
      <c r="BE33" s="135">
        <v>324.8</v>
      </c>
      <c r="BF33" s="143">
        <f t="shared" si="25"/>
        <v>0.48719999999999997</v>
      </c>
      <c r="BG33" s="143">
        <f t="shared" si="26"/>
        <v>324.31280000000004</v>
      </c>
      <c r="BH33" s="143">
        <f t="shared" si="27"/>
        <v>324.39999999999998</v>
      </c>
      <c r="BI33" s="144">
        <f t="shared" si="28"/>
        <v>40.000000000003411</v>
      </c>
      <c r="BJ33" s="144">
        <v>0</v>
      </c>
      <c r="BK33" s="137">
        <f t="shared" si="29"/>
        <v>40.000000000003411</v>
      </c>
      <c r="BL33" s="2"/>
      <c r="BM33" s="10" t="str">
        <f t="shared" si="30"/>
        <v>Unloading no. 32 Bill No 341 ,Deduction For Oil Deduction= 0 ,Bardana= 266.5 ,F.M=  Brokerage/Rate Difference 0 ,Shortage = 0 ,Greenish=  ,Moisture= 0</v>
      </c>
      <c r="BN33" s="3"/>
      <c r="BO33" s="13" t="str">
        <f t="shared" si="17"/>
        <v xml:space="preserve"> Party Condition 39.2  ,F.M% 0.46 ,Greenish 4 ,Moisture 5.1 ,Shortage in KG= 0  ,Oil% 39.85</v>
      </c>
      <c r="BP33" s="4">
        <f t="shared" si="18"/>
        <v>6738.9700678175104</v>
      </c>
      <c r="BQ33" s="5" t="str">
        <f t="shared" si="31"/>
        <v>39.85</v>
      </c>
      <c r="BR33" s="6">
        <f t="shared" si="32"/>
        <v>7102.5531455040255</v>
      </c>
      <c r="BS33" s="5" t="s">
        <v>62</v>
      </c>
      <c r="BT33" s="5" t="s">
        <v>63</v>
      </c>
      <c r="BW33" s="92"/>
      <c r="BX33" s="27">
        <v>39.85</v>
      </c>
      <c r="BY33" s="27">
        <v>40.090000000000003</v>
      </c>
      <c r="BZ33" s="96"/>
    </row>
    <row r="34" spans="1:78" s="1" customFormat="1" ht="15" hidden="1" customHeight="1" x14ac:dyDescent="0.3">
      <c r="A34" s="131" t="s">
        <v>128</v>
      </c>
      <c r="B34" s="150">
        <v>46109</v>
      </c>
      <c r="C34" s="131">
        <v>33</v>
      </c>
      <c r="D34" s="131" t="s">
        <v>157</v>
      </c>
      <c r="E34" s="150">
        <v>46114</v>
      </c>
      <c r="F34" s="131" t="s">
        <v>104</v>
      </c>
      <c r="G34" s="131" t="s">
        <v>105</v>
      </c>
      <c r="H34" s="131" t="s">
        <v>106</v>
      </c>
      <c r="I34" s="132"/>
      <c r="J34" s="131" t="s">
        <v>113</v>
      </c>
      <c r="K34" s="133">
        <v>0</v>
      </c>
      <c r="L34" s="134">
        <v>46109</v>
      </c>
      <c r="M34" s="132"/>
      <c r="N34" s="131" t="s">
        <v>210</v>
      </c>
      <c r="O34" s="150">
        <v>46111</v>
      </c>
      <c r="P34" s="133">
        <v>0</v>
      </c>
      <c r="Q34" s="133">
        <v>300</v>
      </c>
      <c r="R34" s="133">
        <v>213</v>
      </c>
      <c r="S34" s="135">
        <v>0</v>
      </c>
      <c r="T34" s="135">
        <v>513</v>
      </c>
      <c r="U34" s="135">
        <v>513</v>
      </c>
      <c r="V34" s="135">
        <v>0</v>
      </c>
      <c r="W34" s="135">
        <v>307.8</v>
      </c>
      <c r="X34" s="135">
        <v>311.39999999999998</v>
      </c>
      <c r="Y34" s="135">
        <v>2064183.75</v>
      </c>
      <c r="Z34" s="136"/>
      <c r="AA34" s="135">
        <v>51604.59375</v>
      </c>
      <c r="AB34" s="135">
        <v>51604.59375</v>
      </c>
      <c r="AC34" s="135">
        <v>2167392.94</v>
      </c>
      <c r="AD34" s="137">
        <f t="shared" si="0"/>
        <v>2165225.5470599998</v>
      </c>
      <c r="AE34" s="147">
        <v>40.159999999999997</v>
      </c>
      <c r="AF34" s="148">
        <v>38.5</v>
      </c>
      <c r="AG34" s="147">
        <v>40.06</v>
      </c>
      <c r="AH34" s="139">
        <v>4.1999999999999997E-3</v>
      </c>
      <c r="AI34" s="139">
        <v>4.2799999999999998E-2</v>
      </c>
      <c r="AJ34" s="139">
        <v>5.3999999999999999E-2</v>
      </c>
      <c r="AK34" s="137">
        <f t="shared" si="33"/>
        <v>0</v>
      </c>
      <c r="AL34" s="137"/>
      <c r="AM34" s="137"/>
      <c r="AN34" s="137">
        <v>0</v>
      </c>
      <c r="AO34" s="140">
        <f t="shared" si="34"/>
        <v>201.18750000022871</v>
      </c>
      <c r="AP34" s="137"/>
      <c r="AQ34" s="137">
        <v>0</v>
      </c>
      <c r="AR34" s="145">
        <f t="shared" si="19"/>
        <v>201.18750000022871</v>
      </c>
      <c r="AS34" s="145">
        <f t="shared" si="20"/>
        <v>211</v>
      </c>
      <c r="AT34" s="145">
        <f>BK34-62</f>
        <v>3.0000000000034106</v>
      </c>
      <c r="AU34" s="141"/>
      <c r="AV34" s="141"/>
      <c r="AW34" s="137">
        <f t="shared" si="21"/>
        <v>30780</v>
      </c>
      <c r="AX34" s="137">
        <v>0</v>
      </c>
      <c r="AY34" s="137">
        <f t="shared" si="22"/>
        <v>30780</v>
      </c>
      <c r="AZ34" s="137">
        <f t="shared" si="23"/>
        <v>31139.999999999996</v>
      </c>
      <c r="BA34" s="142">
        <f t="shared" si="24"/>
        <v>-359.99999999999636</v>
      </c>
      <c r="BB34" s="137"/>
      <c r="BC34" s="137">
        <v>0</v>
      </c>
      <c r="BD34" s="142">
        <v>0</v>
      </c>
      <c r="BE34" s="135">
        <v>312.05</v>
      </c>
      <c r="BF34" s="143">
        <f t="shared" si="25"/>
        <v>0.46807499999999996</v>
      </c>
      <c r="BG34" s="143">
        <f t="shared" si="26"/>
        <v>311.58192500000001</v>
      </c>
      <c r="BH34" s="143">
        <f t="shared" si="27"/>
        <v>311.39999999999998</v>
      </c>
      <c r="BI34" s="144">
        <f t="shared" si="28"/>
        <v>65.000000000003411</v>
      </c>
      <c r="BJ34" s="144">
        <v>0</v>
      </c>
      <c r="BK34" s="137">
        <f t="shared" si="29"/>
        <v>65.000000000003411</v>
      </c>
      <c r="BL34" s="2"/>
      <c r="BM34" s="10" t="str">
        <f t="shared" si="30"/>
        <v>Unloading no. 33 Bill No MTC/2025-26/591 ,Deduction For Oil Deduction= 0 ,Bardana=  ,F.M=  Brokerage/Rate Difference 0 ,Shortage = 201.187500000229 ,Greenish=  ,Moisture= 0</v>
      </c>
      <c r="BN34" s="3"/>
      <c r="BO34" s="13" t="str">
        <f t="shared" si="17"/>
        <v xml:space="preserve"> Party Condition 38.5  ,F.M% 0.42 ,Greenish 4.28 ,Moisture 5.4 ,Shortage in KG= 3.00000000000341  ,Oil% 40.06</v>
      </c>
      <c r="BP34" s="4">
        <f t="shared" si="18"/>
        <v>6628.0750240847783</v>
      </c>
      <c r="BQ34" s="5" t="str">
        <f t="shared" si="31"/>
        <v>40.06</v>
      </c>
      <c r="BR34" s="6">
        <f t="shared" si="32"/>
        <v>6949.0551925002665</v>
      </c>
      <c r="BS34" s="5" t="s">
        <v>62</v>
      </c>
      <c r="BT34" s="5" t="s">
        <v>63</v>
      </c>
      <c r="BW34" s="92"/>
      <c r="BX34" s="27">
        <v>40.159999999999997</v>
      </c>
      <c r="BY34" s="27">
        <v>40.06</v>
      </c>
      <c r="BZ34" s="96"/>
    </row>
    <row r="35" spans="1:78" s="1" customFormat="1" ht="15" hidden="1" customHeight="1" x14ac:dyDescent="0.3">
      <c r="A35" s="128" t="s">
        <v>129</v>
      </c>
      <c r="B35" s="146">
        <v>46109</v>
      </c>
      <c r="C35" s="128">
        <v>34</v>
      </c>
      <c r="D35" s="128" t="s">
        <v>158</v>
      </c>
      <c r="E35" s="146">
        <v>46114</v>
      </c>
      <c r="F35" s="131" t="s">
        <v>110</v>
      </c>
      <c r="G35" s="131" t="s">
        <v>111</v>
      </c>
      <c r="H35" s="131" t="s">
        <v>112</v>
      </c>
      <c r="I35" s="132"/>
      <c r="J35" s="131" t="s">
        <v>113</v>
      </c>
      <c r="K35" s="133">
        <v>0</v>
      </c>
      <c r="L35" s="134">
        <v>46109</v>
      </c>
      <c r="M35" s="132"/>
      <c r="N35" s="149" t="s">
        <v>211</v>
      </c>
      <c r="O35" s="146">
        <v>46112</v>
      </c>
      <c r="P35" s="135">
        <v>0</v>
      </c>
      <c r="Q35" s="135">
        <v>218</v>
      </c>
      <c r="R35" s="135">
        <v>100</v>
      </c>
      <c r="S35" s="135">
        <v>0</v>
      </c>
      <c r="T35" s="135">
        <v>318</v>
      </c>
      <c r="U35" s="135">
        <v>318</v>
      </c>
      <c r="V35" s="135">
        <v>0</v>
      </c>
      <c r="W35" s="135">
        <v>190.8</v>
      </c>
      <c r="X35" s="135">
        <v>193.2</v>
      </c>
      <c r="Y35" s="135">
        <v>1299157.2</v>
      </c>
      <c r="Z35" s="136"/>
      <c r="AA35" s="135">
        <v>32478.93</v>
      </c>
      <c r="AB35" s="135">
        <v>32478.93</v>
      </c>
      <c r="AC35" s="135">
        <v>1364115.06</v>
      </c>
      <c r="AD35" s="137">
        <f t="shared" si="0"/>
        <v>1362750.9449400001</v>
      </c>
      <c r="AE35" s="147">
        <v>40.25</v>
      </c>
      <c r="AF35" s="148">
        <v>39.659999999999997</v>
      </c>
      <c r="AG35" s="147">
        <v>40.08</v>
      </c>
      <c r="AH35" s="139">
        <v>4.4999999999999997E-3</v>
      </c>
      <c r="AI35" s="139">
        <v>4.3900000000000002E-2</v>
      </c>
      <c r="AJ35" s="139">
        <v>5.2999999999999999E-2</v>
      </c>
      <c r="AK35" s="137">
        <f t="shared" si="33"/>
        <v>0</v>
      </c>
      <c r="AL35" s="137">
        <f>T35*1</f>
        <v>318</v>
      </c>
      <c r="AM35" s="137"/>
      <c r="AN35" s="137">
        <v>0</v>
      </c>
      <c r="AO35" s="140">
        <f t="shared" si="34"/>
        <v>0</v>
      </c>
      <c r="AP35" s="137"/>
      <c r="AQ35" s="137">
        <v>0</v>
      </c>
      <c r="AR35" s="137">
        <f t="shared" si="19"/>
        <v>318</v>
      </c>
      <c r="AS35" s="137">
        <f t="shared" si="20"/>
        <v>334</v>
      </c>
      <c r="AT35" s="137">
        <v>0</v>
      </c>
      <c r="AU35" s="141"/>
      <c r="AV35" s="141"/>
      <c r="AW35" s="137">
        <f t="shared" si="21"/>
        <v>19080</v>
      </c>
      <c r="AX35" s="137">
        <v>0</v>
      </c>
      <c r="AY35" s="137">
        <f t="shared" si="22"/>
        <v>19080</v>
      </c>
      <c r="AZ35" s="137">
        <f t="shared" si="23"/>
        <v>19320</v>
      </c>
      <c r="BA35" s="142">
        <f t="shared" si="24"/>
        <v>-240</v>
      </c>
      <c r="BB35" s="137"/>
      <c r="BC35" s="137">
        <v>0</v>
      </c>
      <c r="BD35" s="142">
        <v>0</v>
      </c>
      <c r="BE35" s="135">
        <v>193.25</v>
      </c>
      <c r="BF35" s="143">
        <f t="shared" si="25"/>
        <v>0.28987499999999999</v>
      </c>
      <c r="BG35" s="143">
        <f t="shared" si="26"/>
        <v>192.96012500000001</v>
      </c>
      <c r="BH35" s="143">
        <f t="shared" si="27"/>
        <v>193.2</v>
      </c>
      <c r="BI35" s="144">
        <f t="shared" si="28"/>
        <v>5.0000000000011369</v>
      </c>
      <c r="BJ35" s="144">
        <v>0</v>
      </c>
      <c r="BK35" s="137">
        <f t="shared" si="29"/>
        <v>5.0000000000011369</v>
      </c>
      <c r="BL35" s="2"/>
      <c r="BM35" s="10" t="str">
        <f t="shared" si="30"/>
        <v>Unloading no. 34 Bill No G1636 ,Deduction For Oil Deduction= 0 ,Bardana= 318 ,F.M=  Brokerage/Rate Difference 0 ,Shortage = 0 ,Greenish=  ,Moisture= 0</v>
      </c>
      <c r="BN35" s="3"/>
      <c r="BO35" s="13" t="str">
        <f t="shared" si="17"/>
        <v xml:space="preserve"> Party Condition 39.66  ,F.M% 0.45 ,Greenish 4.39 ,Moisture 5.3 ,Shortage in KG= 0  ,Oil% 40.08</v>
      </c>
      <c r="BP35" s="4">
        <f t="shared" si="18"/>
        <v>6722.7701863354041</v>
      </c>
      <c r="BQ35" s="5" t="str">
        <f t="shared" si="31"/>
        <v>40.08</v>
      </c>
      <c r="BR35" s="6">
        <f t="shared" si="32"/>
        <v>7044.8190575371009</v>
      </c>
      <c r="BS35" s="5" t="s">
        <v>62</v>
      </c>
      <c r="BT35" s="5" t="s">
        <v>63</v>
      </c>
      <c r="BW35" s="92"/>
      <c r="BX35" s="27">
        <v>40.25</v>
      </c>
      <c r="BY35" s="27">
        <v>40.08</v>
      </c>
      <c r="BZ35" s="96"/>
    </row>
    <row r="36" spans="1:78" s="1" customFormat="1" ht="15" hidden="1" customHeight="1" x14ac:dyDescent="0.3">
      <c r="A36" s="131" t="s">
        <v>129</v>
      </c>
      <c r="B36" s="150">
        <v>46109</v>
      </c>
      <c r="C36" s="131">
        <v>35</v>
      </c>
      <c r="D36" s="131" t="s">
        <v>159</v>
      </c>
      <c r="E36" s="150">
        <v>46114</v>
      </c>
      <c r="F36" s="131" t="s">
        <v>110</v>
      </c>
      <c r="G36" s="131" t="s">
        <v>111</v>
      </c>
      <c r="H36" s="131" t="s">
        <v>112</v>
      </c>
      <c r="I36" s="132"/>
      <c r="J36" s="131" t="s">
        <v>113</v>
      </c>
      <c r="K36" s="133">
        <v>0</v>
      </c>
      <c r="L36" s="134">
        <v>46109</v>
      </c>
      <c r="M36" s="132"/>
      <c r="N36" s="149" t="s">
        <v>212</v>
      </c>
      <c r="O36" s="150">
        <v>46111</v>
      </c>
      <c r="P36" s="133">
        <v>0</v>
      </c>
      <c r="Q36" s="133">
        <v>78</v>
      </c>
      <c r="R36" s="133">
        <v>0</v>
      </c>
      <c r="S36" s="135">
        <v>0</v>
      </c>
      <c r="T36" s="135">
        <v>78</v>
      </c>
      <c r="U36" s="135">
        <v>78</v>
      </c>
      <c r="V36" s="135">
        <v>0</v>
      </c>
      <c r="W36" s="135">
        <v>46.8</v>
      </c>
      <c r="X36" s="135">
        <v>47.42</v>
      </c>
      <c r="Y36" s="135">
        <v>318661.2</v>
      </c>
      <c r="Z36" s="136"/>
      <c r="AA36" s="135">
        <v>7966.53</v>
      </c>
      <c r="AB36" s="135">
        <v>7966.53</v>
      </c>
      <c r="AC36" s="135">
        <v>334594.26</v>
      </c>
      <c r="AD36" s="137">
        <f t="shared" si="0"/>
        <v>334259.66574000003</v>
      </c>
      <c r="AE36" s="147">
        <v>41</v>
      </c>
      <c r="AF36" s="148">
        <v>39.659999999999997</v>
      </c>
      <c r="AG36" s="147">
        <v>40.92</v>
      </c>
      <c r="AH36" s="139">
        <v>4.7000000000000002E-3</v>
      </c>
      <c r="AI36" s="139">
        <v>4.6300000000000001E-2</v>
      </c>
      <c r="AJ36" s="139">
        <v>5.3999999999999999E-2</v>
      </c>
      <c r="AK36" s="137">
        <f t="shared" si="33"/>
        <v>0</v>
      </c>
      <c r="AL36" s="137">
        <f>Q36*1</f>
        <v>78</v>
      </c>
      <c r="AM36" s="137"/>
      <c r="AN36" s="137">
        <v>0</v>
      </c>
      <c r="AO36" s="140">
        <f t="shared" si="34"/>
        <v>0</v>
      </c>
      <c r="AP36" s="137"/>
      <c r="AQ36" s="137">
        <v>0</v>
      </c>
      <c r="AR36" s="137">
        <f t="shared" si="19"/>
        <v>78</v>
      </c>
      <c r="AS36" s="137">
        <f t="shared" si="20"/>
        <v>82</v>
      </c>
      <c r="AT36" s="137">
        <f t="shared" ref="AT36:AT77" si="35">BK36</f>
        <v>0</v>
      </c>
      <c r="AU36" s="141"/>
      <c r="AV36" s="141"/>
      <c r="AW36" s="137">
        <f t="shared" si="21"/>
        <v>4680</v>
      </c>
      <c r="AX36" s="137">
        <v>0</v>
      </c>
      <c r="AY36" s="137">
        <f t="shared" si="22"/>
        <v>4680</v>
      </c>
      <c r="AZ36" s="137">
        <f t="shared" si="23"/>
        <v>4742</v>
      </c>
      <c r="BA36" s="142">
        <f t="shared" si="24"/>
        <v>-62</v>
      </c>
      <c r="BB36" s="137"/>
      <c r="BC36" s="137">
        <v>0</v>
      </c>
      <c r="BD36" s="142">
        <v>0</v>
      </c>
      <c r="BE36" s="135">
        <v>47.42</v>
      </c>
      <c r="BF36" s="143">
        <f t="shared" si="25"/>
        <v>7.1129999999999999E-2</v>
      </c>
      <c r="BG36" s="143">
        <f t="shared" si="26"/>
        <v>47.348870000000005</v>
      </c>
      <c r="BH36" s="143">
        <f t="shared" si="27"/>
        <v>47.42</v>
      </c>
      <c r="BI36" s="144">
        <f t="shared" si="28"/>
        <v>0</v>
      </c>
      <c r="BJ36" s="144">
        <v>0</v>
      </c>
      <c r="BK36" s="137">
        <f t="shared" si="29"/>
        <v>0</v>
      </c>
      <c r="BL36" s="2"/>
      <c r="BM36" s="10" t="str">
        <f t="shared" si="30"/>
        <v>Unloading no. 35 Bill No G1633/G1634 ,Deduction For Oil Deduction= 0 ,Bardana= 78 ,F.M=  Brokerage/Rate Difference 0 ,Shortage = 0 ,Greenish=  ,Moisture= 0</v>
      </c>
      <c r="BN36" s="3"/>
      <c r="BO36" s="13" t="str">
        <f t="shared" si="17"/>
        <v xml:space="preserve"> Party Condition 39.66  ,F.M% 0.47 ,Greenish 4.63 ,Moisture 5.4 ,Shortage in KG= 0  ,Oil% 40.92</v>
      </c>
      <c r="BP36" s="4">
        <f t="shared" si="18"/>
        <v>6718.3298186419233</v>
      </c>
      <c r="BQ36" s="5" t="str">
        <f t="shared" si="31"/>
        <v>40.92</v>
      </c>
      <c r="BR36" s="6">
        <f t="shared" si="32"/>
        <v>6895.6464414213287</v>
      </c>
      <c r="BS36" s="5" t="s">
        <v>62</v>
      </c>
      <c r="BT36" s="5" t="s">
        <v>63</v>
      </c>
      <c r="BW36" s="92"/>
      <c r="BX36" s="27">
        <v>41</v>
      </c>
      <c r="BY36" s="27">
        <v>40.92</v>
      </c>
      <c r="BZ36" s="96"/>
    </row>
    <row r="37" spans="1:78" s="1" customFormat="1" ht="15" hidden="1" customHeight="1" x14ac:dyDescent="0.3">
      <c r="A37" s="131" t="s">
        <v>75</v>
      </c>
      <c r="B37" s="150">
        <v>46109</v>
      </c>
      <c r="C37" s="131">
        <v>35</v>
      </c>
      <c r="D37" s="131" t="s">
        <v>159</v>
      </c>
      <c r="E37" s="150">
        <v>46114</v>
      </c>
      <c r="F37" s="131" t="s">
        <v>110</v>
      </c>
      <c r="G37" s="131" t="s">
        <v>111</v>
      </c>
      <c r="H37" s="131" t="s">
        <v>112</v>
      </c>
      <c r="I37" s="132"/>
      <c r="J37" s="131" t="s">
        <v>113</v>
      </c>
      <c r="K37" s="133">
        <v>0</v>
      </c>
      <c r="L37" s="134">
        <v>46109</v>
      </c>
      <c r="M37" s="132"/>
      <c r="N37" s="149" t="s">
        <v>212</v>
      </c>
      <c r="O37" s="150">
        <v>46111</v>
      </c>
      <c r="P37" s="133">
        <v>0</v>
      </c>
      <c r="Q37" s="133">
        <v>372</v>
      </c>
      <c r="R37" s="133">
        <v>52</v>
      </c>
      <c r="S37" s="135">
        <v>0</v>
      </c>
      <c r="T37" s="135">
        <v>424</v>
      </c>
      <c r="U37" s="135">
        <v>424</v>
      </c>
      <c r="V37" s="135">
        <v>0</v>
      </c>
      <c r="W37" s="135">
        <v>254.4</v>
      </c>
      <c r="X37" s="135">
        <f>257.79-0.82</f>
        <v>256.97000000000003</v>
      </c>
      <c r="Y37" s="135">
        <v>1733481.6</v>
      </c>
      <c r="Z37" s="136"/>
      <c r="AA37" s="135">
        <v>43337.04</v>
      </c>
      <c r="AB37" s="135">
        <v>43337.04</v>
      </c>
      <c r="AC37" s="135">
        <v>1820155.68</v>
      </c>
      <c r="AD37" s="137">
        <f t="shared" si="0"/>
        <v>1818335.5243199999</v>
      </c>
      <c r="AE37" s="147">
        <v>41</v>
      </c>
      <c r="AF37" s="148">
        <v>39.65</v>
      </c>
      <c r="AG37" s="147">
        <v>40.92</v>
      </c>
      <c r="AH37" s="139">
        <v>4.7000000000000002E-3</v>
      </c>
      <c r="AI37" s="139">
        <v>4.6300000000000001E-2</v>
      </c>
      <c r="AJ37" s="139">
        <v>5.3999999999999999E-2</v>
      </c>
      <c r="AK37" s="137">
        <f t="shared" si="33"/>
        <v>0</v>
      </c>
      <c r="AL37" s="137">
        <f>Q37*1</f>
        <v>372</v>
      </c>
      <c r="AM37" s="137"/>
      <c r="AN37" s="137">
        <v>0</v>
      </c>
      <c r="AO37" s="140">
        <f t="shared" si="34"/>
        <v>3202.579999999954</v>
      </c>
      <c r="AP37" s="137"/>
      <c r="AQ37" s="137">
        <v>0</v>
      </c>
      <c r="AR37" s="137">
        <f t="shared" si="19"/>
        <v>3574.579999999954</v>
      </c>
      <c r="AS37" s="137">
        <f t="shared" si="20"/>
        <v>3753</v>
      </c>
      <c r="AT37" s="137">
        <f>BK37+24-60+1</f>
        <v>46.999999999999318</v>
      </c>
      <c r="AU37" s="141"/>
      <c r="AV37" s="141"/>
      <c r="AW37" s="137">
        <f t="shared" si="21"/>
        <v>25440</v>
      </c>
      <c r="AX37" s="137">
        <v>0</v>
      </c>
      <c r="AY37" s="137">
        <f t="shared" si="22"/>
        <v>25440</v>
      </c>
      <c r="AZ37" s="137">
        <f t="shared" si="23"/>
        <v>25697.000000000004</v>
      </c>
      <c r="BA37" s="142">
        <f t="shared" si="24"/>
        <v>-257.00000000000364</v>
      </c>
      <c r="BB37" s="137"/>
      <c r="BC37" s="137">
        <v>0</v>
      </c>
      <c r="BD37" s="142">
        <v>0</v>
      </c>
      <c r="BE37" s="135">
        <v>257.79000000000002</v>
      </c>
      <c r="BF37" s="143">
        <f t="shared" si="25"/>
        <v>0.386685</v>
      </c>
      <c r="BG37" s="143">
        <f t="shared" si="26"/>
        <v>257.40331500000002</v>
      </c>
      <c r="BH37" s="143">
        <f t="shared" si="27"/>
        <v>256.97000000000003</v>
      </c>
      <c r="BI37" s="144">
        <f t="shared" si="28"/>
        <v>81.999999999999318</v>
      </c>
      <c r="BJ37" s="144">
        <v>0</v>
      </c>
      <c r="BK37" s="137">
        <f t="shared" si="29"/>
        <v>81.999999999999318</v>
      </c>
      <c r="BL37" s="2"/>
      <c r="BM37" s="10" t="str">
        <f t="shared" si="30"/>
        <v>Unloading no. 35 Bill No G1633/G1634 ,Deduction For Oil Deduction= 0 ,Bardana= 372 ,F.M=  Brokerage/Rate Difference 0 ,Shortage = 3202.57999999995 ,Greenish=  ,Moisture= 0</v>
      </c>
      <c r="BN37" s="3"/>
      <c r="BO37" s="13" t="str">
        <f t="shared" si="17"/>
        <v xml:space="preserve"> Party Condition 39.65  ,F.M% 0.47 ,Greenish 4.63 ,Moisture 5.4 ,Shortage in KG= 46.9999999999993  ,Oil% 40.92</v>
      </c>
      <c r="BP37" s="4">
        <f t="shared" si="18"/>
        <v>6731.9415495972298</v>
      </c>
      <c r="BQ37" s="5" t="str">
        <f t="shared" si="31"/>
        <v>40.92</v>
      </c>
      <c r="BR37" s="6">
        <f t="shared" si="32"/>
        <v>6909.6174262728173</v>
      </c>
      <c r="BS37" s="5" t="s">
        <v>62</v>
      </c>
      <c r="BT37" s="5" t="s">
        <v>63</v>
      </c>
      <c r="BW37" s="92"/>
      <c r="BX37" s="27">
        <v>41</v>
      </c>
      <c r="BY37" s="27">
        <v>40.92</v>
      </c>
      <c r="BZ37" s="96"/>
    </row>
    <row r="38" spans="1:78" s="1" customFormat="1" ht="15" hidden="1" customHeight="1" x14ac:dyDescent="0.3">
      <c r="A38" s="128" t="s">
        <v>130</v>
      </c>
      <c r="B38" s="146">
        <v>46108</v>
      </c>
      <c r="C38" s="128">
        <v>36</v>
      </c>
      <c r="D38" s="128" t="s">
        <v>160</v>
      </c>
      <c r="E38" s="146">
        <v>46114</v>
      </c>
      <c r="F38" s="131" t="s">
        <v>98</v>
      </c>
      <c r="G38" s="131" t="s">
        <v>99</v>
      </c>
      <c r="H38" s="131" t="s">
        <v>199</v>
      </c>
      <c r="I38" s="132"/>
      <c r="J38" s="131" t="s">
        <v>113</v>
      </c>
      <c r="K38" s="133">
        <v>0</v>
      </c>
      <c r="L38" s="134">
        <v>46108</v>
      </c>
      <c r="M38" s="132"/>
      <c r="N38" s="149">
        <v>343</v>
      </c>
      <c r="O38" s="146">
        <v>46112</v>
      </c>
      <c r="P38" s="135">
        <v>0</v>
      </c>
      <c r="Q38" s="135">
        <v>450</v>
      </c>
      <c r="R38" s="135">
        <v>86</v>
      </c>
      <c r="S38" s="135">
        <v>0</v>
      </c>
      <c r="T38" s="135">
        <v>536</v>
      </c>
      <c r="U38" s="135">
        <v>536</v>
      </c>
      <c r="V38" s="135">
        <v>0</v>
      </c>
      <c r="W38" s="135">
        <v>321.60000000000002</v>
      </c>
      <c r="X38" s="135">
        <v>326.8</v>
      </c>
      <c r="Y38" s="135">
        <v>2222576.5299999998</v>
      </c>
      <c r="Z38" s="136"/>
      <c r="AA38" s="135">
        <v>55564.413249999998</v>
      </c>
      <c r="AB38" s="135">
        <v>55564.413249999998</v>
      </c>
      <c r="AC38" s="135">
        <v>2333705.36</v>
      </c>
      <c r="AD38" s="137">
        <f t="shared" si="0"/>
        <v>2331371.6546399998</v>
      </c>
      <c r="AE38" s="147">
        <v>40.28</v>
      </c>
      <c r="AF38" s="148">
        <v>39.64</v>
      </c>
      <c r="AG38" s="147">
        <v>40.25</v>
      </c>
      <c r="AH38" s="139">
        <v>4.7000000000000002E-3</v>
      </c>
      <c r="AI38" s="139">
        <v>3.7999999999999999E-2</v>
      </c>
      <c r="AJ38" s="139">
        <v>5.3999999999999999E-2</v>
      </c>
      <c r="AK38" s="137">
        <f t="shared" si="33"/>
        <v>0</v>
      </c>
      <c r="AL38" s="137">
        <f>T38*0.5</f>
        <v>268</v>
      </c>
      <c r="AM38" s="137"/>
      <c r="AN38" s="137">
        <v>0</v>
      </c>
      <c r="AO38" s="140">
        <f t="shared" si="34"/>
        <v>0</v>
      </c>
      <c r="AP38" s="137"/>
      <c r="AQ38" s="137">
        <v>0</v>
      </c>
      <c r="AR38" s="137">
        <f t="shared" si="19"/>
        <v>268</v>
      </c>
      <c r="AS38" s="137">
        <f t="shared" si="20"/>
        <v>281</v>
      </c>
      <c r="AT38" s="137">
        <v>0</v>
      </c>
      <c r="AU38" s="141"/>
      <c r="AV38" s="141"/>
      <c r="AW38" s="137">
        <f t="shared" si="21"/>
        <v>32160.000000000004</v>
      </c>
      <c r="AX38" s="137">
        <v>0</v>
      </c>
      <c r="AY38" s="137">
        <f t="shared" si="22"/>
        <v>32160.000000000004</v>
      </c>
      <c r="AZ38" s="137">
        <f t="shared" si="23"/>
        <v>32680</v>
      </c>
      <c r="BA38" s="142">
        <f t="shared" si="24"/>
        <v>-519.99999999999636</v>
      </c>
      <c r="BB38" s="137"/>
      <c r="BC38" s="137">
        <v>0</v>
      </c>
      <c r="BD38" s="142">
        <v>0</v>
      </c>
      <c r="BE38" s="135">
        <v>326.7</v>
      </c>
      <c r="BF38" s="143">
        <f t="shared" si="25"/>
        <v>0.49004999999999993</v>
      </c>
      <c r="BG38" s="143">
        <f t="shared" si="26"/>
        <v>326.20994999999999</v>
      </c>
      <c r="BH38" s="143">
        <f t="shared" si="27"/>
        <v>326.8</v>
      </c>
      <c r="BI38" s="144">
        <f t="shared" si="28"/>
        <v>-10.000000000002274</v>
      </c>
      <c r="BJ38" s="144">
        <v>0</v>
      </c>
      <c r="BK38" s="137">
        <f t="shared" si="29"/>
        <v>-10.000000000002274</v>
      </c>
      <c r="BL38" s="2"/>
      <c r="BM38" s="10" t="str">
        <f t="shared" si="30"/>
        <v>Unloading no. 36 Bill No 343 ,Deduction For Oil Deduction= 0 ,Bardana= 268 ,F.M=  Brokerage/Rate Difference 0 ,Shortage = 0 ,Greenish=  ,Moisture= 0</v>
      </c>
      <c r="BN38" s="3"/>
      <c r="BO38" s="13" t="str">
        <f t="shared" si="17"/>
        <v xml:space="preserve"> Party Condition 39.64  ,F.M% 0.47 ,Greenish 3.8 ,Moisture 5.4 ,Shortage in KG= 0  ,Oil% 40.25</v>
      </c>
      <c r="BP38" s="4">
        <f t="shared" si="18"/>
        <v>6800.2097001223983</v>
      </c>
      <c r="BQ38" s="5" t="str">
        <f t="shared" si="31"/>
        <v>40.25</v>
      </c>
      <c r="BR38" s="6">
        <f t="shared" si="32"/>
        <v>7095.8709914320671</v>
      </c>
      <c r="BS38" s="5" t="s">
        <v>62</v>
      </c>
      <c r="BT38" s="5" t="s">
        <v>63</v>
      </c>
      <c r="BW38" s="92"/>
      <c r="BX38" s="27">
        <v>40.28</v>
      </c>
      <c r="BY38" s="27">
        <v>40.25</v>
      </c>
      <c r="BZ38" s="96"/>
    </row>
    <row r="39" spans="1:78" s="1" customFormat="1" ht="15" hidden="1" customHeight="1" x14ac:dyDescent="0.3">
      <c r="A39" s="128" t="s">
        <v>131</v>
      </c>
      <c r="B39" s="146">
        <v>46108</v>
      </c>
      <c r="C39" s="128">
        <v>37</v>
      </c>
      <c r="D39" s="128" t="s">
        <v>161</v>
      </c>
      <c r="E39" s="146">
        <v>46114</v>
      </c>
      <c r="F39" s="131" t="s">
        <v>98</v>
      </c>
      <c r="G39" s="131" t="s">
        <v>99</v>
      </c>
      <c r="H39" s="131" t="s">
        <v>199</v>
      </c>
      <c r="I39" s="132"/>
      <c r="J39" s="131" t="s">
        <v>113</v>
      </c>
      <c r="K39" s="133">
        <v>0</v>
      </c>
      <c r="L39" s="134">
        <v>46108</v>
      </c>
      <c r="M39" s="132"/>
      <c r="N39" s="149">
        <v>342</v>
      </c>
      <c r="O39" s="146">
        <v>46112</v>
      </c>
      <c r="P39" s="135">
        <v>0</v>
      </c>
      <c r="Q39" s="135">
        <v>400</v>
      </c>
      <c r="R39" s="135">
        <v>93</v>
      </c>
      <c r="S39" s="135">
        <v>0</v>
      </c>
      <c r="T39" s="135">
        <v>493</v>
      </c>
      <c r="U39" s="135">
        <v>493</v>
      </c>
      <c r="V39" s="135">
        <v>0</v>
      </c>
      <c r="W39" s="135">
        <v>295.8</v>
      </c>
      <c r="X39" s="135">
        <v>300.10000000000002</v>
      </c>
      <c r="Y39" s="135">
        <v>2031278.32</v>
      </c>
      <c r="Z39" s="136"/>
      <c r="AA39" s="135">
        <v>50781.957999999999</v>
      </c>
      <c r="AB39" s="135">
        <v>50781.957999999999</v>
      </c>
      <c r="AC39" s="135">
        <v>2132842.2400000002</v>
      </c>
      <c r="AD39" s="137">
        <f t="shared" si="0"/>
        <v>2130709.3977600001</v>
      </c>
      <c r="AE39" s="147">
        <v>39.78</v>
      </c>
      <c r="AF39" s="148">
        <v>39.450000000000003</v>
      </c>
      <c r="AG39" s="147">
        <v>39.78</v>
      </c>
      <c r="AH39" s="139">
        <v>4.7000000000000002E-3</v>
      </c>
      <c r="AI39" s="139">
        <v>0.03</v>
      </c>
      <c r="AJ39" s="139">
        <v>5.3999999999999999E-2</v>
      </c>
      <c r="AK39" s="137">
        <f t="shared" si="33"/>
        <v>0</v>
      </c>
      <c r="AL39" s="137">
        <f>T39*0.5</f>
        <v>246.5</v>
      </c>
      <c r="AM39" s="137"/>
      <c r="AN39" s="137">
        <v>0</v>
      </c>
      <c r="AO39" s="140">
        <f t="shared" si="34"/>
        <v>0</v>
      </c>
      <c r="AP39" s="137"/>
      <c r="AQ39" s="137">
        <v>0</v>
      </c>
      <c r="AR39" s="137">
        <f t="shared" si="19"/>
        <v>246.5</v>
      </c>
      <c r="AS39" s="137">
        <f t="shared" si="20"/>
        <v>259</v>
      </c>
      <c r="AT39" s="137">
        <v>0</v>
      </c>
      <c r="AU39" s="141"/>
      <c r="AV39" s="141"/>
      <c r="AW39" s="137">
        <f t="shared" si="21"/>
        <v>29580</v>
      </c>
      <c r="AX39" s="137">
        <v>0</v>
      </c>
      <c r="AY39" s="137">
        <f t="shared" si="22"/>
        <v>29580</v>
      </c>
      <c r="AZ39" s="137">
        <f t="shared" si="23"/>
        <v>30010.000000000004</v>
      </c>
      <c r="BA39" s="142">
        <f t="shared" si="24"/>
        <v>-430.00000000000364</v>
      </c>
      <c r="BB39" s="137"/>
      <c r="BC39" s="137">
        <v>0</v>
      </c>
      <c r="BD39" s="142">
        <v>0</v>
      </c>
      <c r="BE39" s="135">
        <v>300</v>
      </c>
      <c r="BF39" s="143">
        <f t="shared" si="25"/>
        <v>0.45</v>
      </c>
      <c r="BG39" s="143">
        <f t="shared" si="26"/>
        <v>299.55</v>
      </c>
      <c r="BH39" s="143">
        <f t="shared" si="27"/>
        <v>300.10000000000002</v>
      </c>
      <c r="BI39" s="144">
        <f t="shared" si="28"/>
        <v>-10.000000000002274</v>
      </c>
      <c r="BJ39" s="144">
        <v>0</v>
      </c>
      <c r="BK39" s="137">
        <f t="shared" si="29"/>
        <v>-10.000000000002274</v>
      </c>
      <c r="BL39" s="2"/>
      <c r="BM39" s="10" t="str">
        <f t="shared" si="30"/>
        <v>Unloading no. 37 Bill No 342 ,Deduction For Oil Deduction= 0 ,Bardana= 246.5 ,F.M=  Brokerage/Rate Difference 0 ,Shortage = 0 ,Greenish=  ,Moisture= 0</v>
      </c>
      <c r="BN39" s="3"/>
      <c r="BO39" s="13" t="str">
        <f t="shared" si="17"/>
        <v xml:space="preserve"> Party Condition 39.45  ,F.M% 0.47 ,Greenish 3 ,Moisture 5.4 ,Shortage in KG= 0  ,Oil% 39.78</v>
      </c>
      <c r="BP39" s="4">
        <f t="shared" si="18"/>
        <v>6767.8501166277902</v>
      </c>
      <c r="BQ39" s="5" t="str">
        <f t="shared" si="31"/>
        <v>39.78</v>
      </c>
      <c r="BR39" s="6">
        <f t="shared" si="32"/>
        <v>7145.5431095617687</v>
      </c>
      <c r="BS39" s="5" t="s">
        <v>62</v>
      </c>
      <c r="BT39" s="5" t="s">
        <v>63</v>
      </c>
      <c r="BW39" s="92"/>
      <c r="BX39" s="27">
        <v>39.78</v>
      </c>
      <c r="BY39" s="27">
        <v>39.78</v>
      </c>
      <c r="BZ39" s="96"/>
    </row>
    <row r="40" spans="1:78" s="1" customFormat="1" ht="15" hidden="1" customHeight="1" x14ac:dyDescent="0.3">
      <c r="A40" s="128" t="s">
        <v>64</v>
      </c>
      <c r="B40" s="146">
        <v>46109</v>
      </c>
      <c r="C40" s="128">
        <v>38</v>
      </c>
      <c r="D40" s="128" t="s">
        <v>162</v>
      </c>
      <c r="E40" s="146">
        <v>46114</v>
      </c>
      <c r="F40" s="131" t="s">
        <v>95</v>
      </c>
      <c r="G40" s="131" t="s">
        <v>96</v>
      </c>
      <c r="H40" s="131" t="s">
        <v>97</v>
      </c>
      <c r="I40" s="132"/>
      <c r="J40" s="131" t="s">
        <v>113</v>
      </c>
      <c r="K40" s="133">
        <v>0</v>
      </c>
      <c r="L40" s="134">
        <v>46109</v>
      </c>
      <c r="M40" s="132"/>
      <c r="N40" s="131">
        <v>620</v>
      </c>
      <c r="O40" s="146">
        <v>46112</v>
      </c>
      <c r="P40" s="135">
        <v>0</v>
      </c>
      <c r="Q40" s="135">
        <v>635</v>
      </c>
      <c r="R40" s="135">
        <v>0</v>
      </c>
      <c r="S40" s="135">
        <v>0</v>
      </c>
      <c r="T40" s="135">
        <v>635</v>
      </c>
      <c r="U40" s="135">
        <v>635</v>
      </c>
      <c r="V40" s="135">
        <v>0</v>
      </c>
      <c r="W40" s="135">
        <v>381</v>
      </c>
      <c r="X40" s="135">
        <v>386.3</v>
      </c>
      <c r="Y40" s="135">
        <v>2613626.98</v>
      </c>
      <c r="Z40" s="136"/>
      <c r="AA40" s="135">
        <v>65340.674500000001</v>
      </c>
      <c r="AB40" s="135">
        <v>65340.674500000001</v>
      </c>
      <c r="AC40" s="135">
        <v>2744308.33</v>
      </c>
      <c r="AD40" s="137">
        <f t="shared" si="0"/>
        <v>2741564.0216700002</v>
      </c>
      <c r="AE40" s="147">
        <v>40.700000000000003</v>
      </c>
      <c r="AF40" s="148">
        <v>39.590000000000003</v>
      </c>
      <c r="AG40" s="147">
        <v>40.74</v>
      </c>
      <c r="AH40" s="139">
        <v>4.7000000000000002E-3</v>
      </c>
      <c r="AI40" s="139">
        <v>4.3999999999999997E-2</v>
      </c>
      <c r="AJ40" s="139">
        <v>4.9000000000000002E-2</v>
      </c>
      <c r="AK40" s="137">
        <f t="shared" si="33"/>
        <v>0</v>
      </c>
      <c r="AL40" s="137"/>
      <c r="AM40" s="137"/>
      <c r="AN40" s="137">
        <v>0</v>
      </c>
      <c r="AO40" s="140">
        <f t="shared" si="34"/>
        <v>0</v>
      </c>
      <c r="AP40" s="137"/>
      <c r="AQ40" s="137">
        <v>0</v>
      </c>
      <c r="AR40" s="137">
        <f t="shared" si="19"/>
        <v>0</v>
      </c>
      <c r="AS40" s="137">
        <f t="shared" si="20"/>
        <v>0</v>
      </c>
      <c r="AT40" s="137">
        <v>0</v>
      </c>
      <c r="AU40" s="141"/>
      <c r="AV40" s="141"/>
      <c r="AW40" s="137">
        <f t="shared" si="21"/>
        <v>38100</v>
      </c>
      <c r="AX40" s="137">
        <v>0</v>
      </c>
      <c r="AY40" s="137">
        <f t="shared" si="22"/>
        <v>38100</v>
      </c>
      <c r="AZ40" s="137">
        <f t="shared" si="23"/>
        <v>38630</v>
      </c>
      <c r="BA40" s="142">
        <f t="shared" si="24"/>
        <v>-530</v>
      </c>
      <c r="BB40" s="137"/>
      <c r="BC40" s="137">
        <v>0</v>
      </c>
      <c r="BD40" s="142">
        <v>0</v>
      </c>
      <c r="BE40" s="135">
        <v>386.7</v>
      </c>
      <c r="BF40" s="143">
        <f t="shared" si="25"/>
        <v>0.58004999999999995</v>
      </c>
      <c r="BG40" s="143">
        <f t="shared" si="26"/>
        <v>386.11995000000002</v>
      </c>
      <c r="BH40" s="143">
        <f t="shared" si="27"/>
        <v>386.3</v>
      </c>
      <c r="BI40" s="144">
        <f t="shared" si="28"/>
        <v>39.999999999997726</v>
      </c>
      <c r="BJ40" s="144">
        <v>0</v>
      </c>
      <c r="BK40" s="137">
        <f t="shared" si="29"/>
        <v>39.999999999997726</v>
      </c>
      <c r="BL40" s="2"/>
      <c r="BM40" s="10" t="str">
        <f t="shared" si="30"/>
        <v>Unloading no. 38 Bill No 620 ,Deduction For Oil Deduction= 0 ,Bardana=  ,F.M=  Brokerage/Rate Difference 0 ,Shortage = 0 ,Greenish=  ,Moisture= 0</v>
      </c>
      <c r="BN40" s="3"/>
      <c r="BO40" s="13" t="str">
        <f t="shared" si="17"/>
        <v xml:space="preserve"> Party Condition 39.59  ,F.M% 0.47 ,Greenish 4.4 ,Moisture 4.9 ,Shortage in KG= 0  ,Oil% 40.7</v>
      </c>
      <c r="BP40" s="4">
        <f t="shared" si="18"/>
        <v>6765.795961687807</v>
      </c>
      <c r="BQ40" s="5" t="str">
        <f t="shared" si="31"/>
        <v xml:space="preserve"> 40.7</v>
      </c>
      <c r="BR40" s="6">
        <f t="shared" si="32"/>
        <v>6981.9024666065816</v>
      </c>
      <c r="BS40" s="5" t="s">
        <v>62</v>
      </c>
      <c r="BT40" s="5" t="s">
        <v>63</v>
      </c>
      <c r="BW40" s="92"/>
      <c r="BX40" s="27">
        <v>40.700000000000003</v>
      </c>
      <c r="BY40" s="27">
        <v>40.74</v>
      </c>
      <c r="BZ40" s="96"/>
    </row>
    <row r="41" spans="1:78" s="1" customFormat="1" ht="15" hidden="1" customHeight="1" x14ac:dyDescent="0.3">
      <c r="A41" s="131" t="s">
        <v>129</v>
      </c>
      <c r="B41" s="150">
        <v>46109</v>
      </c>
      <c r="C41" s="131">
        <v>39</v>
      </c>
      <c r="D41" s="131" t="s">
        <v>163</v>
      </c>
      <c r="E41" s="150">
        <v>46114</v>
      </c>
      <c r="F41" s="131" t="s">
        <v>110</v>
      </c>
      <c r="G41" s="131" t="s">
        <v>111</v>
      </c>
      <c r="H41" s="131" t="s">
        <v>112</v>
      </c>
      <c r="I41" s="132"/>
      <c r="J41" s="131" t="s">
        <v>113</v>
      </c>
      <c r="K41" s="133">
        <v>0</v>
      </c>
      <c r="L41" s="134">
        <v>46109</v>
      </c>
      <c r="M41" s="132"/>
      <c r="N41" s="131" t="s">
        <v>213</v>
      </c>
      <c r="O41" s="150">
        <v>46112</v>
      </c>
      <c r="P41" s="133">
        <v>0</v>
      </c>
      <c r="Q41" s="133">
        <v>400</v>
      </c>
      <c r="R41" s="133">
        <v>305</v>
      </c>
      <c r="S41" s="135">
        <v>0</v>
      </c>
      <c r="T41" s="135">
        <v>705</v>
      </c>
      <c r="U41" s="135">
        <v>705</v>
      </c>
      <c r="V41" s="135">
        <v>0</v>
      </c>
      <c r="W41" s="135">
        <v>423</v>
      </c>
      <c r="X41" s="135">
        <v>428.1</v>
      </c>
      <c r="Y41" s="135">
        <v>2880207</v>
      </c>
      <c r="Z41" s="136"/>
      <c r="AA41" s="135">
        <v>72005.175000000003</v>
      </c>
      <c r="AB41" s="135">
        <v>72005.175000000003</v>
      </c>
      <c r="AC41" s="135">
        <v>3024217.35</v>
      </c>
      <c r="AD41" s="137">
        <f t="shared" si="0"/>
        <v>3021193.13265</v>
      </c>
      <c r="AE41" s="147">
        <v>40.28</v>
      </c>
      <c r="AF41" s="148">
        <v>39.659999999999997</v>
      </c>
      <c r="AG41" s="147">
        <v>40.22</v>
      </c>
      <c r="AH41" s="139">
        <v>4.7999999999999996E-3</v>
      </c>
      <c r="AI41" s="139">
        <v>4.4900000000000002E-2</v>
      </c>
      <c r="AJ41" s="139">
        <v>4.9000000000000002E-2</v>
      </c>
      <c r="AK41" s="137">
        <f t="shared" si="33"/>
        <v>0</v>
      </c>
      <c r="AL41" s="137">
        <f>U41*1</f>
        <v>705</v>
      </c>
      <c r="AM41" s="137"/>
      <c r="AN41" s="137">
        <v>0</v>
      </c>
      <c r="AO41" s="140">
        <f t="shared" si="34"/>
        <v>0</v>
      </c>
      <c r="AP41" s="137"/>
      <c r="AQ41" s="137">
        <v>0</v>
      </c>
      <c r="AR41" s="145">
        <f t="shared" si="19"/>
        <v>705</v>
      </c>
      <c r="AS41" s="145">
        <f t="shared" si="20"/>
        <v>740</v>
      </c>
      <c r="AT41" s="137">
        <v>0</v>
      </c>
      <c r="AU41" s="141"/>
      <c r="AV41" s="141"/>
      <c r="AW41" s="137">
        <f t="shared" si="21"/>
        <v>42300</v>
      </c>
      <c r="AX41" s="137">
        <v>0</v>
      </c>
      <c r="AY41" s="137">
        <f t="shared" si="22"/>
        <v>42300</v>
      </c>
      <c r="AZ41" s="137">
        <f t="shared" si="23"/>
        <v>42810</v>
      </c>
      <c r="BA41" s="142">
        <f t="shared" si="24"/>
        <v>-510</v>
      </c>
      <c r="BB41" s="137"/>
      <c r="BC41" s="137">
        <v>0</v>
      </c>
      <c r="BD41" s="142">
        <v>0</v>
      </c>
      <c r="BE41" s="135">
        <v>428.35</v>
      </c>
      <c r="BF41" s="143">
        <f t="shared" si="25"/>
        <v>0.64252500000000001</v>
      </c>
      <c r="BG41" s="143">
        <f t="shared" si="26"/>
        <v>427.70747500000004</v>
      </c>
      <c r="BH41" s="143">
        <f t="shared" si="27"/>
        <v>428.1</v>
      </c>
      <c r="BI41" s="144">
        <f t="shared" si="28"/>
        <v>25</v>
      </c>
      <c r="BJ41" s="144">
        <v>0</v>
      </c>
      <c r="BK41" s="137">
        <f t="shared" si="29"/>
        <v>25</v>
      </c>
      <c r="BL41" s="2"/>
      <c r="BM41" s="10" t="str">
        <f t="shared" si="30"/>
        <v>Unloading no. 39 Bill No G1635 ,Deduction For Oil Deduction= 0 ,Bardana= 705 ,F.M=  Brokerage/Rate Difference 0 ,Shortage = 0 ,Greenish=  ,Moisture= 0</v>
      </c>
      <c r="BN41" s="3"/>
      <c r="BO41" s="13" t="str">
        <f t="shared" si="17"/>
        <v xml:space="preserve"> Party Condition 39.66  ,F.M% 0.48 ,Greenish 4.49 ,Moisture 4.9 ,Shortage in KG= 0  ,Oil% 40.22</v>
      </c>
      <c r="BP41" s="4">
        <f t="shared" si="18"/>
        <v>6726.2368605466008</v>
      </c>
      <c r="BQ41" s="5" t="str">
        <f t="shared" si="31"/>
        <v>40.22</v>
      </c>
      <c r="BR41" s="6">
        <f t="shared" si="32"/>
        <v>7023.9171591983404</v>
      </c>
      <c r="BS41" s="5" t="s">
        <v>62</v>
      </c>
      <c r="BT41" s="5" t="s">
        <v>63</v>
      </c>
      <c r="BW41" s="92"/>
      <c r="BX41" s="27">
        <v>40.28</v>
      </c>
      <c r="BY41" s="27">
        <v>40.22</v>
      </c>
      <c r="BZ41" s="96"/>
    </row>
    <row r="42" spans="1:78" s="1" customFormat="1" ht="15" hidden="1" customHeight="1" x14ac:dyDescent="0.3">
      <c r="A42" s="128" t="s">
        <v>64</v>
      </c>
      <c r="B42" s="146">
        <v>46109</v>
      </c>
      <c r="C42" s="128">
        <v>40</v>
      </c>
      <c r="D42" s="128" t="s">
        <v>164</v>
      </c>
      <c r="E42" s="146">
        <v>46114</v>
      </c>
      <c r="F42" s="131" t="s">
        <v>95</v>
      </c>
      <c r="G42" s="131" t="s">
        <v>96</v>
      </c>
      <c r="H42" s="131" t="s">
        <v>97</v>
      </c>
      <c r="I42" s="132"/>
      <c r="J42" s="131" t="s">
        <v>113</v>
      </c>
      <c r="K42" s="133">
        <v>0</v>
      </c>
      <c r="L42" s="134">
        <v>46109</v>
      </c>
      <c r="M42" s="132"/>
      <c r="N42" s="131">
        <v>619</v>
      </c>
      <c r="O42" s="146">
        <v>46112</v>
      </c>
      <c r="P42" s="135">
        <v>0</v>
      </c>
      <c r="Q42" s="135">
        <v>400</v>
      </c>
      <c r="R42" s="135">
        <v>232</v>
      </c>
      <c r="S42" s="135">
        <v>0</v>
      </c>
      <c r="T42" s="135">
        <v>632</v>
      </c>
      <c r="U42" s="135">
        <v>632</v>
      </c>
      <c r="V42" s="135">
        <v>0</v>
      </c>
      <c r="W42" s="135">
        <v>379.2</v>
      </c>
      <c r="X42" s="135">
        <v>382.4</v>
      </c>
      <c r="Y42" s="135">
        <v>2601279.14</v>
      </c>
      <c r="Z42" s="136"/>
      <c r="AA42" s="135">
        <v>65031.978499999997</v>
      </c>
      <c r="AB42" s="135">
        <v>65031.978499999997</v>
      </c>
      <c r="AC42" s="135">
        <v>2731343.1</v>
      </c>
      <c r="AD42" s="137">
        <f t="shared" si="0"/>
        <v>2728611.7568999999</v>
      </c>
      <c r="AE42" s="147">
        <v>40.56</v>
      </c>
      <c r="AF42" s="148">
        <v>39.590000000000003</v>
      </c>
      <c r="AG42" s="147">
        <v>40.47</v>
      </c>
      <c r="AH42" s="139">
        <v>4.4999999999999997E-3</v>
      </c>
      <c r="AI42" s="139">
        <v>4.5999999999999999E-2</v>
      </c>
      <c r="AJ42" s="139">
        <v>5.2999999999999999E-2</v>
      </c>
      <c r="AK42" s="137">
        <f t="shared" si="33"/>
        <v>0</v>
      </c>
      <c r="AL42" s="137"/>
      <c r="AM42" s="137"/>
      <c r="AN42" s="137">
        <v>0</v>
      </c>
      <c r="AO42" s="140">
        <f t="shared" si="34"/>
        <v>0</v>
      </c>
      <c r="AP42" s="137"/>
      <c r="AQ42" s="137">
        <v>0</v>
      </c>
      <c r="AR42" s="137">
        <f t="shared" si="19"/>
        <v>0</v>
      </c>
      <c r="AS42" s="137">
        <f t="shared" si="20"/>
        <v>0</v>
      </c>
      <c r="AT42" s="137">
        <v>0</v>
      </c>
      <c r="AU42" s="141"/>
      <c r="AV42" s="141"/>
      <c r="AW42" s="137">
        <f t="shared" si="21"/>
        <v>37920</v>
      </c>
      <c r="AX42" s="137">
        <v>0</v>
      </c>
      <c r="AY42" s="137">
        <f t="shared" si="22"/>
        <v>37920</v>
      </c>
      <c r="AZ42" s="137">
        <f t="shared" si="23"/>
        <v>38240</v>
      </c>
      <c r="BA42" s="142">
        <f t="shared" si="24"/>
        <v>-320</v>
      </c>
      <c r="BB42" s="137"/>
      <c r="BC42" s="137">
        <v>0</v>
      </c>
      <c r="BD42" s="142">
        <v>0</v>
      </c>
      <c r="BE42" s="135">
        <v>383</v>
      </c>
      <c r="BF42" s="143">
        <f t="shared" si="25"/>
        <v>0.57450000000000001</v>
      </c>
      <c r="BG42" s="143">
        <f t="shared" si="26"/>
        <v>382.4255</v>
      </c>
      <c r="BH42" s="143">
        <f t="shared" si="27"/>
        <v>382.4</v>
      </c>
      <c r="BI42" s="144">
        <f t="shared" si="28"/>
        <v>60.000000000002274</v>
      </c>
      <c r="BJ42" s="144">
        <v>0</v>
      </c>
      <c r="BK42" s="137">
        <f t="shared" si="29"/>
        <v>60.000000000002274</v>
      </c>
      <c r="BL42" s="2"/>
      <c r="BM42" s="10" t="str">
        <f t="shared" si="30"/>
        <v>Unloading no. 40 Bill No 619 ,Deduction For Oil Deduction= 0 ,Bardana=  ,F.M=  Brokerage/Rate Difference 0 ,Shortage = 0 ,Greenish=  ,Moisture= 0</v>
      </c>
      <c r="BN42" s="3"/>
      <c r="BO42" s="13" t="str">
        <f t="shared" si="17"/>
        <v xml:space="preserve"> Party Condition 39.59  ,F.M% 0.45 ,Greenish 4.6 ,Moisture 5.3 ,Shortage in KG= 0  ,Oil% 40.47</v>
      </c>
      <c r="BP42" s="4">
        <f t="shared" si="18"/>
        <v>6802.5082112970722</v>
      </c>
      <c r="BQ42" s="5" t="str">
        <f t="shared" si="31"/>
        <v>40.47</v>
      </c>
      <c r="BR42" s="6">
        <f t="shared" si="32"/>
        <v>7059.6823542000748</v>
      </c>
      <c r="BS42" s="5" t="s">
        <v>62</v>
      </c>
      <c r="BT42" s="5" t="s">
        <v>63</v>
      </c>
      <c r="BW42" s="92"/>
      <c r="BX42" s="27">
        <v>40.56</v>
      </c>
      <c r="BY42" s="27">
        <v>40.47</v>
      </c>
      <c r="BZ42" s="96"/>
    </row>
    <row r="43" spans="1:78" s="1" customFormat="1" ht="15" hidden="1" customHeight="1" x14ac:dyDescent="0.3">
      <c r="A43" s="128" t="s">
        <v>64</v>
      </c>
      <c r="B43" s="146">
        <v>46109</v>
      </c>
      <c r="C43" s="128">
        <v>41</v>
      </c>
      <c r="D43" s="128" t="s">
        <v>165</v>
      </c>
      <c r="E43" s="146">
        <v>46114</v>
      </c>
      <c r="F43" s="131" t="s">
        <v>95</v>
      </c>
      <c r="G43" s="131" t="s">
        <v>96</v>
      </c>
      <c r="H43" s="131" t="s">
        <v>97</v>
      </c>
      <c r="I43" s="132"/>
      <c r="J43" s="131" t="s">
        <v>113</v>
      </c>
      <c r="K43" s="133">
        <v>0</v>
      </c>
      <c r="L43" s="134">
        <v>46109</v>
      </c>
      <c r="M43" s="132"/>
      <c r="N43" s="131">
        <v>621</v>
      </c>
      <c r="O43" s="146">
        <v>46112</v>
      </c>
      <c r="P43" s="135">
        <v>0</v>
      </c>
      <c r="Q43" s="135">
        <v>350</v>
      </c>
      <c r="R43" s="135">
        <v>250</v>
      </c>
      <c r="S43" s="135">
        <v>0</v>
      </c>
      <c r="T43" s="135">
        <v>600</v>
      </c>
      <c r="U43" s="135">
        <v>600</v>
      </c>
      <c r="V43" s="135">
        <v>0</v>
      </c>
      <c r="W43" s="135">
        <v>360</v>
      </c>
      <c r="X43" s="135">
        <v>364.7</v>
      </c>
      <c r="Y43" s="135">
        <v>2469568.7999999998</v>
      </c>
      <c r="Z43" s="136"/>
      <c r="AA43" s="135">
        <v>61739.22</v>
      </c>
      <c r="AB43" s="135">
        <v>61739.22</v>
      </c>
      <c r="AC43" s="135">
        <v>2593047.2400000002</v>
      </c>
      <c r="AD43" s="137">
        <f t="shared" si="0"/>
        <v>2590454.19276</v>
      </c>
      <c r="AE43" s="147">
        <v>39.700000000000003</v>
      </c>
      <c r="AF43" s="148">
        <v>39.590000000000003</v>
      </c>
      <c r="AG43" s="147">
        <v>39.82</v>
      </c>
      <c r="AH43" s="139">
        <v>4.4999999999999997E-3</v>
      </c>
      <c r="AI43" s="139">
        <v>0.04</v>
      </c>
      <c r="AJ43" s="139">
        <v>5.3999999999999999E-2</v>
      </c>
      <c r="AK43" s="137">
        <f t="shared" si="33"/>
        <v>0</v>
      </c>
      <c r="AL43" s="137"/>
      <c r="AM43" s="137"/>
      <c r="AN43" s="137">
        <v>0</v>
      </c>
      <c r="AO43" s="140">
        <f t="shared" si="34"/>
        <v>0</v>
      </c>
      <c r="AP43" s="137"/>
      <c r="AQ43" s="137">
        <v>0</v>
      </c>
      <c r="AR43" s="137">
        <f t="shared" si="19"/>
        <v>0</v>
      </c>
      <c r="AS43" s="137">
        <f t="shared" si="20"/>
        <v>0</v>
      </c>
      <c r="AT43" s="137">
        <v>0</v>
      </c>
      <c r="AU43" s="141"/>
      <c r="AV43" s="141"/>
      <c r="AW43" s="137">
        <f t="shared" si="21"/>
        <v>36000</v>
      </c>
      <c r="AX43" s="137">
        <v>0</v>
      </c>
      <c r="AY43" s="137">
        <f t="shared" si="22"/>
        <v>36000</v>
      </c>
      <c r="AZ43" s="137">
        <f t="shared" si="23"/>
        <v>36470</v>
      </c>
      <c r="BA43" s="142">
        <f t="shared" si="24"/>
        <v>-470</v>
      </c>
      <c r="BB43" s="137"/>
      <c r="BC43" s="137">
        <v>0</v>
      </c>
      <c r="BD43" s="142">
        <v>0</v>
      </c>
      <c r="BE43" s="135">
        <v>365.3</v>
      </c>
      <c r="BF43" s="143">
        <f t="shared" si="25"/>
        <v>0.54795000000000005</v>
      </c>
      <c r="BG43" s="143">
        <f t="shared" si="26"/>
        <v>364.75205</v>
      </c>
      <c r="BH43" s="143">
        <f t="shared" si="27"/>
        <v>364.7</v>
      </c>
      <c r="BI43" s="144">
        <f t="shared" si="28"/>
        <v>60.000000000002274</v>
      </c>
      <c r="BJ43" s="144">
        <v>0</v>
      </c>
      <c r="BK43" s="137">
        <f t="shared" si="29"/>
        <v>60.000000000002274</v>
      </c>
      <c r="BL43" s="2"/>
      <c r="BM43" s="10" t="str">
        <f t="shared" si="30"/>
        <v>Unloading no. 41 Bill No 621 ,Deduction For Oil Deduction= 0 ,Bardana=  ,F.M=  Brokerage/Rate Difference 0 ,Shortage = 0 ,Greenish=  ,Moisture= 0</v>
      </c>
      <c r="BN43" s="3"/>
      <c r="BO43" s="13" t="str">
        <f t="shared" si="17"/>
        <v xml:space="preserve"> Party Condition 39.59  ,F.M% 0.45 ,Greenish 4 ,Moisture 5.4 ,Shortage in KG= 0  ,Oil% 39.7</v>
      </c>
      <c r="BP43" s="4">
        <f t="shared" si="18"/>
        <v>6771.5075404442005</v>
      </c>
      <c r="BQ43" s="5" t="str">
        <f t="shared" si="31"/>
        <v xml:space="preserve"> 39.7</v>
      </c>
      <c r="BR43" s="6">
        <f t="shared" si="32"/>
        <v>7163.8115037444941</v>
      </c>
      <c r="BS43" s="5" t="s">
        <v>62</v>
      </c>
      <c r="BT43" s="5" t="s">
        <v>63</v>
      </c>
      <c r="BW43" s="92"/>
      <c r="BX43" s="27">
        <v>39.700000000000003</v>
      </c>
      <c r="BY43" s="27">
        <v>39.82</v>
      </c>
      <c r="BZ43" s="96"/>
    </row>
    <row r="44" spans="1:78" s="1" customFormat="1" ht="15" hidden="1" customHeight="1" x14ac:dyDescent="0.3">
      <c r="A44" s="128" t="s">
        <v>132</v>
      </c>
      <c r="B44" s="146">
        <v>46108</v>
      </c>
      <c r="C44" s="128">
        <v>42</v>
      </c>
      <c r="D44" s="128" t="s">
        <v>166</v>
      </c>
      <c r="E44" s="146">
        <v>46114</v>
      </c>
      <c r="F44" s="131" t="s">
        <v>98</v>
      </c>
      <c r="G44" s="131" t="s">
        <v>99</v>
      </c>
      <c r="H44" s="131" t="s">
        <v>199</v>
      </c>
      <c r="I44" s="132"/>
      <c r="J44" s="131" t="s">
        <v>113</v>
      </c>
      <c r="K44" s="133">
        <v>0</v>
      </c>
      <c r="L44" s="134">
        <v>46108</v>
      </c>
      <c r="M44" s="132"/>
      <c r="N44" s="131">
        <v>344</v>
      </c>
      <c r="O44" s="146">
        <v>46112</v>
      </c>
      <c r="P44" s="135">
        <v>0</v>
      </c>
      <c r="Q44" s="135">
        <v>300</v>
      </c>
      <c r="R44" s="135">
        <v>159</v>
      </c>
      <c r="S44" s="135">
        <v>0</v>
      </c>
      <c r="T44" s="135">
        <v>459</v>
      </c>
      <c r="U44" s="135">
        <v>459</v>
      </c>
      <c r="V44" s="135">
        <v>0</v>
      </c>
      <c r="W44" s="135">
        <v>275.39999999999998</v>
      </c>
      <c r="X44" s="135">
        <v>277.89999999999998</v>
      </c>
      <c r="Y44" s="135">
        <v>1886582.72</v>
      </c>
      <c r="Z44" s="136"/>
      <c r="AA44" s="135">
        <v>47164.567999999999</v>
      </c>
      <c r="AB44" s="135">
        <v>47164.567999999999</v>
      </c>
      <c r="AC44" s="135">
        <v>1980911.86</v>
      </c>
      <c r="AD44" s="137">
        <f t="shared" si="0"/>
        <v>1978930.94814</v>
      </c>
      <c r="AE44" s="147">
        <v>39.880000000000003</v>
      </c>
      <c r="AF44" s="148">
        <v>39.79</v>
      </c>
      <c r="AG44" s="147">
        <v>39.79</v>
      </c>
      <c r="AH44" s="139">
        <v>4.5999999999999999E-3</v>
      </c>
      <c r="AI44" s="139">
        <v>4.8000000000000001E-2</v>
      </c>
      <c r="AJ44" s="139">
        <v>6.0999999999999999E-2</v>
      </c>
      <c r="AK44" s="137">
        <f t="shared" si="33"/>
        <v>0</v>
      </c>
      <c r="AL44" s="137">
        <f>T44*0.5</f>
        <v>229.5</v>
      </c>
      <c r="AM44" s="137"/>
      <c r="AN44" s="137">
        <v>0</v>
      </c>
      <c r="AO44" s="151">
        <f t="shared" si="34"/>
        <v>5754.2828061002183</v>
      </c>
      <c r="AP44" s="145"/>
      <c r="AQ44" s="145">
        <v>0</v>
      </c>
      <c r="AR44" s="145">
        <f t="shared" si="19"/>
        <v>5983.7828061002183</v>
      </c>
      <c r="AS44" s="145">
        <f t="shared" si="20"/>
        <v>6283</v>
      </c>
      <c r="AT44" s="137">
        <f>BK44-56+40</f>
        <v>84</v>
      </c>
      <c r="AU44" s="141"/>
      <c r="AV44" s="141"/>
      <c r="AW44" s="137">
        <f t="shared" si="21"/>
        <v>27539.999999999996</v>
      </c>
      <c r="AX44" s="137">
        <v>0</v>
      </c>
      <c r="AY44" s="137">
        <f t="shared" si="22"/>
        <v>27539.999999999996</v>
      </c>
      <c r="AZ44" s="137">
        <f t="shared" si="23"/>
        <v>27789.999999999996</v>
      </c>
      <c r="BA44" s="142">
        <f t="shared" si="24"/>
        <v>-250</v>
      </c>
      <c r="BB44" s="137"/>
      <c r="BC44" s="137">
        <v>0</v>
      </c>
      <c r="BD44" s="142">
        <v>0</v>
      </c>
      <c r="BE44" s="135">
        <v>278.89999999999998</v>
      </c>
      <c r="BF44" s="143">
        <f t="shared" si="25"/>
        <v>0.41834999999999994</v>
      </c>
      <c r="BG44" s="143">
        <f t="shared" si="26"/>
        <v>278.48165</v>
      </c>
      <c r="BH44" s="143">
        <f t="shared" si="27"/>
        <v>277.89999999999998</v>
      </c>
      <c r="BI44" s="144">
        <f t="shared" si="28"/>
        <v>100</v>
      </c>
      <c r="BJ44" s="144">
        <v>0</v>
      </c>
      <c r="BK44" s="137">
        <f t="shared" si="29"/>
        <v>100</v>
      </c>
      <c r="BL44" s="2"/>
      <c r="BM44" s="10" t="str">
        <f t="shared" si="30"/>
        <v>Unloading no. 42 Bill No 344 ,Deduction For Oil Deduction= 0 ,Bardana= 229.5 ,F.M=  Brokerage/Rate Difference 0 ,Shortage = 5754.28280610022 ,Greenish=  ,Moisture= 0</v>
      </c>
      <c r="BN44" s="3"/>
      <c r="BO44" s="13" t="str">
        <f t="shared" si="17"/>
        <v xml:space="preserve"> Party Condition 39.79  ,F.M% 0.46 ,Greenish 4.8 ,Moisture 6.1 ,Shortage in KG= 84  ,Oil% 39.79</v>
      </c>
      <c r="BP44" s="4">
        <f t="shared" si="18"/>
        <v>6767.1786153073044</v>
      </c>
      <c r="BQ44" s="5" t="str">
        <f t="shared" si="31"/>
        <v>39.79</v>
      </c>
      <c r="BR44" s="6">
        <f t="shared" si="32"/>
        <v>7143.038498188158</v>
      </c>
      <c r="BS44" s="5" t="s">
        <v>62</v>
      </c>
      <c r="BT44" s="5" t="s">
        <v>63</v>
      </c>
      <c r="BW44" s="92"/>
      <c r="BX44" s="27">
        <v>39.880000000000003</v>
      </c>
      <c r="BY44" s="27">
        <v>39.79</v>
      </c>
      <c r="BZ44" s="96"/>
    </row>
    <row r="45" spans="1:78" s="1" customFormat="1" ht="15" hidden="1" customHeight="1" x14ac:dyDescent="0.3">
      <c r="A45" s="131" t="s">
        <v>64</v>
      </c>
      <c r="B45" s="150">
        <v>46109</v>
      </c>
      <c r="C45" s="131">
        <v>43</v>
      </c>
      <c r="D45" s="131" t="s">
        <v>167</v>
      </c>
      <c r="E45" s="150">
        <v>46114</v>
      </c>
      <c r="F45" s="131" t="s">
        <v>95</v>
      </c>
      <c r="G45" s="131" t="s">
        <v>96</v>
      </c>
      <c r="H45" s="131" t="s">
        <v>97</v>
      </c>
      <c r="I45" s="132"/>
      <c r="J45" s="131" t="s">
        <v>113</v>
      </c>
      <c r="K45" s="133">
        <v>0</v>
      </c>
      <c r="L45" s="134">
        <v>46109</v>
      </c>
      <c r="M45" s="132"/>
      <c r="N45" s="131">
        <v>622</v>
      </c>
      <c r="O45" s="150">
        <v>46112</v>
      </c>
      <c r="P45" s="133">
        <v>0</v>
      </c>
      <c r="Q45" s="133">
        <v>198</v>
      </c>
      <c r="R45" s="133">
        <v>0</v>
      </c>
      <c r="S45" s="133">
        <v>0</v>
      </c>
      <c r="T45" s="133">
        <v>198</v>
      </c>
      <c r="U45" s="133">
        <v>198</v>
      </c>
      <c r="V45" s="133">
        <v>0</v>
      </c>
      <c r="W45" s="133">
        <v>118.8</v>
      </c>
      <c r="X45" s="133">
        <f>W45+1</f>
        <v>119.8</v>
      </c>
      <c r="Y45" s="133">
        <v>806839.7</v>
      </c>
      <c r="Z45" s="132"/>
      <c r="AA45" s="135">
        <v>20170.9925</v>
      </c>
      <c r="AB45" s="135">
        <v>20170.9925</v>
      </c>
      <c r="AC45" s="135">
        <v>847181.69</v>
      </c>
      <c r="AD45" s="137">
        <f t="shared" si="0"/>
        <v>846334.50830999995</v>
      </c>
      <c r="AE45" s="147">
        <v>40.090000000000003</v>
      </c>
      <c r="AF45" s="148">
        <v>39.590000000000003</v>
      </c>
      <c r="AG45" s="147">
        <v>39.93</v>
      </c>
      <c r="AH45" s="139">
        <v>4.5999999999999999E-3</v>
      </c>
      <c r="AI45" s="139">
        <v>4.2000000000000003E-2</v>
      </c>
      <c r="AJ45" s="139">
        <v>5.6000000000000001E-2</v>
      </c>
      <c r="AK45" s="137">
        <f t="shared" si="33"/>
        <v>0</v>
      </c>
      <c r="AL45" s="137"/>
      <c r="AM45" s="137"/>
      <c r="AN45" s="137">
        <v>0</v>
      </c>
      <c r="AO45" s="140">
        <f t="shared" si="34"/>
        <v>0</v>
      </c>
      <c r="AP45" s="137"/>
      <c r="AQ45" s="137">
        <v>0</v>
      </c>
      <c r="AR45" s="137">
        <f t="shared" si="19"/>
        <v>0</v>
      </c>
      <c r="AS45" s="137">
        <f t="shared" si="20"/>
        <v>0</v>
      </c>
      <c r="AT45" s="137">
        <f t="shared" si="35"/>
        <v>0</v>
      </c>
      <c r="AU45" s="141"/>
      <c r="AV45" s="141"/>
      <c r="AW45" s="137">
        <f t="shared" si="21"/>
        <v>11880</v>
      </c>
      <c r="AX45" s="137">
        <v>0</v>
      </c>
      <c r="AY45" s="137">
        <f t="shared" si="22"/>
        <v>11880</v>
      </c>
      <c r="AZ45" s="137">
        <f t="shared" si="23"/>
        <v>11980</v>
      </c>
      <c r="BA45" s="142">
        <f t="shared" si="24"/>
        <v>-100</v>
      </c>
      <c r="BB45" s="137"/>
      <c r="BC45" s="137">
        <v>0</v>
      </c>
      <c r="BD45" s="142">
        <v>0</v>
      </c>
      <c r="BE45" s="135">
        <v>119.8</v>
      </c>
      <c r="BF45" s="143">
        <f t="shared" si="25"/>
        <v>0.1797</v>
      </c>
      <c r="BG45" s="143">
        <f t="shared" si="26"/>
        <v>119.6203</v>
      </c>
      <c r="BH45" s="143">
        <f t="shared" si="27"/>
        <v>119.8</v>
      </c>
      <c r="BI45" s="144">
        <f t="shared" si="28"/>
        <v>0</v>
      </c>
      <c r="BJ45" s="144">
        <v>0</v>
      </c>
      <c r="BK45" s="137">
        <f t="shared" si="29"/>
        <v>0</v>
      </c>
      <c r="BL45" s="2"/>
      <c r="BM45" s="10" t="str">
        <f t="shared" si="30"/>
        <v>Unloading no. 43 Bill No 622 ,Deduction For Oil Deduction= 0 ,Bardana=  ,F.M=  Brokerage/Rate Difference 0 ,Shortage = 0 ,Greenish=  ,Moisture= 0</v>
      </c>
      <c r="BN45" s="3"/>
      <c r="BO45" s="13" t="str">
        <f t="shared" si="17"/>
        <v xml:space="preserve"> Party Condition 39.59  ,F.M% 0.46 ,Greenish 4.2 ,Moisture 5.6 ,Shortage in KG= 0  ,Oil% 39.93</v>
      </c>
      <c r="BP45" s="4">
        <f t="shared" si="18"/>
        <v>6734.8889816360597</v>
      </c>
      <c r="BQ45" s="5" t="str">
        <f t="shared" si="31"/>
        <v>39.93</v>
      </c>
      <c r="BR45" s="6">
        <f t="shared" si="32"/>
        <v>7084.030484064976</v>
      </c>
      <c r="BS45" s="5" t="s">
        <v>62</v>
      </c>
      <c r="BT45" s="5" t="s">
        <v>63</v>
      </c>
      <c r="BW45" s="92"/>
      <c r="BX45" s="27">
        <v>40.090000000000003</v>
      </c>
      <c r="BY45" s="27">
        <v>39.93</v>
      </c>
      <c r="BZ45" s="96"/>
    </row>
    <row r="46" spans="1:78" s="1" customFormat="1" ht="15" hidden="1" customHeight="1" x14ac:dyDescent="0.3">
      <c r="A46" s="131" t="s">
        <v>133</v>
      </c>
      <c r="B46" s="150">
        <v>46111</v>
      </c>
      <c r="C46" s="131">
        <v>43</v>
      </c>
      <c r="D46" s="131" t="s">
        <v>167</v>
      </c>
      <c r="E46" s="150">
        <v>46114</v>
      </c>
      <c r="F46" s="131" t="s">
        <v>95</v>
      </c>
      <c r="G46" s="131" t="s">
        <v>96</v>
      </c>
      <c r="H46" s="131" t="s">
        <v>97</v>
      </c>
      <c r="I46" s="132"/>
      <c r="J46" s="131" t="s">
        <v>113</v>
      </c>
      <c r="K46" s="133">
        <v>0</v>
      </c>
      <c r="L46" s="134">
        <v>46111</v>
      </c>
      <c r="M46" s="132"/>
      <c r="N46" s="131">
        <v>622</v>
      </c>
      <c r="O46" s="150">
        <v>46112</v>
      </c>
      <c r="P46" s="133">
        <v>0</v>
      </c>
      <c r="Q46" s="133">
        <v>102</v>
      </c>
      <c r="R46" s="133">
        <v>328</v>
      </c>
      <c r="S46" s="133">
        <v>0</v>
      </c>
      <c r="T46" s="133">
        <v>430</v>
      </c>
      <c r="U46" s="133">
        <v>430</v>
      </c>
      <c r="V46" s="133">
        <v>0</v>
      </c>
      <c r="W46" s="133">
        <v>258</v>
      </c>
      <c r="X46" s="133">
        <f>261.65-0.7</f>
        <v>260.95</v>
      </c>
      <c r="Y46" s="133">
        <v>1835705.72</v>
      </c>
      <c r="Z46" s="132"/>
      <c r="AA46" s="135">
        <v>45892.642999999996</v>
      </c>
      <c r="AB46" s="135">
        <v>45892.642999999996</v>
      </c>
      <c r="AC46" s="135">
        <v>1927491.01</v>
      </c>
      <c r="AD46" s="137">
        <f t="shared" si="0"/>
        <v>1925563.51899</v>
      </c>
      <c r="AE46" s="147">
        <v>40.090000000000003</v>
      </c>
      <c r="AF46" s="148">
        <v>39.82</v>
      </c>
      <c r="AG46" s="147">
        <v>39.93</v>
      </c>
      <c r="AH46" s="139">
        <v>4.5999999999999999E-3</v>
      </c>
      <c r="AI46" s="139">
        <v>4.2000000000000003E-2</v>
      </c>
      <c r="AJ46" s="139">
        <v>5.6000000000000001E-2</v>
      </c>
      <c r="AK46" s="137">
        <f t="shared" si="33"/>
        <v>0</v>
      </c>
      <c r="AL46" s="137"/>
      <c r="AM46" s="137"/>
      <c r="AN46" s="137">
        <v>0</v>
      </c>
      <c r="AO46" s="140">
        <f t="shared" si="34"/>
        <v>2063.3901503875159</v>
      </c>
      <c r="AP46" s="137"/>
      <c r="AQ46" s="137">
        <v>0</v>
      </c>
      <c r="AR46" s="137">
        <f t="shared" si="19"/>
        <v>2063.3901503875159</v>
      </c>
      <c r="AS46" s="137">
        <f t="shared" si="20"/>
        <v>2167</v>
      </c>
      <c r="AT46" s="137">
        <f>BK46+34-75</f>
        <v>28.999999999998863</v>
      </c>
      <c r="AU46" s="141"/>
      <c r="AV46" s="141"/>
      <c r="AW46" s="137">
        <f t="shared" si="21"/>
        <v>25800</v>
      </c>
      <c r="AX46" s="137">
        <v>0</v>
      </c>
      <c r="AY46" s="137">
        <f t="shared" si="22"/>
        <v>25800</v>
      </c>
      <c r="AZ46" s="137">
        <f t="shared" si="23"/>
        <v>26095</v>
      </c>
      <c r="BA46" s="142">
        <f t="shared" si="24"/>
        <v>-295</v>
      </c>
      <c r="BB46" s="137"/>
      <c r="BC46" s="137">
        <v>0</v>
      </c>
      <c r="BD46" s="142">
        <v>0</v>
      </c>
      <c r="BE46" s="135">
        <v>261.64999999999998</v>
      </c>
      <c r="BF46" s="143">
        <f t="shared" si="25"/>
        <v>0.39247499999999996</v>
      </c>
      <c r="BG46" s="143">
        <f t="shared" si="26"/>
        <v>261.25752499999999</v>
      </c>
      <c r="BH46" s="143">
        <f t="shared" si="27"/>
        <v>260.95</v>
      </c>
      <c r="BI46" s="144">
        <f t="shared" si="28"/>
        <v>69.999999999998863</v>
      </c>
      <c r="BJ46" s="144">
        <v>0</v>
      </c>
      <c r="BK46" s="137">
        <f t="shared" si="29"/>
        <v>69.999999999998863</v>
      </c>
      <c r="BL46" s="2"/>
      <c r="BM46" s="10" t="str">
        <f t="shared" si="30"/>
        <v>Unloading no. 43 Bill No 622 ,Deduction For Oil Deduction= 0 ,Bardana=  ,F.M=  Brokerage/Rate Difference 0 ,Shortage = 2063.39015038752 ,Greenish=  ,Moisture= 0</v>
      </c>
      <c r="BN46" s="3"/>
      <c r="BO46" s="13" t="str">
        <f t="shared" si="17"/>
        <v xml:space="preserve"> Party Condition 39.82  ,F.M% 0.46 ,Greenish 4.2 ,Moisture 5.6 ,Shortage in KG= 28.9999999999989  ,Oil% 39.93</v>
      </c>
      <c r="BP46" s="4">
        <f t="shared" si="18"/>
        <v>7026.795669092211</v>
      </c>
      <c r="BQ46" s="5" t="str">
        <f t="shared" si="31"/>
        <v>39.93</v>
      </c>
      <c r="BR46" s="6">
        <f t="shared" si="32"/>
        <v>7391.069824740116</v>
      </c>
      <c r="BS46" s="5" t="s">
        <v>62</v>
      </c>
      <c r="BT46" s="5" t="s">
        <v>63</v>
      </c>
      <c r="BW46" s="92"/>
      <c r="BX46" s="27">
        <v>40.090000000000003</v>
      </c>
      <c r="BY46" s="27">
        <v>39.93</v>
      </c>
      <c r="BZ46" s="96"/>
    </row>
    <row r="47" spans="1:78" s="1" customFormat="1" ht="15" hidden="1" customHeight="1" x14ac:dyDescent="0.3">
      <c r="A47" s="131" t="s">
        <v>129</v>
      </c>
      <c r="B47" s="150">
        <v>46109</v>
      </c>
      <c r="C47" s="131">
        <v>44</v>
      </c>
      <c r="D47" s="131" t="s">
        <v>168</v>
      </c>
      <c r="E47" s="150">
        <v>46114</v>
      </c>
      <c r="F47" s="131" t="s">
        <v>110</v>
      </c>
      <c r="G47" s="131" t="s">
        <v>111</v>
      </c>
      <c r="H47" s="131" t="s">
        <v>112</v>
      </c>
      <c r="I47" s="132"/>
      <c r="J47" s="131" t="s">
        <v>113</v>
      </c>
      <c r="K47" s="133">
        <v>0</v>
      </c>
      <c r="L47" s="134">
        <v>46109</v>
      </c>
      <c r="M47" s="132"/>
      <c r="N47" s="131" t="s">
        <v>214</v>
      </c>
      <c r="O47" s="150">
        <v>46112</v>
      </c>
      <c r="P47" s="133">
        <v>0</v>
      </c>
      <c r="Q47" s="133">
        <v>300</v>
      </c>
      <c r="R47" s="133">
        <v>162</v>
      </c>
      <c r="S47" s="133">
        <v>0</v>
      </c>
      <c r="T47" s="133">
        <v>462</v>
      </c>
      <c r="U47" s="133">
        <v>462</v>
      </c>
      <c r="V47" s="133">
        <v>0</v>
      </c>
      <c r="W47" s="135">
        <v>277.2</v>
      </c>
      <c r="X47" s="135">
        <v>280.5</v>
      </c>
      <c r="Y47" s="135">
        <v>1887454.8</v>
      </c>
      <c r="Z47" s="136"/>
      <c r="AA47" s="135">
        <v>47186.37</v>
      </c>
      <c r="AB47" s="135">
        <v>47186.37</v>
      </c>
      <c r="AC47" s="135">
        <v>1981827.54</v>
      </c>
      <c r="AD47" s="137">
        <f t="shared" si="0"/>
        <v>1979845.7124600001</v>
      </c>
      <c r="AE47" s="147">
        <v>40.25</v>
      </c>
      <c r="AF47" s="148">
        <v>39.659999999999997</v>
      </c>
      <c r="AG47" s="147">
        <v>40</v>
      </c>
      <c r="AH47" s="139">
        <v>4.7999999999999996E-3</v>
      </c>
      <c r="AI47" s="139">
        <v>4.3400000000000001E-2</v>
      </c>
      <c r="AJ47" s="139">
        <v>5.8999999999999997E-2</v>
      </c>
      <c r="AK47" s="137">
        <f t="shared" si="33"/>
        <v>0</v>
      </c>
      <c r="AL47" s="137">
        <f>T47*1</f>
        <v>462</v>
      </c>
      <c r="AM47" s="137"/>
      <c r="AN47" s="137">
        <v>0</v>
      </c>
      <c r="AO47" s="140">
        <f t="shared" si="34"/>
        <v>0</v>
      </c>
      <c r="AP47" s="137"/>
      <c r="AQ47" s="137">
        <v>0</v>
      </c>
      <c r="AR47" s="137">
        <f t="shared" si="19"/>
        <v>462</v>
      </c>
      <c r="AS47" s="137">
        <f t="shared" si="20"/>
        <v>485</v>
      </c>
      <c r="AT47" s="137">
        <v>0</v>
      </c>
      <c r="AU47" s="141"/>
      <c r="AV47" s="141"/>
      <c r="AW47" s="137">
        <f t="shared" si="21"/>
        <v>27720</v>
      </c>
      <c r="AX47" s="137">
        <v>0</v>
      </c>
      <c r="AY47" s="137">
        <f t="shared" si="22"/>
        <v>27720</v>
      </c>
      <c r="AZ47" s="137">
        <f t="shared" si="23"/>
        <v>28050</v>
      </c>
      <c r="BA47" s="142">
        <f t="shared" si="24"/>
        <v>-330</v>
      </c>
      <c r="BB47" s="137"/>
      <c r="BC47" s="137">
        <v>0</v>
      </c>
      <c r="BD47" s="142">
        <v>0</v>
      </c>
      <c r="BE47" s="135">
        <v>281.05</v>
      </c>
      <c r="BF47" s="143">
        <f t="shared" si="25"/>
        <v>0.42157499999999998</v>
      </c>
      <c r="BG47" s="143">
        <f t="shared" si="26"/>
        <v>280.62842499999999</v>
      </c>
      <c r="BH47" s="143">
        <f t="shared" si="27"/>
        <v>280.5</v>
      </c>
      <c r="BI47" s="144">
        <f t="shared" si="28"/>
        <v>55.000000000001137</v>
      </c>
      <c r="BJ47" s="144">
        <v>0</v>
      </c>
      <c r="BK47" s="137">
        <f t="shared" si="29"/>
        <v>55.000000000001137</v>
      </c>
      <c r="BL47" s="2"/>
      <c r="BM47" s="10" t="str">
        <f t="shared" si="30"/>
        <v>Unloading no. 44 Bill No G1638 ,Deduction For Oil Deduction= 0 ,Bardana= 462 ,F.M=  Brokerage/Rate Difference 0 ,Shortage = 0 ,Greenish=  ,Moisture= 0</v>
      </c>
      <c r="BN47" s="3"/>
      <c r="BO47" s="13" t="str">
        <f t="shared" si="17"/>
        <v xml:space="preserve"> Party Condition 39.66  ,F.M% 0.48 ,Greenish 4.34 ,Moisture 5.9 ,Shortage in KG= 0  ,Oil% 40</v>
      </c>
      <c r="BP47" s="4">
        <f t="shared" si="18"/>
        <v>6727.2470588235292</v>
      </c>
      <c r="BQ47" s="5">
        <v>40</v>
      </c>
      <c r="BR47" s="6">
        <f t="shared" si="32"/>
        <v>7063.6094117647053</v>
      </c>
      <c r="BS47" s="5" t="s">
        <v>62</v>
      </c>
      <c r="BT47" s="5" t="s">
        <v>63</v>
      </c>
      <c r="BW47" s="92"/>
      <c r="BX47" s="27">
        <v>40.25</v>
      </c>
      <c r="BY47" s="27">
        <v>40</v>
      </c>
      <c r="BZ47" s="96"/>
    </row>
    <row r="48" spans="1:78" s="1" customFormat="1" ht="15" hidden="1" customHeight="1" x14ac:dyDescent="0.3">
      <c r="A48" s="128" t="s">
        <v>133</v>
      </c>
      <c r="B48" s="146">
        <v>46111</v>
      </c>
      <c r="C48" s="128">
        <v>45</v>
      </c>
      <c r="D48" s="128" t="s">
        <v>169</v>
      </c>
      <c r="E48" s="146">
        <v>46114</v>
      </c>
      <c r="F48" s="131" t="s">
        <v>95</v>
      </c>
      <c r="G48" s="131" t="s">
        <v>96</v>
      </c>
      <c r="H48" s="131" t="s">
        <v>97</v>
      </c>
      <c r="I48" s="132"/>
      <c r="J48" s="131" t="s">
        <v>113</v>
      </c>
      <c r="K48" s="133">
        <v>0</v>
      </c>
      <c r="L48" s="134">
        <v>46111</v>
      </c>
      <c r="M48" s="132"/>
      <c r="N48" s="131">
        <v>623</v>
      </c>
      <c r="O48" s="146">
        <v>46112</v>
      </c>
      <c r="P48" s="135">
        <v>0</v>
      </c>
      <c r="Q48" s="135">
        <v>400</v>
      </c>
      <c r="R48" s="135">
        <v>331</v>
      </c>
      <c r="S48" s="135">
        <v>0</v>
      </c>
      <c r="T48" s="135">
        <v>731</v>
      </c>
      <c r="U48" s="135">
        <v>731</v>
      </c>
      <c r="V48" s="135">
        <v>0</v>
      </c>
      <c r="W48" s="135">
        <v>438.6</v>
      </c>
      <c r="X48" s="135">
        <v>444.9</v>
      </c>
      <c r="Y48" s="135">
        <v>3106899.12</v>
      </c>
      <c r="Z48" s="136"/>
      <c r="AA48" s="135">
        <v>77672.478000000003</v>
      </c>
      <c r="AB48" s="135">
        <v>77672.478000000003</v>
      </c>
      <c r="AC48" s="135">
        <v>3262244.08</v>
      </c>
      <c r="AD48" s="137">
        <f t="shared" si="0"/>
        <v>3258981.83592</v>
      </c>
      <c r="AE48" s="147">
        <v>40</v>
      </c>
      <c r="AF48" s="148">
        <v>39.82</v>
      </c>
      <c r="AG48" s="147">
        <v>39.83</v>
      </c>
      <c r="AH48" s="139">
        <v>4.8999999999999998E-3</v>
      </c>
      <c r="AI48" s="139">
        <v>4.3999999999999997E-2</v>
      </c>
      <c r="AJ48" s="139">
        <v>5.8000000000000003E-2</v>
      </c>
      <c r="AK48" s="137">
        <f t="shared" si="33"/>
        <v>0</v>
      </c>
      <c r="AL48" s="137"/>
      <c r="AM48" s="137"/>
      <c r="AN48" s="137">
        <v>0</v>
      </c>
      <c r="AO48" s="140">
        <f t="shared" si="34"/>
        <v>0</v>
      </c>
      <c r="AP48" s="137"/>
      <c r="AQ48" s="137">
        <v>0</v>
      </c>
      <c r="AR48" s="137">
        <f t="shared" si="19"/>
        <v>0</v>
      </c>
      <c r="AS48" s="137">
        <f t="shared" si="20"/>
        <v>0</v>
      </c>
      <c r="AT48" s="137">
        <v>0</v>
      </c>
      <c r="AU48" s="141"/>
      <c r="AV48" s="141"/>
      <c r="AW48" s="137">
        <f t="shared" si="21"/>
        <v>43860</v>
      </c>
      <c r="AX48" s="137">
        <v>0</v>
      </c>
      <c r="AY48" s="137">
        <f t="shared" si="22"/>
        <v>43860</v>
      </c>
      <c r="AZ48" s="137">
        <f t="shared" si="23"/>
        <v>44490</v>
      </c>
      <c r="BA48" s="142">
        <f t="shared" si="24"/>
        <v>-630</v>
      </c>
      <c r="BB48" s="137"/>
      <c r="BC48" s="137">
        <v>0</v>
      </c>
      <c r="BD48" s="142">
        <v>0</v>
      </c>
      <c r="BE48" s="135">
        <v>445.1</v>
      </c>
      <c r="BF48" s="143">
        <f t="shared" si="25"/>
        <v>0.66764999999999997</v>
      </c>
      <c r="BG48" s="143">
        <f t="shared" si="26"/>
        <v>444.43235000000004</v>
      </c>
      <c r="BH48" s="143">
        <f t="shared" si="27"/>
        <v>444.9</v>
      </c>
      <c r="BI48" s="144">
        <f t="shared" si="28"/>
        <v>20.000000000004547</v>
      </c>
      <c r="BJ48" s="144">
        <v>0</v>
      </c>
      <c r="BK48" s="137">
        <f t="shared" si="29"/>
        <v>20.000000000004547</v>
      </c>
      <c r="BL48" s="2"/>
      <c r="BM48" s="10" t="str">
        <f t="shared" si="30"/>
        <v>Unloading no. 45 Bill No 623 ,Deduction For Oil Deduction= 0 ,Bardana=  ,F.M=  Brokerage/Rate Difference 0 ,Shortage = 0 ,Greenish=  ,Moisture= 0</v>
      </c>
      <c r="BN48" s="3"/>
      <c r="BO48" s="13" t="str">
        <f t="shared" si="17"/>
        <v xml:space="preserve"> Party Condition 39.82  ,F.M% 0.49 ,Greenish 4.4 ,Moisture 5.8 ,Shortage in KG= 0  ,Oil% 39.83</v>
      </c>
      <c r="BP48" s="4">
        <f t="shared" si="18"/>
        <v>6983.3650708024279</v>
      </c>
      <c r="BQ48" s="5" t="str">
        <f t="shared" si="31"/>
        <v>39.83</v>
      </c>
      <c r="BR48" s="6">
        <f t="shared" si="32"/>
        <v>7363.829600143159</v>
      </c>
      <c r="BS48" s="5" t="s">
        <v>62</v>
      </c>
      <c r="BT48" s="5" t="s">
        <v>63</v>
      </c>
      <c r="BW48" s="92"/>
      <c r="BX48" s="27">
        <v>40</v>
      </c>
      <c r="BY48" s="27">
        <v>39.83</v>
      </c>
      <c r="BZ48" s="96"/>
    </row>
    <row r="49" spans="1:78" s="1" customFormat="1" ht="15" hidden="1" customHeight="1" x14ac:dyDescent="0.3">
      <c r="A49" s="128" t="s">
        <v>133</v>
      </c>
      <c r="B49" s="146">
        <v>46111</v>
      </c>
      <c r="C49" s="128">
        <v>46</v>
      </c>
      <c r="D49" s="128" t="s">
        <v>170</v>
      </c>
      <c r="E49" s="146">
        <v>46114</v>
      </c>
      <c r="F49" s="131" t="s">
        <v>95</v>
      </c>
      <c r="G49" s="131" t="s">
        <v>96</v>
      </c>
      <c r="H49" s="131" t="s">
        <v>97</v>
      </c>
      <c r="I49" s="132"/>
      <c r="J49" s="131" t="s">
        <v>113</v>
      </c>
      <c r="K49" s="133">
        <v>0</v>
      </c>
      <c r="L49" s="134">
        <v>46111</v>
      </c>
      <c r="M49" s="132"/>
      <c r="N49" s="131">
        <v>624</v>
      </c>
      <c r="O49" s="146">
        <v>46112</v>
      </c>
      <c r="P49" s="135">
        <v>0</v>
      </c>
      <c r="Q49" s="135">
        <v>300</v>
      </c>
      <c r="R49" s="135">
        <v>190</v>
      </c>
      <c r="S49" s="135">
        <v>0</v>
      </c>
      <c r="T49" s="135">
        <v>490</v>
      </c>
      <c r="U49" s="135">
        <v>490</v>
      </c>
      <c r="V49" s="135">
        <v>0</v>
      </c>
      <c r="W49" s="135">
        <v>294</v>
      </c>
      <c r="X49" s="135">
        <v>296.5</v>
      </c>
      <c r="Y49" s="135">
        <v>2082599.96</v>
      </c>
      <c r="Z49" s="136"/>
      <c r="AA49" s="135">
        <v>52064.999000000003</v>
      </c>
      <c r="AB49" s="135">
        <v>52064.999000000003</v>
      </c>
      <c r="AC49" s="135">
        <v>2186729.96</v>
      </c>
      <c r="AD49" s="137">
        <f t="shared" si="0"/>
        <v>2184543.2300399998</v>
      </c>
      <c r="AE49" s="147">
        <v>40.15</v>
      </c>
      <c r="AF49" s="148">
        <v>39.82</v>
      </c>
      <c r="AG49" s="147">
        <v>39.99</v>
      </c>
      <c r="AH49" s="139">
        <v>4.4999999999999997E-3</v>
      </c>
      <c r="AI49" s="139">
        <v>4.58E-2</v>
      </c>
      <c r="AJ49" s="139">
        <v>5.8000000000000003E-2</v>
      </c>
      <c r="AK49" s="137">
        <f t="shared" si="33"/>
        <v>0</v>
      </c>
      <c r="AL49" s="137"/>
      <c r="AM49" s="137"/>
      <c r="AN49" s="137">
        <v>0</v>
      </c>
      <c r="AO49" s="140">
        <f t="shared" si="34"/>
        <v>7650.3671999999187</v>
      </c>
      <c r="AP49" s="137"/>
      <c r="AQ49" s="137">
        <v>0</v>
      </c>
      <c r="AR49" s="137">
        <f t="shared" si="19"/>
        <v>7650.3671999999187</v>
      </c>
      <c r="AS49" s="137">
        <f t="shared" si="20"/>
        <v>8033</v>
      </c>
      <c r="AT49" s="137">
        <f>BK49+97-59</f>
        <v>107.99999999999886</v>
      </c>
      <c r="AU49" s="141"/>
      <c r="AV49" s="141"/>
      <c r="AW49" s="137">
        <f t="shared" si="21"/>
        <v>29400</v>
      </c>
      <c r="AX49" s="137">
        <v>0</v>
      </c>
      <c r="AY49" s="137">
        <f t="shared" si="22"/>
        <v>29400</v>
      </c>
      <c r="AZ49" s="137">
        <f t="shared" si="23"/>
        <v>29650</v>
      </c>
      <c r="BA49" s="142">
        <f t="shared" si="24"/>
        <v>-250</v>
      </c>
      <c r="BB49" s="137"/>
      <c r="BC49" s="137">
        <v>0</v>
      </c>
      <c r="BD49" s="142">
        <v>0</v>
      </c>
      <c r="BE49" s="135">
        <v>297.2</v>
      </c>
      <c r="BF49" s="143">
        <f t="shared" si="25"/>
        <v>0.44579999999999997</v>
      </c>
      <c r="BG49" s="143">
        <f t="shared" si="26"/>
        <v>296.75419999999997</v>
      </c>
      <c r="BH49" s="143">
        <f t="shared" si="27"/>
        <v>296.5</v>
      </c>
      <c r="BI49" s="144">
        <f t="shared" si="28"/>
        <v>69.999999999998863</v>
      </c>
      <c r="BJ49" s="144">
        <v>0</v>
      </c>
      <c r="BK49" s="137">
        <f t="shared" si="29"/>
        <v>69.999999999998863</v>
      </c>
      <c r="BL49" s="2"/>
      <c r="BM49" s="10" t="str">
        <f t="shared" si="30"/>
        <v>Unloading no. 46 Bill No 624 ,Deduction For Oil Deduction= 0 ,Bardana=  ,F.M=  Brokerage/Rate Difference 0 ,Shortage = 7650.36719999992 ,Greenish=  ,Moisture= 0</v>
      </c>
      <c r="BN49" s="3"/>
      <c r="BO49" s="13" t="str">
        <f t="shared" si="17"/>
        <v xml:space="preserve"> Party Condition 39.82  ,F.M% 0.45 ,Greenish 4.58 ,Moisture 5.8 ,Shortage in KG= 107.999999999999  ,Oil% 39.99</v>
      </c>
      <c r="BP49" s="4">
        <f t="shared" si="18"/>
        <v>6998.1436519392919</v>
      </c>
      <c r="BQ49" s="5" t="str">
        <f t="shared" si="31"/>
        <v>39.99</v>
      </c>
      <c r="BR49" s="6">
        <f t="shared" si="32"/>
        <v>7349.8883066129101</v>
      </c>
      <c r="BS49" s="5" t="s">
        <v>62</v>
      </c>
      <c r="BT49" s="5" t="s">
        <v>63</v>
      </c>
      <c r="BW49" s="92"/>
      <c r="BX49" s="27">
        <v>40.15</v>
      </c>
      <c r="BY49" s="27">
        <v>39.99</v>
      </c>
      <c r="BZ49" s="96"/>
    </row>
    <row r="50" spans="1:78" s="1" customFormat="1" ht="15" hidden="1" customHeight="1" x14ac:dyDescent="0.3">
      <c r="A50" s="131" t="s">
        <v>134</v>
      </c>
      <c r="B50" s="150">
        <v>46111</v>
      </c>
      <c r="C50" s="131">
        <v>47</v>
      </c>
      <c r="D50" s="131" t="s">
        <v>171</v>
      </c>
      <c r="E50" s="150">
        <v>46114</v>
      </c>
      <c r="F50" s="131" t="s">
        <v>101</v>
      </c>
      <c r="G50" s="131" t="s">
        <v>102</v>
      </c>
      <c r="H50" s="131" t="s">
        <v>97</v>
      </c>
      <c r="I50" s="132"/>
      <c r="J50" s="131" t="s">
        <v>113</v>
      </c>
      <c r="K50" s="133">
        <v>0</v>
      </c>
      <c r="L50" s="134">
        <v>46111</v>
      </c>
      <c r="M50" s="132"/>
      <c r="N50" s="131" t="s">
        <v>215</v>
      </c>
      <c r="O50" s="150">
        <v>46113</v>
      </c>
      <c r="P50" s="133">
        <v>0</v>
      </c>
      <c r="Q50" s="133">
        <v>500</v>
      </c>
      <c r="R50" s="135">
        <v>165</v>
      </c>
      <c r="S50" s="135">
        <v>0</v>
      </c>
      <c r="T50" s="135">
        <v>665</v>
      </c>
      <c r="U50" s="135">
        <v>665</v>
      </c>
      <c r="V50" s="135">
        <v>0</v>
      </c>
      <c r="W50" s="135">
        <v>399</v>
      </c>
      <c r="X50" s="135">
        <v>402.8</v>
      </c>
      <c r="Y50" s="135">
        <v>2818505.41</v>
      </c>
      <c r="Z50" s="136"/>
      <c r="AA50" s="135">
        <v>70462.635250000007</v>
      </c>
      <c r="AB50" s="135">
        <v>70462.635250000007</v>
      </c>
      <c r="AC50" s="135">
        <v>2959430.68</v>
      </c>
      <c r="AD50" s="137">
        <f t="shared" si="0"/>
        <v>2956471.2493199999</v>
      </c>
      <c r="AE50" s="147">
        <v>40.26</v>
      </c>
      <c r="AF50" s="148">
        <v>39.6</v>
      </c>
      <c r="AG50" s="147">
        <v>40.1</v>
      </c>
      <c r="AH50" s="139">
        <v>4.7000000000000002E-3</v>
      </c>
      <c r="AI50" s="139">
        <v>4.48E-2</v>
      </c>
      <c r="AJ50" s="139">
        <v>5.6000000000000001E-2</v>
      </c>
      <c r="AK50" s="137">
        <f t="shared" si="33"/>
        <v>0</v>
      </c>
      <c r="AL50" s="137"/>
      <c r="AM50" s="137"/>
      <c r="AN50" s="137">
        <v>0</v>
      </c>
      <c r="AO50" s="140">
        <f t="shared" si="34"/>
        <v>7417.1194999998406</v>
      </c>
      <c r="AP50" s="137"/>
      <c r="AQ50" s="137">
        <v>0</v>
      </c>
      <c r="AR50" s="137">
        <f t="shared" si="19"/>
        <v>7417.1194999998406</v>
      </c>
      <c r="AS50" s="137">
        <f t="shared" si="20"/>
        <v>7788</v>
      </c>
      <c r="AT50" s="137">
        <f>BK50+145-80</f>
        <v>104.99999999999773</v>
      </c>
      <c r="AU50" s="141"/>
      <c r="AV50" s="141"/>
      <c r="AW50" s="137">
        <f t="shared" si="21"/>
        <v>39900</v>
      </c>
      <c r="AX50" s="137">
        <v>0</v>
      </c>
      <c r="AY50" s="137">
        <f t="shared" si="22"/>
        <v>39900</v>
      </c>
      <c r="AZ50" s="137">
        <f t="shared" si="23"/>
        <v>40280</v>
      </c>
      <c r="BA50" s="142">
        <f t="shared" si="24"/>
        <v>-380</v>
      </c>
      <c r="BB50" s="137"/>
      <c r="BC50" s="137">
        <v>0</v>
      </c>
      <c r="BD50" s="142">
        <v>0</v>
      </c>
      <c r="BE50" s="135">
        <v>403.2</v>
      </c>
      <c r="BF50" s="143">
        <f t="shared" si="25"/>
        <v>0.6048</v>
      </c>
      <c r="BG50" s="143">
        <f t="shared" si="26"/>
        <v>402.59519999999998</v>
      </c>
      <c r="BH50" s="143">
        <f t="shared" si="27"/>
        <v>402.8</v>
      </c>
      <c r="BI50" s="144">
        <f t="shared" si="28"/>
        <v>39.999999999997726</v>
      </c>
      <c r="BJ50" s="144">
        <v>0</v>
      </c>
      <c r="BK50" s="137">
        <f t="shared" si="29"/>
        <v>39.999999999997726</v>
      </c>
      <c r="BL50" s="2"/>
      <c r="BM50" s="10" t="str">
        <f t="shared" si="30"/>
        <v>Unloading no. 47 Bill No L/PB/26-27/3 ,Deduction For Oil Deduction= 0 ,Bardana=  ,F.M=  Brokerage/Rate Difference 0 ,Shortage = 7417.11949999984 ,Greenish=  ,Moisture= 0</v>
      </c>
      <c r="BN50" s="3"/>
      <c r="BO50" s="13" t="str">
        <f t="shared" si="17"/>
        <v xml:space="preserve"> Party Condition 39.6  ,F.M% 0.47 ,Greenish 4.48 ,Moisture 5.6 ,Shortage in KG= 104.999999999998  ,Oil% 40.1</v>
      </c>
      <c r="BP50" s="4">
        <f t="shared" si="18"/>
        <v>6978.8686457298909</v>
      </c>
      <c r="BQ50" s="5" t="str">
        <f t="shared" si="31"/>
        <v xml:space="preserve"> 40.1</v>
      </c>
      <c r="BR50" s="6">
        <f t="shared" si="32"/>
        <v>7309.5382324352968</v>
      </c>
      <c r="BS50" s="5" t="s">
        <v>62</v>
      </c>
      <c r="BT50" s="5" t="s">
        <v>63</v>
      </c>
      <c r="BW50" s="92"/>
      <c r="BX50" s="27">
        <v>40.26</v>
      </c>
      <c r="BY50" s="27">
        <v>40.1</v>
      </c>
      <c r="BZ50" s="96"/>
    </row>
    <row r="51" spans="1:78" s="1" customFormat="1" ht="15" hidden="1" customHeight="1" x14ac:dyDescent="0.3">
      <c r="A51" s="128" t="s">
        <v>125</v>
      </c>
      <c r="B51" s="146">
        <v>46111</v>
      </c>
      <c r="C51" s="128">
        <v>48</v>
      </c>
      <c r="D51" s="128" t="s">
        <v>172</v>
      </c>
      <c r="E51" s="146">
        <v>46114</v>
      </c>
      <c r="F51" s="131" t="s">
        <v>107</v>
      </c>
      <c r="G51" s="131" t="s">
        <v>108</v>
      </c>
      <c r="H51" s="131" t="s">
        <v>109</v>
      </c>
      <c r="I51" s="132"/>
      <c r="J51" s="131" t="s">
        <v>113</v>
      </c>
      <c r="K51" s="133">
        <v>0</v>
      </c>
      <c r="L51" s="152">
        <v>46111</v>
      </c>
      <c r="M51" s="153"/>
      <c r="N51" s="149">
        <v>437</v>
      </c>
      <c r="O51" s="146">
        <v>46112</v>
      </c>
      <c r="P51" s="135">
        <v>0</v>
      </c>
      <c r="Q51" s="135">
        <v>544</v>
      </c>
      <c r="R51" s="135">
        <v>0</v>
      </c>
      <c r="S51" s="135">
        <v>0</v>
      </c>
      <c r="T51" s="135">
        <v>544</v>
      </c>
      <c r="U51" s="135">
        <v>544</v>
      </c>
      <c r="V51" s="135">
        <v>0</v>
      </c>
      <c r="W51" s="135">
        <v>326.39999999999998</v>
      </c>
      <c r="X51" s="135">
        <v>330.5</v>
      </c>
      <c r="Y51" s="135">
        <v>2285567.04</v>
      </c>
      <c r="Z51" s="136"/>
      <c r="AA51" s="135">
        <v>57139.175999999999</v>
      </c>
      <c r="AB51" s="135">
        <v>57139.175999999999</v>
      </c>
      <c r="AC51" s="135">
        <v>2399845.39</v>
      </c>
      <c r="AD51" s="137">
        <f t="shared" si="0"/>
        <v>2397445.5446100002</v>
      </c>
      <c r="AE51" s="147">
        <v>39.700000000000003</v>
      </c>
      <c r="AF51" s="148">
        <v>39.020000000000003</v>
      </c>
      <c r="AG51" s="147">
        <v>39.479999999999997</v>
      </c>
      <c r="AH51" s="139">
        <v>4.5999999999999999E-3</v>
      </c>
      <c r="AI51" s="139">
        <v>8.4000000000000005E-2</v>
      </c>
      <c r="AJ51" s="139">
        <v>5.8999999999999997E-2</v>
      </c>
      <c r="AK51" s="137">
        <f t="shared" si="33"/>
        <v>0</v>
      </c>
      <c r="AL51" s="137"/>
      <c r="AM51" s="137"/>
      <c r="AN51" s="137">
        <f>W51*1.65+10718</f>
        <v>11256.56</v>
      </c>
      <c r="AO51" s="140">
        <f t="shared" si="34"/>
        <v>0</v>
      </c>
      <c r="AP51" s="137"/>
      <c r="AQ51" s="137">
        <v>0</v>
      </c>
      <c r="AR51" s="137">
        <f t="shared" si="19"/>
        <v>11256.56</v>
      </c>
      <c r="AS51" s="137">
        <f t="shared" si="20"/>
        <v>11819</v>
      </c>
      <c r="AT51" s="137">
        <v>0</v>
      </c>
      <c r="AU51" s="141"/>
      <c r="AV51" s="141"/>
      <c r="AW51" s="137">
        <f t="shared" si="21"/>
        <v>32639.999999999996</v>
      </c>
      <c r="AX51" s="137">
        <v>0</v>
      </c>
      <c r="AY51" s="137">
        <f t="shared" si="22"/>
        <v>32639.999999999996</v>
      </c>
      <c r="AZ51" s="137">
        <f t="shared" si="23"/>
        <v>33050</v>
      </c>
      <c r="BA51" s="142">
        <f t="shared" si="24"/>
        <v>-410.00000000000364</v>
      </c>
      <c r="BB51" s="137"/>
      <c r="BC51" s="137">
        <v>0</v>
      </c>
      <c r="BD51" s="142">
        <v>0</v>
      </c>
      <c r="BE51" s="135">
        <v>330.8</v>
      </c>
      <c r="BF51" s="143">
        <f t="shared" si="25"/>
        <v>0.49619999999999997</v>
      </c>
      <c r="BG51" s="143">
        <f t="shared" si="26"/>
        <v>330.30380000000002</v>
      </c>
      <c r="BH51" s="143">
        <f t="shared" si="27"/>
        <v>330.5</v>
      </c>
      <c r="BI51" s="144">
        <f t="shared" si="28"/>
        <v>30.000000000001137</v>
      </c>
      <c r="BJ51" s="144">
        <v>0</v>
      </c>
      <c r="BK51" s="137">
        <f t="shared" si="29"/>
        <v>30.000000000001137</v>
      </c>
      <c r="BL51" s="2"/>
      <c r="BM51" s="10" t="str">
        <f t="shared" si="30"/>
        <v>Unloading no. 48 Bill No 437 ,Deduction For Oil Deduction= 0 ,Bardana=  ,F.M=  Brokerage/Rate Difference 11256.56 ,Shortage = 0 ,Greenish=  ,Moisture= 0</v>
      </c>
      <c r="BN51" s="3"/>
      <c r="BO51" s="13" t="str">
        <f t="shared" si="17"/>
        <v xml:space="preserve"> Party Condition 39.02  ,F.M% 0.46 ,Greenish 8.4 ,Moisture 5.9 ,Shortage in KG= 0  ,Oil% 39.48</v>
      </c>
      <c r="BP51" s="4">
        <f t="shared" si="18"/>
        <v>6881.4235400907719</v>
      </c>
      <c r="BQ51" s="5" t="str">
        <f t="shared" si="31"/>
        <v>39.48</v>
      </c>
      <c r="BR51" s="6">
        <f t="shared" si="32"/>
        <v>7320.6633405220982</v>
      </c>
      <c r="BS51" s="5" t="s">
        <v>62</v>
      </c>
      <c r="BT51" s="5" t="s">
        <v>63</v>
      </c>
      <c r="BW51" s="92"/>
      <c r="BX51" s="27">
        <v>39.700000000000003</v>
      </c>
      <c r="BY51" s="27">
        <v>39.479999999999997</v>
      </c>
      <c r="BZ51" s="96"/>
    </row>
    <row r="52" spans="1:78" s="1" customFormat="1" ht="15" hidden="1" customHeight="1" x14ac:dyDescent="0.3">
      <c r="A52" s="128" t="s">
        <v>135</v>
      </c>
      <c r="B52" s="146">
        <v>46109</v>
      </c>
      <c r="C52" s="128">
        <v>49</v>
      </c>
      <c r="D52" s="128" t="s">
        <v>173</v>
      </c>
      <c r="E52" s="146">
        <v>46114</v>
      </c>
      <c r="F52" s="131" t="s">
        <v>98</v>
      </c>
      <c r="G52" s="131" t="s">
        <v>99</v>
      </c>
      <c r="H52" s="131" t="s">
        <v>199</v>
      </c>
      <c r="I52" s="132"/>
      <c r="J52" s="131" t="s">
        <v>113</v>
      </c>
      <c r="K52" s="133">
        <v>0</v>
      </c>
      <c r="L52" s="134">
        <v>46109</v>
      </c>
      <c r="M52" s="132"/>
      <c r="N52" s="131">
        <v>347</v>
      </c>
      <c r="O52" s="146">
        <v>46112</v>
      </c>
      <c r="P52" s="135">
        <v>0</v>
      </c>
      <c r="Q52" s="135">
        <v>304</v>
      </c>
      <c r="R52" s="135">
        <v>200</v>
      </c>
      <c r="S52" s="135">
        <v>0</v>
      </c>
      <c r="T52" s="135">
        <v>504</v>
      </c>
      <c r="U52" s="135">
        <v>504</v>
      </c>
      <c r="V52" s="135">
        <v>0</v>
      </c>
      <c r="W52" s="135">
        <v>302.39999999999998</v>
      </c>
      <c r="X52" s="135">
        <v>305.2</v>
      </c>
      <c r="Y52" s="135">
        <v>2050981.63</v>
      </c>
      <c r="Z52" s="136"/>
      <c r="AA52" s="135">
        <v>51274.54075</v>
      </c>
      <c r="AB52" s="135">
        <v>51274.54075</v>
      </c>
      <c r="AC52" s="135">
        <v>2153530.71</v>
      </c>
      <c r="AD52" s="137">
        <f t="shared" si="0"/>
        <v>2151377.1792899999</v>
      </c>
      <c r="AE52" s="147">
        <v>39.82</v>
      </c>
      <c r="AF52" s="148">
        <v>39.19</v>
      </c>
      <c r="AG52" s="147">
        <v>39.520000000000003</v>
      </c>
      <c r="AH52" s="139">
        <v>4.7000000000000002E-3</v>
      </c>
      <c r="AI52" s="139">
        <v>4.2500000000000003E-2</v>
      </c>
      <c r="AJ52" s="139">
        <v>5.6000000000000001E-2</v>
      </c>
      <c r="AK52" s="137">
        <f t="shared" si="33"/>
        <v>0</v>
      </c>
      <c r="AL52" s="137">
        <f>T52*0.5</f>
        <v>252</v>
      </c>
      <c r="AM52" s="137"/>
      <c r="AN52" s="137">
        <v>0</v>
      </c>
      <c r="AO52" s="140">
        <f t="shared" si="34"/>
        <v>3255.5263968256281</v>
      </c>
      <c r="AP52" s="137"/>
      <c r="AQ52" s="137">
        <v>0</v>
      </c>
      <c r="AR52" s="137">
        <f t="shared" si="19"/>
        <v>3507.5263968256281</v>
      </c>
      <c r="AS52" s="137">
        <f t="shared" si="20"/>
        <v>3683</v>
      </c>
      <c r="AT52" s="137">
        <f>BK52+68-60</f>
        <v>48.000000000003411</v>
      </c>
      <c r="AU52" s="141"/>
      <c r="AV52" s="141"/>
      <c r="AW52" s="137">
        <f t="shared" si="21"/>
        <v>30239.999999999996</v>
      </c>
      <c r="AX52" s="137">
        <v>0</v>
      </c>
      <c r="AY52" s="137">
        <f t="shared" si="22"/>
        <v>30239.999999999996</v>
      </c>
      <c r="AZ52" s="137">
        <f t="shared" si="23"/>
        <v>30520</v>
      </c>
      <c r="BA52" s="142">
        <f t="shared" si="24"/>
        <v>-280.00000000000364</v>
      </c>
      <c r="BB52" s="137"/>
      <c r="BC52" s="137">
        <v>0</v>
      </c>
      <c r="BD52" s="142">
        <v>0</v>
      </c>
      <c r="BE52" s="135">
        <v>305.60000000000002</v>
      </c>
      <c r="BF52" s="143">
        <f t="shared" si="25"/>
        <v>0.45840000000000003</v>
      </c>
      <c r="BG52" s="143">
        <f t="shared" si="26"/>
        <v>305.14160000000004</v>
      </c>
      <c r="BH52" s="143">
        <f t="shared" si="27"/>
        <v>305.2</v>
      </c>
      <c r="BI52" s="144">
        <f t="shared" si="28"/>
        <v>40.000000000003411</v>
      </c>
      <c r="BJ52" s="144">
        <v>0</v>
      </c>
      <c r="BK52" s="137">
        <f t="shared" si="29"/>
        <v>40.000000000003411</v>
      </c>
      <c r="BL52" s="2"/>
      <c r="BM52" s="10" t="str">
        <f t="shared" si="30"/>
        <v>Unloading no. 49 Bill No 347 ,Deduction For Oil Deduction= 0 ,Bardana= 252 ,F.M=  Brokerage/Rate Difference 0 ,Shortage = 3255.52639682563 ,Greenish=  ,Moisture= 0</v>
      </c>
      <c r="BN52" s="3"/>
      <c r="BO52" s="13" t="str">
        <f t="shared" si="17"/>
        <v xml:space="preserve"> Party Condition 39.19  ,F.M% 0.47 ,Greenish 4.25 ,Moisture 5.6 ,Shortage in KG= 48.0000000000034  ,Oil% 39.52</v>
      </c>
      <c r="BP52" s="4">
        <f t="shared" si="18"/>
        <v>6708.6307457508983</v>
      </c>
      <c r="BQ52" s="5" t="str">
        <f t="shared" si="31"/>
        <v>39.52</v>
      </c>
      <c r="BR52" s="6">
        <f t="shared" si="32"/>
        <v>7129.6176953830382</v>
      </c>
      <c r="BS52" s="5" t="s">
        <v>62</v>
      </c>
      <c r="BT52" s="5" t="s">
        <v>63</v>
      </c>
      <c r="BW52" s="92"/>
      <c r="BX52" s="27">
        <v>39.82</v>
      </c>
      <c r="BY52" s="27">
        <v>39.520000000000003</v>
      </c>
      <c r="BZ52" s="96"/>
    </row>
    <row r="53" spans="1:78" s="1" customFormat="1" ht="15" hidden="1" customHeight="1" x14ac:dyDescent="0.3">
      <c r="A53" s="131" t="s">
        <v>134</v>
      </c>
      <c r="B53" s="150">
        <v>46111</v>
      </c>
      <c r="C53" s="131">
        <v>50</v>
      </c>
      <c r="D53" s="131" t="s">
        <v>174</v>
      </c>
      <c r="E53" s="150">
        <v>46114</v>
      </c>
      <c r="F53" s="131" t="s">
        <v>101</v>
      </c>
      <c r="G53" s="131" t="s">
        <v>102</v>
      </c>
      <c r="H53" s="131" t="s">
        <v>97</v>
      </c>
      <c r="I53" s="132"/>
      <c r="J53" s="131" t="s">
        <v>113</v>
      </c>
      <c r="K53" s="133">
        <v>0</v>
      </c>
      <c r="L53" s="134">
        <v>46111</v>
      </c>
      <c r="M53" s="132"/>
      <c r="N53" s="131" t="s">
        <v>216</v>
      </c>
      <c r="O53" s="150">
        <v>46113</v>
      </c>
      <c r="P53" s="133">
        <v>0</v>
      </c>
      <c r="Q53" s="135">
        <v>224</v>
      </c>
      <c r="R53" s="135">
        <v>200</v>
      </c>
      <c r="S53" s="135">
        <v>0</v>
      </c>
      <c r="T53" s="135">
        <v>424</v>
      </c>
      <c r="U53" s="135">
        <v>424</v>
      </c>
      <c r="V53" s="135">
        <v>0</v>
      </c>
      <c r="W53" s="135">
        <v>254.4</v>
      </c>
      <c r="X53" s="135">
        <v>258.10000000000002</v>
      </c>
      <c r="Y53" s="135">
        <v>1797062.1</v>
      </c>
      <c r="Z53" s="136"/>
      <c r="AA53" s="135">
        <v>44926.552499999998</v>
      </c>
      <c r="AB53" s="135">
        <v>44926.552499999998</v>
      </c>
      <c r="AC53" s="135">
        <v>1886915.21</v>
      </c>
      <c r="AD53" s="137">
        <f t="shared" si="0"/>
        <v>1885028.29479</v>
      </c>
      <c r="AE53" s="147">
        <v>40.4</v>
      </c>
      <c r="AF53" s="148">
        <v>39.6</v>
      </c>
      <c r="AG53" s="147">
        <v>40.299999999999997</v>
      </c>
      <c r="AH53" s="139">
        <v>4.8999999999999998E-3</v>
      </c>
      <c r="AI53" s="139">
        <v>4.5199999999999997E-2</v>
      </c>
      <c r="AJ53" s="139">
        <v>5.3999999999999999E-2</v>
      </c>
      <c r="AK53" s="137">
        <f t="shared" si="33"/>
        <v>0</v>
      </c>
      <c r="AL53" s="137"/>
      <c r="AM53" s="137"/>
      <c r="AN53" s="137">
        <v>0</v>
      </c>
      <c r="AO53" s="140">
        <f t="shared" si="34"/>
        <v>1342.1454363206744</v>
      </c>
      <c r="AP53" s="137"/>
      <c r="AQ53" s="137">
        <v>0</v>
      </c>
      <c r="AR53" s="137">
        <f t="shared" si="19"/>
        <v>1342.1454363206744</v>
      </c>
      <c r="AS53" s="137">
        <f t="shared" si="20"/>
        <v>1409</v>
      </c>
      <c r="AT53" s="137">
        <f>BK53-51</f>
        <v>18.999999999998863</v>
      </c>
      <c r="AU53" s="141"/>
      <c r="AV53" s="141"/>
      <c r="AW53" s="137">
        <f t="shared" si="21"/>
        <v>25440</v>
      </c>
      <c r="AX53" s="137">
        <v>0</v>
      </c>
      <c r="AY53" s="137">
        <f t="shared" si="22"/>
        <v>25440</v>
      </c>
      <c r="AZ53" s="137">
        <f t="shared" si="23"/>
        <v>25810.000000000004</v>
      </c>
      <c r="BA53" s="142">
        <f t="shared" si="24"/>
        <v>-370.00000000000364</v>
      </c>
      <c r="BB53" s="137"/>
      <c r="BC53" s="137">
        <v>0</v>
      </c>
      <c r="BD53" s="142">
        <v>0</v>
      </c>
      <c r="BE53" s="135">
        <v>258.8</v>
      </c>
      <c r="BF53" s="143">
        <f t="shared" si="25"/>
        <v>0.38819999999999999</v>
      </c>
      <c r="BG53" s="143">
        <f t="shared" si="26"/>
        <v>258.41180000000003</v>
      </c>
      <c r="BH53" s="143">
        <f t="shared" si="27"/>
        <v>258.10000000000002</v>
      </c>
      <c r="BI53" s="144">
        <f t="shared" si="28"/>
        <v>69.999999999998863</v>
      </c>
      <c r="BJ53" s="144">
        <v>0</v>
      </c>
      <c r="BK53" s="137">
        <f t="shared" si="29"/>
        <v>69.999999999998863</v>
      </c>
      <c r="BL53" s="2"/>
      <c r="BM53" s="10" t="str">
        <f t="shared" si="30"/>
        <v>Unloading no. 50 Bill No L/PB/26-27/2 ,Deduction For Oil Deduction= 0 ,Bardana=  ,F.M=  Brokerage/Rate Difference 0 ,Shortage = 1342.14543632067 ,Greenish=  ,Moisture= 0</v>
      </c>
      <c r="BN53" s="3"/>
      <c r="BO53" s="13" t="str">
        <f t="shared" si="17"/>
        <v xml:space="preserve"> Party Condition 39.6  ,F.M% 0.49 ,Greenish 4.52 ,Moisture 5.4 ,Shortage in KG= 18.9999999999989  ,Oil% 40.3</v>
      </c>
      <c r="BP53" s="4">
        <f t="shared" si="18"/>
        <v>6957.4581734354097</v>
      </c>
      <c r="BQ53" s="5" t="str">
        <f t="shared" si="31"/>
        <v xml:space="preserve"> 40.3</v>
      </c>
      <c r="BR53" s="6">
        <f t="shared" si="32"/>
        <v>7250.9489648706513</v>
      </c>
      <c r="BS53" s="5" t="s">
        <v>62</v>
      </c>
      <c r="BT53" s="5" t="s">
        <v>63</v>
      </c>
      <c r="BW53" s="92"/>
      <c r="BX53" s="27">
        <v>40.4</v>
      </c>
      <c r="BY53" s="27">
        <v>40.299999999999997</v>
      </c>
      <c r="BZ53" s="96"/>
    </row>
    <row r="54" spans="1:78" s="1" customFormat="1" ht="15" hidden="1" customHeight="1" x14ac:dyDescent="0.3">
      <c r="A54" s="128" t="s">
        <v>134</v>
      </c>
      <c r="B54" s="146">
        <v>46111</v>
      </c>
      <c r="C54" s="128">
        <v>51</v>
      </c>
      <c r="D54" s="128" t="s">
        <v>175</v>
      </c>
      <c r="E54" s="146">
        <v>46115</v>
      </c>
      <c r="F54" s="131" t="s">
        <v>101</v>
      </c>
      <c r="G54" s="131" t="s">
        <v>102</v>
      </c>
      <c r="H54" s="131" t="s">
        <v>97</v>
      </c>
      <c r="I54" s="132"/>
      <c r="J54" s="131" t="s">
        <v>113</v>
      </c>
      <c r="K54" s="133">
        <v>0</v>
      </c>
      <c r="L54" s="134">
        <v>46111</v>
      </c>
      <c r="M54" s="132"/>
      <c r="N54" s="131" t="s">
        <v>217</v>
      </c>
      <c r="O54" s="130">
        <v>46113</v>
      </c>
      <c r="P54" s="135">
        <v>0</v>
      </c>
      <c r="Q54" s="135">
        <v>507</v>
      </c>
      <c r="R54" s="135">
        <v>0</v>
      </c>
      <c r="S54" s="135">
        <v>0</v>
      </c>
      <c r="T54" s="135">
        <v>507</v>
      </c>
      <c r="U54" s="135">
        <v>507</v>
      </c>
      <c r="V54" s="135">
        <v>0</v>
      </c>
      <c r="W54" s="135">
        <v>304.2</v>
      </c>
      <c r="X54" s="135">
        <v>307.60000000000002</v>
      </c>
      <c r="Y54" s="135">
        <v>2148845.48</v>
      </c>
      <c r="Z54" s="136"/>
      <c r="AA54" s="135">
        <v>53721.137000000002</v>
      </c>
      <c r="AB54" s="135">
        <v>53721.137000000002</v>
      </c>
      <c r="AC54" s="135">
        <v>2256287.75</v>
      </c>
      <c r="AD54" s="137">
        <f t="shared" si="0"/>
        <v>2254031.4622499999</v>
      </c>
      <c r="AE54" s="138">
        <v>40</v>
      </c>
      <c r="AF54" s="135">
        <v>39.6</v>
      </c>
      <c r="AG54" s="138">
        <v>39.950000000000003</v>
      </c>
      <c r="AH54" s="139">
        <v>4.4999999999999997E-3</v>
      </c>
      <c r="AI54" s="139">
        <v>0.04</v>
      </c>
      <c r="AJ54" s="139">
        <v>4.8000000000000001E-2</v>
      </c>
      <c r="AK54" s="137">
        <f t="shared" si="33"/>
        <v>0</v>
      </c>
      <c r="AL54" s="137"/>
      <c r="AM54" s="137"/>
      <c r="AN54" s="137">
        <v>0</v>
      </c>
      <c r="AO54" s="140">
        <f t="shared" si="34"/>
        <v>2119.1770019722258</v>
      </c>
      <c r="AP54" s="137"/>
      <c r="AQ54" s="137">
        <v>0</v>
      </c>
      <c r="AR54" s="137">
        <f t="shared" si="19"/>
        <v>2119.1770019722258</v>
      </c>
      <c r="AS54" s="137">
        <f t="shared" si="20"/>
        <v>2225</v>
      </c>
      <c r="AT54" s="137">
        <f>BK54+51-61</f>
        <v>29.999999999997726</v>
      </c>
      <c r="AU54" s="141"/>
      <c r="AV54" s="141"/>
      <c r="AW54" s="137">
        <f t="shared" si="21"/>
        <v>30420</v>
      </c>
      <c r="AX54" s="137">
        <v>0</v>
      </c>
      <c r="AY54" s="137">
        <f t="shared" si="22"/>
        <v>30420</v>
      </c>
      <c r="AZ54" s="137">
        <f t="shared" si="23"/>
        <v>30760.000000000004</v>
      </c>
      <c r="BA54" s="142">
        <f t="shared" si="24"/>
        <v>-340.00000000000364</v>
      </c>
      <c r="BB54" s="137"/>
      <c r="BC54" s="137">
        <v>0</v>
      </c>
      <c r="BD54" s="142">
        <v>0</v>
      </c>
      <c r="BE54" s="135">
        <v>308</v>
      </c>
      <c r="BF54" s="143">
        <f t="shared" si="25"/>
        <v>0.46199999999999997</v>
      </c>
      <c r="BG54" s="143">
        <f t="shared" si="26"/>
        <v>307.53800000000001</v>
      </c>
      <c r="BH54" s="143">
        <f t="shared" si="27"/>
        <v>307.60000000000002</v>
      </c>
      <c r="BI54" s="144">
        <f t="shared" si="28"/>
        <v>39.999999999997726</v>
      </c>
      <c r="BJ54" s="144">
        <v>0</v>
      </c>
      <c r="BK54" s="137">
        <f t="shared" si="29"/>
        <v>39.999999999997726</v>
      </c>
      <c r="BL54" s="2"/>
      <c r="BM54" s="10" t="str">
        <f t="shared" si="30"/>
        <v>Unloading no. 51 Bill No L/PB/26-27/5 ,Deduction For Oil Deduction= 0 ,Bardana=  ,F.M=  Brokerage/Rate Difference 0 ,Shortage = 2119.17700197223 ,Greenish=  ,Moisture= 0</v>
      </c>
      <c r="BN54" s="3"/>
      <c r="BO54" s="13" t="str">
        <f t="shared" si="17"/>
        <v xml:space="preserve"> Party Condition 39.6  ,F.M% 0.45 ,Greenish 4 ,Moisture 4.8 ,Shortage in KG= 29.9999999999977  ,Oil% 39.95</v>
      </c>
      <c r="BP54" s="4">
        <f t="shared" si="18"/>
        <v>6978.954170994888</v>
      </c>
      <c r="BQ54" s="5" t="str">
        <f t="shared" si="31"/>
        <v>39.95</v>
      </c>
      <c r="BR54" s="6">
        <f t="shared" si="32"/>
        <v>7337.0732210709702</v>
      </c>
      <c r="BS54" s="5" t="s">
        <v>62</v>
      </c>
      <c r="BT54" s="5" t="s">
        <v>63</v>
      </c>
      <c r="BW54" s="92"/>
      <c r="BX54" s="27">
        <v>40</v>
      </c>
      <c r="BY54" s="27">
        <v>39.950000000000003</v>
      </c>
      <c r="BZ54" s="96"/>
    </row>
    <row r="55" spans="1:78" s="1" customFormat="1" ht="15" hidden="1" customHeight="1" x14ac:dyDescent="0.3">
      <c r="A55" s="128" t="s">
        <v>134</v>
      </c>
      <c r="B55" s="146">
        <v>46111</v>
      </c>
      <c r="C55" s="128">
        <v>52</v>
      </c>
      <c r="D55" s="128" t="s">
        <v>176</v>
      </c>
      <c r="E55" s="146">
        <v>46115</v>
      </c>
      <c r="F55" s="131" t="s">
        <v>101</v>
      </c>
      <c r="G55" s="131" t="s">
        <v>102</v>
      </c>
      <c r="H55" s="131" t="s">
        <v>97</v>
      </c>
      <c r="I55" s="132"/>
      <c r="J55" s="131" t="s">
        <v>113</v>
      </c>
      <c r="K55" s="133">
        <v>0</v>
      </c>
      <c r="L55" s="134">
        <v>46111</v>
      </c>
      <c r="M55" s="132"/>
      <c r="N55" s="131" t="s">
        <v>218</v>
      </c>
      <c r="O55" s="130">
        <v>46113</v>
      </c>
      <c r="P55" s="135">
        <v>0</v>
      </c>
      <c r="Q55" s="135">
        <v>500</v>
      </c>
      <c r="R55" s="135">
        <v>14</v>
      </c>
      <c r="S55" s="135">
        <v>0</v>
      </c>
      <c r="T55" s="135">
        <v>514</v>
      </c>
      <c r="U55" s="135">
        <v>514</v>
      </c>
      <c r="V55" s="135">
        <v>0</v>
      </c>
      <c r="W55" s="135">
        <v>308.39999999999998</v>
      </c>
      <c r="X55" s="135">
        <v>311.39999999999998</v>
      </c>
      <c r="Y55" s="135">
        <v>2178513.96</v>
      </c>
      <c r="Z55" s="136"/>
      <c r="AA55" s="135">
        <v>54462.849000000002</v>
      </c>
      <c r="AB55" s="135">
        <v>54462.849000000002</v>
      </c>
      <c r="AC55" s="135">
        <v>2287439.66</v>
      </c>
      <c r="AD55" s="137">
        <f t="shared" si="0"/>
        <v>2285152.22034</v>
      </c>
      <c r="AE55" s="138">
        <v>39.770000000000003</v>
      </c>
      <c r="AF55" s="135">
        <v>39.6</v>
      </c>
      <c r="AG55" s="138">
        <v>39.71</v>
      </c>
      <c r="AH55" s="139">
        <v>4.7000000000000002E-3</v>
      </c>
      <c r="AI55" s="139">
        <v>4.2799999999999998E-2</v>
      </c>
      <c r="AJ55" s="139">
        <v>5.7000000000000002E-2</v>
      </c>
      <c r="AK55" s="137">
        <f t="shared" si="33"/>
        <v>0</v>
      </c>
      <c r="AL55" s="137"/>
      <c r="AM55" s="137"/>
      <c r="AN55" s="137">
        <v>0</v>
      </c>
      <c r="AO55" s="140">
        <f t="shared" si="34"/>
        <v>5297.9425097277071</v>
      </c>
      <c r="AP55" s="137"/>
      <c r="AQ55" s="137">
        <v>0</v>
      </c>
      <c r="AR55" s="137">
        <f t="shared" si="19"/>
        <v>5297.9425097277071</v>
      </c>
      <c r="AS55" s="137">
        <f t="shared" si="20"/>
        <v>5563</v>
      </c>
      <c r="AT55" s="137">
        <f>BK55+57-62</f>
        <v>75.000000000001137</v>
      </c>
      <c r="AU55" s="141"/>
      <c r="AV55" s="141"/>
      <c r="AW55" s="137">
        <f t="shared" si="21"/>
        <v>30839.999999999996</v>
      </c>
      <c r="AX55" s="137">
        <v>0</v>
      </c>
      <c r="AY55" s="137">
        <f t="shared" si="22"/>
        <v>30839.999999999996</v>
      </c>
      <c r="AZ55" s="137">
        <f t="shared" si="23"/>
        <v>31139.999999999996</v>
      </c>
      <c r="BA55" s="142">
        <f t="shared" si="24"/>
        <v>-300</v>
      </c>
      <c r="BB55" s="137"/>
      <c r="BC55" s="137">
        <v>0</v>
      </c>
      <c r="BD55" s="142">
        <v>0</v>
      </c>
      <c r="BE55" s="135">
        <v>312.2</v>
      </c>
      <c r="BF55" s="143">
        <f t="shared" si="25"/>
        <v>0.46829999999999999</v>
      </c>
      <c r="BG55" s="143">
        <f t="shared" si="26"/>
        <v>311.73169999999999</v>
      </c>
      <c r="BH55" s="143">
        <f t="shared" si="27"/>
        <v>311.39999999999998</v>
      </c>
      <c r="BI55" s="144">
        <f t="shared" si="28"/>
        <v>80.000000000001137</v>
      </c>
      <c r="BJ55" s="144">
        <v>0</v>
      </c>
      <c r="BK55" s="137">
        <f t="shared" si="29"/>
        <v>80.000000000001137</v>
      </c>
      <c r="BL55" s="2"/>
      <c r="BM55" s="10" t="str">
        <f t="shared" si="30"/>
        <v>Unloading no. 52 Bill No L/PB/26-27/4 ,Deduction For Oil Deduction= 0 ,Bardana=  ,F.M=  Brokerage/Rate Difference 0 ,Shortage = 5297.94250972771 ,Greenish=  ,Moisture= 0</v>
      </c>
      <c r="BN55" s="3"/>
      <c r="BO55" s="13" t="str">
        <f t="shared" si="17"/>
        <v xml:space="preserve"> Party Condition 39.6  ,F.M% 0.47 ,Greenish 4.28 ,Moisture 5.7 ,Shortage in KG= 75.0000000000011  ,Oil% 39.71</v>
      </c>
      <c r="BP55" s="4">
        <f t="shared" si="18"/>
        <v>6978.8568320175737</v>
      </c>
      <c r="BQ55" s="5" t="str">
        <f t="shared" si="31"/>
        <v>39.71</v>
      </c>
      <c r="BR55" s="6">
        <f t="shared" si="32"/>
        <v>7381.3142015799058</v>
      </c>
      <c r="BS55" s="5" t="s">
        <v>62</v>
      </c>
      <c r="BT55" s="5" t="s">
        <v>63</v>
      </c>
      <c r="BW55" s="92"/>
      <c r="BX55" s="27">
        <v>39.770000000000003</v>
      </c>
      <c r="BY55" s="27">
        <v>39.71</v>
      </c>
      <c r="BZ55" s="96"/>
    </row>
    <row r="56" spans="1:78" s="1" customFormat="1" ht="15" hidden="1" customHeight="1" x14ac:dyDescent="0.3">
      <c r="A56" s="128" t="s">
        <v>136</v>
      </c>
      <c r="B56" s="146">
        <v>46111</v>
      </c>
      <c r="C56" s="128">
        <v>53</v>
      </c>
      <c r="D56" s="128" t="s">
        <v>177</v>
      </c>
      <c r="E56" s="146">
        <v>46115</v>
      </c>
      <c r="F56" s="131" t="s">
        <v>200</v>
      </c>
      <c r="G56" s="131" t="s">
        <v>201</v>
      </c>
      <c r="H56" s="131" t="s">
        <v>202</v>
      </c>
      <c r="I56" s="132"/>
      <c r="J56" s="131" t="s">
        <v>113</v>
      </c>
      <c r="K56" s="133">
        <v>0</v>
      </c>
      <c r="L56" s="134">
        <v>46111</v>
      </c>
      <c r="M56" s="132"/>
      <c r="N56" s="131">
        <v>2</v>
      </c>
      <c r="O56" s="130">
        <v>46113</v>
      </c>
      <c r="P56" s="135">
        <v>0</v>
      </c>
      <c r="Q56" s="135">
        <v>448</v>
      </c>
      <c r="R56" s="135">
        <v>210</v>
      </c>
      <c r="S56" s="135">
        <v>0</v>
      </c>
      <c r="T56" s="135">
        <v>658</v>
      </c>
      <c r="U56" s="135">
        <v>658</v>
      </c>
      <c r="V56" s="135">
        <v>0</v>
      </c>
      <c r="W56" s="135">
        <v>394.8</v>
      </c>
      <c r="X56" s="135">
        <v>400.5</v>
      </c>
      <c r="Y56" s="135">
        <v>2793037.6</v>
      </c>
      <c r="Z56" s="136"/>
      <c r="AA56" s="135">
        <v>69825.94</v>
      </c>
      <c r="AB56" s="135">
        <v>69825.94</v>
      </c>
      <c r="AC56" s="135">
        <v>2932689.48</v>
      </c>
      <c r="AD56" s="137">
        <f t="shared" si="0"/>
        <v>2929756.7905199998</v>
      </c>
      <c r="AE56" s="138">
        <v>39.85</v>
      </c>
      <c r="AF56" s="135">
        <v>39.75</v>
      </c>
      <c r="AG56" s="138">
        <v>39.89</v>
      </c>
      <c r="AH56" s="139">
        <v>4.4000000000000003E-3</v>
      </c>
      <c r="AI56" s="139">
        <v>4.36E-2</v>
      </c>
      <c r="AJ56" s="139">
        <v>0.05</v>
      </c>
      <c r="AK56" s="137">
        <f t="shared" si="33"/>
        <v>0</v>
      </c>
      <c r="AL56" s="137"/>
      <c r="AM56" s="137"/>
      <c r="AN56" s="137">
        <v>0</v>
      </c>
      <c r="AO56" s="140">
        <f t="shared" si="34"/>
        <v>0</v>
      </c>
      <c r="AP56" s="137"/>
      <c r="AQ56" s="137">
        <v>0</v>
      </c>
      <c r="AR56" s="137">
        <f t="shared" si="19"/>
        <v>0</v>
      </c>
      <c r="AS56" s="137">
        <f t="shared" si="20"/>
        <v>0</v>
      </c>
      <c r="AT56" s="137">
        <v>0</v>
      </c>
      <c r="AU56" s="141"/>
      <c r="AV56" s="141"/>
      <c r="AW56" s="137">
        <f t="shared" si="21"/>
        <v>39480</v>
      </c>
      <c r="AX56" s="137">
        <v>0</v>
      </c>
      <c r="AY56" s="137">
        <f t="shared" si="22"/>
        <v>39480</v>
      </c>
      <c r="AZ56" s="137">
        <f t="shared" si="23"/>
        <v>40050</v>
      </c>
      <c r="BA56" s="142">
        <f t="shared" si="24"/>
        <v>-570</v>
      </c>
      <c r="BB56" s="137"/>
      <c r="BC56" s="137">
        <v>0</v>
      </c>
      <c r="BD56" s="142">
        <v>0</v>
      </c>
      <c r="BE56" s="135">
        <v>400.35</v>
      </c>
      <c r="BF56" s="143">
        <f t="shared" si="25"/>
        <v>0.60052499999999998</v>
      </c>
      <c r="BG56" s="143">
        <f t="shared" si="26"/>
        <v>399.74947500000002</v>
      </c>
      <c r="BH56" s="143">
        <f t="shared" si="27"/>
        <v>400.5</v>
      </c>
      <c r="BI56" s="144">
        <f t="shared" si="28"/>
        <v>-14.999999999997726</v>
      </c>
      <c r="BJ56" s="144">
        <v>0</v>
      </c>
      <c r="BK56" s="137">
        <f t="shared" si="29"/>
        <v>-14.999999999997726</v>
      </c>
      <c r="BL56" s="2"/>
      <c r="BM56" s="10" t="str">
        <f t="shared" si="30"/>
        <v>Unloading no. 53 Bill No 2 ,Deduction For Oil Deduction= 0 ,Bardana=  ,F.M=  Brokerage/Rate Difference 0 ,Shortage = 0 ,Greenish=  ,Moisture= 0</v>
      </c>
      <c r="BN56" s="3"/>
      <c r="BO56" s="13" t="str">
        <f t="shared" si="17"/>
        <v xml:space="preserve"> Party Condition 39.75  ,F.M% 0.44 ,Greenish 4.36 ,Moisture 5 ,Shortage in KG= 0  ,Oil% 39.85</v>
      </c>
      <c r="BP56" s="4">
        <f t="shared" si="18"/>
        <v>6973.8766541822724</v>
      </c>
      <c r="BQ56" s="5" t="str">
        <f t="shared" si="31"/>
        <v>39.85</v>
      </c>
      <c r="BR56" s="6">
        <f t="shared" si="32"/>
        <v>7350.1334874693957</v>
      </c>
      <c r="BS56" s="5" t="s">
        <v>62</v>
      </c>
      <c r="BT56" s="5" t="s">
        <v>63</v>
      </c>
      <c r="BW56" s="92"/>
      <c r="BX56" s="27">
        <v>39.85</v>
      </c>
      <c r="BY56" s="27">
        <v>39.89</v>
      </c>
      <c r="BZ56" s="96"/>
    </row>
    <row r="57" spans="1:78" s="1" customFormat="1" ht="15" hidden="1" customHeight="1" x14ac:dyDescent="0.3">
      <c r="A57" s="128" t="s">
        <v>133</v>
      </c>
      <c r="B57" s="146">
        <v>46111</v>
      </c>
      <c r="C57" s="128">
        <v>54</v>
      </c>
      <c r="D57" s="128" t="s">
        <v>178</v>
      </c>
      <c r="E57" s="146">
        <v>46115</v>
      </c>
      <c r="F57" s="131" t="s">
        <v>95</v>
      </c>
      <c r="G57" s="131" t="s">
        <v>96</v>
      </c>
      <c r="H57" s="131" t="s">
        <v>97</v>
      </c>
      <c r="I57" s="132"/>
      <c r="J57" s="131" t="s">
        <v>113</v>
      </c>
      <c r="K57" s="133">
        <v>0</v>
      </c>
      <c r="L57" s="134">
        <v>46111</v>
      </c>
      <c r="M57" s="132"/>
      <c r="N57" s="131">
        <v>1</v>
      </c>
      <c r="O57" s="130">
        <v>46113</v>
      </c>
      <c r="P57" s="135">
        <v>0</v>
      </c>
      <c r="Q57" s="135">
        <v>300</v>
      </c>
      <c r="R57" s="135">
        <v>130</v>
      </c>
      <c r="S57" s="135">
        <v>0</v>
      </c>
      <c r="T57" s="135">
        <v>430</v>
      </c>
      <c r="U57" s="135">
        <v>430</v>
      </c>
      <c r="V57" s="135">
        <v>0</v>
      </c>
      <c r="W57" s="135">
        <v>258</v>
      </c>
      <c r="X57" s="135">
        <v>261.2</v>
      </c>
      <c r="Y57" s="135">
        <v>1827587.72</v>
      </c>
      <c r="Z57" s="136"/>
      <c r="AA57" s="135">
        <v>45689.692999999999</v>
      </c>
      <c r="AB57" s="135">
        <v>45689.692999999999</v>
      </c>
      <c r="AC57" s="135">
        <v>1918967.11</v>
      </c>
      <c r="AD57" s="137">
        <f t="shared" si="0"/>
        <v>1917048.14289</v>
      </c>
      <c r="AE57" s="138">
        <v>40</v>
      </c>
      <c r="AF57" s="135">
        <v>39.82</v>
      </c>
      <c r="AG57" s="138">
        <v>39.6</v>
      </c>
      <c r="AH57" s="139">
        <v>4.5999999999999999E-3</v>
      </c>
      <c r="AI57" s="139">
        <v>0.05</v>
      </c>
      <c r="AJ57" s="139">
        <v>5.8000000000000003E-2</v>
      </c>
      <c r="AK57" s="137">
        <v>0</v>
      </c>
      <c r="AL57" s="137"/>
      <c r="AM57" s="137"/>
      <c r="AN57" s="137">
        <v>0</v>
      </c>
      <c r="AO57" s="140">
        <f t="shared" si="34"/>
        <v>0</v>
      </c>
      <c r="AP57" s="137"/>
      <c r="AQ57" s="137">
        <v>0</v>
      </c>
      <c r="AR57" s="137">
        <f t="shared" si="19"/>
        <v>0</v>
      </c>
      <c r="AS57" s="137">
        <f t="shared" si="20"/>
        <v>0</v>
      </c>
      <c r="AT57" s="137">
        <v>0</v>
      </c>
      <c r="AU57" s="141"/>
      <c r="AV57" s="141"/>
      <c r="AW57" s="137">
        <f t="shared" si="21"/>
        <v>25800</v>
      </c>
      <c r="AX57" s="137">
        <v>0</v>
      </c>
      <c r="AY57" s="137">
        <f t="shared" si="22"/>
        <v>25800</v>
      </c>
      <c r="AZ57" s="137">
        <f t="shared" si="23"/>
        <v>26120</v>
      </c>
      <c r="BA57" s="142">
        <f t="shared" si="24"/>
        <v>-320</v>
      </c>
      <c r="BB57" s="137"/>
      <c r="BC57" s="137">
        <v>0</v>
      </c>
      <c r="BD57" s="142">
        <v>0</v>
      </c>
      <c r="BE57" s="135">
        <v>261.60000000000002</v>
      </c>
      <c r="BF57" s="143">
        <f t="shared" si="25"/>
        <v>0.39240000000000003</v>
      </c>
      <c r="BG57" s="143">
        <f t="shared" si="26"/>
        <v>261.20760000000001</v>
      </c>
      <c r="BH57" s="143">
        <f t="shared" si="27"/>
        <v>261.2</v>
      </c>
      <c r="BI57" s="144">
        <f t="shared" si="28"/>
        <v>40.000000000003411</v>
      </c>
      <c r="BJ57" s="144">
        <v>0</v>
      </c>
      <c r="BK57" s="137">
        <f t="shared" si="29"/>
        <v>40.000000000003411</v>
      </c>
      <c r="BL57" s="2"/>
      <c r="BM57" s="10" t="str">
        <f t="shared" si="30"/>
        <v>Unloading no. 54 Bill No 1 ,Deduction For Oil Deduction= 0 ,Bardana=  ,F.M=  Brokerage/Rate Difference 0 ,Shortage = 0 ,Greenish=  ,Moisture= 0</v>
      </c>
      <c r="BN57" s="3"/>
      <c r="BO57" s="13" t="str">
        <f t="shared" si="17"/>
        <v xml:space="preserve"> Party Condition 39.82  ,F.M% 0.46 ,Greenish 5 ,Moisture 5.8 ,Shortage in KG= 0  ,Oil% 39.6</v>
      </c>
      <c r="BP57" s="4">
        <f t="shared" si="18"/>
        <v>6996.8901990811637</v>
      </c>
      <c r="BQ57" s="5" t="str">
        <f t="shared" si="31"/>
        <v xml:space="preserve"> 39.6</v>
      </c>
      <c r="BR57" s="6">
        <f t="shared" si="32"/>
        <v>7420.9441505406285</v>
      </c>
      <c r="BS57" s="5" t="s">
        <v>62</v>
      </c>
      <c r="BT57" s="5" t="s">
        <v>63</v>
      </c>
      <c r="BW57" s="92"/>
      <c r="BX57" s="27">
        <v>40</v>
      </c>
      <c r="BY57" s="27">
        <v>39.6</v>
      </c>
      <c r="BZ57" s="96"/>
    </row>
    <row r="58" spans="1:78" s="1" customFormat="1" ht="15" hidden="1" customHeight="1" x14ac:dyDescent="0.3">
      <c r="A58" s="128" t="s">
        <v>134</v>
      </c>
      <c r="B58" s="146">
        <v>46111</v>
      </c>
      <c r="C58" s="128">
        <v>55</v>
      </c>
      <c r="D58" s="128" t="s">
        <v>179</v>
      </c>
      <c r="E58" s="146">
        <v>46115</v>
      </c>
      <c r="F58" s="131" t="s">
        <v>101</v>
      </c>
      <c r="G58" s="131" t="s">
        <v>102</v>
      </c>
      <c r="H58" s="131" t="s">
        <v>97</v>
      </c>
      <c r="I58" s="132"/>
      <c r="J58" s="131" t="s">
        <v>113</v>
      </c>
      <c r="K58" s="133">
        <v>0</v>
      </c>
      <c r="L58" s="134">
        <v>46111</v>
      </c>
      <c r="M58" s="132"/>
      <c r="N58" s="131" t="s">
        <v>219</v>
      </c>
      <c r="O58" s="130">
        <v>46113</v>
      </c>
      <c r="P58" s="135">
        <v>0</v>
      </c>
      <c r="Q58" s="135">
        <v>402</v>
      </c>
      <c r="R58" s="135">
        <v>25</v>
      </c>
      <c r="S58" s="135">
        <v>0</v>
      </c>
      <c r="T58" s="135">
        <v>427</v>
      </c>
      <c r="U58" s="135">
        <v>427</v>
      </c>
      <c r="V58" s="135">
        <v>0</v>
      </c>
      <c r="W58" s="135">
        <v>256.2</v>
      </c>
      <c r="X58" s="135">
        <v>259.3</v>
      </c>
      <c r="Y58" s="135">
        <v>1809777.16</v>
      </c>
      <c r="Z58" s="136"/>
      <c r="AA58" s="135">
        <v>45244.428999999996</v>
      </c>
      <c r="AB58" s="135">
        <v>45244.428999999996</v>
      </c>
      <c r="AC58" s="135">
        <v>1900266.02</v>
      </c>
      <c r="AD58" s="137">
        <f t="shared" si="0"/>
        <v>1898365.75398</v>
      </c>
      <c r="AE58" s="138">
        <v>40.200000000000003</v>
      </c>
      <c r="AF58" s="135">
        <v>39.6</v>
      </c>
      <c r="AG58" s="138">
        <v>40.01</v>
      </c>
      <c r="AH58" s="139">
        <v>4.8999999999999998E-3</v>
      </c>
      <c r="AI58" s="139">
        <v>4.3799999999999999E-2</v>
      </c>
      <c r="AJ58" s="139">
        <v>5.8000000000000003E-2</v>
      </c>
      <c r="AK58" s="137">
        <f t="shared" si="33"/>
        <v>0</v>
      </c>
      <c r="AL58" s="137"/>
      <c r="AM58" s="137"/>
      <c r="AN58" s="137">
        <v>0</v>
      </c>
      <c r="AO58" s="140">
        <f t="shared" si="34"/>
        <v>1342.1454348164693</v>
      </c>
      <c r="AP58" s="137"/>
      <c r="AQ58" s="137">
        <v>0</v>
      </c>
      <c r="AR58" s="137">
        <f t="shared" si="19"/>
        <v>1342.1454348164693</v>
      </c>
      <c r="AS58" s="137">
        <f t="shared" si="20"/>
        <v>1409</v>
      </c>
      <c r="AT58" s="137">
        <f>BK58-51</f>
        <v>18.999999999998863</v>
      </c>
      <c r="AU58" s="141"/>
      <c r="AV58" s="141"/>
      <c r="AW58" s="137">
        <f t="shared" si="21"/>
        <v>25620</v>
      </c>
      <c r="AX58" s="137">
        <v>0</v>
      </c>
      <c r="AY58" s="137">
        <f t="shared" si="22"/>
        <v>25620</v>
      </c>
      <c r="AZ58" s="137">
        <f t="shared" si="23"/>
        <v>25930</v>
      </c>
      <c r="BA58" s="142">
        <f t="shared" si="24"/>
        <v>-310</v>
      </c>
      <c r="BB58" s="137"/>
      <c r="BC58" s="137">
        <v>0</v>
      </c>
      <c r="BD58" s="142">
        <v>0</v>
      </c>
      <c r="BE58" s="135">
        <v>260</v>
      </c>
      <c r="BF58" s="143">
        <f t="shared" si="25"/>
        <v>0.39</v>
      </c>
      <c r="BG58" s="143">
        <f t="shared" si="26"/>
        <v>259.61</v>
      </c>
      <c r="BH58" s="143">
        <f t="shared" si="27"/>
        <v>259.3</v>
      </c>
      <c r="BI58" s="144">
        <f t="shared" si="28"/>
        <v>69.999999999998863</v>
      </c>
      <c r="BJ58" s="144">
        <v>0</v>
      </c>
      <c r="BK58" s="137">
        <f t="shared" si="29"/>
        <v>69.999999999998863</v>
      </c>
      <c r="BL58" s="2"/>
      <c r="BM58" s="10" t="str">
        <f t="shared" si="30"/>
        <v>Unloading no. 55 Bill No L/PB/26-27/1 ,Deduction For Oil Deduction= 0 ,Bardana=  ,F.M=  Brokerage/Rate Difference 0 ,Shortage = 1342.14543481647 ,Greenish=  ,Moisture= 0</v>
      </c>
      <c r="BN58" s="3"/>
      <c r="BO58" s="13" t="str">
        <f t="shared" si="17"/>
        <v xml:space="preserve"> Party Condition 39.6  ,F.M% 0.49 ,Greenish 4.38 ,Moisture 5.8 ,Shortage in KG= 18.9999999999989  ,Oil% 40.01</v>
      </c>
      <c r="BP58" s="4">
        <f t="shared" si="18"/>
        <v>6974.2962381997049</v>
      </c>
      <c r="BQ58" s="5" t="str">
        <f t="shared" si="31"/>
        <v>40.01</v>
      </c>
      <c r="BR58" s="6">
        <f t="shared" si="32"/>
        <v>7321.1807549209607</v>
      </c>
      <c r="BS58" s="5" t="s">
        <v>62</v>
      </c>
      <c r="BT58" s="5" t="s">
        <v>63</v>
      </c>
      <c r="BW58" s="92"/>
      <c r="BX58" s="27">
        <v>40.200000000000003</v>
      </c>
      <c r="BY58" s="27">
        <v>40.01</v>
      </c>
      <c r="BZ58" s="96"/>
    </row>
    <row r="59" spans="1:78" s="1" customFormat="1" ht="15" hidden="1" customHeight="1" x14ac:dyDescent="0.3">
      <c r="A59" s="128" t="s">
        <v>136</v>
      </c>
      <c r="B59" s="146">
        <v>46111</v>
      </c>
      <c r="C59" s="128">
        <v>56</v>
      </c>
      <c r="D59" s="128" t="s">
        <v>180</v>
      </c>
      <c r="E59" s="146">
        <v>46115</v>
      </c>
      <c r="F59" s="131" t="s">
        <v>200</v>
      </c>
      <c r="G59" s="131" t="s">
        <v>201</v>
      </c>
      <c r="H59" s="131" t="s">
        <v>202</v>
      </c>
      <c r="I59" s="132"/>
      <c r="J59" s="131" t="s">
        <v>113</v>
      </c>
      <c r="K59" s="133">
        <v>0</v>
      </c>
      <c r="L59" s="134">
        <v>46111</v>
      </c>
      <c r="M59" s="132"/>
      <c r="N59" s="131">
        <v>1</v>
      </c>
      <c r="O59" s="130">
        <v>46113</v>
      </c>
      <c r="P59" s="135">
        <v>0</v>
      </c>
      <c r="Q59" s="135">
        <v>300</v>
      </c>
      <c r="R59" s="135">
        <v>325</v>
      </c>
      <c r="S59" s="135">
        <v>0</v>
      </c>
      <c r="T59" s="135">
        <v>625</v>
      </c>
      <c r="U59" s="135">
        <v>625</v>
      </c>
      <c r="V59" s="135">
        <v>0</v>
      </c>
      <c r="W59" s="135">
        <v>375</v>
      </c>
      <c r="X59" s="135">
        <v>380.3</v>
      </c>
      <c r="Y59" s="135">
        <v>2652961.25</v>
      </c>
      <c r="Z59" s="136"/>
      <c r="AA59" s="135">
        <v>66324.03125</v>
      </c>
      <c r="AB59" s="135">
        <v>66324.03125</v>
      </c>
      <c r="AC59" s="135">
        <v>2785609.31</v>
      </c>
      <c r="AD59" s="137">
        <f t="shared" si="0"/>
        <v>2782823.7006899999</v>
      </c>
      <c r="AE59" s="138">
        <v>39.78</v>
      </c>
      <c r="AF59" s="135">
        <v>39.75</v>
      </c>
      <c r="AG59" s="138">
        <v>39.619999999999997</v>
      </c>
      <c r="AH59" s="139">
        <v>4.7999999999999996E-3</v>
      </c>
      <c r="AI59" s="139">
        <v>4.2000000000000003E-2</v>
      </c>
      <c r="AJ59" s="139">
        <v>5.6000000000000001E-2</v>
      </c>
      <c r="AK59" s="137">
        <v>0</v>
      </c>
      <c r="AL59" s="137"/>
      <c r="AM59" s="137"/>
      <c r="AN59" s="137">
        <v>0</v>
      </c>
      <c r="AO59" s="140">
        <f t="shared" si="34"/>
        <v>0</v>
      </c>
      <c r="AP59" s="137"/>
      <c r="AQ59" s="137">
        <v>0</v>
      </c>
      <c r="AR59" s="137">
        <f t="shared" si="19"/>
        <v>0</v>
      </c>
      <c r="AS59" s="137">
        <f t="shared" si="20"/>
        <v>0</v>
      </c>
      <c r="AT59" s="137">
        <v>0</v>
      </c>
      <c r="AU59" s="141"/>
      <c r="AV59" s="141"/>
      <c r="AW59" s="137">
        <f t="shared" si="21"/>
        <v>37500</v>
      </c>
      <c r="AX59" s="137">
        <v>0</v>
      </c>
      <c r="AY59" s="137">
        <f t="shared" si="22"/>
        <v>37500</v>
      </c>
      <c r="AZ59" s="137">
        <f t="shared" si="23"/>
        <v>38030</v>
      </c>
      <c r="BA59" s="142">
        <f t="shared" si="24"/>
        <v>-530</v>
      </c>
      <c r="BB59" s="137"/>
      <c r="BC59" s="137">
        <v>0</v>
      </c>
      <c r="BD59" s="142">
        <v>0</v>
      </c>
      <c r="BE59" s="135">
        <v>380.55</v>
      </c>
      <c r="BF59" s="143">
        <f t="shared" si="25"/>
        <v>0.57082500000000003</v>
      </c>
      <c r="BG59" s="143">
        <f t="shared" si="26"/>
        <v>379.979175</v>
      </c>
      <c r="BH59" s="143">
        <f t="shared" si="27"/>
        <v>380.3</v>
      </c>
      <c r="BI59" s="144">
        <f t="shared" si="28"/>
        <v>25</v>
      </c>
      <c r="BJ59" s="144">
        <v>0</v>
      </c>
      <c r="BK59" s="137">
        <f t="shared" si="29"/>
        <v>25</v>
      </c>
      <c r="BL59" s="2"/>
      <c r="BM59" s="10" t="str">
        <f t="shared" si="30"/>
        <v>Unloading no. 56 Bill No 1 ,Deduction For Oil Deduction= 0 ,Bardana=  ,F.M=  Brokerage/Rate Difference 0 ,Shortage = 0 ,Greenish=  ,Moisture= 0</v>
      </c>
      <c r="BN59" s="3"/>
      <c r="BO59" s="13" t="str">
        <f t="shared" si="17"/>
        <v xml:space="preserve"> Party Condition 39.75  ,F.M% 0.48 ,Greenish 4.2 ,Moisture 5.6 ,Shortage in KG= 0  ,Oil% 39.62</v>
      </c>
      <c r="BP59" s="4">
        <f t="shared" si="18"/>
        <v>6975.9696292400731</v>
      </c>
      <c r="BQ59" s="5" t="str">
        <f t="shared" si="31"/>
        <v>39.62</v>
      </c>
      <c r="BR59" s="6">
        <f t="shared" si="32"/>
        <v>7395.0208083817033</v>
      </c>
      <c r="BS59" s="5" t="s">
        <v>62</v>
      </c>
      <c r="BT59" s="5" t="s">
        <v>63</v>
      </c>
      <c r="BW59" s="92"/>
      <c r="BX59" s="27">
        <v>39.78</v>
      </c>
      <c r="BY59" s="27">
        <v>39.619999999999997</v>
      </c>
      <c r="BZ59" s="96"/>
    </row>
    <row r="60" spans="1:78" s="1" customFormat="1" ht="15" hidden="1" customHeight="1" x14ac:dyDescent="0.3">
      <c r="A60" s="128" t="s">
        <v>136</v>
      </c>
      <c r="B60" s="146">
        <v>46111</v>
      </c>
      <c r="C60" s="128">
        <v>57</v>
      </c>
      <c r="D60" s="128" t="s">
        <v>181</v>
      </c>
      <c r="E60" s="146">
        <v>46115</v>
      </c>
      <c r="F60" s="131" t="s">
        <v>200</v>
      </c>
      <c r="G60" s="131" t="s">
        <v>201</v>
      </c>
      <c r="H60" s="131" t="s">
        <v>202</v>
      </c>
      <c r="I60" s="132"/>
      <c r="J60" s="131" t="s">
        <v>113</v>
      </c>
      <c r="K60" s="133">
        <v>0</v>
      </c>
      <c r="L60" s="134">
        <v>46111</v>
      </c>
      <c r="M60" s="132"/>
      <c r="N60" s="131">
        <v>6</v>
      </c>
      <c r="O60" s="130">
        <v>46113</v>
      </c>
      <c r="P60" s="135">
        <v>0</v>
      </c>
      <c r="Q60" s="135">
        <v>252</v>
      </c>
      <c r="R60" s="135">
        <v>300</v>
      </c>
      <c r="S60" s="135">
        <v>0</v>
      </c>
      <c r="T60" s="135">
        <v>552</v>
      </c>
      <c r="U60" s="135">
        <v>552</v>
      </c>
      <c r="V60" s="135">
        <v>0</v>
      </c>
      <c r="W60" s="135">
        <v>331.2</v>
      </c>
      <c r="X60" s="135">
        <v>335.8</v>
      </c>
      <c r="Y60" s="135">
        <v>2343095.38</v>
      </c>
      <c r="Z60" s="136"/>
      <c r="AA60" s="135">
        <v>58577.3845</v>
      </c>
      <c r="AB60" s="135">
        <v>58577.3845</v>
      </c>
      <c r="AC60" s="135">
        <v>2460250.15</v>
      </c>
      <c r="AD60" s="137">
        <f t="shared" si="0"/>
        <v>2457789.8998499997</v>
      </c>
      <c r="AE60" s="138">
        <v>40.14</v>
      </c>
      <c r="AF60" s="135">
        <v>39.75</v>
      </c>
      <c r="AG60" s="138">
        <v>40.04</v>
      </c>
      <c r="AH60" s="139">
        <v>4.7000000000000002E-3</v>
      </c>
      <c r="AI60" s="139">
        <v>4.8099999999999997E-2</v>
      </c>
      <c r="AJ60" s="139">
        <v>5.6000000000000001E-2</v>
      </c>
      <c r="AK60" s="137">
        <f t="shared" si="33"/>
        <v>0</v>
      </c>
      <c r="AL60" s="137"/>
      <c r="AM60" s="137"/>
      <c r="AN60" s="137">
        <v>0</v>
      </c>
      <c r="AO60" s="140">
        <f t="shared" si="34"/>
        <v>0</v>
      </c>
      <c r="AP60" s="137"/>
      <c r="AQ60" s="137">
        <v>0</v>
      </c>
      <c r="AR60" s="137">
        <f t="shared" si="19"/>
        <v>0</v>
      </c>
      <c r="AS60" s="137">
        <f t="shared" si="20"/>
        <v>0</v>
      </c>
      <c r="AT60" s="137">
        <v>0</v>
      </c>
      <c r="AU60" s="141"/>
      <c r="AV60" s="141"/>
      <c r="AW60" s="137">
        <f t="shared" si="21"/>
        <v>33120</v>
      </c>
      <c r="AX60" s="137">
        <v>0</v>
      </c>
      <c r="AY60" s="137">
        <f t="shared" si="22"/>
        <v>33120</v>
      </c>
      <c r="AZ60" s="137">
        <f t="shared" si="23"/>
        <v>33580</v>
      </c>
      <c r="BA60" s="142">
        <f t="shared" si="24"/>
        <v>-460</v>
      </c>
      <c r="BB60" s="137"/>
      <c r="BC60" s="137">
        <v>0</v>
      </c>
      <c r="BD60" s="142">
        <v>0</v>
      </c>
      <c r="BE60" s="135">
        <v>336.25</v>
      </c>
      <c r="BF60" s="143">
        <f t="shared" si="25"/>
        <v>0.50437500000000002</v>
      </c>
      <c r="BG60" s="143">
        <f t="shared" si="26"/>
        <v>335.74562500000002</v>
      </c>
      <c r="BH60" s="143">
        <f t="shared" si="27"/>
        <v>335.8</v>
      </c>
      <c r="BI60" s="144">
        <f t="shared" si="28"/>
        <v>44.999999999998863</v>
      </c>
      <c r="BJ60" s="144">
        <v>0</v>
      </c>
      <c r="BK60" s="137">
        <f t="shared" si="29"/>
        <v>44.999999999998863</v>
      </c>
      <c r="BL60" s="2"/>
      <c r="BM60" s="10" t="str">
        <f t="shared" si="30"/>
        <v>Unloading no. 57 Bill No 6 ,Deduction For Oil Deduction= 0 ,Bardana=  ,F.M=  Brokerage/Rate Difference 0 ,Shortage = 0 ,Greenish=  ,Moisture= 0</v>
      </c>
      <c r="BN60" s="3"/>
      <c r="BO60" s="13" t="str">
        <f t="shared" si="17"/>
        <v xml:space="preserve"> Party Condition 39.75  ,F.M% 0.47 ,Greenish 4.81 ,Moisture 5.6 ,Shortage in KG= 0  ,Oil% 40.04</v>
      </c>
      <c r="BP60" s="4">
        <f t="shared" si="18"/>
        <v>6977.6515187611667</v>
      </c>
      <c r="BQ60" s="5" t="str">
        <f t="shared" si="31"/>
        <v>40.04</v>
      </c>
      <c r="BR60" s="6">
        <f t="shared" si="32"/>
        <v>7319.2148798194057</v>
      </c>
      <c r="BS60" s="5" t="s">
        <v>62</v>
      </c>
      <c r="BT60" s="5" t="s">
        <v>63</v>
      </c>
      <c r="BW60" s="92"/>
      <c r="BX60" s="27">
        <v>40.14</v>
      </c>
      <c r="BY60" s="27">
        <v>40.04</v>
      </c>
      <c r="BZ60" s="96"/>
    </row>
    <row r="61" spans="1:78" s="1" customFormat="1" ht="15" hidden="1" customHeight="1" x14ac:dyDescent="0.3">
      <c r="A61" s="128" t="s">
        <v>137</v>
      </c>
      <c r="B61" s="129">
        <v>46108</v>
      </c>
      <c r="C61" s="128">
        <v>58</v>
      </c>
      <c r="D61" s="128" t="s">
        <v>182</v>
      </c>
      <c r="E61" s="146">
        <v>46115</v>
      </c>
      <c r="F61" s="131" t="s">
        <v>98</v>
      </c>
      <c r="G61" s="131" t="s">
        <v>99</v>
      </c>
      <c r="H61" s="131" t="s">
        <v>199</v>
      </c>
      <c r="I61" s="132"/>
      <c r="J61" s="131" t="s">
        <v>113</v>
      </c>
      <c r="K61" s="133">
        <v>0</v>
      </c>
      <c r="L61" s="134">
        <v>46108</v>
      </c>
      <c r="M61" s="132"/>
      <c r="N61" s="131">
        <v>1</v>
      </c>
      <c r="O61" s="130">
        <v>46113</v>
      </c>
      <c r="P61" s="135">
        <v>0</v>
      </c>
      <c r="Q61" s="135">
        <v>265</v>
      </c>
      <c r="R61" s="135">
        <v>170</v>
      </c>
      <c r="S61" s="135">
        <v>0</v>
      </c>
      <c r="T61" s="135">
        <v>435</v>
      </c>
      <c r="U61" s="135">
        <v>435</v>
      </c>
      <c r="V61" s="135">
        <v>0</v>
      </c>
      <c r="W61" s="135">
        <v>261</v>
      </c>
      <c r="X61" s="135">
        <v>264.39999999999998</v>
      </c>
      <c r="Y61" s="135">
        <v>1780293.18</v>
      </c>
      <c r="Z61" s="136"/>
      <c r="AA61" s="135">
        <v>44507.3295</v>
      </c>
      <c r="AB61" s="135">
        <v>44507.3295</v>
      </c>
      <c r="AC61" s="135">
        <v>1869307.84</v>
      </c>
      <c r="AD61" s="137">
        <f t="shared" si="0"/>
        <v>1867438.5321600002</v>
      </c>
      <c r="AE61" s="138">
        <v>39.56</v>
      </c>
      <c r="AF61" s="135">
        <v>39.4</v>
      </c>
      <c r="AG61" s="138">
        <v>39.380000000000003</v>
      </c>
      <c r="AH61" s="139">
        <v>4.5999999999999999E-3</v>
      </c>
      <c r="AI61" s="139">
        <v>4.65E-2</v>
      </c>
      <c r="AJ61" s="139">
        <v>5.8000000000000003E-2</v>
      </c>
      <c r="AK61" s="137">
        <v>0</v>
      </c>
      <c r="AL61" s="137">
        <f>T61*0.5</f>
        <v>217.5</v>
      </c>
      <c r="AM61" s="137"/>
      <c r="AN61" s="136"/>
      <c r="AO61" s="140">
        <f t="shared" si="34"/>
        <v>0</v>
      </c>
      <c r="AP61" s="137"/>
      <c r="AQ61" s="137">
        <v>0</v>
      </c>
      <c r="AR61" s="137">
        <f t="shared" si="19"/>
        <v>217.5</v>
      </c>
      <c r="AS61" s="137">
        <f t="shared" si="20"/>
        <v>228</v>
      </c>
      <c r="AT61" s="137">
        <v>0</v>
      </c>
      <c r="AU61" s="141"/>
      <c r="AV61" s="141"/>
      <c r="AW61" s="137">
        <f t="shared" si="21"/>
        <v>26100</v>
      </c>
      <c r="AX61" s="137">
        <v>0</v>
      </c>
      <c r="AY61" s="137">
        <f t="shared" si="22"/>
        <v>26100</v>
      </c>
      <c r="AZ61" s="137">
        <f t="shared" si="23"/>
        <v>26439.999999999996</v>
      </c>
      <c r="BA61" s="142">
        <f t="shared" si="24"/>
        <v>-339.99999999999636</v>
      </c>
      <c r="BB61" s="137"/>
      <c r="BC61" s="137">
        <v>0</v>
      </c>
      <c r="BD61" s="142">
        <v>0</v>
      </c>
      <c r="BE61" s="135">
        <v>264.35000000000002</v>
      </c>
      <c r="BF61" s="143">
        <f t="shared" si="25"/>
        <v>0.39652500000000002</v>
      </c>
      <c r="BG61" s="143">
        <f t="shared" si="26"/>
        <v>263.95347500000003</v>
      </c>
      <c r="BH61" s="143">
        <f t="shared" si="27"/>
        <v>264.39999999999998</v>
      </c>
      <c r="BI61" s="144">
        <f t="shared" si="28"/>
        <v>-4.9999999999954525</v>
      </c>
      <c r="BJ61" s="144">
        <v>0</v>
      </c>
      <c r="BK61" s="137">
        <f t="shared" si="29"/>
        <v>-4.9999999999954525</v>
      </c>
      <c r="BL61" s="2"/>
      <c r="BM61" s="10" t="str">
        <f>+$C$1&amp;" "&amp;C61 &amp;" "&amp;$N$1&amp;" "&amp;N61&amp;" "&amp;$BM$1&amp;" "&amp;$AK$1&amp;" "&amp;AK61&amp;" "&amp;$AL$1&amp;" "&amp;AL61&amp;" "&amp;$AM$1&amp;" "&amp;AM61&amp;" "&amp;$AN$1&amp;" "&amp;AN62&amp;" "&amp;$AO$1&amp;" "&amp;AO61&amp;" "&amp;$AP$1&amp;" "&amp;AP61&amp;" "&amp;$AQ$1&amp;" "&amp;AQ61</f>
        <v>Unloading no. 58 Bill No 1 ,Deduction For Oil Deduction= 0 ,Bardana= 217.5 ,F.M=  Brokerage/Rate Difference 357.57 ,Shortage = 0 ,Greenish=  ,Moisture= 0</v>
      </c>
      <c r="BN61" s="3"/>
      <c r="BO61" s="13" t="str">
        <f t="shared" si="17"/>
        <v xml:space="preserve"> Party Condition 39.4  ,F.M% 0.46 ,Greenish 4.65 ,Moisture 5.8 ,Shortage in KG= 0  ,Oil% 39.38</v>
      </c>
      <c r="BP61" s="4">
        <f t="shared" si="18"/>
        <v>6732.5101361573379</v>
      </c>
      <c r="BQ61" s="5" t="str">
        <f t="shared" si="31"/>
        <v>39.38</v>
      </c>
      <c r="BR61" s="6">
        <f t="shared" si="32"/>
        <v>7180.4323443018839</v>
      </c>
      <c r="BS61" s="5" t="s">
        <v>62</v>
      </c>
      <c r="BT61" s="5" t="s">
        <v>63</v>
      </c>
      <c r="BW61" s="92"/>
      <c r="BX61" s="27">
        <v>39.56</v>
      </c>
      <c r="BY61" s="27">
        <v>39.380000000000003</v>
      </c>
      <c r="BZ61" s="96"/>
    </row>
    <row r="62" spans="1:78" s="1" customFormat="1" ht="15" hidden="1" customHeight="1" x14ac:dyDescent="0.3">
      <c r="A62" s="128" t="s">
        <v>138</v>
      </c>
      <c r="B62" s="129">
        <v>46113</v>
      </c>
      <c r="C62" s="128">
        <v>59</v>
      </c>
      <c r="D62" s="128" t="s">
        <v>183</v>
      </c>
      <c r="E62" s="146">
        <v>46115</v>
      </c>
      <c r="F62" s="131" t="s">
        <v>203</v>
      </c>
      <c r="G62" s="131" t="s">
        <v>204</v>
      </c>
      <c r="H62" s="131" t="s">
        <v>205</v>
      </c>
      <c r="I62" s="132"/>
      <c r="J62" s="131" t="s">
        <v>113</v>
      </c>
      <c r="K62" s="133">
        <v>0</v>
      </c>
      <c r="L62" s="134">
        <v>46113</v>
      </c>
      <c r="M62" s="132"/>
      <c r="N62" s="131">
        <v>27</v>
      </c>
      <c r="O62" s="130">
        <v>46112</v>
      </c>
      <c r="P62" s="135">
        <v>0</v>
      </c>
      <c r="Q62" s="135">
        <v>473</v>
      </c>
      <c r="R62" s="135">
        <v>0</v>
      </c>
      <c r="S62" s="135">
        <v>0</v>
      </c>
      <c r="T62" s="135">
        <v>473</v>
      </c>
      <c r="U62" s="135">
        <v>473</v>
      </c>
      <c r="V62" s="135">
        <v>0</v>
      </c>
      <c r="W62" s="135">
        <v>283.8</v>
      </c>
      <c r="X62" s="135">
        <v>288.3</v>
      </c>
      <c r="Y62" s="135">
        <v>1991203.7139999999</v>
      </c>
      <c r="Z62" s="136"/>
      <c r="AA62" s="135">
        <v>49780.092850000001</v>
      </c>
      <c r="AB62" s="135">
        <v>49780.092850000001</v>
      </c>
      <c r="AC62" s="135">
        <v>2090763.9</v>
      </c>
      <c r="AD62" s="137">
        <f t="shared" si="0"/>
        <v>2088673.1361</v>
      </c>
      <c r="AE62" s="138">
        <v>39.590000000000003</v>
      </c>
      <c r="AF62" s="135">
        <v>39.35</v>
      </c>
      <c r="AG62" s="138">
        <v>39.74</v>
      </c>
      <c r="AH62" s="139">
        <v>4.4999999999999997E-3</v>
      </c>
      <c r="AI62" s="139">
        <v>4.6399999999999997E-2</v>
      </c>
      <c r="AJ62" s="139">
        <v>5.7000000000000002E-2</v>
      </c>
      <c r="AK62" s="137">
        <f t="shared" si="33"/>
        <v>0</v>
      </c>
      <c r="AL62" s="137"/>
      <c r="AM62" s="137"/>
      <c r="AN62" s="137">
        <f>W61*1.37</f>
        <v>357.57000000000005</v>
      </c>
      <c r="AO62" s="140">
        <f t="shared" si="34"/>
        <v>0</v>
      </c>
      <c r="AP62" s="137"/>
      <c r="AQ62" s="137">
        <v>0</v>
      </c>
      <c r="AR62" s="137">
        <f t="shared" si="19"/>
        <v>357.57000000000005</v>
      </c>
      <c r="AS62" s="137">
        <f t="shared" si="20"/>
        <v>375</v>
      </c>
      <c r="AT62" s="137">
        <v>0</v>
      </c>
      <c r="AU62" s="141"/>
      <c r="AV62" s="141"/>
      <c r="AW62" s="137">
        <f t="shared" si="21"/>
        <v>28380</v>
      </c>
      <c r="AX62" s="137">
        <v>0</v>
      </c>
      <c r="AY62" s="137">
        <f t="shared" si="22"/>
        <v>28380</v>
      </c>
      <c r="AZ62" s="137">
        <f t="shared" si="23"/>
        <v>28830</v>
      </c>
      <c r="BA62" s="142">
        <f t="shared" si="24"/>
        <v>-450</v>
      </c>
      <c r="BB62" s="137"/>
      <c r="BC62" s="137">
        <v>0</v>
      </c>
      <c r="BD62" s="142">
        <v>0</v>
      </c>
      <c r="BE62" s="135">
        <v>288.10000000000002</v>
      </c>
      <c r="BF62" s="143">
        <f t="shared" si="25"/>
        <v>0.43215000000000003</v>
      </c>
      <c r="BG62" s="143">
        <f t="shared" si="26"/>
        <v>287.66785000000004</v>
      </c>
      <c r="BH62" s="143">
        <f t="shared" si="27"/>
        <v>288.3</v>
      </c>
      <c r="BI62" s="144">
        <f t="shared" si="28"/>
        <v>-19.999999999998863</v>
      </c>
      <c r="BJ62" s="144">
        <v>0</v>
      </c>
      <c r="BK62" s="137">
        <f t="shared" si="29"/>
        <v>-19.999999999998863</v>
      </c>
      <c r="BL62" s="2"/>
      <c r="BM62" s="10" t="str">
        <f>+$C$1&amp;" "&amp;C62 &amp;" "&amp;$N$1&amp;" "&amp;N62&amp;" "&amp;$BM$1&amp;" "&amp;$AK$1&amp;" "&amp;AK62&amp;" "&amp;$AL$1&amp;" "&amp;AL62&amp;" "&amp;$AM$1&amp;" "&amp;AM62&amp;" "&amp;$AN$1&amp;" "&amp;AN63&amp;" "&amp;$AO$1&amp;" "&amp;AO62&amp;" "&amp;$AP$1&amp;" "&amp;AP62&amp;" "&amp;$AQ$1&amp;" "&amp;AQ62</f>
        <v>Unloading no. 59 Bill No 27 ,Deduction For Oil Deduction= 0 ,Bardana=  ,F.M=  Brokerage/Rate Difference 0 ,Shortage = 0 ,Greenish=  ,Moisture= 0</v>
      </c>
      <c r="BN62" s="3"/>
      <c r="BO62" s="13" t="str">
        <f t="shared" si="17"/>
        <v xml:space="preserve"> Party Condition 39.35  ,F.M% 0.45 ,Greenish 4.64 ,Moisture 5.7 ,Shortage in KG= 0  ,Oil% 39.59</v>
      </c>
      <c r="BP62" s="4">
        <f t="shared" si="18"/>
        <v>6905.4670274020109</v>
      </c>
      <c r="BQ62" s="5" t="str">
        <f t="shared" si="31"/>
        <v>39.59</v>
      </c>
      <c r="BR62" s="6">
        <f t="shared" si="32"/>
        <v>7325.8301376833651</v>
      </c>
      <c r="BS62" s="5" t="s">
        <v>62</v>
      </c>
      <c r="BT62" s="5" t="s">
        <v>63</v>
      </c>
      <c r="BW62" s="92"/>
      <c r="BX62" s="27">
        <v>39.590000000000003</v>
      </c>
      <c r="BY62" s="27">
        <v>39.74</v>
      </c>
      <c r="BZ62" s="96"/>
    </row>
    <row r="63" spans="1:78" s="1" customFormat="1" ht="15" hidden="1" customHeight="1" x14ac:dyDescent="0.3">
      <c r="A63" s="128" t="s">
        <v>139</v>
      </c>
      <c r="B63" s="129">
        <v>46113</v>
      </c>
      <c r="C63" s="128">
        <v>60</v>
      </c>
      <c r="D63" s="128" t="s">
        <v>184</v>
      </c>
      <c r="E63" s="146">
        <v>46115</v>
      </c>
      <c r="F63" s="131" t="s">
        <v>200</v>
      </c>
      <c r="G63" s="131" t="s">
        <v>201</v>
      </c>
      <c r="H63" s="131" t="s">
        <v>202</v>
      </c>
      <c r="I63" s="132"/>
      <c r="J63" s="131" t="s">
        <v>113</v>
      </c>
      <c r="K63" s="133">
        <v>0</v>
      </c>
      <c r="L63" s="134">
        <v>46113</v>
      </c>
      <c r="M63" s="132"/>
      <c r="N63" s="131">
        <v>4</v>
      </c>
      <c r="O63" s="130">
        <v>46113</v>
      </c>
      <c r="P63" s="135">
        <v>0</v>
      </c>
      <c r="Q63" s="135">
        <v>380</v>
      </c>
      <c r="R63" s="135">
        <v>102</v>
      </c>
      <c r="S63" s="135">
        <v>0</v>
      </c>
      <c r="T63" s="135">
        <v>482</v>
      </c>
      <c r="U63" s="135">
        <v>482</v>
      </c>
      <c r="V63" s="135">
        <v>0</v>
      </c>
      <c r="W63" s="135">
        <v>289.2</v>
      </c>
      <c r="X63" s="135">
        <v>293</v>
      </c>
      <c r="Y63" s="135">
        <v>2053529.19</v>
      </c>
      <c r="Z63" s="136"/>
      <c r="AA63" s="135">
        <v>51338.229749999999</v>
      </c>
      <c r="AB63" s="135">
        <v>51338.229749999999</v>
      </c>
      <c r="AC63" s="135">
        <v>2156205.65</v>
      </c>
      <c r="AD63" s="137">
        <f t="shared" si="0"/>
        <v>2154049.44435</v>
      </c>
      <c r="AE63" s="138">
        <v>40</v>
      </c>
      <c r="AF63" s="135">
        <v>39.6</v>
      </c>
      <c r="AG63" s="138">
        <v>39.85</v>
      </c>
      <c r="AH63" s="139">
        <v>4.1000000000000003E-3</v>
      </c>
      <c r="AI63" s="139">
        <v>0.04</v>
      </c>
      <c r="AJ63" s="139">
        <v>5.5E-2</v>
      </c>
      <c r="AK63" s="137">
        <f t="shared" si="33"/>
        <v>0</v>
      </c>
      <c r="AL63" s="137"/>
      <c r="AM63" s="137"/>
      <c r="AN63" s="137">
        <v>0</v>
      </c>
      <c r="AO63" s="140">
        <f t="shared" si="34"/>
        <v>0</v>
      </c>
      <c r="AP63" s="137"/>
      <c r="AQ63" s="137">
        <v>0</v>
      </c>
      <c r="AR63" s="137">
        <f t="shared" si="19"/>
        <v>0</v>
      </c>
      <c r="AS63" s="137">
        <f t="shared" si="20"/>
        <v>0</v>
      </c>
      <c r="AT63" s="137">
        <v>0</v>
      </c>
      <c r="AU63" s="141"/>
      <c r="AV63" s="141"/>
      <c r="AW63" s="137">
        <f t="shared" si="21"/>
        <v>28920</v>
      </c>
      <c r="AX63" s="137">
        <v>0</v>
      </c>
      <c r="AY63" s="137">
        <f t="shared" si="22"/>
        <v>28920</v>
      </c>
      <c r="AZ63" s="137">
        <f t="shared" si="23"/>
        <v>29300</v>
      </c>
      <c r="BA63" s="142">
        <f t="shared" si="24"/>
        <v>-380</v>
      </c>
      <c r="BB63" s="137"/>
      <c r="BC63" s="137">
        <v>0</v>
      </c>
      <c r="BD63" s="142">
        <v>0</v>
      </c>
      <c r="BE63" s="135">
        <v>293.5</v>
      </c>
      <c r="BF63" s="143">
        <f t="shared" si="25"/>
        <v>0.44024999999999997</v>
      </c>
      <c r="BG63" s="143">
        <f t="shared" si="26"/>
        <v>293.05975000000001</v>
      </c>
      <c r="BH63" s="143">
        <f t="shared" si="27"/>
        <v>293</v>
      </c>
      <c r="BI63" s="144">
        <f t="shared" si="28"/>
        <v>50</v>
      </c>
      <c r="BJ63" s="144">
        <v>0</v>
      </c>
      <c r="BK63" s="137">
        <f t="shared" si="29"/>
        <v>50</v>
      </c>
      <c r="BL63" s="2"/>
      <c r="BM63" s="10" t="str">
        <f t="shared" si="30"/>
        <v>Unloading no. 60 Bill No 4 ,Deduction For Oil Deduction= 0 ,Bardana=  ,F.M=  Brokerage/Rate Difference 0 ,Shortage = 0 ,Greenish=  ,Moisture= 0</v>
      </c>
      <c r="BN63" s="3"/>
      <c r="BO63" s="13" t="str">
        <f t="shared" si="17"/>
        <v xml:space="preserve"> Party Condition 39.6  ,F.M% 0.41 ,Greenish 4 ,Moisture 5.5 ,Shortage in KG= 0  ,Oil% 39.85</v>
      </c>
      <c r="BP63" s="4">
        <f t="shared" si="18"/>
        <v>7008.6320477815698</v>
      </c>
      <c r="BQ63" s="5" t="str">
        <f t="shared" si="31"/>
        <v>39.85</v>
      </c>
      <c r="BR63" s="6">
        <f t="shared" si="32"/>
        <v>7386.7640152277518</v>
      </c>
      <c r="BS63" s="5" t="s">
        <v>62</v>
      </c>
      <c r="BT63" s="5" t="s">
        <v>63</v>
      </c>
      <c r="BW63" s="92"/>
      <c r="BX63" s="27">
        <v>40</v>
      </c>
      <c r="BY63" s="27">
        <v>39.85</v>
      </c>
      <c r="BZ63" s="96"/>
    </row>
    <row r="64" spans="1:78" s="1" customFormat="1" ht="15" hidden="1" customHeight="1" x14ac:dyDescent="0.3">
      <c r="A64" s="128" t="s">
        <v>139</v>
      </c>
      <c r="B64" s="129">
        <v>46113</v>
      </c>
      <c r="C64" s="128">
        <v>61</v>
      </c>
      <c r="D64" s="128" t="s">
        <v>185</v>
      </c>
      <c r="E64" s="146">
        <v>46115</v>
      </c>
      <c r="F64" s="131" t="s">
        <v>200</v>
      </c>
      <c r="G64" s="131" t="s">
        <v>201</v>
      </c>
      <c r="H64" s="131" t="s">
        <v>202</v>
      </c>
      <c r="I64" s="132"/>
      <c r="J64" s="131" t="s">
        <v>113</v>
      </c>
      <c r="K64" s="133">
        <v>0</v>
      </c>
      <c r="L64" s="134">
        <v>46113</v>
      </c>
      <c r="M64" s="132"/>
      <c r="N64" s="131">
        <v>7</v>
      </c>
      <c r="O64" s="130">
        <v>46113</v>
      </c>
      <c r="P64" s="135">
        <v>0</v>
      </c>
      <c r="Q64" s="135">
        <v>476</v>
      </c>
      <c r="R64" s="135">
        <v>0</v>
      </c>
      <c r="S64" s="135">
        <v>0</v>
      </c>
      <c r="T64" s="135">
        <v>476</v>
      </c>
      <c r="U64" s="135">
        <v>476</v>
      </c>
      <c r="V64" s="135">
        <v>0</v>
      </c>
      <c r="W64" s="135">
        <v>285.60000000000002</v>
      </c>
      <c r="X64" s="135">
        <v>290</v>
      </c>
      <c r="Y64" s="135">
        <v>2027966.58</v>
      </c>
      <c r="Z64" s="136"/>
      <c r="AA64" s="135">
        <v>50699.164499999999</v>
      </c>
      <c r="AB64" s="135">
        <v>50699.164499999999</v>
      </c>
      <c r="AC64" s="135">
        <v>2129364.91</v>
      </c>
      <c r="AD64" s="137">
        <f t="shared" si="0"/>
        <v>2127235.5450900001</v>
      </c>
      <c r="AE64" s="138">
        <v>40.299999999999997</v>
      </c>
      <c r="AF64" s="135">
        <v>39.6</v>
      </c>
      <c r="AG64" s="138">
        <v>40.19</v>
      </c>
      <c r="AH64" s="139">
        <v>3.8E-3</v>
      </c>
      <c r="AI64" s="139">
        <v>4.2500000000000003E-2</v>
      </c>
      <c r="AJ64" s="139">
        <v>5.5E-2</v>
      </c>
      <c r="AK64" s="137">
        <f t="shared" si="33"/>
        <v>0</v>
      </c>
      <c r="AL64" s="137"/>
      <c r="AM64" s="137"/>
      <c r="AN64" s="137">
        <v>0</v>
      </c>
      <c r="AO64" s="140">
        <f t="shared" si="34"/>
        <v>0</v>
      </c>
      <c r="AP64" s="137"/>
      <c r="AQ64" s="137">
        <v>0</v>
      </c>
      <c r="AR64" s="137">
        <f t="shared" si="19"/>
        <v>0</v>
      </c>
      <c r="AS64" s="137">
        <f t="shared" si="20"/>
        <v>0</v>
      </c>
      <c r="AT64" s="137">
        <v>0</v>
      </c>
      <c r="AU64" s="141"/>
      <c r="AV64" s="141"/>
      <c r="AW64" s="137">
        <f t="shared" si="21"/>
        <v>28560.000000000004</v>
      </c>
      <c r="AX64" s="137">
        <v>0</v>
      </c>
      <c r="AY64" s="137">
        <f t="shared" si="22"/>
        <v>28560.000000000004</v>
      </c>
      <c r="AZ64" s="137">
        <f t="shared" si="23"/>
        <v>29000</v>
      </c>
      <c r="BA64" s="142">
        <f t="shared" si="24"/>
        <v>-439.99999999999636</v>
      </c>
      <c r="BB64" s="137"/>
      <c r="BC64" s="137">
        <v>0</v>
      </c>
      <c r="BD64" s="142">
        <v>0</v>
      </c>
      <c r="BE64" s="135">
        <v>290.05</v>
      </c>
      <c r="BF64" s="143">
        <f t="shared" si="25"/>
        <v>0.43507499999999999</v>
      </c>
      <c r="BG64" s="143">
        <f t="shared" si="26"/>
        <v>289.61492500000003</v>
      </c>
      <c r="BH64" s="143">
        <f t="shared" si="27"/>
        <v>290</v>
      </c>
      <c r="BI64" s="144">
        <f t="shared" si="28"/>
        <v>5.0000000000011369</v>
      </c>
      <c r="BJ64" s="144">
        <v>0</v>
      </c>
      <c r="BK64" s="137">
        <f t="shared" si="29"/>
        <v>5.0000000000011369</v>
      </c>
      <c r="BL64" s="2"/>
      <c r="BM64" s="10" t="str">
        <f t="shared" si="30"/>
        <v>Unloading no. 61 Bill No 7 ,Deduction For Oil Deduction= 0 ,Bardana=  ,F.M=  Brokerage/Rate Difference 0 ,Shortage = 0 ,Greenish=  ,Moisture= 0</v>
      </c>
      <c r="BN64" s="3"/>
      <c r="BO64" s="13" t="str">
        <f t="shared" si="17"/>
        <v xml:space="preserve"> Party Condition 39.6  ,F.M% 0.38 ,Greenish 4.25 ,Moisture 5.5 ,Shortage in KG= 0  ,Oil% 40.19</v>
      </c>
      <c r="BP64" s="4">
        <f t="shared" si="18"/>
        <v>6992.9882068965517</v>
      </c>
      <c r="BQ64" s="5" t="str">
        <f t="shared" si="31"/>
        <v>40.19</v>
      </c>
      <c r="BR64" s="6">
        <f t="shared" si="32"/>
        <v>7307.9249736167003</v>
      </c>
      <c r="BS64" s="5" t="s">
        <v>62</v>
      </c>
      <c r="BT64" s="5" t="s">
        <v>63</v>
      </c>
      <c r="BW64" s="92"/>
      <c r="BX64" s="27">
        <v>40.299999999999997</v>
      </c>
      <c r="BY64" s="27">
        <v>40.19</v>
      </c>
      <c r="BZ64" s="96"/>
    </row>
    <row r="65" spans="1:78" s="1" customFormat="1" ht="15" hidden="1" customHeight="1" x14ac:dyDescent="0.3">
      <c r="A65" s="128" t="s">
        <v>140</v>
      </c>
      <c r="B65" s="129">
        <v>46108</v>
      </c>
      <c r="C65" s="128">
        <v>62</v>
      </c>
      <c r="D65" s="128" t="s">
        <v>186</v>
      </c>
      <c r="E65" s="146">
        <v>46115</v>
      </c>
      <c r="F65" s="131" t="s">
        <v>98</v>
      </c>
      <c r="G65" s="131" t="s">
        <v>99</v>
      </c>
      <c r="H65" s="131" t="s">
        <v>199</v>
      </c>
      <c r="I65" s="132"/>
      <c r="J65" s="131" t="s">
        <v>113</v>
      </c>
      <c r="K65" s="133">
        <v>0</v>
      </c>
      <c r="L65" s="134">
        <v>46108</v>
      </c>
      <c r="M65" s="132"/>
      <c r="N65" s="131">
        <v>345</v>
      </c>
      <c r="O65" s="130">
        <v>46112</v>
      </c>
      <c r="P65" s="135">
        <v>0</v>
      </c>
      <c r="Q65" s="135">
        <v>258</v>
      </c>
      <c r="R65" s="135">
        <v>200</v>
      </c>
      <c r="S65" s="135">
        <v>0</v>
      </c>
      <c r="T65" s="135">
        <v>458</v>
      </c>
      <c r="U65" s="135">
        <v>458</v>
      </c>
      <c r="V65" s="135">
        <v>0</v>
      </c>
      <c r="W65" s="135">
        <v>274.8</v>
      </c>
      <c r="X65" s="135">
        <v>277.3</v>
      </c>
      <c r="Y65" s="135">
        <v>1904030.58</v>
      </c>
      <c r="Z65" s="136"/>
      <c r="AA65" s="135">
        <v>47600.764499999997</v>
      </c>
      <c r="AB65" s="135">
        <v>47600.764499999997</v>
      </c>
      <c r="AC65" s="135">
        <v>1999232.11</v>
      </c>
      <c r="AD65" s="137">
        <f t="shared" si="0"/>
        <v>1997232.8778900001</v>
      </c>
      <c r="AE65" s="138">
        <v>39.75</v>
      </c>
      <c r="AF65" s="135">
        <v>39.76</v>
      </c>
      <c r="AG65" s="138">
        <v>39.72</v>
      </c>
      <c r="AH65" s="139">
        <v>4.8999999999999998E-3</v>
      </c>
      <c r="AI65" s="139">
        <v>0.1081</v>
      </c>
      <c r="AJ65" s="139">
        <v>5.8000000000000003E-2</v>
      </c>
      <c r="AK65" s="137">
        <v>0</v>
      </c>
      <c r="AL65" s="137">
        <f>T65*0.5</f>
        <v>229</v>
      </c>
      <c r="AM65" s="137"/>
      <c r="AN65" s="137">
        <f>W65*32.48+275*25</f>
        <v>15800.503999999999</v>
      </c>
      <c r="AO65" s="140">
        <f t="shared" si="34"/>
        <v>1732.1966703057558</v>
      </c>
      <c r="AP65" s="137"/>
      <c r="AQ65" s="137">
        <v>0</v>
      </c>
      <c r="AR65" s="137">
        <f t="shared" si="19"/>
        <v>17761.700670305756</v>
      </c>
      <c r="AS65" s="137">
        <f t="shared" si="20"/>
        <v>18650</v>
      </c>
      <c r="AT65" s="137">
        <f>BK65-55</f>
        <v>25.000000000001137</v>
      </c>
      <c r="AU65" s="141"/>
      <c r="AV65" s="141"/>
      <c r="AW65" s="137">
        <f t="shared" si="21"/>
        <v>27480</v>
      </c>
      <c r="AX65" s="137">
        <v>0</v>
      </c>
      <c r="AY65" s="137">
        <f t="shared" si="22"/>
        <v>27480</v>
      </c>
      <c r="AZ65" s="137">
        <f t="shared" si="23"/>
        <v>27730</v>
      </c>
      <c r="BA65" s="142">
        <f t="shared" si="24"/>
        <v>-250</v>
      </c>
      <c r="BB65" s="137"/>
      <c r="BC65" s="137">
        <v>0</v>
      </c>
      <c r="BD65" s="142">
        <v>0</v>
      </c>
      <c r="BE65" s="135">
        <v>278.10000000000002</v>
      </c>
      <c r="BF65" s="143">
        <f t="shared" si="25"/>
        <v>0.41715000000000002</v>
      </c>
      <c r="BG65" s="143">
        <f t="shared" si="26"/>
        <v>277.68285000000003</v>
      </c>
      <c r="BH65" s="143">
        <f t="shared" si="27"/>
        <v>277.3</v>
      </c>
      <c r="BI65" s="144">
        <f t="shared" si="28"/>
        <v>80.000000000001137</v>
      </c>
      <c r="BJ65" s="144">
        <v>0</v>
      </c>
      <c r="BK65" s="137">
        <f t="shared" si="29"/>
        <v>80.000000000001137</v>
      </c>
      <c r="BL65" s="2"/>
      <c r="BM65" s="10" t="str">
        <f t="shared" si="30"/>
        <v>Unloading no. 62 Bill No 345 ,Deduction For Oil Deduction= 0 ,Bardana= 229 ,F.M=  Brokerage/Rate Difference 15800.504 ,Shortage = 1732.19667030576 ,Greenish=  ,Moisture= 0</v>
      </c>
      <c r="BN65" s="3"/>
      <c r="BO65" s="13" t="str">
        <f t="shared" si="17"/>
        <v xml:space="preserve"> Party Condition 39.76  ,F.M% 0.49 ,Greenish 10.81 ,Moisture 5.8 ,Shortage in KG= 25.0000000000011  ,Oil% 39.72</v>
      </c>
      <c r="BP65" s="4">
        <f t="shared" si="18"/>
        <v>6802.2678663169645</v>
      </c>
      <c r="BQ65" s="5" t="str">
        <f t="shared" si="31"/>
        <v>39.72</v>
      </c>
      <c r="BR65" s="6">
        <f t="shared" si="32"/>
        <v>7192.7303722384813</v>
      </c>
      <c r="BS65" s="5" t="s">
        <v>62</v>
      </c>
      <c r="BT65" s="5" t="s">
        <v>63</v>
      </c>
      <c r="BW65" s="92"/>
      <c r="BX65" s="27">
        <v>39.75</v>
      </c>
      <c r="BY65" s="27">
        <v>39.72</v>
      </c>
      <c r="BZ65" s="96"/>
    </row>
    <row r="66" spans="1:78" s="1" customFormat="1" ht="15" hidden="1" customHeight="1" x14ac:dyDescent="0.3">
      <c r="A66" s="128" t="s">
        <v>134</v>
      </c>
      <c r="B66" s="146">
        <v>46111</v>
      </c>
      <c r="C66" s="128">
        <v>63</v>
      </c>
      <c r="D66" s="128" t="s">
        <v>187</v>
      </c>
      <c r="E66" s="146">
        <v>46115</v>
      </c>
      <c r="F66" s="131" t="s">
        <v>101</v>
      </c>
      <c r="G66" s="131" t="s">
        <v>102</v>
      </c>
      <c r="H66" s="131" t="s">
        <v>97</v>
      </c>
      <c r="I66" s="132"/>
      <c r="J66" s="131" t="s">
        <v>113</v>
      </c>
      <c r="K66" s="133">
        <v>0</v>
      </c>
      <c r="L66" s="134">
        <v>46111</v>
      </c>
      <c r="M66" s="132"/>
      <c r="N66" s="131" t="s">
        <v>220</v>
      </c>
      <c r="O66" s="130">
        <v>46113</v>
      </c>
      <c r="P66" s="135">
        <v>0</v>
      </c>
      <c r="Q66" s="135">
        <v>460</v>
      </c>
      <c r="R66" s="135">
        <v>100</v>
      </c>
      <c r="S66" s="135">
        <v>0</v>
      </c>
      <c r="T66" s="135">
        <v>560</v>
      </c>
      <c r="U66" s="135">
        <v>560</v>
      </c>
      <c r="V66" s="135">
        <v>0</v>
      </c>
      <c r="W66" s="135">
        <v>336</v>
      </c>
      <c r="X66" s="135">
        <v>340.7</v>
      </c>
      <c r="Y66" s="135">
        <v>2373478.2400000002</v>
      </c>
      <c r="Z66" s="136"/>
      <c r="AA66" s="135">
        <v>59336.955999999998</v>
      </c>
      <c r="AB66" s="135">
        <v>59336.955999999998</v>
      </c>
      <c r="AC66" s="135">
        <v>2492152.15</v>
      </c>
      <c r="AD66" s="137">
        <f t="shared" ref="AD66:AD130" si="36">SUM(AC66-AC66*0.1%)</f>
        <v>2489659.9978499999</v>
      </c>
      <c r="AE66" s="138">
        <v>40</v>
      </c>
      <c r="AF66" s="135">
        <v>39.6</v>
      </c>
      <c r="AG66" s="138">
        <v>39.729999999999997</v>
      </c>
      <c r="AH66" s="139">
        <v>4.3E-3</v>
      </c>
      <c r="AI66" s="139">
        <v>0.04</v>
      </c>
      <c r="AJ66" s="139">
        <v>5.7000000000000002E-2</v>
      </c>
      <c r="AK66" s="137">
        <f t="shared" si="33"/>
        <v>0</v>
      </c>
      <c r="AL66" s="137"/>
      <c r="AM66" s="137"/>
      <c r="AN66" s="137">
        <v>0</v>
      </c>
      <c r="AO66" s="140">
        <f t="shared" si="34"/>
        <v>0</v>
      </c>
      <c r="AP66" s="137"/>
      <c r="AQ66" s="137">
        <v>0</v>
      </c>
      <c r="AR66" s="137">
        <f t="shared" si="19"/>
        <v>0</v>
      </c>
      <c r="AS66" s="137">
        <f t="shared" si="20"/>
        <v>0</v>
      </c>
      <c r="AT66" s="137">
        <v>0</v>
      </c>
      <c r="AU66" s="141"/>
      <c r="AV66" s="141"/>
      <c r="AW66" s="137">
        <f t="shared" si="21"/>
        <v>33600</v>
      </c>
      <c r="AX66" s="137">
        <v>0</v>
      </c>
      <c r="AY66" s="137">
        <f t="shared" si="22"/>
        <v>33600</v>
      </c>
      <c r="AZ66" s="137">
        <f t="shared" si="23"/>
        <v>34070</v>
      </c>
      <c r="BA66" s="142">
        <f t="shared" si="24"/>
        <v>-470</v>
      </c>
      <c r="BB66" s="137"/>
      <c r="BC66" s="137">
        <v>0</v>
      </c>
      <c r="BD66" s="142">
        <v>0</v>
      </c>
      <c r="BE66" s="135">
        <v>341</v>
      </c>
      <c r="BF66" s="143">
        <f t="shared" si="25"/>
        <v>0.51149999999999995</v>
      </c>
      <c r="BG66" s="143">
        <f t="shared" si="26"/>
        <v>340.48849999999999</v>
      </c>
      <c r="BH66" s="143">
        <f t="shared" si="27"/>
        <v>340.7</v>
      </c>
      <c r="BI66" s="144">
        <f t="shared" si="28"/>
        <v>30.000000000001137</v>
      </c>
      <c r="BJ66" s="144">
        <v>0</v>
      </c>
      <c r="BK66" s="137">
        <f t="shared" si="29"/>
        <v>30.000000000001137</v>
      </c>
      <c r="BL66" s="2"/>
      <c r="BM66" s="10" t="str">
        <f t="shared" si="30"/>
        <v>Unloading no. 63 Bill No L/PB/26-27/6 ,Deduction For Oil Deduction= 0 ,Bardana=  ,F.M=  Brokerage/Rate Difference 0 ,Shortage = 0 ,Greenish=  ,Moisture= 0</v>
      </c>
      <c r="BN66" s="3"/>
      <c r="BO66" s="13" t="str">
        <f t="shared" si="17"/>
        <v xml:space="preserve"> Party Condition 39.6  ,F.M% 0.43 ,Greenish 4 ,Moisture 5.7 ,Shortage in KG= 0  ,Oil% 39.73</v>
      </c>
      <c r="BP66" s="4">
        <f t="shared" si="18"/>
        <v>6966.4756090402125</v>
      </c>
      <c r="BQ66" s="5" t="str">
        <f t="shared" si="31"/>
        <v>39.73</v>
      </c>
      <c r="BR66" s="6">
        <f t="shared" si="32"/>
        <v>7364.5098308504639</v>
      </c>
      <c r="BS66" s="5" t="s">
        <v>62</v>
      </c>
      <c r="BT66" s="5" t="s">
        <v>63</v>
      </c>
      <c r="BW66" s="92"/>
      <c r="BX66" s="27">
        <v>40</v>
      </c>
      <c r="BY66" s="27">
        <v>39.729999999999997</v>
      </c>
      <c r="BZ66" s="96"/>
    </row>
    <row r="67" spans="1:78" s="1" customFormat="1" ht="15" hidden="1" customHeight="1" x14ac:dyDescent="0.3">
      <c r="A67" s="128" t="s">
        <v>139</v>
      </c>
      <c r="B67" s="129">
        <v>46113</v>
      </c>
      <c r="C67" s="128">
        <v>64</v>
      </c>
      <c r="D67" s="128" t="s">
        <v>188</v>
      </c>
      <c r="E67" s="146">
        <v>46115</v>
      </c>
      <c r="F67" s="131" t="s">
        <v>200</v>
      </c>
      <c r="G67" s="131" t="s">
        <v>201</v>
      </c>
      <c r="H67" s="131" t="s">
        <v>202</v>
      </c>
      <c r="I67" s="132"/>
      <c r="J67" s="131" t="s">
        <v>113</v>
      </c>
      <c r="K67" s="133">
        <v>0</v>
      </c>
      <c r="L67" s="134">
        <v>46113</v>
      </c>
      <c r="M67" s="132"/>
      <c r="N67" s="131">
        <v>5</v>
      </c>
      <c r="O67" s="130">
        <v>46113</v>
      </c>
      <c r="P67" s="135">
        <v>0</v>
      </c>
      <c r="Q67" s="135">
        <v>283</v>
      </c>
      <c r="R67" s="135">
        <v>200</v>
      </c>
      <c r="S67" s="135">
        <v>0</v>
      </c>
      <c r="T67" s="135">
        <v>483</v>
      </c>
      <c r="U67" s="135">
        <v>483</v>
      </c>
      <c r="V67" s="135">
        <v>0</v>
      </c>
      <c r="W67" s="135">
        <v>289.8</v>
      </c>
      <c r="X67" s="135">
        <v>294.2</v>
      </c>
      <c r="Y67" s="135">
        <v>2057789.62</v>
      </c>
      <c r="Z67" s="136"/>
      <c r="AA67" s="135">
        <v>51444.7405</v>
      </c>
      <c r="AB67" s="135">
        <v>51444.7405</v>
      </c>
      <c r="AC67" s="135">
        <v>2160679.1</v>
      </c>
      <c r="AD67" s="137">
        <f t="shared" si="36"/>
        <v>2158518.4209000003</v>
      </c>
      <c r="AE67" s="138">
        <v>39.369999999999997</v>
      </c>
      <c r="AF67" s="135">
        <v>39.6</v>
      </c>
      <c r="AG67" s="138">
        <v>39.270000000000003</v>
      </c>
      <c r="AH67" s="139">
        <v>4.1000000000000003E-3</v>
      </c>
      <c r="AI67" s="139">
        <v>4.8000000000000001E-2</v>
      </c>
      <c r="AJ67" s="139">
        <v>6.9000000000000006E-2</v>
      </c>
      <c r="AK67" s="137">
        <f t="shared" si="33"/>
        <v>17148.246833333244</v>
      </c>
      <c r="AL67" s="137"/>
      <c r="AM67" s="137"/>
      <c r="AN67" s="137">
        <v>0</v>
      </c>
      <c r="AO67" s="140">
        <f t="shared" si="34"/>
        <v>0</v>
      </c>
      <c r="AP67" s="137"/>
      <c r="AQ67" s="137">
        <v>0</v>
      </c>
      <c r="AR67" s="137">
        <f t="shared" si="19"/>
        <v>17148.246833333244</v>
      </c>
      <c r="AS67" s="137">
        <f t="shared" si="20"/>
        <v>18006</v>
      </c>
      <c r="AT67" s="137">
        <v>0</v>
      </c>
      <c r="AU67" s="141"/>
      <c r="AV67" s="141"/>
      <c r="AW67" s="137">
        <f t="shared" si="21"/>
        <v>28980</v>
      </c>
      <c r="AX67" s="137">
        <v>0</v>
      </c>
      <c r="AY67" s="137">
        <f t="shared" si="22"/>
        <v>28980</v>
      </c>
      <c r="AZ67" s="137">
        <f t="shared" si="23"/>
        <v>29420</v>
      </c>
      <c r="BA67" s="142">
        <f t="shared" si="24"/>
        <v>-440</v>
      </c>
      <c r="BB67" s="137"/>
      <c r="BC67" s="137">
        <v>0</v>
      </c>
      <c r="BD67" s="142">
        <v>0</v>
      </c>
      <c r="BE67" s="135">
        <v>294.3</v>
      </c>
      <c r="BF67" s="143">
        <f t="shared" si="25"/>
        <v>0.44145000000000001</v>
      </c>
      <c r="BG67" s="143">
        <f t="shared" si="26"/>
        <v>293.85855000000004</v>
      </c>
      <c r="BH67" s="143">
        <f t="shared" si="27"/>
        <v>294.2</v>
      </c>
      <c r="BI67" s="144">
        <f t="shared" si="28"/>
        <v>10.000000000002274</v>
      </c>
      <c r="BJ67" s="144">
        <v>0</v>
      </c>
      <c r="BK67" s="137">
        <f t="shared" si="29"/>
        <v>10.000000000002274</v>
      </c>
      <c r="BL67" s="2"/>
      <c r="BM67" s="10" t="str">
        <f t="shared" si="30"/>
        <v>Unloading no. 64 Bill No 5 ,Deduction For Oil Deduction= 17148.2468333332 ,Bardana=  ,F.M=  Brokerage/Rate Difference 0 ,Shortage = 0 ,Greenish=  ,Moisture= 0</v>
      </c>
      <c r="BN67" s="3"/>
      <c r="BO67" s="13" t="str">
        <f t="shared" ref="BO67:BO130" si="37">+" "&amp;$AF$1&amp;" "&amp;AF67&amp;" "&amp;" "&amp;$AH$1&amp;" "&amp;AH67*100&amp;" "&amp;$AI$1&amp;" "&amp;AI67*100&amp;" "&amp;$AJ$1&amp;" "&amp;AJ67*100&amp;" ,"&amp;$AT$1&amp;" "&amp;AT67&amp;" "&amp;IF(AE67&gt;AG67," ,Oil%"&amp;" "&amp;AG67," ,Oil%"&amp;" "&amp;AE67)</f>
        <v xml:space="preserve"> Party Condition 39.6  ,F.M% 0.41 ,Greenish 4.8 ,Moisture 6.9 ,Shortage in KG= 0  ,Oil% 39.27</v>
      </c>
      <c r="BP67" s="4">
        <f t="shared" ref="BP67:BP130" si="38">(Y67-AR67)/X67</f>
        <v>6936.2385219805128</v>
      </c>
      <c r="BQ67" s="5" t="str">
        <f t="shared" si="31"/>
        <v>39.27</v>
      </c>
      <c r="BR67" s="6">
        <f t="shared" si="32"/>
        <v>7418.436921904291</v>
      </c>
      <c r="BS67" s="5" t="s">
        <v>62</v>
      </c>
      <c r="BT67" s="5" t="s">
        <v>63</v>
      </c>
      <c r="BW67" s="92"/>
      <c r="BX67" s="27">
        <v>39.369999999999997</v>
      </c>
      <c r="BY67" s="27">
        <v>39.270000000000003</v>
      </c>
      <c r="BZ67" s="96"/>
    </row>
    <row r="68" spans="1:78" s="1" customFormat="1" ht="15" hidden="1" customHeight="1" x14ac:dyDescent="0.3">
      <c r="A68" s="128" t="s">
        <v>136</v>
      </c>
      <c r="B68" s="146">
        <v>46111</v>
      </c>
      <c r="C68" s="128">
        <v>65</v>
      </c>
      <c r="D68" s="128" t="s">
        <v>189</v>
      </c>
      <c r="E68" s="146">
        <v>46115</v>
      </c>
      <c r="F68" s="131" t="s">
        <v>200</v>
      </c>
      <c r="G68" s="131" t="s">
        <v>201</v>
      </c>
      <c r="H68" s="131" t="s">
        <v>202</v>
      </c>
      <c r="I68" s="132"/>
      <c r="J68" s="131" t="s">
        <v>113</v>
      </c>
      <c r="K68" s="133">
        <v>0</v>
      </c>
      <c r="L68" s="134">
        <v>46111</v>
      </c>
      <c r="M68" s="132"/>
      <c r="N68" s="131">
        <v>3</v>
      </c>
      <c r="O68" s="130">
        <v>46113</v>
      </c>
      <c r="P68" s="135">
        <v>0</v>
      </c>
      <c r="Q68" s="135">
        <v>453</v>
      </c>
      <c r="R68" s="135">
        <v>100</v>
      </c>
      <c r="S68" s="135">
        <v>0</v>
      </c>
      <c r="T68" s="135">
        <v>553</v>
      </c>
      <c r="U68" s="135">
        <v>553</v>
      </c>
      <c r="V68" s="135">
        <v>0</v>
      </c>
      <c r="W68" s="135">
        <v>331.8</v>
      </c>
      <c r="X68" s="135">
        <v>337.2</v>
      </c>
      <c r="Y68" s="135">
        <v>2347340.11</v>
      </c>
      <c r="Z68" s="136"/>
      <c r="AA68" s="135">
        <v>58683.50275</v>
      </c>
      <c r="AB68" s="135">
        <v>58683.50275</v>
      </c>
      <c r="AC68" s="135">
        <v>2464707.12</v>
      </c>
      <c r="AD68" s="137">
        <f t="shared" si="36"/>
        <v>2462242.4128800002</v>
      </c>
      <c r="AE68" s="138">
        <v>40.08</v>
      </c>
      <c r="AF68" s="135">
        <v>39.75</v>
      </c>
      <c r="AG68" s="138">
        <v>39.92</v>
      </c>
      <c r="AH68" s="139">
        <v>4.4999999999999997E-3</v>
      </c>
      <c r="AI68" s="139">
        <v>4.2999999999999997E-2</v>
      </c>
      <c r="AJ68" s="139">
        <v>5.6000000000000001E-2</v>
      </c>
      <c r="AK68" s="137">
        <f t="shared" si="33"/>
        <v>0</v>
      </c>
      <c r="AL68" s="137"/>
      <c r="AM68" s="137"/>
      <c r="AN68" s="137">
        <v>0</v>
      </c>
      <c r="AO68" s="140">
        <f t="shared" si="34"/>
        <v>0</v>
      </c>
      <c r="AP68" s="137"/>
      <c r="AQ68" s="137">
        <v>0</v>
      </c>
      <c r="AR68" s="137">
        <f t="shared" si="19"/>
        <v>0</v>
      </c>
      <c r="AS68" s="137">
        <f t="shared" si="20"/>
        <v>0</v>
      </c>
      <c r="AT68" s="137">
        <v>0</v>
      </c>
      <c r="AU68" s="141"/>
      <c r="AV68" s="141"/>
      <c r="AW68" s="137">
        <f t="shared" si="21"/>
        <v>33180</v>
      </c>
      <c r="AX68" s="137">
        <v>0</v>
      </c>
      <c r="AY68" s="137">
        <f t="shared" si="22"/>
        <v>33180</v>
      </c>
      <c r="AZ68" s="137">
        <f t="shared" si="23"/>
        <v>33720</v>
      </c>
      <c r="BA68" s="142">
        <f t="shared" si="24"/>
        <v>-540</v>
      </c>
      <c r="BB68" s="137"/>
      <c r="BC68" s="137">
        <v>0</v>
      </c>
      <c r="BD68" s="142">
        <v>0</v>
      </c>
      <c r="BE68" s="135">
        <v>336.85</v>
      </c>
      <c r="BF68" s="143">
        <f t="shared" si="25"/>
        <v>0.50527500000000003</v>
      </c>
      <c r="BG68" s="143">
        <f t="shared" si="26"/>
        <v>336.34472500000004</v>
      </c>
      <c r="BH68" s="143">
        <f t="shared" si="27"/>
        <v>337.2</v>
      </c>
      <c r="BI68" s="144">
        <f t="shared" si="28"/>
        <v>-34.999999999996589</v>
      </c>
      <c r="BJ68" s="144">
        <v>0</v>
      </c>
      <c r="BK68" s="137">
        <f t="shared" si="29"/>
        <v>-34.999999999996589</v>
      </c>
      <c r="BL68" s="2"/>
      <c r="BM68" s="10" t="str">
        <f t="shared" si="30"/>
        <v>Unloading no. 65 Bill No 3 ,Deduction For Oil Deduction= 0 ,Bardana=  ,F.M=  Brokerage/Rate Difference 0 ,Shortage = 0 ,Greenish=  ,Moisture= 0</v>
      </c>
      <c r="BN68" s="3"/>
      <c r="BO68" s="13" t="str">
        <f t="shared" si="37"/>
        <v xml:space="preserve"> Party Condition 39.75  ,F.M% 0.45 ,Greenish 4.3 ,Moisture 5.6 ,Shortage in KG= 0  ,Oil% 39.92</v>
      </c>
      <c r="BP68" s="4">
        <f t="shared" si="38"/>
        <v>6961.2696026097274</v>
      </c>
      <c r="BQ68" s="5" t="str">
        <f t="shared" si="31"/>
        <v>39.92</v>
      </c>
      <c r="BR68" s="6">
        <f t="shared" si="32"/>
        <v>7323.9810448298731</v>
      </c>
      <c r="BS68" s="5" t="s">
        <v>62</v>
      </c>
      <c r="BT68" s="5" t="s">
        <v>63</v>
      </c>
      <c r="BW68" s="92"/>
      <c r="BX68" s="27">
        <v>40.08</v>
      </c>
      <c r="BY68" s="27">
        <v>39.92</v>
      </c>
      <c r="BZ68" s="96"/>
    </row>
    <row r="69" spans="1:78" s="1" customFormat="1" ht="15" hidden="1" customHeight="1" x14ac:dyDescent="0.3">
      <c r="A69" s="128" t="s">
        <v>141</v>
      </c>
      <c r="B69" s="129">
        <v>46113</v>
      </c>
      <c r="C69" s="128">
        <v>66</v>
      </c>
      <c r="D69" s="128" t="s">
        <v>190</v>
      </c>
      <c r="E69" s="146">
        <v>46115</v>
      </c>
      <c r="F69" s="131" t="s">
        <v>200</v>
      </c>
      <c r="G69" s="131" t="s">
        <v>201</v>
      </c>
      <c r="H69" s="131" t="s">
        <v>202</v>
      </c>
      <c r="I69" s="132"/>
      <c r="J69" s="131" t="s">
        <v>113</v>
      </c>
      <c r="K69" s="133">
        <v>0</v>
      </c>
      <c r="L69" s="134">
        <v>46113</v>
      </c>
      <c r="M69" s="132"/>
      <c r="N69" s="131">
        <v>10</v>
      </c>
      <c r="O69" s="130">
        <v>46113</v>
      </c>
      <c r="P69" s="135">
        <v>0</v>
      </c>
      <c r="Q69" s="135">
        <v>390</v>
      </c>
      <c r="R69" s="135">
        <v>114</v>
      </c>
      <c r="S69" s="135">
        <v>0</v>
      </c>
      <c r="T69" s="135">
        <v>504</v>
      </c>
      <c r="U69" s="135">
        <v>504</v>
      </c>
      <c r="V69" s="135">
        <v>0</v>
      </c>
      <c r="W69" s="135">
        <v>302.39999999999998</v>
      </c>
      <c r="X69" s="135">
        <v>306.89999999999998</v>
      </c>
      <c r="Y69" s="135">
        <v>2144095.63</v>
      </c>
      <c r="Z69" s="136"/>
      <c r="AA69" s="135">
        <v>53602.390749999999</v>
      </c>
      <c r="AB69" s="135">
        <v>53602.390749999999</v>
      </c>
      <c r="AC69" s="135">
        <v>2251300.41</v>
      </c>
      <c r="AD69" s="137">
        <f t="shared" si="36"/>
        <v>2249049.10959</v>
      </c>
      <c r="AE69" s="138">
        <v>39.25</v>
      </c>
      <c r="AF69" s="135">
        <v>39.5</v>
      </c>
      <c r="AG69" s="138">
        <v>39.35</v>
      </c>
      <c r="AH69" s="139">
        <v>4.1000000000000003E-3</v>
      </c>
      <c r="AI69" s="139">
        <v>0.04</v>
      </c>
      <c r="AJ69" s="139">
        <v>0.06</v>
      </c>
      <c r="AK69" s="137">
        <v>0</v>
      </c>
      <c r="AL69" s="137"/>
      <c r="AM69" s="137"/>
      <c r="AN69" s="137">
        <v>0</v>
      </c>
      <c r="AO69" s="140">
        <f t="shared" si="34"/>
        <v>0</v>
      </c>
      <c r="AP69" s="137"/>
      <c r="AQ69" s="137">
        <v>0</v>
      </c>
      <c r="AR69" s="137">
        <f t="shared" si="19"/>
        <v>0</v>
      </c>
      <c r="AS69" s="137">
        <f t="shared" si="20"/>
        <v>0</v>
      </c>
      <c r="AT69" s="137">
        <v>0</v>
      </c>
      <c r="AU69" s="141"/>
      <c r="AV69" s="141"/>
      <c r="AW69" s="137">
        <f t="shared" si="21"/>
        <v>30239.999999999996</v>
      </c>
      <c r="AX69" s="137">
        <v>0</v>
      </c>
      <c r="AY69" s="137">
        <f t="shared" si="22"/>
        <v>30239.999999999996</v>
      </c>
      <c r="AZ69" s="137">
        <f t="shared" si="23"/>
        <v>30689.999999999996</v>
      </c>
      <c r="BA69" s="142">
        <f t="shared" si="24"/>
        <v>-450</v>
      </c>
      <c r="BB69" s="137"/>
      <c r="BC69" s="137">
        <v>0</v>
      </c>
      <c r="BD69" s="142">
        <v>0</v>
      </c>
      <c r="BE69" s="135">
        <v>307.25</v>
      </c>
      <c r="BF69" s="143">
        <f t="shared" si="25"/>
        <v>0.46087499999999998</v>
      </c>
      <c r="BG69" s="143">
        <f t="shared" si="26"/>
        <v>306.78912500000001</v>
      </c>
      <c r="BH69" s="143">
        <f t="shared" si="27"/>
        <v>306.89999999999998</v>
      </c>
      <c r="BI69" s="144">
        <f t="shared" si="28"/>
        <v>35.000000000002274</v>
      </c>
      <c r="BJ69" s="144">
        <v>0</v>
      </c>
      <c r="BK69" s="137">
        <f t="shared" si="29"/>
        <v>35.000000000002274</v>
      </c>
      <c r="BL69" s="2"/>
      <c r="BM69" s="10" t="str">
        <f t="shared" si="30"/>
        <v>Unloading no. 66 Bill No 10 ,Deduction For Oil Deduction= 0 ,Bardana=  ,F.M=  Brokerage/Rate Difference 0 ,Shortage = 0 ,Greenish=  ,Moisture= 0</v>
      </c>
      <c r="BN69" s="3"/>
      <c r="BO69" s="13" t="str">
        <f t="shared" si="37"/>
        <v xml:space="preserve"> Party Condition 39.5  ,F.M% 0.41 ,Greenish 4 ,Moisture 6 ,Shortage in KG= 0  ,Oil% 39.25</v>
      </c>
      <c r="BP69" s="4">
        <f t="shared" si="38"/>
        <v>6986.3005213424567</v>
      </c>
      <c r="BQ69" s="5" t="str">
        <f t="shared" si="31"/>
        <v>39.25</v>
      </c>
      <c r="BR69" s="6">
        <f t="shared" si="32"/>
        <v>7475.7865451307816</v>
      </c>
      <c r="BS69" s="5" t="s">
        <v>62</v>
      </c>
      <c r="BT69" s="5" t="s">
        <v>63</v>
      </c>
      <c r="BW69" s="92"/>
      <c r="BX69" s="27">
        <v>39.25</v>
      </c>
      <c r="BY69" s="27">
        <v>39.35</v>
      </c>
      <c r="BZ69" s="96"/>
    </row>
    <row r="70" spans="1:78" s="1" customFormat="1" ht="15" hidden="1" customHeight="1" x14ac:dyDescent="0.3">
      <c r="A70" s="128" t="s">
        <v>141</v>
      </c>
      <c r="B70" s="129">
        <v>46113</v>
      </c>
      <c r="C70" s="128">
        <v>67</v>
      </c>
      <c r="D70" s="128" t="s">
        <v>191</v>
      </c>
      <c r="E70" s="146">
        <v>46115</v>
      </c>
      <c r="F70" s="131" t="s">
        <v>200</v>
      </c>
      <c r="G70" s="131" t="s">
        <v>201</v>
      </c>
      <c r="H70" s="131" t="s">
        <v>202</v>
      </c>
      <c r="I70" s="132"/>
      <c r="J70" s="131" t="s">
        <v>113</v>
      </c>
      <c r="K70" s="133">
        <v>0</v>
      </c>
      <c r="L70" s="134">
        <v>46113</v>
      </c>
      <c r="M70" s="132"/>
      <c r="N70" s="131">
        <v>9</v>
      </c>
      <c r="O70" s="130">
        <v>46113</v>
      </c>
      <c r="P70" s="135">
        <v>0</v>
      </c>
      <c r="Q70" s="135">
        <v>480</v>
      </c>
      <c r="R70" s="135">
        <v>22</v>
      </c>
      <c r="S70" s="135">
        <v>0</v>
      </c>
      <c r="T70" s="135">
        <v>502</v>
      </c>
      <c r="U70" s="135">
        <v>502</v>
      </c>
      <c r="V70" s="135">
        <v>0</v>
      </c>
      <c r="W70" s="135">
        <v>301.2</v>
      </c>
      <c r="X70" s="135">
        <v>305.5</v>
      </c>
      <c r="Y70" s="135">
        <v>2135587.3199999998</v>
      </c>
      <c r="Z70" s="136"/>
      <c r="AA70" s="135">
        <v>53389.682999999997</v>
      </c>
      <c r="AB70" s="135">
        <v>53389.682999999997</v>
      </c>
      <c r="AC70" s="135">
        <v>2242366.69</v>
      </c>
      <c r="AD70" s="137">
        <f t="shared" si="36"/>
        <v>2240124.3233099999</v>
      </c>
      <c r="AE70" s="138">
        <v>39.6</v>
      </c>
      <c r="AF70" s="135">
        <v>39.5</v>
      </c>
      <c r="AG70" s="138">
        <v>39.4</v>
      </c>
      <c r="AH70" s="139">
        <v>4.7999999999999996E-3</v>
      </c>
      <c r="AI70" s="139">
        <v>5.5E-2</v>
      </c>
      <c r="AJ70" s="139">
        <v>5.5E-2</v>
      </c>
      <c r="AK70" s="137">
        <v>0</v>
      </c>
      <c r="AL70" s="137"/>
      <c r="AM70" s="137"/>
      <c r="AN70" s="137">
        <v>0</v>
      </c>
      <c r="AO70" s="140">
        <f t="shared" si="34"/>
        <v>0</v>
      </c>
      <c r="AP70" s="137"/>
      <c r="AQ70" s="137">
        <v>0</v>
      </c>
      <c r="AR70" s="137">
        <f t="shared" si="19"/>
        <v>0</v>
      </c>
      <c r="AS70" s="137">
        <f t="shared" si="20"/>
        <v>0</v>
      </c>
      <c r="AT70" s="137">
        <v>0</v>
      </c>
      <c r="AU70" s="141"/>
      <c r="AV70" s="141"/>
      <c r="AW70" s="137">
        <f t="shared" si="21"/>
        <v>30120</v>
      </c>
      <c r="AX70" s="137">
        <v>0</v>
      </c>
      <c r="AY70" s="137">
        <f t="shared" si="22"/>
        <v>30120</v>
      </c>
      <c r="AZ70" s="137">
        <f t="shared" si="23"/>
        <v>30550</v>
      </c>
      <c r="BA70" s="142">
        <f t="shared" si="24"/>
        <v>-430</v>
      </c>
      <c r="BB70" s="137"/>
      <c r="BC70" s="137">
        <v>0</v>
      </c>
      <c r="BD70" s="142">
        <v>0</v>
      </c>
      <c r="BE70" s="135">
        <v>306.05</v>
      </c>
      <c r="BF70" s="143">
        <f t="shared" si="25"/>
        <v>0.45907500000000001</v>
      </c>
      <c r="BG70" s="143">
        <f t="shared" si="26"/>
        <v>305.59092500000003</v>
      </c>
      <c r="BH70" s="143">
        <f t="shared" si="27"/>
        <v>305.5</v>
      </c>
      <c r="BI70" s="144">
        <f t="shared" si="28"/>
        <v>55.000000000001137</v>
      </c>
      <c r="BJ70" s="144">
        <v>0</v>
      </c>
      <c r="BK70" s="137">
        <f t="shared" si="29"/>
        <v>55.000000000001137</v>
      </c>
      <c r="BL70" s="2"/>
      <c r="BM70" s="10" t="str">
        <f t="shared" si="30"/>
        <v>Unloading no. 67 Bill No 9 ,Deduction For Oil Deduction= 0 ,Bardana=  ,F.M=  Brokerage/Rate Difference 0 ,Shortage = 0 ,Greenish=  ,Moisture= 0</v>
      </c>
      <c r="BN70" s="3"/>
      <c r="BO70" s="13" t="str">
        <f t="shared" si="37"/>
        <v xml:space="preserve"> Party Condition 39.5  ,F.M% 0.48 ,Greenish 5.5 ,Moisture 5.5 ,Shortage in KG= 0  ,Oil% 39.4</v>
      </c>
      <c r="BP70" s="4">
        <f t="shared" si="38"/>
        <v>6990.4658592471351</v>
      </c>
      <c r="BQ70" s="5" t="str">
        <f t="shared" si="31"/>
        <v xml:space="preserve"> 39.4</v>
      </c>
      <c r="BR70" s="6">
        <f t="shared" si="32"/>
        <v>7451.7656367609052</v>
      </c>
      <c r="BS70" s="5" t="s">
        <v>62</v>
      </c>
      <c r="BT70" s="5" t="s">
        <v>63</v>
      </c>
      <c r="BW70" s="92"/>
      <c r="BX70" s="27">
        <v>39.6</v>
      </c>
      <c r="BY70" s="27">
        <v>39.4</v>
      </c>
      <c r="BZ70" s="96"/>
    </row>
    <row r="71" spans="1:78" s="1" customFormat="1" ht="15" hidden="1" customHeight="1" x14ac:dyDescent="0.3">
      <c r="A71" s="128" t="s">
        <v>133</v>
      </c>
      <c r="B71" s="146">
        <v>46111</v>
      </c>
      <c r="C71" s="128">
        <v>68</v>
      </c>
      <c r="D71" s="128" t="s">
        <v>192</v>
      </c>
      <c r="E71" s="146">
        <v>46115</v>
      </c>
      <c r="F71" s="131" t="s">
        <v>95</v>
      </c>
      <c r="G71" s="131" t="s">
        <v>96</v>
      </c>
      <c r="H71" s="131" t="s">
        <v>97</v>
      </c>
      <c r="I71" s="132"/>
      <c r="J71" s="131" t="s">
        <v>113</v>
      </c>
      <c r="K71" s="133">
        <v>0</v>
      </c>
      <c r="L71" s="134">
        <v>46111</v>
      </c>
      <c r="M71" s="132"/>
      <c r="N71" s="131">
        <v>3</v>
      </c>
      <c r="O71" s="130">
        <v>46113</v>
      </c>
      <c r="P71" s="135">
        <v>0</v>
      </c>
      <c r="Q71" s="135">
        <v>300</v>
      </c>
      <c r="R71" s="135">
        <v>408</v>
      </c>
      <c r="S71" s="135">
        <v>0</v>
      </c>
      <c r="T71" s="135">
        <v>708</v>
      </c>
      <c r="U71" s="135">
        <v>708</v>
      </c>
      <c r="V71" s="135">
        <v>0</v>
      </c>
      <c r="W71" s="135">
        <v>424.8</v>
      </c>
      <c r="X71" s="135">
        <v>430.7</v>
      </c>
      <c r="Y71" s="135">
        <v>3009144.43</v>
      </c>
      <c r="Z71" s="136"/>
      <c r="AA71" s="135">
        <v>75228.610750000007</v>
      </c>
      <c r="AB71" s="135">
        <v>75228.610750000007</v>
      </c>
      <c r="AC71" s="135">
        <v>3159601.65</v>
      </c>
      <c r="AD71" s="137">
        <f t="shared" si="36"/>
        <v>3156442.0483499998</v>
      </c>
      <c r="AE71" s="138">
        <v>40.44</v>
      </c>
      <c r="AF71" s="135">
        <v>39.82</v>
      </c>
      <c r="AG71" s="138">
        <v>40.479999999999997</v>
      </c>
      <c r="AH71" s="139">
        <v>4.4999999999999997E-3</v>
      </c>
      <c r="AI71" s="139">
        <v>6.3E-2</v>
      </c>
      <c r="AJ71" s="139">
        <v>6.6000000000000003E-2</v>
      </c>
      <c r="AK71" s="137">
        <f t="shared" si="33"/>
        <v>0</v>
      </c>
      <c r="AL71" s="137"/>
      <c r="AM71" s="137"/>
      <c r="AN71" s="137">
        <v>0</v>
      </c>
      <c r="AO71" s="140">
        <f t="shared" si="34"/>
        <v>0</v>
      </c>
      <c r="AP71" s="137"/>
      <c r="AQ71" s="137">
        <v>0</v>
      </c>
      <c r="AR71" s="137">
        <f t="shared" si="19"/>
        <v>0</v>
      </c>
      <c r="AS71" s="137">
        <f t="shared" si="20"/>
        <v>0</v>
      </c>
      <c r="AT71" s="137">
        <v>0</v>
      </c>
      <c r="AU71" s="141"/>
      <c r="AV71" s="141"/>
      <c r="AW71" s="137">
        <f t="shared" si="21"/>
        <v>42480</v>
      </c>
      <c r="AX71" s="137">
        <v>0</v>
      </c>
      <c r="AY71" s="137">
        <f t="shared" si="22"/>
        <v>42480</v>
      </c>
      <c r="AZ71" s="137">
        <f t="shared" si="23"/>
        <v>43070</v>
      </c>
      <c r="BA71" s="142">
        <f t="shared" si="24"/>
        <v>-590</v>
      </c>
      <c r="BB71" s="137"/>
      <c r="BC71" s="137">
        <v>0</v>
      </c>
      <c r="BD71" s="142">
        <v>0</v>
      </c>
      <c r="BE71" s="135">
        <v>430.8</v>
      </c>
      <c r="BF71" s="143">
        <f t="shared" si="25"/>
        <v>0.6462</v>
      </c>
      <c r="BG71" s="143">
        <f t="shared" si="26"/>
        <v>430.15379999999999</v>
      </c>
      <c r="BH71" s="143">
        <f t="shared" si="27"/>
        <v>430.7</v>
      </c>
      <c r="BI71" s="144">
        <f t="shared" si="28"/>
        <v>10.000000000002274</v>
      </c>
      <c r="BJ71" s="144">
        <v>0</v>
      </c>
      <c r="BK71" s="137">
        <f t="shared" si="29"/>
        <v>10.000000000002274</v>
      </c>
      <c r="BL71" s="2"/>
      <c r="BM71" s="10" t="str">
        <f t="shared" si="30"/>
        <v>Unloading no. 68 Bill No 3 ,Deduction For Oil Deduction= 0 ,Bardana=  ,F.M=  Brokerage/Rate Difference 0 ,Shortage = 0 ,Greenish=  ,Moisture= 0</v>
      </c>
      <c r="BN71" s="3"/>
      <c r="BO71" s="13" t="str">
        <f t="shared" si="37"/>
        <v xml:space="preserve"> Party Condition 39.82  ,F.M% 0.45 ,Greenish 6.3 ,Moisture 6.6 ,Shortage in KG= 0  ,Oil% 40.44</v>
      </c>
      <c r="BP71" s="4">
        <f t="shared" si="38"/>
        <v>6986.6367076851639</v>
      </c>
      <c r="BQ71" s="5" t="str">
        <f t="shared" si="31"/>
        <v>40.44</v>
      </c>
      <c r="BR71" s="6">
        <f t="shared" si="32"/>
        <v>7256.150883352545</v>
      </c>
      <c r="BS71" s="5" t="s">
        <v>62</v>
      </c>
      <c r="BT71" s="5" t="s">
        <v>63</v>
      </c>
      <c r="BW71" s="92"/>
      <c r="BX71" s="27">
        <v>40.44</v>
      </c>
      <c r="BY71" s="27">
        <v>40.479999999999997</v>
      </c>
      <c r="BZ71" s="96"/>
    </row>
    <row r="72" spans="1:78" s="1" customFormat="1" ht="15" hidden="1" customHeight="1" x14ac:dyDescent="0.3">
      <c r="A72" s="128" t="s">
        <v>134</v>
      </c>
      <c r="B72" s="146">
        <v>46111</v>
      </c>
      <c r="C72" s="128">
        <v>69</v>
      </c>
      <c r="D72" s="128" t="s">
        <v>193</v>
      </c>
      <c r="E72" s="146">
        <v>46115</v>
      </c>
      <c r="F72" s="131" t="s">
        <v>101</v>
      </c>
      <c r="G72" s="131" t="s">
        <v>102</v>
      </c>
      <c r="H72" s="131" t="s">
        <v>97</v>
      </c>
      <c r="I72" s="132"/>
      <c r="J72" s="131" t="s">
        <v>113</v>
      </c>
      <c r="K72" s="133">
        <v>0</v>
      </c>
      <c r="L72" s="134">
        <v>46111</v>
      </c>
      <c r="M72" s="132"/>
      <c r="N72" s="131" t="s">
        <v>221</v>
      </c>
      <c r="O72" s="130">
        <v>46113</v>
      </c>
      <c r="P72" s="135">
        <v>0</v>
      </c>
      <c r="Q72" s="135">
        <v>350</v>
      </c>
      <c r="R72" s="135">
        <v>200</v>
      </c>
      <c r="S72" s="135">
        <v>0</v>
      </c>
      <c r="T72" s="135">
        <v>550</v>
      </c>
      <c r="U72" s="135">
        <v>550</v>
      </c>
      <c r="V72" s="135">
        <v>0</v>
      </c>
      <c r="W72" s="135">
        <v>330</v>
      </c>
      <c r="X72" s="135">
        <v>332.9</v>
      </c>
      <c r="Y72" s="135">
        <v>2331094.7000000002</v>
      </c>
      <c r="Z72" s="136"/>
      <c r="AA72" s="135">
        <v>58277.3675</v>
      </c>
      <c r="AB72" s="135">
        <v>58277.3675</v>
      </c>
      <c r="AC72" s="135">
        <v>2447649.44</v>
      </c>
      <c r="AD72" s="137">
        <f t="shared" si="36"/>
        <v>2445201.7905600001</v>
      </c>
      <c r="AE72" s="138">
        <v>40.520000000000003</v>
      </c>
      <c r="AF72" s="135">
        <v>39.6</v>
      </c>
      <c r="AG72" s="138">
        <v>40.42</v>
      </c>
      <c r="AH72" s="139">
        <v>4.5999999999999999E-3</v>
      </c>
      <c r="AI72" s="139">
        <v>5.2999999999999999E-2</v>
      </c>
      <c r="AJ72" s="139">
        <v>5.5E-2</v>
      </c>
      <c r="AK72" s="137">
        <f t="shared" si="33"/>
        <v>0</v>
      </c>
      <c r="AL72" s="137"/>
      <c r="AM72" s="137"/>
      <c r="AN72" s="137">
        <v>0</v>
      </c>
      <c r="AO72" s="140">
        <f t="shared" si="34"/>
        <v>7911.594133333575</v>
      </c>
      <c r="AP72" s="137"/>
      <c r="AQ72" s="137">
        <v>0</v>
      </c>
      <c r="AR72" s="137">
        <f t="shared" si="19"/>
        <v>7911.594133333575</v>
      </c>
      <c r="AS72" s="137">
        <f t="shared" si="20"/>
        <v>8307</v>
      </c>
      <c r="AT72" s="137">
        <f>BK72+138-66</f>
        <v>112.00000000000341</v>
      </c>
      <c r="AU72" s="141"/>
      <c r="AV72" s="141"/>
      <c r="AW72" s="137">
        <f t="shared" si="21"/>
        <v>33000</v>
      </c>
      <c r="AX72" s="137">
        <v>0</v>
      </c>
      <c r="AY72" s="137">
        <f t="shared" si="22"/>
        <v>33000</v>
      </c>
      <c r="AZ72" s="137">
        <f t="shared" si="23"/>
        <v>33290</v>
      </c>
      <c r="BA72" s="142">
        <f t="shared" si="24"/>
        <v>-290</v>
      </c>
      <c r="BB72" s="137"/>
      <c r="BC72" s="137">
        <v>0</v>
      </c>
      <c r="BD72" s="142">
        <v>0</v>
      </c>
      <c r="BE72" s="135">
        <v>333.3</v>
      </c>
      <c r="BF72" s="143">
        <f t="shared" si="25"/>
        <v>0.49994999999999995</v>
      </c>
      <c r="BG72" s="143">
        <f t="shared" si="26"/>
        <v>332.80005</v>
      </c>
      <c r="BH72" s="143">
        <f t="shared" si="27"/>
        <v>332.9</v>
      </c>
      <c r="BI72" s="144">
        <f t="shared" si="28"/>
        <v>40.000000000003411</v>
      </c>
      <c r="BJ72" s="144">
        <v>0</v>
      </c>
      <c r="BK72" s="137">
        <f t="shared" si="29"/>
        <v>40.000000000003411</v>
      </c>
      <c r="BL72" s="2"/>
      <c r="BM72" s="10" t="str">
        <f t="shared" si="30"/>
        <v>Unloading no. 69 Bill No L/PB/26-27/7 ,Deduction For Oil Deduction= 0 ,Bardana=  ,F.M=  Brokerage/Rate Difference 0 ,Shortage = 7911.59413333357 ,Greenish=  ,Moisture= 0</v>
      </c>
      <c r="BN72" s="3"/>
      <c r="BO72" s="13" t="str">
        <f t="shared" si="37"/>
        <v xml:space="preserve"> Party Condition 39.6  ,F.M% 0.46 ,Greenish 5.3 ,Moisture 5.5 ,Shortage in KG= 112.000000000003  ,Oil% 40.42</v>
      </c>
      <c r="BP72" s="4">
        <f t="shared" si="38"/>
        <v>6978.6215255832576</v>
      </c>
      <c r="BQ72" s="5" t="str">
        <f t="shared" si="31"/>
        <v>40.42</v>
      </c>
      <c r="BR72" s="6">
        <f t="shared" si="32"/>
        <v>7251.4127678005152</v>
      </c>
      <c r="BS72" s="5" t="s">
        <v>62</v>
      </c>
      <c r="BT72" s="5" t="s">
        <v>63</v>
      </c>
      <c r="BW72" s="92"/>
      <c r="BX72" s="27">
        <v>40.520000000000003</v>
      </c>
      <c r="BY72" s="27">
        <v>40.42</v>
      </c>
      <c r="BZ72" s="96"/>
    </row>
    <row r="73" spans="1:78" s="1" customFormat="1" ht="15" hidden="1" customHeight="1" x14ac:dyDescent="0.3">
      <c r="A73" s="128" t="s">
        <v>141</v>
      </c>
      <c r="B73" s="129">
        <v>46113</v>
      </c>
      <c r="C73" s="128">
        <v>70</v>
      </c>
      <c r="D73" s="128" t="s">
        <v>194</v>
      </c>
      <c r="E73" s="146">
        <v>46115</v>
      </c>
      <c r="F73" s="131" t="s">
        <v>200</v>
      </c>
      <c r="G73" s="131" t="s">
        <v>201</v>
      </c>
      <c r="H73" s="131" t="s">
        <v>202</v>
      </c>
      <c r="I73" s="132"/>
      <c r="J73" s="131" t="s">
        <v>113</v>
      </c>
      <c r="K73" s="133">
        <v>0</v>
      </c>
      <c r="L73" s="134">
        <v>46113</v>
      </c>
      <c r="M73" s="132"/>
      <c r="N73" s="131">
        <v>8</v>
      </c>
      <c r="O73" s="130">
        <v>46113</v>
      </c>
      <c r="P73" s="135">
        <v>0</v>
      </c>
      <c r="Q73" s="135">
        <v>402</v>
      </c>
      <c r="R73" s="135">
        <v>90</v>
      </c>
      <c r="S73" s="135">
        <v>0</v>
      </c>
      <c r="T73" s="135">
        <v>492</v>
      </c>
      <c r="U73" s="135">
        <v>492</v>
      </c>
      <c r="V73" s="135">
        <v>0</v>
      </c>
      <c r="W73" s="135">
        <v>295.2</v>
      </c>
      <c r="X73" s="135">
        <v>300.3</v>
      </c>
      <c r="Y73" s="135">
        <v>2093045.74</v>
      </c>
      <c r="Z73" s="136"/>
      <c r="AA73" s="135">
        <v>52326.143499999998</v>
      </c>
      <c r="AB73" s="135">
        <v>52326.143499999998</v>
      </c>
      <c r="AC73" s="135">
        <v>2197698.0299999998</v>
      </c>
      <c r="AD73" s="137">
        <f t="shared" si="36"/>
        <v>2195500.3319699997</v>
      </c>
      <c r="AE73" s="138">
        <v>39.78</v>
      </c>
      <c r="AF73" s="135">
        <v>39.5</v>
      </c>
      <c r="AG73" s="138">
        <v>39.619999999999997</v>
      </c>
      <c r="AH73" s="139">
        <v>4.1999999999999997E-3</v>
      </c>
      <c r="AI73" s="139">
        <v>4.7E-2</v>
      </c>
      <c r="AJ73" s="139">
        <v>5.8000000000000003E-2</v>
      </c>
      <c r="AK73" s="137">
        <f t="shared" si="33"/>
        <v>0</v>
      </c>
      <c r="AL73" s="137"/>
      <c r="AM73" s="137"/>
      <c r="AN73" s="137">
        <v>0</v>
      </c>
      <c r="AO73" s="140">
        <f t="shared" si="34"/>
        <v>0</v>
      </c>
      <c r="AP73" s="137"/>
      <c r="AQ73" s="137">
        <v>0</v>
      </c>
      <c r="AR73" s="137">
        <f t="shared" si="19"/>
        <v>0</v>
      </c>
      <c r="AS73" s="137">
        <f t="shared" si="20"/>
        <v>0</v>
      </c>
      <c r="AT73" s="137">
        <v>0</v>
      </c>
      <c r="AU73" s="141"/>
      <c r="AV73" s="141"/>
      <c r="AW73" s="137">
        <f t="shared" si="21"/>
        <v>29520</v>
      </c>
      <c r="AX73" s="137">
        <v>0</v>
      </c>
      <c r="AY73" s="137">
        <f t="shared" si="22"/>
        <v>29520</v>
      </c>
      <c r="AZ73" s="137">
        <f t="shared" si="23"/>
        <v>30030</v>
      </c>
      <c r="BA73" s="142">
        <f t="shared" si="24"/>
        <v>-510</v>
      </c>
      <c r="BB73" s="137"/>
      <c r="BC73" s="137">
        <v>0</v>
      </c>
      <c r="BD73" s="142">
        <v>0</v>
      </c>
      <c r="BE73" s="135">
        <v>300.95</v>
      </c>
      <c r="BF73" s="143">
        <f t="shared" si="25"/>
        <v>0.45142499999999997</v>
      </c>
      <c r="BG73" s="143">
        <f t="shared" si="26"/>
        <v>300.49857500000002</v>
      </c>
      <c r="BH73" s="143">
        <f t="shared" si="27"/>
        <v>300.3</v>
      </c>
      <c r="BI73" s="144">
        <f t="shared" si="28"/>
        <v>64.999999999997726</v>
      </c>
      <c r="BJ73" s="144">
        <v>0</v>
      </c>
      <c r="BK73" s="137">
        <f t="shared" si="29"/>
        <v>64.999999999997726</v>
      </c>
      <c r="BL73" s="2"/>
      <c r="BM73" s="10" t="str">
        <f t="shared" si="30"/>
        <v>Unloading no. 70 Bill No 8 ,Deduction For Oil Deduction= 0 ,Bardana=  ,F.M=  Brokerage/Rate Difference 0 ,Shortage = 0 ,Greenish=  ,Moisture= 0</v>
      </c>
      <c r="BN73" s="3"/>
      <c r="BO73" s="13" t="str">
        <f t="shared" si="37"/>
        <v xml:space="preserve"> Party Condition 39.5  ,F.M% 0.42 ,Greenish 4.7 ,Moisture 5.8 ,Shortage in KG= 0  ,Oil% 39.62</v>
      </c>
      <c r="BP73" s="4">
        <f t="shared" si="38"/>
        <v>6969.8492840492836</v>
      </c>
      <c r="BQ73" s="5" t="str">
        <f t="shared" si="31"/>
        <v>39.62</v>
      </c>
      <c r="BR73" s="6">
        <f t="shared" si="32"/>
        <v>7388.5328099462386</v>
      </c>
      <c r="BS73" s="5" t="s">
        <v>62</v>
      </c>
      <c r="BT73" s="5" t="s">
        <v>63</v>
      </c>
      <c r="BW73" s="92"/>
      <c r="BX73" s="27">
        <v>39.78</v>
      </c>
      <c r="BY73" s="27">
        <v>39.619999999999997</v>
      </c>
      <c r="BZ73" s="96"/>
    </row>
    <row r="74" spans="1:78" s="1" customFormat="1" ht="15" hidden="1" customHeight="1" x14ac:dyDescent="0.3">
      <c r="A74" s="128" t="s">
        <v>141</v>
      </c>
      <c r="B74" s="129">
        <v>46113</v>
      </c>
      <c r="C74" s="128">
        <v>71</v>
      </c>
      <c r="D74" s="128" t="s">
        <v>195</v>
      </c>
      <c r="E74" s="146">
        <v>46115</v>
      </c>
      <c r="F74" s="131" t="s">
        <v>200</v>
      </c>
      <c r="G74" s="131" t="s">
        <v>201</v>
      </c>
      <c r="H74" s="131" t="s">
        <v>202</v>
      </c>
      <c r="I74" s="132"/>
      <c r="J74" s="131" t="s">
        <v>113</v>
      </c>
      <c r="K74" s="133">
        <v>0</v>
      </c>
      <c r="L74" s="134">
        <v>46113</v>
      </c>
      <c r="M74" s="132"/>
      <c r="N74" s="131">
        <v>11</v>
      </c>
      <c r="O74" s="130">
        <v>46113</v>
      </c>
      <c r="P74" s="135">
        <v>0</v>
      </c>
      <c r="Q74" s="135">
        <v>503</v>
      </c>
      <c r="R74" s="135">
        <v>0</v>
      </c>
      <c r="S74" s="135">
        <v>0</v>
      </c>
      <c r="T74" s="135">
        <v>503</v>
      </c>
      <c r="U74" s="135">
        <v>503</v>
      </c>
      <c r="V74" s="135">
        <v>0</v>
      </c>
      <c r="W74" s="135">
        <v>301.8</v>
      </c>
      <c r="X74" s="135">
        <v>306.60000000000002</v>
      </c>
      <c r="Y74" s="135">
        <v>2139841.4700000002</v>
      </c>
      <c r="Z74" s="136"/>
      <c r="AA74" s="135">
        <v>53496.036749999999</v>
      </c>
      <c r="AB74" s="135">
        <v>53496.036749999999</v>
      </c>
      <c r="AC74" s="135">
        <v>2246833.54</v>
      </c>
      <c r="AD74" s="137">
        <f t="shared" si="36"/>
        <v>2244586.70646</v>
      </c>
      <c r="AE74" s="138">
        <v>40.15</v>
      </c>
      <c r="AF74" s="135">
        <v>39.5</v>
      </c>
      <c r="AG74" s="138">
        <v>40.049999999999997</v>
      </c>
      <c r="AH74" s="139">
        <v>4.3E-3</v>
      </c>
      <c r="AI74" s="139">
        <v>0.06</v>
      </c>
      <c r="AJ74" s="139">
        <v>5.1999999999999998E-2</v>
      </c>
      <c r="AK74" s="137">
        <f t="shared" si="33"/>
        <v>0</v>
      </c>
      <c r="AL74" s="137"/>
      <c r="AM74" s="137"/>
      <c r="AN74" s="137">
        <v>0</v>
      </c>
      <c r="AO74" s="140">
        <f t="shared" si="34"/>
        <v>0</v>
      </c>
      <c r="AP74" s="137"/>
      <c r="AQ74" s="137">
        <v>0</v>
      </c>
      <c r="AR74" s="137">
        <f t="shared" si="19"/>
        <v>0</v>
      </c>
      <c r="AS74" s="137">
        <f t="shared" si="20"/>
        <v>0</v>
      </c>
      <c r="AT74" s="137">
        <v>0</v>
      </c>
      <c r="AU74" s="141"/>
      <c r="AV74" s="141"/>
      <c r="AW74" s="137">
        <f t="shared" si="21"/>
        <v>30180</v>
      </c>
      <c r="AX74" s="137">
        <v>0</v>
      </c>
      <c r="AY74" s="137">
        <f t="shared" si="22"/>
        <v>30180</v>
      </c>
      <c r="AZ74" s="137">
        <f t="shared" si="23"/>
        <v>30660.000000000004</v>
      </c>
      <c r="BA74" s="142">
        <f t="shared" si="24"/>
        <v>-480.00000000000364</v>
      </c>
      <c r="BB74" s="137"/>
      <c r="BC74" s="137">
        <v>0</v>
      </c>
      <c r="BD74" s="142">
        <v>0</v>
      </c>
      <c r="BE74" s="135">
        <v>307.05</v>
      </c>
      <c r="BF74" s="143">
        <f t="shared" si="25"/>
        <v>0.46057499999999996</v>
      </c>
      <c r="BG74" s="143">
        <f t="shared" si="26"/>
        <v>306.58942500000001</v>
      </c>
      <c r="BH74" s="143">
        <f t="shared" si="27"/>
        <v>306.60000000000002</v>
      </c>
      <c r="BI74" s="144">
        <f t="shared" si="28"/>
        <v>44.999999999998863</v>
      </c>
      <c r="BJ74" s="144">
        <v>0</v>
      </c>
      <c r="BK74" s="137">
        <f t="shared" si="29"/>
        <v>44.999999999998863</v>
      </c>
      <c r="BL74" s="2"/>
      <c r="BM74" s="10" t="str">
        <f t="shared" si="30"/>
        <v>Unloading no. 71 Bill No 11 ,Deduction For Oil Deduction= 0 ,Bardana=  ,F.M=  Brokerage/Rate Difference 0 ,Shortage = 0 ,Greenish=  ,Moisture= 0</v>
      </c>
      <c r="BN74" s="3"/>
      <c r="BO74" s="13" t="str">
        <f t="shared" si="37"/>
        <v xml:space="preserve"> Party Condition 39.5  ,F.M% 0.43 ,Greenish 6 ,Moisture 5.2 ,Shortage in KG= 0  ,Oil% 40.05</v>
      </c>
      <c r="BP74" s="4">
        <f t="shared" si="38"/>
        <v>6979.2611545988257</v>
      </c>
      <c r="BQ74" s="5" t="str">
        <f t="shared" si="31"/>
        <v>40.05</v>
      </c>
      <c r="BR74" s="6">
        <f t="shared" si="32"/>
        <v>7319.0753681186188</v>
      </c>
      <c r="BS74" s="5" t="s">
        <v>62</v>
      </c>
      <c r="BT74" s="5" t="s">
        <v>63</v>
      </c>
      <c r="BW74" s="92"/>
      <c r="BX74" s="27">
        <v>40.15</v>
      </c>
      <c r="BY74" s="27">
        <v>40.049999999999997</v>
      </c>
      <c r="BZ74" s="96"/>
    </row>
    <row r="75" spans="1:78" s="1" customFormat="1" ht="15" hidden="1" customHeight="1" x14ac:dyDescent="0.3">
      <c r="A75" s="128" t="s">
        <v>134</v>
      </c>
      <c r="B75" s="146">
        <v>46111</v>
      </c>
      <c r="C75" s="128">
        <v>72</v>
      </c>
      <c r="D75" s="128" t="s">
        <v>196</v>
      </c>
      <c r="E75" s="146">
        <v>46115</v>
      </c>
      <c r="F75" s="131" t="s">
        <v>101</v>
      </c>
      <c r="G75" s="131" t="s">
        <v>102</v>
      </c>
      <c r="H75" s="131" t="s">
        <v>97</v>
      </c>
      <c r="I75" s="132"/>
      <c r="J75" s="131" t="s">
        <v>113</v>
      </c>
      <c r="K75" s="133">
        <v>0</v>
      </c>
      <c r="L75" s="134">
        <v>46111</v>
      </c>
      <c r="M75" s="132"/>
      <c r="N75" s="131" t="s">
        <v>222</v>
      </c>
      <c r="O75" s="130">
        <v>46113</v>
      </c>
      <c r="P75" s="135">
        <v>0</v>
      </c>
      <c r="Q75" s="135">
        <v>400</v>
      </c>
      <c r="R75" s="135">
        <v>114</v>
      </c>
      <c r="S75" s="135">
        <v>0</v>
      </c>
      <c r="T75" s="135">
        <v>514</v>
      </c>
      <c r="U75" s="135">
        <v>514</v>
      </c>
      <c r="V75" s="135">
        <v>0</v>
      </c>
      <c r="W75" s="135">
        <v>308.39999999999998</v>
      </c>
      <c r="X75" s="135">
        <v>311.5</v>
      </c>
      <c r="Y75" s="135">
        <v>2178513.96</v>
      </c>
      <c r="Z75" s="136"/>
      <c r="AA75" s="135">
        <v>54462.849000000002</v>
      </c>
      <c r="AB75" s="135">
        <v>54462.849000000002</v>
      </c>
      <c r="AC75" s="135">
        <v>2287439.66</v>
      </c>
      <c r="AD75" s="137">
        <f t="shared" si="36"/>
        <v>2285152.22034</v>
      </c>
      <c r="AE75" s="138">
        <v>40.25</v>
      </c>
      <c r="AF75" s="135">
        <v>39.6</v>
      </c>
      <c r="AG75" s="138">
        <v>40.200000000000003</v>
      </c>
      <c r="AH75" s="139">
        <v>4.3E-3</v>
      </c>
      <c r="AI75" s="139">
        <v>0.05</v>
      </c>
      <c r="AJ75" s="139">
        <v>5.1999999999999998E-2</v>
      </c>
      <c r="AK75" s="137">
        <f t="shared" si="33"/>
        <v>0</v>
      </c>
      <c r="AL75" s="137"/>
      <c r="AM75" s="137"/>
      <c r="AN75" s="137">
        <v>0</v>
      </c>
      <c r="AO75" s="140">
        <f t="shared" si="34"/>
        <v>4591.5501750971971</v>
      </c>
      <c r="AP75" s="137"/>
      <c r="AQ75" s="137">
        <v>0</v>
      </c>
      <c r="AR75" s="137">
        <f t="shared" si="19"/>
        <v>4591.5501750971971</v>
      </c>
      <c r="AS75" s="137">
        <f t="shared" si="20"/>
        <v>4821</v>
      </c>
      <c r="AT75" s="137">
        <f>BK75+57-62</f>
        <v>64.999999999998863</v>
      </c>
      <c r="AU75" s="141"/>
      <c r="AV75" s="141"/>
      <c r="AW75" s="137">
        <f t="shared" si="21"/>
        <v>30839.999999999996</v>
      </c>
      <c r="AX75" s="137">
        <v>0</v>
      </c>
      <c r="AY75" s="137">
        <f t="shared" si="22"/>
        <v>30839.999999999996</v>
      </c>
      <c r="AZ75" s="137">
        <f t="shared" si="23"/>
        <v>31150</v>
      </c>
      <c r="BA75" s="142">
        <f t="shared" si="24"/>
        <v>-310.00000000000364</v>
      </c>
      <c r="BB75" s="137"/>
      <c r="BC75" s="137">
        <v>0</v>
      </c>
      <c r="BD75" s="142">
        <v>0</v>
      </c>
      <c r="BE75" s="135">
        <v>312.2</v>
      </c>
      <c r="BF75" s="143">
        <f t="shared" si="25"/>
        <v>0.46829999999999999</v>
      </c>
      <c r="BG75" s="143">
        <f t="shared" si="26"/>
        <v>311.73169999999999</v>
      </c>
      <c r="BH75" s="143">
        <f t="shared" si="27"/>
        <v>311.5</v>
      </c>
      <c r="BI75" s="144">
        <f t="shared" si="28"/>
        <v>69.999999999998863</v>
      </c>
      <c r="BJ75" s="144">
        <v>0</v>
      </c>
      <c r="BK75" s="137">
        <f t="shared" si="29"/>
        <v>69.999999999998863</v>
      </c>
      <c r="BL75" s="2"/>
      <c r="BM75" s="10" t="str">
        <f t="shared" si="30"/>
        <v>Unloading no. 72 Bill No L/PB/26-27/8 ,Deduction For Oil Deduction= 0 ,Bardana=  ,F.M=  Brokerage/Rate Difference 0 ,Shortage = 4591.5501750972 ,Greenish=  ,Moisture= 0</v>
      </c>
      <c r="BN75" s="3"/>
      <c r="BO75" s="13" t="str">
        <f t="shared" si="37"/>
        <v xml:space="preserve"> Party Condition 39.6  ,F.M% 0.43 ,Greenish 5 ,Moisture 5.2 ,Shortage in KG= 64.9999999999989  ,Oil% 40.2</v>
      </c>
      <c r="BP75" s="4">
        <f t="shared" si="38"/>
        <v>6978.8841406898964</v>
      </c>
      <c r="BQ75" s="5" t="str">
        <f t="shared" si="31"/>
        <v xml:space="preserve"> 40.2</v>
      </c>
      <c r="BR75" s="6">
        <f t="shared" si="32"/>
        <v>7291.3714902730253</v>
      </c>
      <c r="BS75" s="5" t="s">
        <v>62</v>
      </c>
      <c r="BT75" s="5" t="s">
        <v>63</v>
      </c>
      <c r="BW75" s="92"/>
      <c r="BX75" s="27">
        <v>40.25</v>
      </c>
      <c r="BY75" s="27">
        <v>40.200000000000003</v>
      </c>
      <c r="BZ75" s="96"/>
    </row>
    <row r="76" spans="1:78" s="1" customFormat="1" ht="15" hidden="1" customHeight="1" x14ac:dyDescent="0.3">
      <c r="A76" s="128" t="s">
        <v>142</v>
      </c>
      <c r="B76" s="129">
        <v>46111</v>
      </c>
      <c r="C76" s="128">
        <v>73</v>
      </c>
      <c r="D76" s="128" t="s">
        <v>197</v>
      </c>
      <c r="E76" s="146">
        <v>46115</v>
      </c>
      <c r="F76" s="131" t="s">
        <v>110</v>
      </c>
      <c r="G76" s="131" t="s">
        <v>111</v>
      </c>
      <c r="H76" s="131" t="s">
        <v>112</v>
      </c>
      <c r="I76" s="132"/>
      <c r="J76" s="131" t="s">
        <v>113</v>
      </c>
      <c r="K76" s="133">
        <v>0</v>
      </c>
      <c r="L76" s="134">
        <v>46111</v>
      </c>
      <c r="M76" s="132"/>
      <c r="N76" s="131" t="s">
        <v>223</v>
      </c>
      <c r="O76" s="130">
        <v>46113</v>
      </c>
      <c r="P76" s="135">
        <v>0</v>
      </c>
      <c r="Q76" s="135">
        <v>400</v>
      </c>
      <c r="R76" s="135">
        <v>400</v>
      </c>
      <c r="S76" s="135">
        <v>0</v>
      </c>
      <c r="T76" s="135">
        <v>653</v>
      </c>
      <c r="U76" s="135">
        <v>800</v>
      </c>
      <c r="V76" s="135">
        <v>0</v>
      </c>
      <c r="W76" s="135">
        <v>391.8</v>
      </c>
      <c r="X76" s="135">
        <v>397.55</v>
      </c>
      <c r="Y76" s="135">
        <v>2748085.2</v>
      </c>
      <c r="Z76" s="136"/>
      <c r="AA76" s="135">
        <v>68702.13</v>
      </c>
      <c r="AB76" s="135">
        <v>68702.13</v>
      </c>
      <c r="AC76" s="135">
        <v>2885489.46</v>
      </c>
      <c r="AD76" s="137">
        <f t="shared" si="36"/>
        <v>2882603.9705400001</v>
      </c>
      <c r="AE76" s="138">
        <v>40.44</v>
      </c>
      <c r="AF76" s="135">
        <v>39.72</v>
      </c>
      <c r="AG76" s="138">
        <v>40.340000000000003</v>
      </c>
      <c r="AH76" s="139">
        <v>4.3E-3</v>
      </c>
      <c r="AI76" s="139">
        <v>6.5000000000000002E-2</v>
      </c>
      <c r="AJ76" s="139">
        <v>5.6000000000000001E-2</v>
      </c>
      <c r="AK76" s="137">
        <f t="shared" si="33"/>
        <v>0</v>
      </c>
      <c r="AL76" s="137"/>
      <c r="AM76" s="137"/>
      <c r="AN76" s="137">
        <v>0</v>
      </c>
      <c r="AO76" s="140">
        <f t="shared" si="34"/>
        <v>0</v>
      </c>
      <c r="AP76" s="137"/>
      <c r="AQ76" s="137">
        <v>0</v>
      </c>
      <c r="AR76" s="137">
        <f t="shared" si="19"/>
        <v>0</v>
      </c>
      <c r="AS76" s="137">
        <f t="shared" si="20"/>
        <v>0</v>
      </c>
      <c r="AT76" s="137">
        <f t="shared" si="35"/>
        <v>0</v>
      </c>
      <c r="AU76" s="141"/>
      <c r="AV76" s="141"/>
      <c r="AW76" s="137">
        <f t="shared" si="21"/>
        <v>39180</v>
      </c>
      <c r="AX76" s="137">
        <v>0</v>
      </c>
      <c r="AY76" s="137">
        <f t="shared" si="22"/>
        <v>39180</v>
      </c>
      <c r="AZ76" s="137">
        <f t="shared" si="23"/>
        <v>39755</v>
      </c>
      <c r="BA76" s="142">
        <f t="shared" si="24"/>
        <v>-575</v>
      </c>
      <c r="BB76" s="137"/>
      <c r="BC76" s="137">
        <v>0</v>
      </c>
      <c r="BD76" s="142">
        <v>0</v>
      </c>
      <c r="BE76" s="135">
        <v>397.55</v>
      </c>
      <c r="BF76" s="143">
        <f t="shared" si="25"/>
        <v>0.59632499999999999</v>
      </c>
      <c r="BG76" s="143">
        <f t="shared" si="26"/>
        <v>396.95367500000003</v>
      </c>
      <c r="BH76" s="143">
        <f t="shared" si="27"/>
        <v>397.55</v>
      </c>
      <c r="BI76" s="144">
        <f t="shared" si="28"/>
        <v>0</v>
      </c>
      <c r="BJ76" s="144">
        <v>0</v>
      </c>
      <c r="BK76" s="137">
        <f t="shared" si="29"/>
        <v>0</v>
      </c>
      <c r="BL76" s="2"/>
      <c r="BM76" s="10" t="str">
        <f t="shared" si="30"/>
        <v>Unloading no. 73 Bill No G1640 ,Deduction For Oil Deduction= 0 ,Bardana=  ,F.M=  Brokerage/Rate Difference 0 ,Shortage = 0 ,Greenish=  ,Moisture= 0</v>
      </c>
      <c r="BN76" s="3"/>
      <c r="BO76" s="13" t="str">
        <f t="shared" si="37"/>
        <v xml:space="preserve"> Party Condition 39.72  ,F.M% 0.43 ,Greenish 6.5 ,Moisture 5.6 ,Shortage in KG= 0  ,Oil% 40.34</v>
      </c>
      <c r="BP76" s="4">
        <f t="shared" si="38"/>
        <v>6912.5523833480065</v>
      </c>
      <c r="BQ76" s="5" t="str">
        <f t="shared" si="31"/>
        <v>40.34</v>
      </c>
      <c r="BR76" s="6">
        <f t="shared" si="32"/>
        <v>7197.0054561382312</v>
      </c>
      <c r="BS76" s="5" t="s">
        <v>62</v>
      </c>
      <c r="BT76" s="5" t="s">
        <v>63</v>
      </c>
      <c r="BW76" s="92"/>
      <c r="BX76" s="27">
        <v>40.44</v>
      </c>
      <c r="BY76" s="27">
        <v>40.340000000000003</v>
      </c>
      <c r="BZ76" s="96"/>
    </row>
    <row r="77" spans="1:78" s="1" customFormat="1" ht="15" hidden="1" customHeight="1" x14ac:dyDescent="0.3">
      <c r="A77" s="128" t="s">
        <v>129</v>
      </c>
      <c r="B77" s="129">
        <v>46109</v>
      </c>
      <c r="C77" s="128">
        <v>73</v>
      </c>
      <c r="D77" s="128" t="s">
        <v>197</v>
      </c>
      <c r="E77" s="146">
        <v>46115</v>
      </c>
      <c r="F77" s="131" t="s">
        <v>110</v>
      </c>
      <c r="G77" s="131" t="s">
        <v>111</v>
      </c>
      <c r="H77" s="131" t="s">
        <v>112</v>
      </c>
      <c r="I77" s="132"/>
      <c r="J77" s="131" t="s">
        <v>113</v>
      </c>
      <c r="K77" s="133">
        <v>0</v>
      </c>
      <c r="L77" s="134">
        <v>46109</v>
      </c>
      <c r="M77" s="132"/>
      <c r="N77" s="131" t="s">
        <v>224</v>
      </c>
      <c r="O77" s="130">
        <v>46113</v>
      </c>
      <c r="P77" s="135">
        <v>0</v>
      </c>
      <c r="Q77" s="135">
        <v>0</v>
      </c>
      <c r="R77" s="135">
        <v>0</v>
      </c>
      <c r="S77" s="135">
        <v>0</v>
      </c>
      <c r="T77" s="135">
        <v>147</v>
      </c>
      <c r="U77" s="135">
        <v>0</v>
      </c>
      <c r="V77" s="135">
        <v>0</v>
      </c>
      <c r="W77" s="135">
        <v>88.2</v>
      </c>
      <c r="X77" s="135">
        <v>89.45</v>
      </c>
      <c r="Y77" s="135">
        <v>600553.80000000005</v>
      </c>
      <c r="Z77" s="136"/>
      <c r="AA77" s="135">
        <v>15013.844999999999</v>
      </c>
      <c r="AB77" s="135">
        <v>15013.844999999999</v>
      </c>
      <c r="AC77" s="135">
        <v>630581.49</v>
      </c>
      <c r="AD77" s="137">
        <f t="shared" si="36"/>
        <v>629950.90850999998</v>
      </c>
      <c r="AE77" s="138">
        <v>40.44</v>
      </c>
      <c r="AF77" s="135">
        <v>39.659999999999997</v>
      </c>
      <c r="AG77" s="138">
        <v>40.340000000000003</v>
      </c>
      <c r="AH77" s="139">
        <v>4.3E-3</v>
      </c>
      <c r="AI77" s="139">
        <v>6.5000000000000002E-2</v>
      </c>
      <c r="AJ77" s="139">
        <v>5.6000000000000001E-2</v>
      </c>
      <c r="AK77" s="137">
        <f t="shared" si="33"/>
        <v>0</v>
      </c>
      <c r="AL77" s="137"/>
      <c r="AM77" s="137"/>
      <c r="AN77" s="137">
        <v>0</v>
      </c>
      <c r="AO77" s="140">
        <f t="shared" si="34"/>
        <v>0</v>
      </c>
      <c r="AP77" s="137"/>
      <c r="AQ77" s="137">
        <v>0</v>
      </c>
      <c r="AR77" s="137">
        <f t="shared" si="19"/>
        <v>0</v>
      </c>
      <c r="AS77" s="137">
        <f t="shared" si="20"/>
        <v>0</v>
      </c>
      <c r="AT77" s="137">
        <f t="shared" si="35"/>
        <v>0</v>
      </c>
      <c r="AU77" s="141"/>
      <c r="AV77" s="141"/>
      <c r="AW77" s="137">
        <f t="shared" si="21"/>
        <v>8820</v>
      </c>
      <c r="AX77" s="137">
        <v>0</v>
      </c>
      <c r="AY77" s="137">
        <f t="shared" si="22"/>
        <v>8820</v>
      </c>
      <c r="AZ77" s="137">
        <f t="shared" si="23"/>
        <v>8945</v>
      </c>
      <c r="BA77" s="142">
        <f t="shared" si="24"/>
        <v>-125</v>
      </c>
      <c r="BB77" s="137"/>
      <c r="BC77" s="137">
        <v>0</v>
      </c>
      <c r="BD77" s="142">
        <v>0</v>
      </c>
      <c r="BE77" s="135">
        <v>89.45</v>
      </c>
      <c r="BF77" s="143">
        <f t="shared" si="25"/>
        <v>0.13417500000000002</v>
      </c>
      <c r="BG77" s="143">
        <f t="shared" si="26"/>
        <v>89.315825000000004</v>
      </c>
      <c r="BH77" s="143">
        <f t="shared" si="27"/>
        <v>89.45</v>
      </c>
      <c r="BI77" s="144">
        <f t="shared" si="28"/>
        <v>0</v>
      </c>
      <c r="BJ77" s="144">
        <v>0</v>
      </c>
      <c r="BK77" s="137">
        <f t="shared" si="29"/>
        <v>0</v>
      </c>
      <c r="BL77" s="2"/>
      <c r="BM77" s="10" t="str">
        <f t="shared" si="30"/>
        <v>Unloading no. 73 Bill No G1639 ,Deduction For Oil Deduction= 0 ,Bardana=  ,F.M=  Brokerage/Rate Difference 0 ,Shortage = 0 ,Greenish=  ,Moisture= 0</v>
      </c>
      <c r="BN77" s="3"/>
      <c r="BO77" s="13" t="str">
        <f t="shared" si="37"/>
        <v xml:space="preserve"> Party Condition 39.66  ,F.M% 0.43 ,Greenish 6.5 ,Moisture 5.6 ,Shortage in KG= 0  ,Oil% 40.34</v>
      </c>
      <c r="BP77" s="4">
        <f t="shared" si="38"/>
        <v>6713.8490776970375</v>
      </c>
      <c r="BQ77" s="5" t="str">
        <f t="shared" si="31"/>
        <v>40.34</v>
      </c>
      <c r="BR77" s="6">
        <f t="shared" si="32"/>
        <v>6990.1254651282989</v>
      </c>
      <c r="BS77" s="5" t="s">
        <v>62</v>
      </c>
      <c r="BT77" s="5" t="s">
        <v>63</v>
      </c>
      <c r="BW77" s="92"/>
      <c r="BX77" s="27">
        <v>40.44</v>
      </c>
      <c r="BY77" s="27">
        <v>40.340000000000003</v>
      </c>
      <c r="BZ77" s="96"/>
    </row>
    <row r="78" spans="1:78" s="1" customFormat="1" ht="15" hidden="1" customHeight="1" x14ac:dyDescent="0.3">
      <c r="A78" s="128" t="s">
        <v>143</v>
      </c>
      <c r="B78" s="129">
        <v>46113</v>
      </c>
      <c r="C78" s="128">
        <v>74</v>
      </c>
      <c r="D78" s="128" t="s">
        <v>198</v>
      </c>
      <c r="E78" s="146">
        <v>46115</v>
      </c>
      <c r="F78" s="131" t="s">
        <v>203</v>
      </c>
      <c r="G78" s="131" t="s">
        <v>204</v>
      </c>
      <c r="H78" s="131" t="s">
        <v>205</v>
      </c>
      <c r="I78" s="132"/>
      <c r="J78" s="131" t="s">
        <v>113</v>
      </c>
      <c r="K78" s="133">
        <v>0</v>
      </c>
      <c r="L78" s="134">
        <v>46113</v>
      </c>
      <c r="M78" s="132"/>
      <c r="N78" s="131">
        <v>4</v>
      </c>
      <c r="O78" s="130">
        <v>46113</v>
      </c>
      <c r="P78" s="135">
        <v>0</v>
      </c>
      <c r="Q78" s="135">
        <v>478</v>
      </c>
      <c r="R78" s="135">
        <v>100</v>
      </c>
      <c r="S78" s="135">
        <v>0</v>
      </c>
      <c r="T78" s="135">
        <v>578</v>
      </c>
      <c r="U78" s="135">
        <v>578</v>
      </c>
      <c r="V78" s="135">
        <v>0</v>
      </c>
      <c r="W78" s="135">
        <v>346.8</v>
      </c>
      <c r="X78" s="135">
        <v>351.8</v>
      </c>
      <c r="Y78" s="135">
        <v>2450452.9640000002</v>
      </c>
      <c r="Z78" s="136"/>
      <c r="AA78" s="135">
        <v>61261.324099999998</v>
      </c>
      <c r="AB78" s="135">
        <v>61261.324099999998</v>
      </c>
      <c r="AC78" s="135">
        <v>2572975.61</v>
      </c>
      <c r="AD78" s="137">
        <f t="shared" si="36"/>
        <v>2570402.6343899998</v>
      </c>
      <c r="AE78" s="138">
        <v>39.65</v>
      </c>
      <c r="AF78" s="135">
        <v>38.83</v>
      </c>
      <c r="AG78" s="138">
        <v>39.479999999999997</v>
      </c>
      <c r="AH78" s="139">
        <v>4.1999999999999997E-3</v>
      </c>
      <c r="AI78" s="139">
        <v>0.04</v>
      </c>
      <c r="AJ78" s="139">
        <v>5.6000000000000001E-2</v>
      </c>
      <c r="AK78" s="137">
        <f t="shared" si="33"/>
        <v>0</v>
      </c>
      <c r="AL78" s="137"/>
      <c r="AM78" s="137"/>
      <c r="AN78" s="137">
        <f>W78*1.38</f>
        <v>478.584</v>
      </c>
      <c r="AO78" s="140">
        <f t="shared" si="34"/>
        <v>0</v>
      </c>
      <c r="AP78" s="137"/>
      <c r="AQ78" s="137">
        <v>0</v>
      </c>
      <c r="AR78" s="137">
        <f t="shared" si="19"/>
        <v>478.584</v>
      </c>
      <c r="AS78" s="137">
        <f t="shared" si="20"/>
        <v>503</v>
      </c>
      <c r="AT78" s="137">
        <v>0</v>
      </c>
      <c r="AU78" s="141"/>
      <c r="AV78" s="141"/>
      <c r="AW78" s="137">
        <f t="shared" si="21"/>
        <v>34680</v>
      </c>
      <c r="AX78" s="137">
        <v>0</v>
      </c>
      <c r="AY78" s="137">
        <f t="shared" si="22"/>
        <v>34680</v>
      </c>
      <c r="AZ78" s="137">
        <f t="shared" si="23"/>
        <v>35180</v>
      </c>
      <c r="BA78" s="142">
        <f t="shared" si="24"/>
        <v>-500</v>
      </c>
      <c r="BB78" s="137"/>
      <c r="BC78" s="137">
        <v>0</v>
      </c>
      <c r="BD78" s="142">
        <v>0</v>
      </c>
      <c r="BE78" s="135">
        <v>352.5</v>
      </c>
      <c r="BF78" s="143">
        <f t="shared" si="25"/>
        <v>0.52875000000000005</v>
      </c>
      <c r="BG78" s="143">
        <f t="shared" si="26"/>
        <v>351.97125</v>
      </c>
      <c r="BH78" s="143">
        <f t="shared" si="27"/>
        <v>351.8</v>
      </c>
      <c r="BI78" s="144">
        <f t="shared" si="28"/>
        <v>69.999999999998863</v>
      </c>
      <c r="BJ78" s="144">
        <v>0</v>
      </c>
      <c r="BK78" s="137">
        <f t="shared" si="29"/>
        <v>69.999999999998863</v>
      </c>
      <c r="BL78" s="2"/>
      <c r="BM78" s="10" t="str">
        <f t="shared" si="30"/>
        <v>Unloading no. 74 Bill No 4 ,Deduction For Oil Deduction= 0 ,Bardana=  ,F.M=  Brokerage/Rate Difference 478.584 ,Shortage = 0 ,Greenish=  ,Moisture= 0</v>
      </c>
      <c r="BN78" s="3"/>
      <c r="BO78" s="13" t="str">
        <f t="shared" si="37"/>
        <v xml:space="preserve"> Party Condition 38.83  ,F.M% 0.42 ,Greenish 4 ,Moisture 5.6 ,Shortage in KG= 0  ,Oil% 39.48</v>
      </c>
      <c r="BP78" s="4">
        <f t="shared" si="38"/>
        <v>6964.1113700966462</v>
      </c>
      <c r="BQ78" s="5" t="str">
        <f t="shared" si="31"/>
        <v>39.48</v>
      </c>
      <c r="BR78" s="6">
        <f t="shared" si="32"/>
        <v>7408.6291171240919</v>
      </c>
      <c r="BS78" s="5" t="s">
        <v>62</v>
      </c>
      <c r="BT78" s="5" t="s">
        <v>63</v>
      </c>
      <c r="BW78" s="92"/>
      <c r="BX78" s="27">
        <v>39.65</v>
      </c>
      <c r="BY78" s="27">
        <v>39.479999999999997</v>
      </c>
      <c r="BZ78" s="96"/>
    </row>
    <row r="79" spans="1:78" s="1" customFormat="1" ht="15.75" hidden="1" x14ac:dyDescent="0.3">
      <c r="A79" s="128" t="s">
        <v>133</v>
      </c>
      <c r="B79" s="130">
        <v>46116</v>
      </c>
      <c r="C79" s="128">
        <v>75</v>
      </c>
      <c r="D79" s="128" t="s">
        <v>241</v>
      </c>
      <c r="E79" s="130">
        <v>46116</v>
      </c>
      <c r="F79" s="131" t="s">
        <v>95</v>
      </c>
      <c r="G79" s="131" t="s">
        <v>96</v>
      </c>
      <c r="H79" s="131" t="s">
        <v>97</v>
      </c>
      <c r="I79" s="132"/>
      <c r="J79" s="131" t="s">
        <v>113</v>
      </c>
      <c r="K79" s="133">
        <v>0</v>
      </c>
      <c r="L79" s="134">
        <v>46111</v>
      </c>
      <c r="M79" s="132"/>
      <c r="N79" s="131">
        <v>2</v>
      </c>
      <c r="O79" s="130">
        <v>46113</v>
      </c>
      <c r="P79" s="135">
        <v>0</v>
      </c>
      <c r="Q79" s="135">
        <v>400</v>
      </c>
      <c r="R79" s="135">
        <v>43</v>
      </c>
      <c r="S79" s="135">
        <v>0</v>
      </c>
      <c r="T79" s="135">
        <v>443</v>
      </c>
      <c r="U79" s="135">
        <v>443</v>
      </c>
      <c r="V79" s="135">
        <v>0</v>
      </c>
      <c r="W79" s="135">
        <v>265.8</v>
      </c>
      <c r="X79" s="135">
        <v>269.10000000000002</v>
      </c>
      <c r="Y79" s="135">
        <v>1882840.37</v>
      </c>
      <c r="Z79" s="136"/>
      <c r="AA79" s="135">
        <v>47071.009250000003</v>
      </c>
      <c r="AB79" s="135">
        <v>47071.009250000003</v>
      </c>
      <c r="AC79" s="135">
        <v>1976982.39</v>
      </c>
      <c r="AD79" s="137">
        <f t="shared" si="36"/>
        <v>1975005.4076099999</v>
      </c>
      <c r="AE79" s="138">
        <v>40.799999999999997</v>
      </c>
      <c r="AF79" s="135">
        <v>39.82</v>
      </c>
      <c r="AG79" s="138">
        <v>40.78</v>
      </c>
      <c r="AH79" s="139">
        <v>4.3E-3</v>
      </c>
      <c r="AI79" s="139">
        <v>4.8599999999999997E-2</v>
      </c>
      <c r="AJ79" s="139">
        <v>5.5E-2</v>
      </c>
      <c r="AK79" s="137">
        <f t="shared" ref="AK79:AK129" si="39">+IF(AF79=42,IF(MIN(AE79,AG79)&lt;AF79,Y79*((AF79-MIN(AE79,AG79))/AF79)),IF(MIN(AE79,AG79)&lt;AF79,Y79*((AF79-MIN(AE79,AG79))/AF79),0))</f>
        <v>0</v>
      </c>
      <c r="AL79" s="137"/>
      <c r="AM79" s="137"/>
      <c r="AN79" s="137">
        <v>0</v>
      </c>
      <c r="AO79" s="140">
        <f t="shared" ref="AO79:AO129" si="40">AT79*Y79/AW79</f>
        <v>0</v>
      </c>
      <c r="AP79" s="137"/>
      <c r="AQ79" s="137">
        <v>0</v>
      </c>
      <c r="AR79" s="137">
        <f t="shared" ref="AR79:AR129" si="41">SUM(AK79:AQ79)</f>
        <v>0</v>
      </c>
      <c r="AS79" s="137">
        <f t="shared" ref="AS79:AS129" si="42">ROUND(AR79*1.05,0)</f>
        <v>0</v>
      </c>
      <c r="AT79" s="137">
        <v>0</v>
      </c>
      <c r="AU79" s="141"/>
      <c r="AV79" s="141"/>
      <c r="AW79" s="137">
        <f t="shared" ref="AW79:AW129" si="43">W79*100</f>
        <v>26580</v>
      </c>
      <c r="AX79" s="137">
        <v>0</v>
      </c>
      <c r="AY79" s="137">
        <f t="shared" ref="AY79:AY129" si="44">+AW79+AX79</f>
        <v>26580</v>
      </c>
      <c r="AZ79" s="137">
        <f t="shared" ref="AZ79:AZ129" si="45">X79*100</f>
        <v>26910.000000000004</v>
      </c>
      <c r="BA79" s="142">
        <f t="shared" ref="BA79:BA129" si="46">AY79-AZ79</f>
        <v>-330.00000000000364</v>
      </c>
      <c r="BB79" s="137"/>
      <c r="BC79" s="137">
        <v>0</v>
      </c>
      <c r="BD79" s="142">
        <v>0</v>
      </c>
      <c r="BE79" s="135">
        <v>269.39999999999998</v>
      </c>
      <c r="BF79" s="143">
        <f t="shared" ref="BF79:BF129" si="47">+BE79*0.15/100</f>
        <v>0.40409999999999996</v>
      </c>
      <c r="BG79" s="143">
        <f t="shared" ref="BG79:BG129" si="48">BE79-BF79</f>
        <v>268.99589999999995</v>
      </c>
      <c r="BH79" s="143">
        <f t="shared" ref="BH79:BH129" si="49">X79</f>
        <v>269.10000000000002</v>
      </c>
      <c r="BI79" s="144">
        <f t="shared" ref="BI79:BI129" si="50">(BE79-BH79)*100</f>
        <v>29.999999999995453</v>
      </c>
      <c r="BJ79" s="144">
        <v>0</v>
      </c>
      <c r="BK79" s="137">
        <f t="shared" ref="BK79:BK129" si="51">BI79</f>
        <v>29.999999999995453</v>
      </c>
      <c r="BL79" s="2"/>
      <c r="BM79" s="10" t="str">
        <f t="shared" ref="BM79:BM129" si="52">+$C$1&amp;" "&amp;C79 &amp;" "&amp;$N$1&amp;" "&amp;N79&amp;" "&amp;$BM$1&amp;" "&amp;$AK$1&amp;" "&amp;AK79&amp;" "&amp;$AL$1&amp;" "&amp;AL79&amp;" "&amp;$AM$1&amp;" "&amp;AM79&amp;" "&amp;$AN$1&amp;" "&amp;AN79&amp;" "&amp;$AO$1&amp;" "&amp;AO79&amp;" "&amp;$AP$1&amp;" "&amp;AP79&amp;" "&amp;$AQ$1&amp;" "&amp;AQ79</f>
        <v>Unloading no. 75 Bill No 2 ,Deduction For Oil Deduction= 0 ,Bardana=  ,F.M=  Brokerage/Rate Difference 0 ,Shortage = 0 ,Greenish=  ,Moisture= 0</v>
      </c>
      <c r="BN79" s="3"/>
      <c r="BO79" s="13" t="str">
        <f t="shared" si="37"/>
        <v xml:space="preserve"> Party Condition 39.82  ,F.M% 0.43 ,Greenish 4.86 ,Moisture 5.5 ,Shortage in KG= 0  ,Oil% 40.78</v>
      </c>
      <c r="BP79" s="4">
        <f t="shared" si="38"/>
        <v>6996.8055369751019</v>
      </c>
      <c r="BQ79" s="5" t="str">
        <f t="shared" ref="BQ79:BQ129" si="53">RIGHT(BO79,5)</f>
        <v>40.78</v>
      </c>
      <c r="BR79" s="6">
        <f t="shared" ref="BR79:BR129" si="54">BP79*42/BQ79</f>
        <v>7206.1263499988781</v>
      </c>
      <c r="BS79" s="5" t="s">
        <v>62</v>
      </c>
      <c r="BT79" s="5" t="s">
        <v>63</v>
      </c>
      <c r="BW79" s="92"/>
      <c r="BX79" s="27">
        <v>40.799999999999997</v>
      </c>
      <c r="BY79" s="27">
        <v>40.78</v>
      </c>
      <c r="BZ79" s="96"/>
    </row>
    <row r="80" spans="1:78" s="1" customFormat="1" ht="15.75" hidden="1" x14ac:dyDescent="0.3">
      <c r="A80" s="128" t="s">
        <v>225</v>
      </c>
      <c r="B80" s="130">
        <v>46116</v>
      </c>
      <c r="C80" s="128">
        <v>76</v>
      </c>
      <c r="D80" s="128" t="s">
        <v>242</v>
      </c>
      <c r="E80" s="130">
        <v>46116</v>
      </c>
      <c r="F80" s="131" t="s">
        <v>110</v>
      </c>
      <c r="G80" s="131" t="s">
        <v>111</v>
      </c>
      <c r="H80" s="131" t="s">
        <v>112</v>
      </c>
      <c r="I80" s="132"/>
      <c r="J80" s="131" t="s">
        <v>113</v>
      </c>
      <c r="K80" s="133">
        <v>0</v>
      </c>
      <c r="L80" s="134">
        <v>46113</v>
      </c>
      <c r="M80" s="132"/>
      <c r="N80" s="131" t="s">
        <v>286</v>
      </c>
      <c r="O80" s="130">
        <v>46114</v>
      </c>
      <c r="P80" s="135">
        <v>0</v>
      </c>
      <c r="Q80" s="135">
        <v>600</v>
      </c>
      <c r="R80" s="135">
        <v>93</v>
      </c>
      <c r="S80" s="135">
        <v>0</v>
      </c>
      <c r="T80" s="135">
        <v>693</v>
      </c>
      <c r="U80" s="135">
        <v>693</v>
      </c>
      <c r="V80" s="135">
        <v>0</v>
      </c>
      <c r="W80" s="135">
        <v>415.8</v>
      </c>
      <c r="X80" s="135">
        <v>421.9</v>
      </c>
      <c r="Y80" s="135">
        <v>2921826.6</v>
      </c>
      <c r="Z80" s="136"/>
      <c r="AA80" s="135">
        <v>73045.664999999994</v>
      </c>
      <c r="AB80" s="135">
        <v>73045.664999999994</v>
      </c>
      <c r="AC80" s="135">
        <v>3067917.93</v>
      </c>
      <c r="AD80" s="137">
        <f t="shared" si="36"/>
        <v>3064850.0120700002</v>
      </c>
      <c r="AE80" s="138">
        <v>39.880000000000003</v>
      </c>
      <c r="AF80" s="135">
        <v>39.79</v>
      </c>
      <c r="AG80" s="138">
        <v>40.049999999999997</v>
      </c>
      <c r="AH80" s="139">
        <v>4.1000000000000003E-3</v>
      </c>
      <c r="AI80" s="139">
        <v>4.58E-2</v>
      </c>
      <c r="AJ80" s="139">
        <v>5.5E-2</v>
      </c>
      <c r="AK80" s="137">
        <f t="shared" si="39"/>
        <v>0</v>
      </c>
      <c r="AL80" s="137">
        <f>T80*1</f>
        <v>693</v>
      </c>
      <c r="AM80" s="137"/>
      <c r="AN80" s="137">
        <v>0</v>
      </c>
      <c r="AO80" s="140">
        <f t="shared" si="40"/>
        <v>0</v>
      </c>
      <c r="AP80" s="137"/>
      <c r="AQ80" s="137">
        <v>0</v>
      </c>
      <c r="AR80" s="137">
        <f t="shared" si="41"/>
        <v>693</v>
      </c>
      <c r="AS80" s="137">
        <f t="shared" si="42"/>
        <v>728</v>
      </c>
      <c r="AT80" s="137">
        <v>0</v>
      </c>
      <c r="AU80" s="141"/>
      <c r="AV80" s="141"/>
      <c r="AW80" s="137">
        <f t="shared" si="43"/>
        <v>41580</v>
      </c>
      <c r="AX80" s="137">
        <v>0</v>
      </c>
      <c r="AY80" s="137">
        <f t="shared" si="44"/>
        <v>41580</v>
      </c>
      <c r="AZ80" s="137">
        <f t="shared" si="45"/>
        <v>42190</v>
      </c>
      <c r="BA80" s="142">
        <f t="shared" si="46"/>
        <v>-610</v>
      </c>
      <c r="BB80" s="137"/>
      <c r="BC80" s="137">
        <v>0</v>
      </c>
      <c r="BD80" s="142">
        <v>0</v>
      </c>
      <c r="BE80" s="135">
        <v>421.8</v>
      </c>
      <c r="BF80" s="143">
        <f t="shared" si="47"/>
        <v>0.63269999999999993</v>
      </c>
      <c r="BG80" s="143">
        <f t="shared" si="48"/>
        <v>421.16730000000001</v>
      </c>
      <c r="BH80" s="143">
        <f t="shared" si="49"/>
        <v>421.9</v>
      </c>
      <c r="BI80" s="144">
        <f t="shared" si="50"/>
        <v>-9.9999999999965894</v>
      </c>
      <c r="BJ80" s="144">
        <v>0</v>
      </c>
      <c r="BK80" s="137">
        <f t="shared" si="51"/>
        <v>-9.9999999999965894</v>
      </c>
      <c r="BL80" s="2"/>
      <c r="BM80" s="10" t="str">
        <f t="shared" si="52"/>
        <v>Unloading no. 76 Bill No G1641 ,Deduction For Oil Deduction= 0 ,Bardana= 693 ,F.M=  Brokerage/Rate Difference 0 ,Shortage = 0 ,Greenish=  ,Moisture= 0</v>
      </c>
      <c r="BN80" s="3"/>
      <c r="BO80" s="13" t="str">
        <f t="shared" si="37"/>
        <v xml:space="preserve"> Party Condition 39.79  ,F.M% 0.41 ,Greenish 4.58 ,Moisture 5.5 ,Shortage in KG= 0  ,Oil% 39.88</v>
      </c>
      <c r="BP80" s="4">
        <f t="shared" si="38"/>
        <v>6923.7582365489461</v>
      </c>
      <c r="BQ80" s="5" t="str">
        <f t="shared" si="53"/>
        <v>39.88</v>
      </c>
      <c r="BR80" s="6">
        <f t="shared" si="54"/>
        <v>7291.8216132160414</v>
      </c>
      <c r="BS80" s="5" t="s">
        <v>62</v>
      </c>
      <c r="BT80" s="5" t="s">
        <v>63</v>
      </c>
      <c r="BW80" s="92"/>
      <c r="BX80" s="27">
        <v>39.880000000000003</v>
      </c>
      <c r="BY80" s="27">
        <v>40.049999999999997</v>
      </c>
      <c r="BZ80" s="96"/>
    </row>
    <row r="81" spans="1:78" s="1" customFormat="1" ht="15.75" hidden="1" x14ac:dyDescent="0.3">
      <c r="A81" s="128" t="s">
        <v>226</v>
      </c>
      <c r="B81" s="130">
        <v>46116</v>
      </c>
      <c r="C81" s="128">
        <v>77</v>
      </c>
      <c r="D81" s="128" t="s">
        <v>243</v>
      </c>
      <c r="E81" s="130">
        <v>46116</v>
      </c>
      <c r="F81" s="131" t="s">
        <v>200</v>
      </c>
      <c r="G81" s="131" t="s">
        <v>201</v>
      </c>
      <c r="H81" s="131" t="s">
        <v>202</v>
      </c>
      <c r="I81" s="132"/>
      <c r="J81" s="131" t="s">
        <v>113</v>
      </c>
      <c r="K81" s="133">
        <v>0</v>
      </c>
      <c r="L81" s="134">
        <v>46113</v>
      </c>
      <c r="M81" s="132"/>
      <c r="N81" s="131">
        <v>13</v>
      </c>
      <c r="O81" s="130">
        <v>46113</v>
      </c>
      <c r="P81" s="135">
        <v>0</v>
      </c>
      <c r="Q81" s="135">
        <v>527</v>
      </c>
      <c r="R81" s="135">
        <v>100</v>
      </c>
      <c r="S81" s="135">
        <v>0</v>
      </c>
      <c r="T81" s="135">
        <v>627</v>
      </c>
      <c r="U81" s="135">
        <v>627</v>
      </c>
      <c r="V81" s="135">
        <v>0</v>
      </c>
      <c r="W81" s="135">
        <v>376.2</v>
      </c>
      <c r="X81" s="135">
        <v>382.3</v>
      </c>
      <c r="Y81" s="135">
        <v>2665385.7799999998</v>
      </c>
      <c r="Z81" s="136"/>
      <c r="AA81" s="135">
        <v>66634.644499999995</v>
      </c>
      <c r="AB81" s="135">
        <v>66634.644499999995</v>
      </c>
      <c r="AC81" s="135">
        <v>2798655.07</v>
      </c>
      <c r="AD81" s="137">
        <f t="shared" si="36"/>
        <v>2795856.41493</v>
      </c>
      <c r="AE81" s="138">
        <v>39.700000000000003</v>
      </c>
      <c r="AF81" s="135">
        <v>39.5</v>
      </c>
      <c r="AG81" s="138">
        <v>39.729999999999997</v>
      </c>
      <c r="AH81" s="139">
        <v>4.3E-3</v>
      </c>
      <c r="AI81" s="139">
        <v>3.7999999999999999E-2</v>
      </c>
      <c r="AJ81" s="139">
        <v>5.0999999999999997E-2</v>
      </c>
      <c r="AK81" s="137">
        <f t="shared" si="39"/>
        <v>0</v>
      </c>
      <c r="AL81" s="137"/>
      <c r="AM81" s="137"/>
      <c r="AN81" s="137">
        <v>0</v>
      </c>
      <c r="AO81" s="140">
        <f t="shared" si="40"/>
        <v>0</v>
      </c>
      <c r="AP81" s="137"/>
      <c r="AQ81" s="137">
        <v>0</v>
      </c>
      <c r="AR81" s="137">
        <f t="shared" si="41"/>
        <v>0</v>
      </c>
      <c r="AS81" s="137">
        <f t="shared" si="42"/>
        <v>0</v>
      </c>
      <c r="AT81" s="137">
        <v>0</v>
      </c>
      <c r="AU81" s="141"/>
      <c r="AV81" s="141"/>
      <c r="AW81" s="137">
        <f t="shared" si="43"/>
        <v>37620</v>
      </c>
      <c r="AX81" s="137">
        <v>0</v>
      </c>
      <c r="AY81" s="137">
        <f t="shared" si="44"/>
        <v>37620</v>
      </c>
      <c r="AZ81" s="137">
        <f t="shared" si="45"/>
        <v>38230</v>
      </c>
      <c r="BA81" s="142">
        <f t="shared" si="46"/>
        <v>-610</v>
      </c>
      <c r="BB81" s="137"/>
      <c r="BC81" s="137">
        <v>0</v>
      </c>
      <c r="BD81" s="142">
        <v>0</v>
      </c>
      <c r="BE81" s="135">
        <v>382.55</v>
      </c>
      <c r="BF81" s="143">
        <f t="shared" si="47"/>
        <v>0.57382500000000003</v>
      </c>
      <c r="BG81" s="143">
        <f t="shared" si="48"/>
        <v>381.97617500000001</v>
      </c>
      <c r="BH81" s="143">
        <f t="shared" si="49"/>
        <v>382.3</v>
      </c>
      <c r="BI81" s="144">
        <f t="shared" si="50"/>
        <v>25</v>
      </c>
      <c r="BJ81" s="144">
        <v>0</v>
      </c>
      <c r="BK81" s="137">
        <f t="shared" si="51"/>
        <v>25</v>
      </c>
      <c r="BL81" s="2"/>
      <c r="BM81" s="10" t="str">
        <f t="shared" si="52"/>
        <v>Unloading no. 77 Bill No 13 ,Deduction For Oil Deduction= 0 ,Bardana=  ,F.M=  Brokerage/Rate Difference 0 ,Shortage = 0 ,Greenish=  ,Moisture= 0</v>
      </c>
      <c r="BN81" s="3"/>
      <c r="BO81" s="13" t="str">
        <f t="shared" si="37"/>
        <v xml:space="preserve"> Party Condition 39.5  ,F.M% 0.43 ,Greenish 3.8 ,Moisture 5.1 ,Shortage in KG= 0  ,Oil% 39.7</v>
      </c>
      <c r="BP81" s="4">
        <f t="shared" si="38"/>
        <v>6971.9743133664651</v>
      </c>
      <c r="BQ81" s="5" t="str">
        <f t="shared" si="53"/>
        <v xml:space="preserve"> 39.7</v>
      </c>
      <c r="BR81" s="6">
        <f t="shared" si="54"/>
        <v>7375.8922206899624</v>
      </c>
      <c r="BS81" s="5" t="s">
        <v>62</v>
      </c>
      <c r="BT81" s="5" t="s">
        <v>63</v>
      </c>
      <c r="BW81" s="92"/>
      <c r="BX81" s="27">
        <v>39.700000000000003</v>
      </c>
      <c r="BY81" s="27">
        <v>39.729999999999997</v>
      </c>
      <c r="BZ81" s="96"/>
    </row>
    <row r="82" spans="1:78" s="1" customFormat="1" ht="15.75" hidden="1" x14ac:dyDescent="0.3">
      <c r="A82" s="128" t="s">
        <v>226</v>
      </c>
      <c r="B82" s="130">
        <v>46116</v>
      </c>
      <c r="C82" s="128">
        <v>78</v>
      </c>
      <c r="D82" s="128" t="s">
        <v>244</v>
      </c>
      <c r="E82" s="130">
        <v>46116</v>
      </c>
      <c r="F82" s="131" t="s">
        <v>200</v>
      </c>
      <c r="G82" s="131" t="s">
        <v>201</v>
      </c>
      <c r="H82" s="131" t="s">
        <v>202</v>
      </c>
      <c r="I82" s="132"/>
      <c r="J82" s="131" t="s">
        <v>113</v>
      </c>
      <c r="K82" s="133">
        <v>0</v>
      </c>
      <c r="L82" s="134">
        <v>46113</v>
      </c>
      <c r="M82" s="132"/>
      <c r="N82" s="131">
        <v>14</v>
      </c>
      <c r="O82" s="130">
        <v>46113</v>
      </c>
      <c r="P82" s="135">
        <v>0</v>
      </c>
      <c r="Q82" s="135">
        <v>400</v>
      </c>
      <c r="R82" s="135">
        <v>218</v>
      </c>
      <c r="S82" s="135">
        <v>0</v>
      </c>
      <c r="T82" s="135">
        <v>618</v>
      </c>
      <c r="U82" s="135">
        <v>618</v>
      </c>
      <c r="V82" s="135">
        <v>0</v>
      </c>
      <c r="W82" s="135">
        <v>370.8</v>
      </c>
      <c r="X82" s="135">
        <v>377.1</v>
      </c>
      <c r="Y82" s="135">
        <v>2627126.65</v>
      </c>
      <c r="Z82" s="136"/>
      <c r="AA82" s="135">
        <v>65678.166249999995</v>
      </c>
      <c r="AB82" s="135">
        <v>65678.166249999995</v>
      </c>
      <c r="AC82" s="135">
        <v>2758482.98</v>
      </c>
      <c r="AD82" s="137">
        <f t="shared" si="36"/>
        <v>2755724.4970200001</v>
      </c>
      <c r="AE82" s="138">
        <v>39.76</v>
      </c>
      <c r="AF82" s="135">
        <v>39.5</v>
      </c>
      <c r="AG82" s="138">
        <v>39.58</v>
      </c>
      <c r="AH82" s="139">
        <v>4.1000000000000003E-3</v>
      </c>
      <c r="AI82" s="139">
        <v>4.1799999999999997E-2</v>
      </c>
      <c r="AJ82" s="139">
        <v>5.1999999999999998E-2</v>
      </c>
      <c r="AK82" s="137">
        <f t="shared" si="39"/>
        <v>0</v>
      </c>
      <c r="AL82" s="137"/>
      <c r="AM82" s="137"/>
      <c r="AN82" s="137">
        <v>0</v>
      </c>
      <c r="AO82" s="140">
        <f t="shared" si="40"/>
        <v>0</v>
      </c>
      <c r="AP82" s="137"/>
      <c r="AQ82" s="137">
        <v>0</v>
      </c>
      <c r="AR82" s="137">
        <f t="shared" si="41"/>
        <v>0</v>
      </c>
      <c r="AS82" s="137">
        <f t="shared" si="42"/>
        <v>0</v>
      </c>
      <c r="AT82" s="137">
        <v>0</v>
      </c>
      <c r="AU82" s="141"/>
      <c r="AV82" s="141"/>
      <c r="AW82" s="137">
        <f t="shared" si="43"/>
        <v>37080</v>
      </c>
      <c r="AX82" s="137">
        <v>0</v>
      </c>
      <c r="AY82" s="137">
        <f t="shared" si="44"/>
        <v>37080</v>
      </c>
      <c r="AZ82" s="137">
        <f t="shared" si="45"/>
        <v>37710</v>
      </c>
      <c r="BA82" s="142">
        <f t="shared" si="46"/>
        <v>-630</v>
      </c>
      <c r="BB82" s="137"/>
      <c r="BC82" s="137">
        <v>0</v>
      </c>
      <c r="BD82" s="142">
        <v>0</v>
      </c>
      <c r="BE82" s="135">
        <v>376.65</v>
      </c>
      <c r="BF82" s="143">
        <f t="shared" si="47"/>
        <v>0.564975</v>
      </c>
      <c r="BG82" s="143">
        <f t="shared" si="48"/>
        <v>376.08502499999997</v>
      </c>
      <c r="BH82" s="143">
        <f t="shared" si="49"/>
        <v>377.1</v>
      </c>
      <c r="BI82" s="144">
        <f t="shared" si="50"/>
        <v>-45.000000000004547</v>
      </c>
      <c r="BJ82" s="144">
        <v>0</v>
      </c>
      <c r="BK82" s="137">
        <f t="shared" si="51"/>
        <v>-45.000000000004547</v>
      </c>
      <c r="BL82" s="2"/>
      <c r="BM82" s="10" t="str">
        <f t="shared" si="52"/>
        <v>Unloading no. 78 Bill No 14 ,Deduction For Oil Deduction= 0 ,Bardana=  ,F.M=  Brokerage/Rate Difference 0 ,Shortage = 0 ,Greenish=  ,Moisture= 0</v>
      </c>
      <c r="BN82" s="3"/>
      <c r="BO82" s="13" t="str">
        <f t="shared" si="37"/>
        <v xml:space="preserve"> Party Condition 39.5  ,F.M% 0.41 ,Greenish 4.18 ,Moisture 5.2 ,Shortage in KG= 0  ,Oil% 39.58</v>
      </c>
      <c r="BP82" s="4">
        <f t="shared" si="38"/>
        <v>6966.6577830814103</v>
      </c>
      <c r="BQ82" s="5" t="str">
        <f t="shared" si="53"/>
        <v>39.58</v>
      </c>
      <c r="BR82" s="6">
        <f t="shared" si="54"/>
        <v>7392.6131098893184</v>
      </c>
      <c r="BS82" s="5" t="s">
        <v>62</v>
      </c>
      <c r="BT82" s="5" t="s">
        <v>63</v>
      </c>
      <c r="BW82" s="92"/>
      <c r="BX82" s="27">
        <v>39.76</v>
      </c>
      <c r="BY82" s="27">
        <v>39.58</v>
      </c>
      <c r="BZ82" s="96"/>
    </row>
    <row r="83" spans="1:78" s="1" customFormat="1" ht="15.75" hidden="1" x14ac:dyDescent="0.3">
      <c r="A83" s="128" t="s">
        <v>226</v>
      </c>
      <c r="B83" s="130">
        <v>46116</v>
      </c>
      <c r="C83" s="128">
        <v>79</v>
      </c>
      <c r="D83" s="128" t="s">
        <v>245</v>
      </c>
      <c r="E83" s="130">
        <v>46116</v>
      </c>
      <c r="F83" s="131" t="s">
        <v>200</v>
      </c>
      <c r="G83" s="131" t="s">
        <v>201</v>
      </c>
      <c r="H83" s="131" t="s">
        <v>202</v>
      </c>
      <c r="I83" s="132"/>
      <c r="J83" s="131" t="s">
        <v>113</v>
      </c>
      <c r="K83" s="133">
        <v>0</v>
      </c>
      <c r="L83" s="134">
        <v>46113</v>
      </c>
      <c r="M83" s="132"/>
      <c r="N83" s="131">
        <v>12</v>
      </c>
      <c r="O83" s="130">
        <v>46113</v>
      </c>
      <c r="P83" s="135">
        <v>0</v>
      </c>
      <c r="Q83" s="135">
        <v>516</v>
      </c>
      <c r="R83" s="135">
        <v>100</v>
      </c>
      <c r="S83" s="135">
        <v>0</v>
      </c>
      <c r="T83" s="135">
        <v>616</v>
      </c>
      <c r="U83" s="135">
        <v>616</v>
      </c>
      <c r="V83" s="135">
        <v>0</v>
      </c>
      <c r="W83" s="135">
        <v>369.6</v>
      </c>
      <c r="X83" s="135">
        <v>375.3</v>
      </c>
      <c r="Y83" s="135">
        <v>2618624.62</v>
      </c>
      <c r="Z83" s="136"/>
      <c r="AA83" s="135">
        <v>65465.6155</v>
      </c>
      <c r="AB83" s="135">
        <v>65465.6155</v>
      </c>
      <c r="AC83" s="135">
        <v>2749555.85</v>
      </c>
      <c r="AD83" s="137">
        <f t="shared" si="36"/>
        <v>2746806.29415</v>
      </c>
      <c r="AE83" s="138">
        <v>40.43</v>
      </c>
      <c r="AF83" s="135">
        <v>39.5</v>
      </c>
      <c r="AG83" s="138">
        <v>39.42</v>
      </c>
      <c r="AH83" s="139">
        <v>4.4999999999999997E-3</v>
      </c>
      <c r="AI83" s="139">
        <v>3.7999999999999999E-2</v>
      </c>
      <c r="AJ83" s="139">
        <v>5.5E-2</v>
      </c>
      <c r="AK83" s="137">
        <v>0</v>
      </c>
      <c r="AL83" s="137"/>
      <c r="AM83" s="137"/>
      <c r="AN83" s="137">
        <v>0</v>
      </c>
      <c r="AO83" s="140">
        <f t="shared" si="40"/>
        <v>0</v>
      </c>
      <c r="AP83" s="137"/>
      <c r="AQ83" s="137">
        <v>0</v>
      </c>
      <c r="AR83" s="137">
        <f t="shared" si="41"/>
        <v>0</v>
      </c>
      <c r="AS83" s="137">
        <f t="shared" si="42"/>
        <v>0</v>
      </c>
      <c r="AT83" s="137">
        <v>0</v>
      </c>
      <c r="AU83" s="141"/>
      <c r="AV83" s="141"/>
      <c r="AW83" s="137">
        <f t="shared" si="43"/>
        <v>36960</v>
      </c>
      <c r="AX83" s="137">
        <v>0</v>
      </c>
      <c r="AY83" s="137">
        <f t="shared" si="44"/>
        <v>36960</v>
      </c>
      <c r="AZ83" s="137">
        <f t="shared" si="45"/>
        <v>37530</v>
      </c>
      <c r="BA83" s="142">
        <f t="shared" si="46"/>
        <v>-570</v>
      </c>
      <c r="BB83" s="137"/>
      <c r="BC83" s="137">
        <v>0</v>
      </c>
      <c r="BD83" s="142">
        <v>0</v>
      </c>
      <c r="BE83" s="135">
        <v>375.95</v>
      </c>
      <c r="BF83" s="143">
        <f t="shared" si="47"/>
        <v>0.56392500000000001</v>
      </c>
      <c r="BG83" s="143">
        <f t="shared" si="48"/>
        <v>375.38607500000001</v>
      </c>
      <c r="BH83" s="143">
        <f t="shared" si="49"/>
        <v>375.3</v>
      </c>
      <c r="BI83" s="144">
        <f t="shared" si="50"/>
        <v>64.999999999997726</v>
      </c>
      <c r="BJ83" s="144">
        <v>0</v>
      </c>
      <c r="BK83" s="137">
        <f t="shared" si="51"/>
        <v>64.999999999997726</v>
      </c>
      <c r="BL83" s="2"/>
      <c r="BM83" s="10" t="str">
        <f t="shared" si="52"/>
        <v>Unloading no. 79 Bill No 12 ,Deduction For Oil Deduction= 0 ,Bardana=  ,F.M=  Brokerage/Rate Difference 0 ,Shortage = 0 ,Greenish=  ,Moisture= 0</v>
      </c>
      <c r="BN83" s="3"/>
      <c r="BO83" s="13" t="str">
        <f t="shared" si="37"/>
        <v xml:space="preserve"> Party Condition 39.5  ,F.M% 0.45 ,Greenish 3.8 ,Moisture 5.5 ,Shortage in KG= 0  ,Oil% 39.42</v>
      </c>
      <c r="BP83" s="4">
        <f t="shared" si="38"/>
        <v>6977.4170530242473</v>
      </c>
      <c r="BQ83" s="5" t="str">
        <f t="shared" si="53"/>
        <v>39.42</v>
      </c>
      <c r="BR83" s="6">
        <f t="shared" si="54"/>
        <v>7434.0820960684514</v>
      </c>
      <c r="BS83" s="5" t="s">
        <v>62</v>
      </c>
      <c r="BT83" s="5" t="s">
        <v>63</v>
      </c>
      <c r="BW83" s="92"/>
      <c r="BX83" s="27">
        <v>40.43</v>
      </c>
      <c r="BY83" s="27">
        <v>39.42</v>
      </c>
      <c r="BZ83" s="96"/>
    </row>
    <row r="84" spans="1:78" s="1" customFormat="1" ht="15.75" hidden="1" x14ac:dyDescent="0.3">
      <c r="A84" s="128" t="s">
        <v>133</v>
      </c>
      <c r="B84" s="130">
        <v>46116</v>
      </c>
      <c r="C84" s="128">
        <v>80</v>
      </c>
      <c r="D84" s="128" t="s">
        <v>246</v>
      </c>
      <c r="E84" s="130">
        <v>46116</v>
      </c>
      <c r="F84" s="131" t="s">
        <v>95</v>
      </c>
      <c r="G84" s="131" t="s">
        <v>96</v>
      </c>
      <c r="H84" s="131" t="s">
        <v>97</v>
      </c>
      <c r="I84" s="132"/>
      <c r="J84" s="131" t="s">
        <v>113</v>
      </c>
      <c r="K84" s="133">
        <v>0</v>
      </c>
      <c r="L84" s="134">
        <v>46111</v>
      </c>
      <c r="M84" s="132"/>
      <c r="N84" s="131">
        <v>4</v>
      </c>
      <c r="O84" s="130">
        <v>46114</v>
      </c>
      <c r="P84" s="135">
        <v>0</v>
      </c>
      <c r="Q84" s="135">
        <v>131</v>
      </c>
      <c r="R84" s="135">
        <v>300</v>
      </c>
      <c r="S84" s="135">
        <v>0</v>
      </c>
      <c r="T84" s="135">
        <v>431</v>
      </c>
      <c r="U84" s="135">
        <v>431</v>
      </c>
      <c r="V84" s="135">
        <v>0</v>
      </c>
      <c r="W84" s="135">
        <v>258.60000000000002</v>
      </c>
      <c r="X84" s="135">
        <v>262.60000000000002</v>
      </c>
      <c r="Y84" s="135">
        <v>1831837.92</v>
      </c>
      <c r="Z84" s="136"/>
      <c r="AA84" s="135">
        <v>45795.947999999997</v>
      </c>
      <c r="AB84" s="135">
        <v>45795.947999999997</v>
      </c>
      <c r="AC84" s="135">
        <v>1923429.82</v>
      </c>
      <c r="AD84" s="137">
        <f t="shared" si="36"/>
        <v>1921506.3901800001</v>
      </c>
      <c r="AE84" s="138">
        <v>40.4</v>
      </c>
      <c r="AF84" s="135">
        <v>39.82</v>
      </c>
      <c r="AG84" s="138">
        <v>40.200000000000003</v>
      </c>
      <c r="AH84" s="139">
        <v>4.3E-3</v>
      </c>
      <c r="AI84" s="139">
        <v>0.05</v>
      </c>
      <c r="AJ84" s="139">
        <v>5.3999999999999999E-2</v>
      </c>
      <c r="AK84" s="137">
        <f t="shared" si="39"/>
        <v>0</v>
      </c>
      <c r="AL84" s="137"/>
      <c r="AM84" s="137"/>
      <c r="AN84" s="137">
        <v>0</v>
      </c>
      <c r="AO84" s="140">
        <f t="shared" si="40"/>
        <v>0</v>
      </c>
      <c r="AP84" s="137"/>
      <c r="AQ84" s="137">
        <v>0</v>
      </c>
      <c r="AR84" s="137">
        <f t="shared" si="41"/>
        <v>0</v>
      </c>
      <c r="AS84" s="137">
        <f t="shared" si="42"/>
        <v>0</v>
      </c>
      <c r="AT84" s="137">
        <v>0</v>
      </c>
      <c r="AU84" s="141"/>
      <c r="AV84" s="141"/>
      <c r="AW84" s="137">
        <f t="shared" si="43"/>
        <v>25860.000000000004</v>
      </c>
      <c r="AX84" s="137">
        <v>0</v>
      </c>
      <c r="AY84" s="137">
        <f t="shared" si="44"/>
        <v>25860.000000000004</v>
      </c>
      <c r="AZ84" s="137">
        <f t="shared" si="45"/>
        <v>26260.000000000004</v>
      </c>
      <c r="BA84" s="142">
        <f t="shared" si="46"/>
        <v>-400</v>
      </c>
      <c r="BB84" s="137"/>
      <c r="BC84" s="137">
        <v>0</v>
      </c>
      <c r="BD84" s="142">
        <v>0</v>
      </c>
      <c r="BE84" s="135">
        <v>262.89999999999998</v>
      </c>
      <c r="BF84" s="143">
        <f t="shared" si="47"/>
        <v>0.39434999999999998</v>
      </c>
      <c r="BG84" s="143">
        <f t="shared" si="48"/>
        <v>262.50565</v>
      </c>
      <c r="BH84" s="143">
        <f t="shared" si="49"/>
        <v>262.60000000000002</v>
      </c>
      <c r="BI84" s="144">
        <f t="shared" si="50"/>
        <v>29.999999999995453</v>
      </c>
      <c r="BJ84" s="144">
        <v>0</v>
      </c>
      <c r="BK84" s="137">
        <f t="shared" si="51"/>
        <v>29.999999999995453</v>
      </c>
      <c r="BL84" s="2"/>
      <c r="BM84" s="10" t="str">
        <f t="shared" si="52"/>
        <v>Unloading no. 80 Bill No 4 ,Deduction For Oil Deduction= 0 ,Bardana=  ,F.M=  Brokerage/Rate Difference 0 ,Shortage = 0 ,Greenish=  ,Moisture= 0</v>
      </c>
      <c r="BN84" s="3"/>
      <c r="BO84" s="13" t="str">
        <f t="shared" si="37"/>
        <v xml:space="preserve"> Party Condition 39.82  ,F.M% 0.43 ,Greenish 5 ,Moisture 5.4 ,Shortage in KG= 0  ,Oil% 40.2</v>
      </c>
      <c r="BP84" s="4">
        <f t="shared" si="38"/>
        <v>6975.7727341964955</v>
      </c>
      <c r="BQ84" s="5" t="str">
        <f t="shared" si="53"/>
        <v xml:space="preserve"> 40.2</v>
      </c>
      <c r="BR84" s="6">
        <f t="shared" si="54"/>
        <v>7288.1207670709646</v>
      </c>
      <c r="BS84" s="5" t="s">
        <v>62</v>
      </c>
      <c r="BT84" s="5" t="s">
        <v>63</v>
      </c>
      <c r="BW84" s="92"/>
      <c r="BX84" s="27">
        <v>40.4</v>
      </c>
      <c r="BY84" s="27">
        <v>40.200000000000003</v>
      </c>
      <c r="BZ84" s="96"/>
    </row>
    <row r="85" spans="1:78" s="1" customFormat="1" ht="15.75" hidden="1" x14ac:dyDescent="0.3">
      <c r="A85" s="128" t="s">
        <v>227</v>
      </c>
      <c r="B85" s="130">
        <v>46116</v>
      </c>
      <c r="C85" s="128">
        <v>81</v>
      </c>
      <c r="D85" s="128" t="s">
        <v>247</v>
      </c>
      <c r="E85" s="130">
        <v>46116</v>
      </c>
      <c r="F85" s="131" t="s">
        <v>98</v>
      </c>
      <c r="G85" s="149" t="s">
        <v>99</v>
      </c>
      <c r="H85" s="131" t="s">
        <v>199</v>
      </c>
      <c r="I85" s="132"/>
      <c r="J85" s="131" t="s">
        <v>113</v>
      </c>
      <c r="K85" s="133">
        <v>0</v>
      </c>
      <c r="L85" s="134">
        <v>46113</v>
      </c>
      <c r="M85" s="132"/>
      <c r="N85" s="131">
        <v>4</v>
      </c>
      <c r="O85" s="130">
        <v>46114</v>
      </c>
      <c r="P85" s="135">
        <v>0</v>
      </c>
      <c r="Q85" s="135">
        <v>600</v>
      </c>
      <c r="R85" s="135">
        <v>122</v>
      </c>
      <c r="S85" s="135">
        <v>0</v>
      </c>
      <c r="T85" s="135">
        <v>722</v>
      </c>
      <c r="U85" s="135">
        <v>722</v>
      </c>
      <c r="V85" s="135">
        <v>0</v>
      </c>
      <c r="W85" s="135">
        <v>433.2</v>
      </c>
      <c r="X85" s="135">
        <v>437.6</v>
      </c>
      <c r="Y85" s="135">
        <v>3056337.19</v>
      </c>
      <c r="Z85" s="136"/>
      <c r="AA85" s="135">
        <v>76408.429749999996</v>
      </c>
      <c r="AB85" s="135">
        <v>76408.429749999996</v>
      </c>
      <c r="AC85" s="135">
        <v>3209154.05</v>
      </c>
      <c r="AD85" s="137">
        <f t="shared" si="36"/>
        <v>3205944.8959499998</v>
      </c>
      <c r="AE85" s="138">
        <v>39.840000000000003</v>
      </c>
      <c r="AF85" s="135">
        <v>39.380000000000003</v>
      </c>
      <c r="AG85" s="138">
        <v>39.520000000000003</v>
      </c>
      <c r="AH85" s="139">
        <v>4.3E-3</v>
      </c>
      <c r="AI85" s="139">
        <v>0.04</v>
      </c>
      <c r="AJ85" s="139">
        <v>5.5E-2</v>
      </c>
      <c r="AK85" s="137">
        <f t="shared" si="39"/>
        <v>0</v>
      </c>
      <c r="AL85" s="137">
        <f>T85*0.5</f>
        <v>361</v>
      </c>
      <c r="AM85" s="137"/>
      <c r="AN85" s="137">
        <f>W85*34</f>
        <v>14728.8</v>
      </c>
      <c r="AO85" s="140">
        <f t="shared" si="40"/>
        <v>5996.9681705909516</v>
      </c>
      <c r="AP85" s="137"/>
      <c r="AQ85" s="137">
        <v>0</v>
      </c>
      <c r="AR85" s="137">
        <f t="shared" si="41"/>
        <v>21086.768170590949</v>
      </c>
      <c r="AS85" s="137">
        <f t="shared" si="42"/>
        <v>22141</v>
      </c>
      <c r="AT85" s="137">
        <v>85</v>
      </c>
      <c r="AU85" s="141"/>
      <c r="AV85" s="141"/>
      <c r="AW85" s="137">
        <f t="shared" si="43"/>
        <v>43320</v>
      </c>
      <c r="AX85" s="137">
        <v>0</v>
      </c>
      <c r="AY85" s="137">
        <f t="shared" si="44"/>
        <v>43320</v>
      </c>
      <c r="AZ85" s="137">
        <f t="shared" si="45"/>
        <v>43760</v>
      </c>
      <c r="BA85" s="142">
        <f t="shared" si="46"/>
        <v>-440</v>
      </c>
      <c r="BB85" s="137"/>
      <c r="BC85" s="137">
        <v>0</v>
      </c>
      <c r="BD85" s="142">
        <v>0</v>
      </c>
      <c r="BE85" s="135">
        <v>438.3</v>
      </c>
      <c r="BF85" s="143">
        <f t="shared" si="47"/>
        <v>0.65745000000000009</v>
      </c>
      <c r="BG85" s="143">
        <f t="shared" si="48"/>
        <v>437.64255000000003</v>
      </c>
      <c r="BH85" s="143">
        <f t="shared" si="49"/>
        <v>437.6</v>
      </c>
      <c r="BI85" s="144">
        <f t="shared" si="50"/>
        <v>69.999999999998863</v>
      </c>
      <c r="BJ85" s="144">
        <v>0</v>
      </c>
      <c r="BK85" s="137">
        <f t="shared" si="51"/>
        <v>69.999999999998863</v>
      </c>
      <c r="BL85" s="2"/>
      <c r="BM85" s="10" t="str">
        <f t="shared" si="52"/>
        <v>Unloading no. 81 Bill No 4 ,Deduction For Oil Deduction= 0 ,Bardana= 361 ,F.M=  Brokerage/Rate Difference 14728.8 ,Shortage = 5996.96817059095 ,Greenish=  ,Moisture= 0</v>
      </c>
      <c r="BN85" s="3"/>
      <c r="BO85" s="13" t="str">
        <f t="shared" si="37"/>
        <v xml:space="preserve"> Party Condition 39.38  ,F.M% 0.43 ,Greenish 4 ,Moisture 5.5 ,Shortage in KG= 85  ,Oil% 39.52</v>
      </c>
      <c r="BP85" s="4">
        <f t="shared" si="38"/>
        <v>6936.1298487874974</v>
      </c>
      <c r="BQ85" s="5" t="str">
        <f t="shared" si="53"/>
        <v>39.52</v>
      </c>
      <c r="BR85" s="6">
        <f t="shared" si="54"/>
        <v>7371.393057921935</v>
      </c>
      <c r="BS85" s="5" t="s">
        <v>62</v>
      </c>
      <c r="BT85" s="5" t="s">
        <v>63</v>
      </c>
      <c r="BW85" s="92"/>
      <c r="BX85" s="27">
        <v>39.840000000000003</v>
      </c>
      <c r="BY85" s="27">
        <v>39.520000000000003</v>
      </c>
      <c r="BZ85" s="96"/>
    </row>
    <row r="86" spans="1:78" s="1" customFormat="1" ht="27" hidden="1" x14ac:dyDescent="0.3">
      <c r="A86" s="128" t="s">
        <v>228</v>
      </c>
      <c r="B86" s="130">
        <v>46116</v>
      </c>
      <c r="C86" s="128">
        <v>82</v>
      </c>
      <c r="D86" s="128" t="s">
        <v>248</v>
      </c>
      <c r="E86" s="130">
        <v>46116</v>
      </c>
      <c r="F86" s="131" t="s">
        <v>203</v>
      </c>
      <c r="G86" s="131" t="s">
        <v>204</v>
      </c>
      <c r="H86" s="131" t="s">
        <v>205</v>
      </c>
      <c r="I86" s="132"/>
      <c r="J86" s="131" t="s">
        <v>113</v>
      </c>
      <c r="K86" s="133">
        <v>0</v>
      </c>
      <c r="L86" s="134">
        <v>46113</v>
      </c>
      <c r="M86" s="132"/>
      <c r="N86" s="149">
        <v>3</v>
      </c>
      <c r="O86" s="130">
        <v>46113</v>
      </c>
      <c r="P86" s="135">
        <v>0</v>
      </c>
      <c r="Q86" s="135">
        <v>498</v>
      </c>
      <c r="R86" s="135">
        <v>0</v>
      </c>
      <c r="S86" s="135">
        <v>0</v>
      </c>
      <c r="T86" s="135">
        <v>498</v>
      </c>
      <c r="U86" s="135">
        <v>498</v>
      </c>
      <c r="V86" s="135">
        <v>0</v>
      </c>
      <c r="W86" s="135">
        <v>298.8</v>
      </c>
      <c r="X86" s="135">
        <v>333.4</v>
      </c>
      <c r="Y86" s="135">
        <f>2095284.2+20558</f>
        <v>2115842.2000000002</v>
      </c>
      <c r="Z86" s="136"/>
      <c r="AA86" s="135">
        <f>Y86*2.5%</f>
        <v>52896.055000000008</v>
      </c>
      <c r="AB86" s="135">
        <f>Y86*2.5%</f>
        <v>52896.055000000008</v>
      </c>
      <c r="AC86" s="135">
        <f>Y86+AA86+AB86</f>
        <v>2221634.3100000005</v>
      </c>
      <c r="AD86" s="137">
        <f t="shared" si="36"/>
        <v>2219412.6756900004</v>
      </c>
      <c r="AE86" s="138">
        <v>39.78</v>
      </c>
      <c r="AF86" s="135">
        <v>39.9</v>
      </c>
      <c r="AG86" s="138">
        <v>39.49</v>
      </c>
      <c r="AH86" s="139">
        <v>4.5999999999999999E-3</v>
      </c>
      <c r="AI86" s="139">
        <v>8.1000000000000003E-2</v>
      </c>
      <c r="AJ86" s="139">
        <v>5.1999999999999998E-2</v>
      </c>
      <c r="AK86" s="137">
        <f t="shared" si="39"/>
        <v>21741.736892230401</v>
      </c>
      <c r="AL86" s="137"/>
      <c r="AM86" s="137"/>
      <c r="AN86" s="137">
        <v>10284</v>
      </c>
      <c r="AO86" s="140">
        <f t="shared" si="40"/>
        <v>7293.5658165997329</v>
      </c>
      <c r="AP86" s="137"/>
      <c r="AQ86" s="137">
        <v>0</v>
      </c>
      <c r="AR86" s="137">
        <f t="shared" si="41"/>
        <v>39319.302708830131</v>
      </c>
      <c r="AS86" s="137">
        <f t="shared" si="42"/>
        <v>41285</v>
      </c>
      <c r="AT86" s="137">
        <v>103</v>
      </c>
      <c r="AU86" s="141"/>
      <c r="AV86" s="141"/>
      <c r="AW86" s="137">
        <f t="shared" si="43"/>
        <v>29880</v>
      </c>
      <c r="AX86" s="137">
        <v>0</v>
      </c>
      <c r="AY86" s="137">
        <f t="shared" si="44"/>
        <v>29880</v>
      </c>
      <c r="AZ86" s="137">
        <f t="shared" si="45"/>
        <v>33340</v>
      </c>
      <c r="BA86" s="142">
        <f t="shared" si="46"/>
        <v>-3460</v>
      </c>
      <c r="BB86" s="137"/>
      <c r="BC86" s="137">
        <v>0</v>
      </c>
      <c r="BD86" s="142">
        <v>0</v>
      </c>
      <c r="BE86" s="135">
        <v>333.65</v>
      </c>
      <c r="BF86" s="143">
        <f t="shared" si="47"/>
        <v>0.50047499999999989</v>
      </c>
      <c r="BG86" s="143">
        <f t="shared" si="48"/>
        <v>333.14952499999998</v>
      </c>
      <c r="BH86" s="143">
        <f t="shared" si="49"/>
        <v>333.4</v>
      </c>
      <c r="BI86" s="144">
        <f t="shared" si="50"/>
        <v>25</v>
      </c>
      <c r="BJ86" s="144">
        <v>0</v>
      </c>
      <c r="BK86" s="137">
        <f t="shared" si="51"/>
        <v>25</v>
      </c>
      <c r="BL86" s="2"/>
      <c r="BM86" s="10" t="str">
        <f t="shared" si="52"/>
        <v>Unloading no. 82 Bill No 3 ,Deduction For Oil Deduction= 21741.7368922304 ,Bardana=  ,F.M=  Brokerage/Rate Difference 10284 ,Shortage = 7293.56581659973 ,Greenish=  ,Moisture= 0</v>
      </c>
      <c r="BN86" s="3"/>
      <c r="BO86" s="13" t="str">
        <f t="shared" si="37"/>
        <v xml:space="preserve"> Party Condition 39.9  ,F.M% 0.46 ,Greenish 8.1 ,Moisture 5.2 ,Shortage in KG= 103  ,Oil% 39.49</v>
      </c>
      <c r="BP86" s="4">
        <f t="shared" si="38"/>
        <v>6228.3230272680566</v>
      </c>
      <c r="BQ86" s="5" t="str">
        <f t="shared" si="53"/>
        <v>39.49</v>
      </c>
      <c r="BR86" s="6">
        <f t="shared" si="54"/>
        <v>6624.1976992975024</v>
      </c>
      <c r="BS86" s="5" t="s">
        <v>62</v>
      </c>
      <c r="BT86" s="5" t="s">
        <v>63</v>
      </c>
      <c r="BW86" s="92"/>
      <c r="BX86" s="27">
        <v>39.78</v>
      </c>
      <c r="BY86" s="27">
        <v>39.49</v>
      </c>
      <c r="BZ86" s="96"/>
    </row>
    <row r="87" spans="1:78" s="1" customFormat="1" ht="27" hidden="1" x14ac:dyDescent="0.3">
      <c r="A87" s="128" t="s">
        <v>229</v>
      </c>
      <c r="B87" s="130">
        <v>46116</v>
      </c>
      <c r="C87" s="128">
        <v>82</v>
      </c>
      <c r="D87" s="128" t="s">
        <v>248</v>
      </c>
      <c r="E87" s="130">
        <v>46116</v>
      </c>
      <c r="F87" s="131" t="s">
        <v>203</v>
      </c>
      <c r="G87" s="131" t="s">
        <v>204</v>
      </c>
      <c r="H87" s="131" t="s">
        <v>205</v>
      </c>
      <c r="I87" s="132"/>
      <c r="J87" s="131" t="s">
        <v>113</v>
      </c>
      <c r="K87" s="133">
        <v>0</v>
      </c>
      <c r="L87" s="134">
        <v>46108</v>
      </c>
      <c r="M87" s="132"/>
      <c r="N87" s="149">
        <v>3</v>
      </c>
      <c r="O87" s="130">
        <v>46113</v>
      </c>
      <c r="P87" s="135">
        <v>0</v>
      </c>
      <c r="Q87" s="135">
        <v>52</v>
      </c>
      <c r="R87" s="135">
        <v>0</v>
      </c>
      <c r="S87" s="135">
        <v>0</v>
      </c>
      <c r="T87" s="135">
        <v>52</v>
      </c>
      <c r="U87" s="135">
        <v>52</v>
      </c>
      <c r="V87" s="135">
        <v>0</v>
      </c>
      <c r="W87" s="135">
        <v>31.2</v>
      </c>
      <c r="X87" s="135">
        <v>0</v>
      </c>
      <c r="Y87" s="135">
        <v>206266</v>
      </c>
      <c r="Z87" s="136"/>
      <c r="AA87" s="135">
        <f>Y87*2.5%</f>
        <v>5156.6500000000005</v>
      </c>
      <c r="AB87" s="135">
        <f>Y87*2.5%</f>
        <v>5156.6500000000005</v>
      </c>
      <c r="AC87" s="135">
        <f>Y87+AA87+AB87</f>
        <v>216579.3</v>
      </c>
      <c r="AD87" s="137">
        <f t="shared" si="36"/>
        <v>216362.72069999998</v>
      </c>
      <c r="AE87" s="138">
        <v>39.78</v>
      </c>
      <c r="AF87" s="135">
        <v>39.64</v>
      </c>
      <c r="AG87" s="138">
        <v>39.49</v>
      </c>
      <c r="AH87" s="139">
        <v>4.5999999999999999E-3</v>
      </c>
      <c r="AI87" s="139">
        <v>8.1000000000000003E-2</v>
      </c>
      <c r="AJ87" s="139">
        <v>5.1999999999999998E-2</v>
      </c>
      <c r="AK87" s="137">
        <v>0</v>
      </c>
      <c r="AL87" s="137"/>
      <c r="AM87" s="137"/>
      <c r="AN87" s="137">
        <f>W87*1.38</f>
        <v>43.055999999999997</v>
      </c>
      <c r="AO87" s="140">
        <f t="shared" si="40"/>
        <v>0</v>
      </c>
      <c r="AP87" s="137"/>
      <c r="AQ87" s="137">
        <v>0</v>
      </c>
      <c r="AR87" s="137">
        <f t="shared" si="41"/>
        <v>43.055999999999997</v>
      </c>
      <c r="AS87" s="137">
        <f t="shared" si="42"/>
        <v>45</v>
      </c>
      <c r="AT87" s="137">
        <f t="shared" ref="AT87:AT98" si="55">BK87</f>
        <v>0</v>
      </c>
      <c r="AU87" s="141"/>
      <c r="AV87" s="141"/>
      <c r="AW87" s="137">
        <f t="shared" si="43"/>
        <v>3120</v>
      </c>
      <c r="AX87" s="137">
        <v>0</v>
      </c>
      <c r="AY87" s="137">
        <f t="shared" si="44"/>
        <v>3120</v>
      </c>
      <c r="AZ87" s="137">
        <f t="shared" si="45"/>
        <v>0</v>
      </c>
      <c r="BA87" s="142">
        <f t="shared" si="46"/>
        <v>3120</v>
      </c>
      <c r="BB87" s="137"/>
      <c r="BC87" s="137">
        <v>0</v>
      </c>
      <c r="BD87" s="142">
        <v>0</v>
      </c>
      <c r="BE87" s="135">
        <v>0</v>
      </c>
      <c r="BF87" s="143">
        <f t="shared" si="47"/>
        <v>0</v>
      </c>
      <c r="BG87" s="143">
        <f t="shared" si="48"/>
        <v>0</v>
      </c>
      <c r="BH87" s="143">
        <f t="shared" si="49"/>
        <v>0</v>
      </c>
      <c r="BI87" s="144">
        <f t="shared" si="50"/>
        <v>0</v>
      </c>
      <c r="BJ87" s="144">
        <v>0</v>
      </c>
      <c r="BK87" s="137">
        <f t="shared" si="51"/>
        <v>0</v>
      </c>
      <c r="BL87" s="2"/>
      <c r="BM87" s="10" t="str">
        <f t="shared" si="52"/>
        <v>Unloading no. 82 Bill No 3 ,Deduction For Oil Deduction= 0 ,Bardana=  ,F.M=  Brokerage/Rate Difference 43.056 ,Shortage = 0 ,Greenish=  ,Moisture= 0</v>
      </c>
      <c r="BN87" s="3"/>
      <c r="BO87" s="13" t="str">
        <f t="shared" si="37"/>
        <v xml:space="preserve"> Party Condition 39.64  ,F.M% 0.46 ,Greenish 8.1 ,Moisture 5.2 ,Shortage in KG= 0  ,Oil% 39.49</v>
      </c>
      <c r="BP87" s="4" t="e">
        <f t="shared" si="38"/>
        <v>#DIV/0!</v>
      </c>
      <c r="BQ87" s="5" t="str">
        <f t="shared" si="53"/>
        <v>39.49</v>
      </c>
      <c r="BR87" s="6" t="e">
        <f t="shared" si="54"/>
        <v>#DIV/0!</v>
      </c>
      <c r="BS87" s="5" t="s">
        <v>62</v>
      </c>
      <c r="BT87" s="5" t="s">
        <v>63</v>
      </c>
      <c r="BW87" s="92"/>
      <c r="BX87" s="27">
        <v>39.78</v>
      </c>
      <c r="BY87" s="27">
        <v>39.49</v>
      </c>
      <c r="BZ87" s="96"/>
    </row>
    <row r="88" spans="1:78" s="1" customFormat="1" ht="15.75" hidden="1" x14ac:dyDescent="0.3">
      <c r="A88" s="128" t="s">
        <v>134</v>
      </c>
      <c r="B88" s="130">
        <v>46116</v>
      </c>
      <c r="C88" s="128">
        <v>83</v>
      </c>
      <c r="D88" s="128" t="s">
        <v>249</v>
      </c>
      <c r="E88" s="130">
        <v>46116</v>
      </c>
      <c r="F88" s="131" t="s">
        <v>101</v>
      </c>
      <c r="G88" s="131" t="s">
        <v>102</v>
      </c>
      <c r="H88" s="131" t="s">
        <v>97</v>
      </c>
      <c r="I88" s="132"/>
      <c r="J88" s="131" t="s">
        <v>113</v>
      </c>
      <c r="K88" s="133">
        <v>0</v>
      </c>
      <c r="L88" s="134">
        <v>46111</v>
      </c>
      <c r="M88" s="132"/>
      <c r="N88" s="131" t="s">
        <v>287</v>
      </c>
      <c r="O88" s="130">
        <v>46114</v>
      </c>
      <c r="P88" s="135">
        <v>0</v>
      </c>
      <c r="Q88" s="135">
        <v>450</v>
      </c>
      <c r="R88" s="135">
        <v>52</v>
      </c>
      <c r="S88" s="135">
        <v>0</v>
      </c>
      <c r="T88" s="135">
        <v>502</v>
      </c>
      <c r="U88" s="135">
        <v>502</v>
      </c>
      <c r="V88" s="135">
        <v>0</v>
      </c>
      <c r="W88" s="135">
        <v>301.2</v>
      </c>
      <c r="X88" s="135">
        <v>304.2</v>
      </c>
      <c r="Y88" s="135">
        <v>2127653.71</v>
      </c>
      <c r="Z88" s="136"/>
      <c r="AA88" s="135">
        <v>53191.342750000003</v>
      </c>
      <c r="AB88" s="135">
        <v>53191.342750000003</v>
      </c>
      <c r="AC88" s="135">
        <v>2234036.4</v>
      </c>
      <c r="AD88" s="137">
        <f t="shared" si="36"/>
        <v>2231802.3635999998</v>
      </c>
      <c r="AE88" s="138">
        <v>40.700000000000003</v>
      </c>
      <c r="AF88" s="135">
        <v>39.6</v>
      </c>
      <c r="AG88" s="138">
        <v>40.700000000000003</v>
      </c>
      <c r="AH88" s="139">
        <v>4.0000000000000001E-3</v>
      </c>
      <c r="AI88" s="139">
        <v>4.2000000000000003E-2</v>
      </c>
      <c r="AJ88" s="139">
        <v>5.2999999999999999E-2</v>
      </c>
      <c r="AK88" s="137">
        <f t="shared" si="39"/>
        <v>0</v>
      </c>
      <c r="AL88" s="137"/>
      <c r="AM88" s="137"/>
      <c r="AN88" s="137">
        <v>0</v>
      </c>
      <c r="AO88" s="140">
        <f t="shared" si="40"/>
        <v>4732.8286377824461</v>
      </c>
      <c r="AP88" s="137"/>
      <c r="AQ88" s="137">
        <v>0</v>
      </c>
      <c r="AR88" s="137">
        <f t="shared" si="41"/>
        <v>4732.8286377824461</v>
      </c>
      <c r="AS88" s="137">
        <f t="shared" si="42"/>
        <v>4969</v>
      </c>
      <c r="AT88" s="137">
        <f>BK88-60+37</f>
        <v>67.000000000003411</v>
      </c>
      <c r="AU88" s="141"/>
      <c r="AV88" s="141"/>
      <c r="AW88" s="137">
        <f t="shared" si="43"/>
        <v>30120</v>
      </c>
      <c r="AX88" s="137">
        <v>0</v>
      </c>
      <c r="AY88" s="137">
        <f t="shared" si="44"/>
        <v>30120</v>
      </c>
      <c r="AZ88" s="137">
        <f t="shared" si="45"/>
        <v>30420</v>
      </c>
      <c r="BA88" s="142">
        <f t="shared" si="46"/>
        <v>-300</v>
      </c>
      <c r="BB88" s="137"/>
      <c r="BC88" s="137">
        <v>0</v>
      </c>
      <c r="BD88" s="142">
        <v>0</v>
      </c>
      <c r="BE88" s="135">
        <v>305.10000000000002</v>
      </c>
      <c r="BF88" s="143">
        <f t="shared" si="47"/>
        <v>0.45765</v>
      </c>
      <c r="BG88" s="143">
        <f t="shared" si="48"/>
        <v>304.64235000000002</v>
      </c>
      <c r="BH88" s="143">
        <f t="shared" si="49"/>
        <v>304.2</v>
      </c>
      <c r="BI88" s="144">
        <f t="shared" si="50"/>
        <v>90.000000000003411</v>
      </c>
      <c r="BJ88" s="144">
        <v>0</v>
      </c>
      <c r="BK88" s="137">
        <f t="shared" si="51"/>
        <v>90.000000000003411</v>
      </c>
      <c r="BL88" s="2"/>
      <c r="BM88" s="10" t="str">
        <f t="shared" si="52"/>
        <v>Unloading no. 83 Bill No L/PB/26-27/9 ,Deduction For Oil Deduction= 0 ,Bardana=  ,F.M=  Brokerage/Rate Difference 0 ,Shortage = 4732.82863778245 ,Greenish=  ,Moisture= 0</v>
      </c>
      <c r="BN88" s="3"/>
      <c r="BO88" s="13" t="str">
        <f t="shared" si="37"/>
        <v xml:space="preserve"> Party Condition 39.6  ,F.M% 0.4 ,Greenish 4.2 ,Moisture 5.3 ,Shortage in KG= 67.0000000000034  ,Oil% 40.7</v>
      </c>
      <c r="BP88" s="4">
        <f t="shared" si="38"/>
        <v>6978.7011221637658</v>
      </c>
      <c r="BQ88" s="5" t="str">
        <f t="shared" si="53"/>
        <v xml:space="preserve"> 40.7</v>
      </c>
      <c r="BR88" s="6">
        <f t="shared" si="54"/>
        <v>7201.6080376137133</v>
      </c>
      <c r="BS88" s="5" t="s">
        <v>62</v>
      </c>
      <c r="BT88" s="5" t="s">
        <v>63</v>
      </c>
      <c r="BW88" s="92"/>
      <c r="BX88" s="27">
        <v>40.700000000000003</v>
      </c>
      <c r="BY88" s="27">
        <v>40.700000000000003</v>
      </c>
      <c r="BZ88" s="96"/>
    </row>
    <row r="89" spans="1:78" s="1" customFormat="1" ht="15.75" hidden="1" x14ac:dyDescent="0.3">
      <c r="A89" s="128" t="s">
        <v>226</v>
      </c>
      <c r="B89" s="130">
        <v>46116</v>
      </c>
      <c r="C89" s="128">
        <v>84</v>
      </c>
      <c r="D89" s="128" t="s">
        <v>250</v>
      </c>
      <c r="E89" s="130">
        <v>46116</v>
      </c>
      <c r="F89" s="131" t="s">
        <v>200</v>
      </c>
      <c r="G89" s="131" t="s">
        <v>201</v>
      </c>
      <c r="H89" s="131" t="s">
        <v>202</v>
      </c>
      <c r="I89" s="132"/>
      <c r="J89" s="131" t="s">
        <v>113</v>
      </c>
      <c r="K89" s="133">
        <v>0</v>
      </c>
      <c r="L89" s="134">
        <v>46113</v>
      </c>
      <c r="M89" s="132"/>
      <c r="N89" s="131">
        <v>15</v>
      </c>
      <c r="O89" s="130">
        <v>46113</v>
      </c>
      <c r="P89" s="135">
        <v>0</v>
      </c>
      <c r="Q89" s="135">
        <v>400</v>
      </c>
      <c r="R89" s="135">
        <v>236</v>
      </c>
      <c r="S89" s="135">
        <v>0</v>
      </c>
      <c r="T89" s="135">
        <v>636</v>
      </c>
      <c r="U89" s="135">
        <v>636</v>
      </c>
      <c r="V89" s="135">
        <v>0</v>
      </c>
      <c r="W89" s="135">
        <v>381.6</v>
      </c>
      <c r="X89" s="135">
        <v>386.9</v>
      </c>
      <c r="Y89" s="135">
        <v>2703644.9</v>
      </c>
      <c r="Z89" s="136"/>
      <c r="AA89" s="135">
        <v>67591.122499999998</v>
      </c>
      <c r="AB89" s="135">
        <v>67591.122499999998</v>
      </c>
      <c r="AC89" s="135">
        <v>2838827.15</v>
      </c>
      <c r="AD89" s="137">
        <f t="shared" si="36"/>
        <v>2835988.3228500001</v>
      </c>
      <c r="AE89" s="138">
        <v>40</v>
      </c>
      <c r="AF89" s="135">
        <v>39.5</v>
      </c>
      <c r="AG89" s="138">
        <v>39.659999999999997</v>
      </c>
      <c r="AH89" s="139">
        <v>4.4999999999999997E-3</v>
      </c>
      <c r="AI89" s="139">
        <v>4.2500000000000003E-2</v>
      </c>
      <c r="AJ89" s="139">
        <v>5.6000000000000001E-2</v>
      </c>
      <c r="AK89" s="137">
        <f t="shared" si="39"/>
        <v>0</v>
      </c>
      <c r="AL89" s="137"/>
      <c r="AM89" s="137"/>
      <c r="AN89" s="137">
        <v>0</v>
      </c>
      <c r="AO89" s="140">
        <f t="shared" si="40"/>
        <v>0</v>
      </c>
      <c r="AP89" s="137"/>
      <c r="AQ89" s="137">
        <v>0</v>
      </c>
      <c r="AR89" s="137">
        <f t="shared" si="41"/>
        <v>0</v>
      </c>
      <c r="AS89" s="137">
        <f t="shared" si="42"/>
        <v>0</v>
      </c>
      <c r="AT89" s="137">
        <v>0</v>
      </c>
      <c r="AU89" s="141"/>
      <c r="AV89" s="141"/>
      <c r="AW89" s="137">
        <f t="shared" si="43"/>
        <v>38160</v>
      </c>
      <c r="AX89" s="137">
        <v>0</v>
      </c>
      <c r="AY89" s="137">
        <f t="shared" si="44"/>
        <v>38160</v>
      </c>
      <c r="AZ89" s="137">
        <f t="shared" si="45"/>
        <v>38690</v>
      </c>
      <c r="BA89" s="142">
        <f t="shared" si="46"/>
        <v>-530</v>
      </c>
      <c r="BB89" s="137"/>
      <c r="BC89" s="137">
        <v>0</v>
      </c>
      <c r="BD89" s="142">
        <v>0</v>
      </c>
      <c r="BE89" s="135">
        <v>386.85</v>
      </c>
      <c r="BF89" s="143">
        <f t="shared" si="47"/>
        <v>0.58027499999999999</v>
      </c>
      <c r="BG89" s="143">
        <f t="shared" si="48"/>
        <v>386.26972500000005</v>
      </c>
      <c r="BH89" s="143">
        <f t="shared" si="49"/>
        <v>386.9</v>
      </c>
      <c r="BI89" s="144">
        <f t="shared" si="50"/>
        <v>-4.9999999999954525</v>
      </c>
      <c r="BJ89" s="144">
        <v>0</v>
      </c>
      <c r="BK89" s="137">
        <f t="shared" si="51"/>
        <v>-4.9999999999954525</v>
      </c>
      <c r="BL89" s="2"/>
      <c r="BM89" s="10" t="str">
        <f t="shared" si="52"/>
        <v>Unloading no. 84 Bill No 15 ,Deduction For Oil Deduction= 0 ,Bardana=  ,F.M=  Brokerage/Rate Difference 0 ,Shortage = 0 ,Greenish=  ,Moisture= 0</v>
      </c>
      <c r="BN89" s="3"/>
      <c r="BO89" s="13" t="str">
        <f t="shared" si="37"/>
        <v xml:space="preserve"> Party Condition 39.5  ,F.M% 0.45 ,Greenish 4.25 ,Moisture 5.6 ,Shortage in KG= 0  ,Oil% 39.66</v>
      </c>
      <c r="BP89" s="4">
        <f t="shared" si="38"/>
        <v>6987.9682088394939</v>
      </c>
      <c r="BQ89" s="5" t="str">
        <f t="shared" si="53"/>
        <v>39.66</v>
      </c>
      <c r="BR89" s="6">
        <f t="shared" si="54"/>
        <v>7400.2689049737455</v>
      </c>
      <c r="BS89" s="5" t="s">
        <v>62</v>
      </c>
      <c r="BT89" s="5" t="s">
        <v>63</v>
      </c>
      <c r="BW89" s="92"/>
      <c r="BX89" s="27">
        <v>40</v>
      </c>
      <c r="BY89" s="27">
        <v>39.659999999999997</v>
      </c>
      <c r="BZ89" s="96"/>
    </row>
    <row r="90" spans="1:78" s="1" customFormat="1" ht="15.75" hidden="1" x14ac:dyDescent="0.3">
      <c r="A90" s="128" t="s">
        <v>230</v>
      </c>
      <c r="B90" s="130">
        <v>46116</v>
      </c>
      <c r="C90" s="128">
        <v>85</v>
      </c>
      <c r="D90" s="128" t="s">
        <v>251</v>
      </c>
      <c r="E90" s="130">
        <v>46116</v>
      </c>
      <c r="F90" s="131" t="s">
        <v>95</v>
      </c>
      <c r="G90" s="131" t="s">
        <v>96</v>
      </c>
      <c r="H90" s="131" t="s">
        <v>97</v>
      </c>
      <c r="I90" s="132"/>
      <c r="J90" s="131" t="s">
        <v>113</v>
      </c>
      <c r="K90" s="131"/>
      <c r="L90" s="134">
        <v>46111</v>
      </c>
      <c r="M90" s="132"/>
      <c r="N90" s="131">
        <v>6</v>
      </c>
      <c r="O90" s="129">
        <v>46114</v>
      </c>
      <c r="P90" s="135">
        <v>0</v>
      </c>
      <c r="Q90" s="135">
        <v>250</v>
      </c>
      <c r="R90" s="135">
        <v>313</v>
      </c>
      <c r="S90" s="135">
        <v>0</v>
      </c>
      <c r="T90" s="135">
        <v>563</v>
      </c>
      <c r="U90" s="135">
        <v>563</v>
      </c>
      <c r="V90" s="135">
        <v>0</v>
      </c>
      <c r="W90" s="135">
        <v>337.8</v>
      </c>
      <c r="X90" s="135">
        <v>343</v>
      </c>
      <c r="Y90" s="135">
        <v>2392864.85</v>
      </c>
      <c r="Z90" s="136"/>
      <c r="AA90" s="135">
        <v>59821.621249999997</v>
      </c>
      <c r="AB90" s="135">
        <v>59821.621249999997</v>
      </c>
      <c r="AC90" s="135">
        <v>2512508.09</v>
      </c>
      <c r="AD90" s="137">
        <f t="shared" si="36"/>
        <v>2509995.5819099997</v>
      </c>
      <c r="AE90" s="138">
        <v>40.159999999999997</v>
      </c>
      <c r="AF90" s="135">
        <v>39.82</v>
      </c>
      <c r="AG90" s="138">
        <v>39.9</v>
      </c>
      <c r="AH90" s="139">
        <v>4.8999999999999998E-3</v>
      </c>
      <c r="AI90" s="139">
        <v>0.04</v>
      </c>
      <c r="AJ90" s="139">
        <v>5.8000000000000003E-2</v>
      </c>
      <c r="AK90" s="137">
        <f t="shared" si="39"/>
        <v>0</v>
      </c>
      <c r="AL90" s="137"/>
      <c r="AM90" s="137"/>
      <c r="AN90" s="137">
        <v>0</v>
      </c>
      <c r="AO90" s="140">
        <f t="shared" si="40"/>
        <v>0</v>
      </c>
      <c r="AP90" s="137"/>
      <c r="AQ90" s="137">
        <v>0</v>
      </c>
      <c r="AR90" s="137">
        <f t="shared" si="41"/>
        <v>0</v>
      </c>
      <c r="AS90" s="137">
        <f t="shared" si="42"/>
        <v>0</v>
      </c>
      <c r="AT90" s="137">
        <v>0</v>
      </c>
      <c r="AU90" s="141"/>
      <c r="AV90" s="141"/>
      <c r="AW90" s="137">
        <f t="shared" si="43"/>
        <v>33780</v>
      </c>
      <c r="AX90" s="137">
        <v>0</v>
      </c>
      <c r="AY90" s="137">
        <f t="shared" si="44"/>
        <v>33780</v>
      </c>
      <c r="AZ90" s="137">
        <f t="shared" si="45"/>
        <v>34300</v>
      </c>
      <c r="BA90" s="142">
        <f t="shared" si="46"/>
        <v>-520</v>
      </c>
      <c r="BB90" s="137"/>
      <c r="BC90" s="137">
        <v>0</v>
      </c>
      <c r="BD90" s="142">
        <v>0</v>
      </c>
      <c r="BE90" s="135">
        <v>343.3</v>
      </c>
      <c r="BF90" s="143">
        <f t="shared" si="47"/>
        <v>0.51495000000000002</v>
      </c>
      <c r="BG90" s="143">
        <f t="shared" si="48"/>
        <v>342.78505000000001</v>
      </c>
      <c r="BH90" s="143">
        <f t="shared" si="49"/>
        <v>343</v>
      </c>
      <c r="BI90" s="144">
        <f t="shared" si="50"/>
        <v>30.000000000001137</v>
      </c>
      <c r="BJ90" s="144">
        <v>0</v>
      </c>
      <c r="BK90" s="137">
        <f t="shared" si="51"/>
        <v>30.000000000001137</v>
      </c>
      <c r="BL90" s="2"/>
      <c r="BM90" s="10" t="str">
        <f t="shared" si="52"/>
        <v>Unloading no. 85 Bill No 6 ,Deduction For Oil Deduction= 0 ,Bardana=  ,F.M=  Brokerage/Rate Difference 0 ,Shortage = 0 ,Greenish=  ,Moisture= 0</v>
      </c>
      <c r="BN90" s="3"/>
      <c r="BO90" s="13" t="str">
        <f t="shared" si="37"/>
        <v xml:space="preserve"> Party Condition 39.82  ,F.M% 0.49 ,Greenish 4 ,Moisture 5.8 ,Shortage in KG= 0  ,Oil% 39.9</v>
      </c>
      <c r="BP90" s="4">
        <f t="shared" si="38"/>
        <v>6976.2823615160351</v>
      </c>
      <c r="BQ90" s="5" t="str">
        <f t="shared" si="53"/>
        <v xml:space="preserve"> 39.9</v>
      </c>
      <c r="BR90" s="6">
        <f t="shared" si="54"/>
        <v>7343.4551173852997</v>
      </c>
      <c r="BS90" s="5" t="s">
        <v>62</v>
      </c>
      <c r="BT90" s="5" t="s">
        <v>63</v>
      </c>
      <c r="BW90" s="92"/>
      <c r="BX90" s="27">
        <v>40.159999999999997</v>
      </c>
      <c r="BY90" s="27">
        <v>39.9</v>
      </c>
      <c r="BZ90" s="96"/>
    </row>
    <row r="91" spans="1:78" s="1" customFormat="1" ht="15.75" hidden="1" x14ac:dyDescent="0.3">
      <c r="A91" s="128" t="s">
        <v>134</v>
      </c>
      <c r="B91" s="130">
        <v>46116</v>
      </c>
      <c r="C91" s="128">
        <v>86</v>
      </c>
      <c r="D91" s="128" t="s">
        <v>252</v>
      </c>
      <c r="E91" s="130">
        <v>46116</v>
      </c>
      <c r="F91" s="131" t="s">
        <v>101</v>
      </c>
      <c r="G91" s="131" t="s">
        <v>102</v>
      </c>
      <c r="H91" s="131" t="s">
        <v>103</v>
      </c>
      <c r="I91" s="132"/>
      <c r="J91" s="131" t="s">
        <v>113</v>
      </c>
      <c r="K91" s="133">
        <v>0</v>
      </c>
      <c r="L91" s="134">
        <v>46111</v>
      </c>
      <c r="M91" s="132"/>
      <c r="N91" s="131" t="s">
        <v>288</v>
      </c>
      <c r="O91" s="130">
        <v>46114</v>
      </c>
      <c r="P91" s="135">
        <v>0</v>
      </c>
      <c r="Q91" s="135">
        <v>600</v>
      </c>
      <c r="R91" s="135">
        <v>53</v>
      </c>
      <c r="S91" s="135">
        <v>0</v>
      </c>
      <c r="T91" s="135">
        <v>653</v>
      </c>
      <c r="U91" s="135">
        <v>653</v>
      </c>
      <c r="V91" s="135">
        <v>0</v>
      </c>
      <c r="W91" s="135">
        <v>391.8</v>
      </c>
      <c r="X91" s="135">
        <v>395.6</v>
      </c>
      <c r="Y91" s="135">
        <v>2767645.16</v>
      </c>
      <c r="Z91" s="136"/>
      <c r="AA91" s="135">
        <v>69191.129000000001</v>
      </c>
      <c r="AB91" s="135">
        <v>69191.129000000001</v>
      </c>
      <c r="AC91" s="135">
        <v>2906027.42</v>
      </c>
      <c r="AD91" s="137">
        <f t="shared" si="36"/>
        <v>2903121.3925799998</v>
      </c>
      <c r="AE91" s="138">
        <v>40.299999999999997</v>
      </c>
      <c r="AF91" s="135">
        <v>38.83</v>
      </c>
      <c r="AG91" s="138">
        <v>40.24</v>
      </c>
      <c r="AH91" s="139">
        <v>4.7999999999999996E-3</v>
      </c>
      <c r="AI91" s="139">
        <v>4.3999999999999997E-2</v>
      </c>
      <c r="AJ91" s="139">
        <v>5.8999999999999997E-2</v>
      </c>
      <c r="AK91" s="137">
        <f t="shared" si="39"/>
        <v>0</v>
      </c>
      <c r="AL91" s="137"/>
      <c r="AM91" s="137"/>
      <c r="AN91" s="137">
        <v>0</v>
      </c>
      <c r="AO91" s="140">
        <f t="shared" si="40"/>
        <v>6852.0056283818285</v>
      </c>
      <c r="AP91" s="137"/>
      <c r="AQ91" s="137">
        <v>0</v>
      </c>
      <c r="AR91" s="137">
        <f t="shared" si="41"/>
        <v>6852.0056283818285</v>
      </c>
      <c r="AS91" s="137">
        <f t="shared" si="42"/>
        <v>7195</v>
      </c>
      <c r="AT91" s="137">
        <f>BK91+125-78</f>
        <v>97</v>
      </c>
      <c r="AU91" s="141"/>
      <c r="AV91" s="141"/>
      <c r="AW91" s="137">
        <f t="shared" si="43"/>
        <v>39180</v>
      </c>
      <c r="AX91" s="137">
        <v>0</v>
      </c>
      <c r="AY91" s="137">
        <f t="shared" si="44"/>
        <v>39180</v>
      </c>
      <c r="AZ91" s="137">
        <f t="shared" si="45"/>
        <v>39560</v>
      </c>
      <c r="BA91" s="142">
        <f t="shared" si="46"/>
        <v>-380</v>
      </c>
      <c r="BB91" s="137"/>
      <c r="BC91" s="137">
        <v>0</v>
      </c>
      <c r="BD91" s="142">
        <v>0</v>
      </c>
      <c r="BE91" s="135">
        <v>396.1</v>
      </c>
      <c r="BF91" s="143">
        <f t="shared" si="47"/>
        <v>0.59414999999999996</v>
      </c>
      <c r="BG91" s="143">
        <f t="shared" si="48"/>
        <v>395.50585000000001</v>
      </c>
      <c r="BH91" s="143">
        <f t="shared" si="49"/>
        <v>395.6</v>
      </c>
      <c r="BI91" s="144">
        <f t="shared" si="50"/>
        <v>50</v>
      </c>
      <c r="BJ91" s="144">
        <v>0</v>
      </c>
      <c r="BK91" s="137">
        <f t="shared" si="51"/>
        <v>50</v>
      </c>
      <c r="BL91" s="2"/>
      <c r="BM91" s="10" t="str">
        <f t="shared" si="52"/>
        <v>Unloading no. 86 Bill No L/PB/25-26/10 ,Deduction For Oil Deduction= 0 ,Bardana=  ,F.M=  Brokerage/Rate Difference 0 ,Shortage = 6852.00562838183 ,Greenish=  ,Moisture= 0</v>
      </c>
      <c r="BN91" s="3"/>
      <c r="BO91" s="13" t="str">
        <f t="shared" si="37"/>
        <v xml:space="preserve"> Party Condition 38.83  ,F.M% 0.48 ,Greenish 4.4 ,Moisture 5.9 ,Shortage in KG= 97  ,Oil% 40.24</v>
      </c>
      <c r="BP91" s="4">
        <f t="shared" si="38"/>
        <v>6978.7491263185493</v>
      </c>
      <c r="BQ91" s="5" t="str">
        <f t="shared" si="53"/>
        <v>40.24</v>
      </c>
      <c r="BR91" s="6">
        <f t="shared" si="54"/>
        <v>7283.9826865153846</v>
      </c>
      <c r="BS91" s="5" t="s">
        <v>62</v>
      </c>
      <c r="BT91" s="5" t="s">
        <v>63</v>
      </c>
      <c r="BW91" s="92"/>
      <c r="BX91" s="27">
        <v>40.299999999999997</v>
      </c>
      <c r="BY91" s="27">
        <v>40.24</v>
      </c>
      <c r="BZ91" s="96"/>
    </row>
    <row r="92" spans="1:78" s="1" customFormat="1" ht="15.75" hidden="1" x14ac:dyDescent="0.3">
      <c r="A92" s="128" t="s">
        <v>142</v>
      </c>
      <c r="B92" s="130">
        <v>46116</v>
      </c>
      <c r="C92" s="128">
        <v>87</v>
      </c>
      <c r="D92" s="128" t="s">
        <v>253</v>
      </c>
      <c r="E92" s="130">
        <v>46116</v>
      </c>
      <c r="F92" s="131" t="s">
        <v>110</v>
      </c>
      <c r="G92" s="131" t="s">
        <v>111</v>
      </c>
      <c r="H92" s="131" t="s">
        <v>112</v>
      </c>
      <c r="I92" s="132"/>
      <c r="J92" s="131" t="s">
        <v>113</v>
      </c>
      <c r="K92" s="133">
        <v>0</v>
      </c>
      <c r="L92" s="134">
        <v>46111</v>
      </c>
      <c r="M92" s="132"/>
      <c r="N92" s="131" t="s">
        <v>289</v>
      </c>
      <c r="O92" s="130">
        <v>46114</v>
      </c>
      <c r="P92" s="135">
        <v>0</v>
      </c>
      <c r="Q92" s="135">
        <v>208</v>
      </c>
      <c r="R92" s="135">
        <v>0</v>
      </c>
      <c r="S92" s="135">
        <v>0</v>
      </c>
      <c r="T92" s="135">
        <v>208</v>
      </c>
      <c r="U92" s="135">
        <v>208</v>
      </c>
      <c r="V92" s="135">
        <v>0</v>
      </c>
      <c r="W92" s="135">
        <v>124.8</v>
      </c>
      <c r="X92" s="135">
        <v>0</v>
      </c>
      <c r="Y92" s="135">
        <v>875347.2</v>
      </c>
      <c r="Z92" s="136"/>
      <c r="AA92" s="135">
        <v>21883.68</v>
      </c>
      <c r="AB92" s="135">
        <v>21883.68</v>
      </c>
      <c r="AC92" s="135">
        <v>919114.56</v>
      </c>
      <c r="AD92" s="137">
        <f t="shared" si="36"/>
        <v>918195.44544000004</v>
      </c>
      <c r="AE92" s="138">
        <v>40.35</v>
      </c>
      <c r="AF92" s="135">
        <v>39.72</v>
      </c>
      <c r="AG92" s="138">
        <v>40.26</v>
      </c>
      <c r="AH92" s="139">
        <v>4.1999999999999997E-3</v>
      </c>
      <c r="AI92" s="139">
        <v>0.04</v>
      </c>
      <c r="AJ92" s="139">
        <v>5.2999999999999999E-2</v>
      </c>
      <c r="AK92" s="137">
        <f t="shared" si="39"/>
        <v>0</v>
      </c>
      <c r="AL92" s="145">
        <f>T92*1</f>
        <v>208</v>
      </c>
      <c r="AM92" s="137"/>
      <c r="AN92" s="137">
        <v>0</v>
      </c>
      <c r="AO92" s="140">
        <f t="shared" si="40"/>
        <v>0</v>
      </c>
      <c r="AP92" s="137"/>
      <c r="AQ92" s="137">
        <v>0</v>
      </c>
      <c r="AR92" s="137">
        <f t="shared" si="41"/>
        <v>208</v>
      </c>
      <c r="AS92" s="137">
        <f t="shared" si="42"/>
        <v>218</v>
      </c>
      <c r="AT92" s="137">
        <f t="shared" si="55"/>
        <v>0</v>
      </c>
      <c r="AU92" s="141"/>
      <c r="AV92" s="141"/>
      <c r="AW92" s="137">
        <f t="shared" si="43"/>
        <v>12480</v>
      </c>
      <c r="AX92" s="137">
        <v>0</v>
      </c>
      <c r="AY92" s="137">
        <f t="shared" si="44"/>
        <v>12480</v>
      </c>
      <c r="AZ92" s="137">
        <f t="shared" si="45"/>
        <v>0</v>
      </c>
      <c r="BA92" s="142">
        <f t="shared" si="46"/>
        <v>12480</v>
      </c>
      <c r="BB92" s="137"/>
      <c r="BC92" s="137">
        <v>0</v>
      </c>
      <c r="BD92" s="142">
        <v>0</v>
      </c>
      <c r="BE92" s="135">
        <v>0</v>
      </c>
      <c r="BF92" s="143">
        <f t="shared" si="47"/>
        <v>0</v>
      </c>
      <c r="BG92" s="143">
        <f t="shared" si="48"/>
        <v>0</v>
      </c>
      <c r="BH92" s="143">
        <f t="shared" si="49"/>
        <v>0</v>
      </c>
      <c r="BI92" s="144">
        <f t="shared" si="50"/>
        <v>0</v>
      </c>
      <c r="BJ92" s="144">
        <v>0</v>
      </c>
      <c r="BK92" s="137">
        <f t="shared" si="51"/>
        <v>0</v>
      </c>
      <c r="BL92" s="2"/>
      <c r="BM92" s="10" t="str">
        <f t="shared" si="52"/>
        <v>Unloading no. 87 Bill No G1642/G1643 ,Deduction For Oil Deduction= 0 ,Bardana= 208 ,F.M=  Brokerage/Rate Difference 0 ,Shortage = 0 ,Greenish=  ,Moisture= 0</v>
      </c>
      <c r="BN92" s="3"/>
      <c r="BO92" s="13" t="str">
        <f t="shared" si="37"/>
        <v xml:space="preserve"> Party Condition 39.72  ,F.M% 0.42 ,Greenish 4 ,Moisture 5.3 ,Shortage in KG= 0  ,Oil% 40.26</v>
      </c>
      <c r="BP92" s="4" t="e">
        <f t="shared" si="38"/>
        <v>#DIV/0!</v>
      </c>
      <c r="BQ92" s="5" t="str">
        <f t="shared" si="53"/>
        <v>40.26</v>
      </c>
      <c r="BR92" s="6" t="e">
        <f t="shared" si="54"/>
        <v>#DIV/0!</v>
      </c>
      <c r="BS92" s="5" t="s">
        <v>62</v>
      </c>
      <c r="BT92" s="5" t="s">
        <v>63</v>
      </c>
      <c r="BW92" s="92"/>
      <c r="BX92" s="27">
        <v>40.35</v>
      </c>
      <c r="BY92" s="27">
        <v>40.26</v>
      </c>
      <c r="BZ92" s="96"/>
    </row>
    <row r="93" spans="1:78" s="1" customFormat="1" ht="15.75" hidden="1" x14ac:dyDescent="0.3">
      <c r="A93" s="128" t="s">
        <v>225</v>
      </c>
      <c r="B93" s="130">
        <v>46116</v>
      </c>
      <c r="C93" s="128">
        <v>87</v>
      </c>
      <c r="D93" s="128" t="s">
        <v>253</v>
      </c>
      <c r="E93" s="130">
        <v>46116</v>
      </c>
      <c r="F93" s="131" t="s">
        <v>110</v>
      </c>
      <c r="G93" s="131" t="s">
        <v>111</v>
      </c>
      <c r="H93" s="131" t="s">
        <v>112</v>
      </c>
      <c r="I93" s="132"/>
      <c r="J93" s="131" t="s">
        <v>113</v>
      </c>
      <c r="K93" s="133">
        <v>0</v>
      </c>
      <c r="L93" s="134">
        <v>46113</v>
      </c>
      <c r="M93" s="132"/>
      <c r="N93" s="131" t="s">
        <v>289</v>
      </c>
      <c r="O93" s="130">
        <v>46114</v>
      </c>
      <c r="P93" s="135">
        <v>0</v>
      </c>
      <c r="Q93" s="135">
        <v>262</v>
      </c>
      <c r="R93" s="135">
        <v>100</v>
      </c>
      <c r="S93" s="135">
        <v>0</v>
      </c>
      <c r="T93" s="135">
        <v>362</v>
      </c>
      <c r="U93" s="135">
        <v>362</v>
      </c>
      <c r="V93" s="135">
        <v>0</v>
      </c>
      <c r="W93" s="135">
        <v>217.2</v>
      </c>
      <c r="X93" s="135">
        <v>346.5</v>
      </c>
      <c r="Y93" s="135">
        <v>1526264.4</v>
      </c>
      <c r="Z93" s="136"/>
      <c r="AA93" s="135">
        <v>38156.61</v>
      </c>
      <c r="AB93" s="135">
        <v>38156.61</v>
      </c>
      <c r="AC93" s="135">
        <v>1602577.62</v>
      </c>
      <c r="AD93" s="137">
        <f t="shared" si="36"/>
        <v>1600975.04238</v>
      </c>
      <c r="AE93" s="138">
        <v>40.35</v>
      </c>
      <c r="AF93" s="135">
        <v>39.79</v>
      </c>
      <c r="AG93" s="138">
        <v>40.26</v>
      </c>
      <c r="AH93" s="139">
        <v>4.1999999999999997E-3</v>
      </c>
      <c r="AI93" s="139">
        <v>0.04</v>
      </c>
      <c r="AJ93" s="139">
        <v>5.2999999999999999E-2</v>
      </c>
      <c r="AK93" s="137">
        <f t="shared" si="39"/>
        <v>0</v>
      </c>
      <c r="AL93" s="145">
        <f>T93*1</f>
        <v>362</v>
      </c>
      <c r="AM93" s="137"/>
      <c r="AN93" s="137">
        <v>0</v>
      </c>
      <c r="AO93" s="140">
        <f t="shared" si="40"/>
        <v>0</v>
      </c>
      <c r="AP93" s="137"/>
      <c r="AQ93" s="137">
        <v>0</v>
      </c>
      <c r="AR93" s="137">
        <f t="shared" si="41"/>
        <v>362</v>
      </c>
      <c r="AS93" s="137">
        <f t="shared" si="42"/>
        <v>380</v>
      </c>
      <c r="AT93" s="137">
        <v>0</v>
      </c>
      <c r="AU93" s="141"/>
      <c r="AV93" s="141"/>
      <c r="AW93" s="137">
        <f t="shared" si="43"/>
        <v>21720</v>
      </c>
      <c r="AX93" s="137">
        <v>0</v>
      </c>
      <c r="AY93" s="137">
        <f t="shared" si="44"/>
        <v>21720</v>
      </c>
      <c r="AZ93" s="137">
        <f t="shared" si="45"/>
        <v>34650</v>
      </c>
      <c r="BA93" s="142">
        <f t="shared" si="46"/>
        <v>-12930</v>
      </c>
      <c r="BB93" s="137"/>
      <c r="BC93" s="137">
        <v>0</v>
      </c>
      <c r="BD93" s="142">
        <v>0</v>
      </c>
      <c r="BE93" s="135">
        <v>346.25</v>
      </c>
      <c r="BF93" s="143">
        <f t="shared" si="47"/>
        <v>0.51937500000000003</v>
      </c>
      <c r="BG93" s="143">
        <f t="shared" si="48"/>
        <v>345.73062499999997</v>
      </c>
      <c r="BH93" s="143">
        <f t="shared" si="49"/>
        <v>346.5</v>
      </c>
      <c r="BI93" s="144">
        <f t="shared" si="50"/>
        <v>-25</v>
      </c>
      <c r="BJ93" s="144">
        <v>0</v>
      </c>
      <c r="BK93" s="137">
        <f t="shared" si="51"/>
        <v>-25</v>
      </c>
      <c r="BL93" s="2"/>
      <c r="BM93" s="10" t="str">
        <f t="shared" si="52"/>
        <v>Unloading no. 87 Bill No G1642/G1643 ,Deduction For Oil Deduction= 0 ,Bardana= 362 ,F.M=  Brokerage/Rate Difference 0 ,Shortage = 0 ,Greenish=  ,Moisture= 0</v>
      </c>
      <c r="BN93" s="3"/>
      <c r="BO93" s="13" t="str">
        <f t="shared" si="37"/>
        <v xml:space="preserve"> Party Condition 39.79  ,F.M% 0.42 ,Greenish 4 ,Moisture 5.3 ,Shortage in KG= 0  ,Oil% 40.26</v>
      </c>
      <c r="BP93" s="4">
        <f t="shared" si="38"/>
        <v>4403.75873015873</v>
      </c>
      <c r="BQ93" s="5" t="str">
        <f t="shared" si="53"/>
        <v>40.26</v>
      </c>
      <c r="BR93" s="6">
        <f t="shared" si="54"/>
        <v>4594.0851134293762</v>
      </c>
      <c r="BS93" s="5" t="s">
        <v>62</v>
      </c>
      <c r="BT93" s="5" t="s">
        <v>63</v>
      </c>
      <c r="BW93" s="92"/>
      <c r="BX93" s="27">
        <v>40.35</v>
      </c>
      <c r="BY93" s="27">
        <v>40.26</v>
      </c>
      <c r="BZ93" s="96"/>
    </row>
    <row r="94" spans="1:78" s="1" customFormat="1" ht="15.75" hidden="1" x14ac:dyDescent="0.3">
      <c r="A94" s="128" t="s">
        <v>231</v>
      </c>
      <c r="B94" s="130">
        <v>46116</v>
      </c>
      <c r="C94" s="128">
        <v>88</v>
      </c>
      <c r="D94" s="128" t="s">
        <v>254</v>
      </c>
      <c r="E94" s="130">
        <v>46116</v>
      </c>
      <c r="F94" s="131" t="s">
        <v>107</v>
      </c>
      <c r="G94" s="131" t="s">
        <v>108</v>
      </c>
      <c r="H94" s="131" t="s">
        <v>109</v>
      </c>
      <c r="I94" s="132"/>
      <c r="J94" s="131" t="s">
        <v>113</v>
      </c>
      <c r="K94" s="133">
        <v>0</v>
      </c>
      <c r="L94" s="134">
        <v>46113</v>
      </c>
      <c r="M94" s="132"/>
      <c r="N94" s="131">
        <v>14</v>
      </c>
      <c r="O94" s="130">
        <v>46114</v>
      </c>
      <c r="P94" s="135">
        <v>0</v>
      </c>
      <c r="Q94" s="135">
        <v>240</v>
      </c>
      <c r="R94" s="135">
        <v>30</v>
      </c>
      <c r="S94" s="135">
        <v>0</v>
      </c>
      <c r="T94" s="135">
        <v>270</v>
      </c>
      <c r="U94" s="135">
        <v>270</v>
      </c>
      <c r="V94" s="135">
        <v>0</v>
      </c>
      <c r="W94" s="135">
        <v>162</v>
      </c>
      <c r="X94" s="135">
        <v>163.30000000000001</v>
      </c>
      <c r="Y94" s="135">
        <v>1132750.98</v>
      </c>
      <c r="Z94" s="136"/>
      <c r="AA94" s="135">
        <v>28318.7745</v>
      </c>
      <c r="AB94" s="135">
        <v>28318.7745</v>
      </c>
      <c r="AC94" s="135">
        <v>1189388.53</v>
      </c>
      <c r="AD94" s="137">
        <f t="shared" si="36"/>
        <v>1188199.1414699999</v>
      </c>
      <c r="AE94" s="138">
        <v>39.4</v>
      </c>
      <c r="AF94" s="135">
        <v>38.880000000000003</v>
      </c>
      <c r="AG94" s="138">
        <v>39.24</v>
      </c>
      <c r="AH94" s="139">
        <v>4.3E-3</v>
      </c>
      <c r="AI94" s="139">
        <v>4.3900000000000002E-2</v>
      </c>
      <c r="AJ94" s="139">
        <v>6.0999999999999999E-2</v>
      </c>
      <c r="AK94" s="137">
        <f t="shared" si="39"/>
        <v>0</v>
      </c>
      <c r="AL94" s="137">
        <f>W94*1.65</f>
        <v>267.3</v>
      </c>
      <c r="AM94" s="136"/>
      <c r="AN94" s="137">
        <v>0</v>
      </c>
      <c r="AO94" s="140">
        <f t="shared" si="40"/>
        <v>4754.7572</v>
      </c>
      <c r="AP94" s="137"/>
      <c r="AQ94" s="137">
        <v>0</v>
      </c>
      <c r="AR94" s="137">
        <f t="shared" si="41"/>
        <v>5022.0572000000002</v>
      </c>
      <c r="AS94" s="137">
        <f t="shared" si="42"/>
        <v>5273</v>
      </c>
      <c r="AT94" s="137">
        <f>BK94+50-32</f>
        <v>68</v>
      </c>
      <c r="AU94" s="141"/>
      <c r="AV94" s="141"/>
      <c r="AW94" s="137">
        <f t="shared" si="43"/>
        <v>16200</v>
      </c>
      <c r="AX94" s="137">
        <v>0</v>
      </c>
      <c r="AY94" s="137">
        <f t="shared" si="44"/>
        <v>16200</v>
      </c>
      <c r="AZ94" s="137">
        <f t="shared" si="45"/>
        <v>16330.000000000002</v>
      </c>
      <c r="BA94" s="142">
        <f t="shared" si="46"/>
        <v>-130.00000000000182</v>
      </c>
      <c r="BB94" s="137"/>
      <c r="BC94" s="137">
        <v>0</v>
      </c>
      <c r="BD94" s="142">
        <v>0</v>
      </c>
      <c r="BE94" s="135">
        <v>163.80000000000001</v>
      </c>
      <c r="BF94" s="143">
        <f t="shared" si="47"/>
        <v>0.2457</v>
      </c>
      <c r="BG94" s="143">
        <f t="shared" si="48"/>
        <v>163.55430000000001</v>
      </c>
      <c r="BH94" s="143">
        <f t="shared" si="49"/>
        <v>163.30000000000001</v>
      </c>
      <c r="BI94" s="144">
        <f t="shared" si="50"/>
        <v>50</v>
      </c>
      <c r="BJ94" s="144">
        <v>0</v>
      </c>
      <c r="BK94" s="137">
        <f t="shared" si="51"/>
        <v>50</v>
      </c>
      <c r="BL94" s="2"/>
      <c r="BM94" s="10" t="str">
        <f t="shared" si="52"/>
        <v>Unloading no. 88 Bill No 14 ,Deduction For Oil Deduction= 0 ,Bardana= 267.3 ,F.M=  Brokerage/Rate Difference 0 ,Shortage = 4754.7572 ,Greenish=  ,Moisture= 0</v>
      </c>
      <c r="BN94" s="3"/>
      <c r="BO94" s="13" t="str">
        <f t="shared" si="37"/>
        <v xml:space="preserve"> Party Condition 38.88  ,F.M% 0.43 ,Greenish 4.39 ,Moisture 6.1 ,Shortage in KG= 68  ,Oil% 39.24</v>
      </c>
      <c r="BP94" s="4">
        <f t="shared" si="38"/>
        <v>6905.8721543172078</v>
      </c>
      <c r="BQ94" s="5" t="str">
        <f t="shared" si="53"/>
        <v>39.24</v>
      </c>
      <c r="BR94" s="6">
        <f t="shared" si="54"/>
        <v>7391.6062813792732</v>
      </c>
      <c r="BS94" s="5" t="s">
        <v>62</v>
      </c>
      <c r="BT94" s="5" t="s">
        <v>63</v>
      </c>
      <c r="BW94" s="92"/>
      <c r="BX94" s="27">
        <v>39.4</v>
      </c>
      <c r="BY94" s="27">
        <v>39.24</v>
      </c>
      <c r="BZ94" s="96"/>
    </row>
    <row r="95" spans="1:78" s="1" customFormat="1" ht="15.75" hidden="1" x14ac:dyDescent="0.3">
      <c r="A95" s="128" t="s">
        <v>230</v>
      </c>
      <c r="B95" s="130">
        <v>46116</v>
      </c>
      <c r="C95" s="128">
        <v>89</v>
      </c>
      <c r="D95" s="128" t="s">
        <v>255</v>
      </c>
      <c r="E95" s="130">
        <v>46116</v>
      </c>
      <c r="F95" s="131" t="s">
        <v>95</v>
      </c>
      <c r="G95" s="131" t="s">
        <v>96</v>
      </c>
      <c r="H95" s="131" t="s">
        <v>97</v>
      </c>
      <c r="I95" s="132"/>
      <c r="J95" s="131" t="s">
        <v>113</v>
      </c>
      <c r="K95" s="133">
        <v>0</v>
      </c>
      <c r="L95" s="134">
        <v>46111</v>
      </c>
      <c r="M95" s="132"/>
      <c r="N95" s="131">
        <v>5</v>
      </c>
      <c r="O95" s="130">
        <v>46114</v>
      </c>
      <c r="P95" s="135">
        <v>0</v>
      </c>
      <c r="Q95" s="135">
        <v>50</v>
      </c>
      <c r="R95" s="135">
        <v>464</v>
      </c>
      <c r="S95" s="135">
        <v>0</v>
      </c>
      <c r="T95" s="135">
        <v>514</v>
      </c>
      <c r="U95" s="135">
        <v>464</v>
      </c>
      <c r="V95" s="135">
        <v>0</v>
      </c>
      <c r="W95" s="135">
        <v>308.39999999999998</v>
      </c>
      <c r="X95" s="135">
        <v>311.7</v>
      </c>
      <c r="Y95" s="135">
        <v>2184604.86</v>
      </c>
      <c r="Z95" s="136"/>
      <c r="AA95" s="135">
        <v>54615.121500000001</v>
      </c>
      <c r="AB95" s="135">
        <v>54615.121500000001</v>
      </c>
      <c r="AC95" s="135">
        <v>2293835.1</v>
      </c>
      <c r="AD95" s="137">
        <f t="shared" si="36"/>
        <v>2291541.2649000003</v>
      </c>
      <c r="AE95" s="138">
        <v>40.33</v>
      </c>
      <c r="AF95" s="135">
        <v>39.82</v>
      </c>
      <c r="AG95" s="138">
        <v>40.28</v>
      </c>
      <c r="AH95" s="139">
        <v>4.1999999999999997E-3</v>
      </c>
      <c r="AI95" s="139">
        <v>3.9E-2</v>
      </c>
      <c r="AJ95" s="139">
        <v>5.2999999999999999E-2</v>
      </c>
      <c r="AK95" s="137">
        <f t="shared" si="39"/>
        <v>0</v>
      </c>
      <c r="AL95" s="137"/>
      <c r="AM95" s="136"/>
      <c r="AN95" s="137">
        <v>0</v>
      </c>
      <c r="AO95" s="140">
        <f t="shared" si="40"/>
        <v>0</v>
      </c>
      <c r="AP95" s="137"/>
      <c r="AQ95" s="137">
        <v>0</v>
      </c>
      <c r="AR95" s="137">
        <f t="shared" si="41"/>
        <v>0</v>
      </c>
      <c r="AS95" s="137">
        <f t="shared" si="42"/>
        <v>0</v>
      </c>
      <c r="AT95" s="137">
        <v>0</v>
      </c>
      <c r="AU95" s="141"/>
      <c r="AV95" s="141"/>
      <c r="AW95" s="137">
        <f t="shared" si="43"/>
        <v>30839.999999999996</v>
      </c>
      <c r="AX95" s="137">
        <v>0</v>
      </c>
      <c r="AY95" s="137">
        <f t="shared" si="44"/>
        <v>30839.999999999996</v>
      </c>
      <c r="AZ95" s="137">
        <f t="shared" si="45"/>
        <v>31170</v>
      </c>
      <c r="BA95" s="142">
        <f t="shared" si="46"/>
        <v>-330.00000000000364</v>
      </c>
      <c r="BB95" s="137"/>
      <c r="BC95" s="137">
        <v>0</v>
      </c>
      <c r="BD95" s="142">
        <v>0</v>
      </c>
      <c r="BE95" s="135">
        <v>312.10000000000002</v>
      </c>
      <c r="BF95" s="143">
        <f t="shared" si="47"/>
        <v>0.46815000000000007</v>
      </c>
      <c r="BG95" s="143">
        <f t="shared" si="48"/>
        <v>311.63185000000004</v>
      </c>
      <c r="BH95" s="143">
        <f t="shared" si="49"/>
        <v>311.7</v>
      </c>
      <c r="BI95" s="144">
        <f t="shared" si="50"/>
        <v>40.000000000003411</v>
      </c>
      <c r="BJ95" s="144">
        <v>0</v>
      </c>
      <c r="BK95" s="137">
        <f t="shared" si="51"/>
        <v>40.000000000003411</v>
      </c>
      <c r="BL95" s="2"/>
      <c r="BM95" s="10" t="str">
        <f t="shared" si="52"/>
        <v>Unloading no. 89 Bill No 5 ,Deduction For Oil Deduction= 0 ,Bardana=  ,F.M=  Brokerage/Rate Difference 0 ,Shortage = 0 ,Greenish=  ,Moisture= 0</v>
      </c>
      <c r="BN95" s="3"/>
      <c r="BO95" s="13" t="str">
        <f t="shared" si="37"/>
        <v xml:space="preserve"> Party Condition 39.82  ,F.M% 0.42 ,Greenish 3.9 ,Moisture 5.3 ,Shortage in KG= 0  ,Oil% 40.28</v>
      </c>
      <c r="BP95" s="4">
        <f t="shared" si="38"/>
        <v>7008.6777670837346</v>
      </c>
      <c r="BQ95" s="5" t="str">
        <f t="shared" si="53"/>
        <v>40.28</v>
      </c>
      <c r="BR95" s="6">
        <f t="shared" si="54"/>
        <v>7307.9559636920767</v>
      </c>
      <c r="BS95" s="5" t="s">
        <v>62</v>
      </c>
      <c r="BT95" s="5" t="s">
        <v>63</v>
      </c>
      <c r="BW95" s="92"/>
      <c r="BX95" s="27">
        <v>40.33</v>
      </c>
      <c r="BY95" s="27">
        <v>40.28</v>
      </c>
      <c r="BZ95" s="96"/>
    </row>
    <row r="96" spans="1:78" s="1" customFormat="1" ht="15.75" hidden="1" x14ac:dyDescent="0.3">
      <c r="A96" s="128" t="s">
        <v>231</v>
      </c>
      <c r="B96" s="130">
        <v>46116</v>
      </c>
      <c r="C96" s="128">
        <v>90</v>
      </c>
      <c r="D96" s="128" t="s">
        <v>256</v>
      </c>
      <c r="E96" s="130">
        <v>46116</v>
      </c>
      <c r="F96" s="131" t="s">
        <v>107</v>
      </c>
      <c r="G96" s="131" t="s">
        <v>108</v>
      </c>
      <c r="H96" s="131" t="s">
        <v>109</v>
      </c>
      <c r="I96" s="132"/>
      <c r="J96" s="131" t="s">
        <v>113</v>
      </c>
      <c r="K96" s="133">
        <v>0</v>
      </c>
      <c r="L96" s="134">
        <v>46113</v>
      </c>
      <c r="M96" s="132"/>
      <c r="N96" s="131">
        <v>22</v>
      </c>
      <c r="O96" s="130">
        <v>46114</v>
      </c>
      <c r="P96" s="135">
        <v>0</v>
      </c>
      <c r="Q96" s="135">
        <v>400</v>
      </c>
      <c r="R96" s="135">
        <v>194</v>
      </c>
      <c r="S96" s="135">
        <v>0</v>
      </c>
      <c r="T96" s="135">
        <v>594</v>
      </c>
      <c r="U96" s="135">
        <v>594</v>
      </c>
      <c r="V96" s="135">
        <v>0</v>
      </c>
      <c r="W96" s="135">
        <v>356.4</v>
      </c>
      <c r="X96" s="135">
        <v>359.9</v>
      </c>
      <c r="Y96" s="135">
        <v>2492052.16</v>
      </c>
      <c r="Z96" s="136"/>
      <c r="AA96" s="135">
        <v>62301.303999999996</v>
      </c>
      <c r="AB96" s="135">
        <v>62301.303999999996</v>
      </c>
      <c r="AC96" s="135">
        <v>2616654.77</v>
      </c>
      <c r="AD96" s="137">
        <f t="shared" si="36"/>
        <v>2614038.1152300001</v>
      </c>
      <c r="AE96" s="138">
        <v>40.25</v>
      </c>
      <c r="AF96" s="135">
        <v>38.880000000000003</v>
      </c>
      <c r="AG96" s="138">
        <v>40.119999999999997</v>
      </c>
      <c r="AH96" s="139">
        <v>4.7999999999999996E-3</v>
      </c>
      <c r="AI96" s="139">
        <v>4.1000000000000002E-2</v>
      </c>
      <c r="AJ96" s="139">
        <v>6.2E-2</v>
      </c>
      <c r="AK96" s="137">
        <f t="shared" si="39"/>
        <v>0</v>
      </c>
      <c r="AL96" s="137">
        <f>W96*1.65</f>
        <v>588.05999999999995</v>
      </c>
      <c r="AM96" s="136"/>
      <c r="AN96" s="137">
        <v>0</v>
      </c>
      <c r="AO96" s="140">
        <f t="shared" si="40"/>
        <v>5873.523609427928</v>
      </c>
      <c r="AP96" s="137"/>
      <c r="AQ96" s="137">
        <v>0</v>
      </c>
      <c r="AR96" s="137">
        <f t="shared" si="41"/>
        <v>6461.5836094279275</v>
      </c>
      <c r="AS96" s="137">
        <f t="shared" si="42"/>
        <v>6785</v>
      </c>
      <c r="AT96" s="137">
        <f>BK96+135-71</f>
        <v>84.000000000004547</v>
      </c>
      <c r="AU96" s="141"/>
      <c r="AV96" s="141"/>
      <c r="AW96" s="137">
        <f t="shared" si="43"/>
        <v>35640</v>
      </c>
      <c r="AX96" s="137">
        <v>0</v>
      </c>
      <c r="AY96" s="137">
        <f t="shared" si="44"/>
        <v>35640</v>
      </c>
      <c r="AZ96" s="137">
        <f t="shared" si="45"/>
        <v>35990</v>
      </c>
      <c r="BA96" s="142">
        <f t="shared" si="46"/>
        <v>-350</v>
      </c>
      <c r="BB96" s="137"/>
      <c r="BC96" s="137">
        <v>0</v>
      </c>
      <c r="BD96" s="142">
        <v>0</v>
      </c>
      <c r="BE96" s="135">
        <v>360.1</v>
      </c>
      <c r="BF96" s="143">
        <f t="shared" si="47"/>
        <v>0.54015000000000002</v>
      </c>
      <c r="BG96" s="143">
        <f t="shared" si="48"/>
        <v>359.55985000000004</v>
      </c>
      <c r="BH96" s="143">
        <f t="shared" si="49"/>
        <v>359.9</v>
      </c>
      <c r="BI96" s="144">
        <f t="shared" si="50"/>
        <v>20.000000000004547</v>
      </c>
      <c r="BJ96" s="144">
        <v>0</v>
      </c>
      <c r="BK96" s="137">
        <f t="shared" si="51"/>
        <v>20.000000000004547</v>
      </c>
      <c r="BL96" s="2"/>
      <c r="BM96" s="10" t="str">
        <f t="shared" si="52"/>
        <v>Unloading no. 90 Bill No 22 ,Deduction For Oil Deduction= 0 ,Bardana= 588.06 ,F.M=  Brokerage/Rate Difference 0 ,Shortage = 5873.52360942793 ,Greenish=  ,Moisture= 0</v>
      </c>
      <c r="BN96" s="3"/>
      <c r="BO96" s="13" t="str">
        <f t="shared" si="37"/>
        <v xml:space="preserve"> Party Condition 38.88  ,F.M% 0.48 ,Greenish 4.1 ,Moisture 6.2 ,Shortage in KG= 84.0000000000045  ,Oil% 40.12</v>
      </c>
      <c r="BP96" s="4">
        <f t="shared" si="38"/>
        <v>6906.3366946112046</v>
      </c>
      <c r="BQ96" s="5" t="str">
        <f t="shared" si="53"/>
        <v>40.12</v>
      </c>
      <c r="BR96" s="6">
        <f t="shared" si="54"/>
        <v>7229.9636384264859</v>
      </c>
      <c r="BS96" s="5" t="s">
        <v>62</v>
      </c>
      <c r="BT96" s="5" t="s">
        <v>63</v>
      </c>
      <c r="BW96" s="92"/>
      <c r="BX96" s="27">
        <v>40.25</v>
      </c>
      <c r="BY96" s="27">
        <v>40.119999999999997</v>
      </c>
      <c r="BZ96" s="96"/>
    </row>
    <row r="97" spans="1:78" s="1" customFormat="1" ht="15.75" hidden="1" x14ac:dyDescent="0.3">
      <c r="A97" s="128" t="s">
        <v>125</v>
      </c>
      <c r="B97" s="130">
        <v>46116</v>
      </c>
      <c r="C97" s="128">
        <v>91</v>
      </c>
      <c r="D97" s="128" t="s">
        <v>257</v>
      </c>
      <c r="E97" s="130">
        <v>46116</v>
      </c>
      <c r="F97" s="131" t="s">
        <v>107</v>
      </c>
      <c r="G97" s="149" t="s">
        <v>108</v>
      </c>
      <c r="H97" s="131" t="s">
        <v>109</v>
      </c>
      <c r="I97" s="132"/>
      <c r="J97" s="131" t="s">
        <v>113</v>
      </c>
      <c r="K97" s="133">
        <v>0</v>
      </c>
      <c r="L97" s="134">
        <v>46111</v>
      </c>
      <c r="M97" s="132"/>
      <c r="N97" s="154">
        <v>12</v>
      </c>
      <c r="O97" s="130">
        <v>46114</v>
      </c>
      <c r="P97" s="135">
        <v>0</v>
      </c>
      <c r="Q97" s="135">
        <v>247</v>
      </c>
      <c r="R97" s="135">
        <v>161</v>
      </c>
      <c r="S97" s="135">
        <v>0</v>
      </c>
      <c r="T97" s="135">
        <v>408</v>
      </c>
      <c r="U97" s="135">
        <v>408</v>
      </c>
      <c r="V97" s="135">
        <v>0</v>
      </c>
      <c r="W97" s="135">
        <v>244.8</v>
      </c>
      <c r="X97" s="135">
        <f>248.27-0.8</f>
        <v>247.47</v>
      </c>
      <c r="Y97" s="135">
        <v>1714175.28</v>
      </c>
      <c r="Z97" s="136"/>
      <c r="AA97" s="135">
        <v>42854.381999999998</v>
      </c>
      <c r="AB97" s="135">
        <v>42854.381999999998</v>
      </c>
      <c r="AC97" s="135">
        <v>1799884.04</v>
      </c>
      <c r="AD97" s="137">
        <f t="shared" si="36"/>
        <v>1798084.1559600001</v>
      </c>
      <c r="AE97" s="138">
        <v>39.590000000000003</v>
      </c>
      <c r="AF97" s="135">
        <v>39.020000000000003</v>
      </c>
      <c r="AG97" s="138">
        <v>39.5</v>
      </c>
      <c r="AH97" s="139">
        <v>4.7000000000000002E-3</v>
      </c>
      <c r="AI97" s="139">
        <v>0.04</v>
      </c>
      <c r="AJ97" s="139">
        <v>5.8999999999999997E-2</v>
      </c>
      <c r="AK97" s="137">
        <f t="shared" si="39"/>
        <v>0</v>
      </c>
      <c r="AL97" s="137">
        <f>W97*1.65</f>
        <v>403.92</v>
      </c>
      <c r="AM97" s="136"/>
      <c r="AN97" s="137">
        <v>0</v>
      </c>
      <c r="AO97" s="140">
        <f t="shared" si="40"/>
        <v>2590.8695000000798</v>
      </c>
      <c r="AP97" s="137"/>
      <c r="AQ97" s="137">
        <v>0</v>
      </c>
      <c r="AR97" s="137">
        <f t="shared" si="41"/>
        <v>2994.7895000000799</v>
      </c>
      <c r="AS97" s="137">
        <f t="shared" si="42"/>
        <v>3145</v>
      </c>
      <c r="AT97" s="137">
        <f>BK97+42-85</f>
        <v>37.000000000001137</v>
      </c>
      <c r="AU97" s="141"/>
      <c r="AV97" s="141"/>
      <c r="AW97" s="137">
        <f t="shared" si="43"/>
        <v>24480</v>
      </c>
      <c r="AX97" s="137">
        <v>0</v>
      </c>
      <c r="AY97" s="137">
        <f t="shared" si="44"/>
        <v>24480</v>
      </c>
      <c r="AZ97" s="137">
        <f t="shared" si="45"/>
        <v>24747</v>
      </c>
      <c r="BA97" s="142">
        <f t="shared" si="46"/>
        <v>-267</v>
      </c>
      <c r="BB97" s="137"/>
      <c r="BC97" s="137">
        <v>0</v>
      </c>
      <c r="BD97" s="142">
        <v>0</v>
      </c>
      <c r="BE97" s="135">
        <v>248.27</v>
      </c>
      <c r="BF97" s="143">
        <f t="shared" si="47"/>
        <v>0.37240499999999999</v>
      </c>
      <c r="BG97" s="143">
        <f t="shared" si="48"/>
        <v>247.89759500000002</v>
      </c>
      <c r="BH97" s="143">
        <f t="shared" si="49"/>
        <v>247.47</v>
      </c>
      <c r="BI97" s="144">
        <f t="shared" si="50"/>
        <v>80.000000000001137</v>
      </c>
      <c r="BJ97" s="144">
        <v>0</v>
      </c>
      <c r="BK97" s="137">
        <f t="shared" si="51"/>
        <v>80.000000000001137</v>
      </c>
      <c r="BL97" s="2"/>
      <c r="BM97" s="10" t="str">
        <f t="shared" si="52"/>
        <v>Unloading no. 91 Bill No 12 ,Deduction For Oil Deduction= 0 ,Bardana= 403.92 ,F.M=  Brokerage/Rate Difference 0 ,Shortage = 2590.86950000008 ,Greenish=  ,Moisture= 0</v>
      </c>
      <c r="BN97" s="3"/>
      <c r="BO97" s="13" t="str">
        <f t="shared" si="37"/>
        <v xml:space="preserve"> Party Condition 39.02  ,F.M% 0.47 ,Greenish 4 ,Moisture 5.9 ,Shortage in KG= 37.0000000000011  ,Oil% 39.5</v>
      </c>
      <c r="BP97" s="4">
        <f t="shared" si="38"/>
        <v>6914.6987129753097</v>
      </c>
      <c r="BQ97" s="5" t="str">
        <f t="shared" si="53"/>
        <v xml:space="preserve"> 39.5</v>
      </c>
      <c r="BR97" s="6">
        <f t="shared" si="54"/>
        <v>7352.3378720243791</v>
      </c>
      <c r="BS97" s="5" t="s">
        <v>62</v>
      </c>
      <c r="BT97" s="5" t="s">
        <v>63</v>
      </c>
      <c r="BW97" s="92"/>
      <c r="BX97" s="27">
        <v>39.590000000000003</v>
      </c>
      <c r="BY97" s="27">
        <v>39.5</v>
      </c>
      <c r="BZ97" s="96"/>
    </row>
    <row r="98" spans="1:78" s="1" customFormat="1" ht="15.75" hidden="1" x14ac:dyDescent="0.3">
      <c r="A98" s="128" t="s">
        <v>231</v>
      </c>
      <c r="B98" s="130">
        <v>46116</v>
      </c>
      <c r="C98" s="128">
        <v>91</v>
      </c>
      <c r="D98" s="128" t="s">
        <v>257</v>
      </c>
      <c r="E98" s="130">
        <v>46116</v>
      </c>
      <c r="F98" s="131" t="s">
        <v>107</v>
      </c>
      <c r="G98" s="149" t="s">
        <v>108</v>
      </c>
      <c r="H98" s="131" t="s">
        <v>109</v>
      </c>
      <c r="I98" s="132"/>
      <c r="J98" s="131" t="s">
        <v>113</v>
      </c>
      <c r="K98" s="133">
        <v>0</v>
      </c>
      <c r="L98" s="134">
        <v>46113</v>
      </c>
      <c r="M98" s="132"/>
      <c r="N98" s="154">
        <v>13</v>
      </c>
      <c r="O98" s="130">
        <v>46114</v>
      </c>
      <c r="P98" s="135">
        <v>0</v>
      </c>
      <c r="Q98" s="135">
        <v>0</v>
      </c>
      <c r="R98" s="135">
        <v>289</v>
      </c>
      <c r="S98" s="135">
        <v>0</v>
      </c>
      <c r="T98" s="135">
        <v>289</v>
      </c>
      <c r="U98" s="135">
        <v>289</v>
      </c>
      <c r="V98" s="135">
        <v>0</v>
      </c>
      <c r="W98" s="135">
        <v>173.4</v>
      </c>
      <c r="X98" s="135">
        <v>175.86</v>
      </c>
      <c r="Y98" s="135">
        <v>1212463.0900000001</v>
      </c>
      <c r="Z98" s="136"/>
      <c r="AA98" s="135">
        <v>30311.577249999998</v>
      </c>
      <c r="AB98" s="135">
        <v>30311.577249999998</v>
      </c>
      <c r="AC98" s="135">
        <v>1273086.24</v>
      </c>
      <c r="AD98" s="137">
        <f t="shared" si="36"/>
        <v>1271813.1537599999</v>
      </c>
      <c r="AE98" s="138">
        <v>39.590000000000003</v>
      </c>
      <c r="AF98" s="135">
        <v>38.880000000000003</v>
      </c>
      <c r="AG98" s="138">
        <v>39.5</v>
      </c>
      <c r="AH98" s="139">
        <v>4.7000000000000002E-3</v>
      </c>
      <c r="AI98" s="139">
        <v>0.04</v>
      </c>
      <c r="AJ98" s="139">
        <v>5.8999999999999997E-2</v>
      </c>
      <c r="AK98" s="137">
        <f t="shared" si="39"/>
        <v>0</v>
      </c>
      <c r="AL98" s="137">
        <f>W98*1.65</f>
        <v>286.11</v>
      </c>
      <c r="AM98" s="136"/>
      <c r="AN98" s="137">
        <v>0</v>
      </c>
      <c r="AO98" s="140">
        <f t="shared" si="40"/>
        <v>0</v>
      </c>
      <c r="AP98" s="137"/>
      <c r="AQ98" s="137">
        <v>0</v>
      </c>
      <c r="AR98" s="137">
        <f t="shared" si="41"/>
        <v>286.11</v>
      </c>
      <c r="AS98" s="137">
        <f t="shared" si="42"/>
        <v>300</v>
      </c>
      <c r="AT98" s="137">
        <f t="shared" si="55"/>
        <v>0</v>
      </c>
      <c r="AU98" s="141"/>
      <c r="AV98" s="141"/>
      <c r="AW98" s="137">
        <f t="shared" si="43"/>
        <v>17340</v>
      </c>
      <c r="AX98" s="137">
        <v>0</v>
      </c>
      <c r="AY98" s="137">
        <f t="shared" si="44"/>
        <v>17340</v>
      </c>
      <c r="AZ98" s="137">
        <f t="shared" si="45"/>
        <v>17586</v>
      </c>
      <c r="BA98" s="142">
        <f t="shared" si="46"/>
        <v>-246</v>
      </c>
      <c r="BB98" s="137"/>
      <c r="BC98" s="137">
        <v>0</v>
      </c>
      <c r="BD98" s="142">
        <v>0</v>
      </c>
      <c r="BE98" s="135">
        <v>175.86</v>
      </c>
      <c r="BF98" s="143">
        <f t="shared" si="47"/>
        <v>0.26379000000000002</v>
      </c>
      <c r="BG98" s="143">
        <f t="shared" si="48"/>
        <v>175.59621000000001</v>
      </c>
      <c r="BH98" s="143">
        <f t="shared" si="49"/>
        <v>175.86</v>
      </c>
      <c r="BI98" s="144">
        <f t="shared" si="50"/>
        <v>0</v>
      </c>
      <c r="BJ98" s="144">
        <v>0</v>
      </c>
      <c r="BK98" s="137">
        <f t="shared" si="51"/>
        <v>0</v>
      </c>
      <c r="BL98" s="2"/>
      <c r="BM98" s="10" t="str">
        <f t="shared" si="52"/>
        <v>Unloading no. 91 Bill No 13 ,Deduction For Oil Deduction= 0 ,Bardana= 286.11 ,F.M=  Brokerage/Rate Difference 0 ,Shortage = 0 ,Greenish=  ,Moisture= 0</v>
      </c>
      <c r="BN98" s="3"/>
      <c r="BO98" s="13" t="str">
        <f t="shared" si="37"/>
        <v xml:space="preserve"> Party Condition 38.88  ,F.M% 0.47 ,Greenish 4 ,Moisture 5.9 ,Shortage in KG= 0  ,Oil% 39.5</v>
      </c>
      <c r="BP98" s="4">
        <f t="shared" si="38"/>
        <v>6892.8521551233925</v>
      </c>
      <c r="BQ98" s="5" t="str">
        <f t="shared" si="53"/>
        <v xml:space="preserve"> 39.5</v>
      </c>
      <c r="BR98" s="6">
        <f t="shared" si="54"/>
        <v>7329.1086206375312</v>
      </c>
      <c r="BS98" s="5" t="s">
        <v>62</v>
      </c>
      <c r="BT98" s="5" t="s">
        <v>63</v>
      </c>
      <c r="BW98" s="92"/>
      <c r="BX98" s="27">
        <v>39.590000000000003</v>
      </c>
      <c r="BY98" s="27">
        <v>39.5</v>
      </c>
      <c r="BZ98" s="96"/>
    </row>
    <row r="99" spans="1:78" s="1" customFormat="1" ht="15.75" hidden="1" x14ac:dyDescent="0.3">
      <c r="A99" s="128" t="s">
        <v>232</v>
      </c>
      <c r="B99" s="130">
        <v>46116</v>
      </c>
      <c r="C99" s="128">
        <v>92</v>
      </c>
      <c r="D99" s="128" t="s">
        <v>258</v>
      </c>
      <c r="E99" s="130">
        <v>46116</v>
      </c>
      <c r="F99" s="131" t="s">
        <v>101</v>
      </c>
      <c r="G99" s="131" t="s">
        <v>102</v>
      </c>
      <c r="H99" s="131" t="s">
        <v>97</v>
      </c>
      <c r="I99" s="132"/>
      <c r="J99" s="131" t="s">
        <v>113</v>
      </c>
      <c r="K99" s="133">
        <v>0</v>
      </c>
      <c r="L99" s="134">
        <v>46111</v>
      </c>
      <c r="M99" s="132"/>
      <c r="N99" s="131" t="s">
        <v>290</v>
      </c>
      <c r="O99" s="130">
        <v>46114</v>
      </c>
      <c r="P99" s="135">
        <v>0</v>
      </c>
      <c r="Q99" s="135">
        <v>400</v>
      </c>
      <c r="R99" s="135">
        <v>192</v>
      </c>
      <c r="S99" s="135">
        <v>0</v>
      </c>
      <c r="T99" s="135">
        <v>592</v>
      </c>
      <c r="U99" s="135">
        <v>592</v>
      </c>
      <c r="V99" s="135">
        <v>0</v>
      </c>
      <c r="W99" s="135">
        <v>355.2</v>
      </c>
      <c r="X99" s="135">
        <v>358.8</v>
      </c>
      <c r="Y99" s="135">
        <v>2509105.5699999998</v>
      </c>
      <c r="Z99" s="136"/>
      <c r="AA99" s="135">
        <v>62727.63925</v>
      </c>
      <c r="AB99" s="135">
        <v>62727.63925</v>
      </c>
      <c r="AC99" s="135">
        <v>2634560.85</v>
      </c>
      <c r="AD99" s="137">
        <f t="shared" si="36"/>
        <v>2631926.2891500001</v>
      </c>
      <c r="AE99" s="138">
        <v>39.65</v>
      </c>
      <c r="AF99" s="135">
        <v>39.6</v>
      </c>
      <c r="AG99" s="138">
        <v>39.53</v>
      </c>
      <c r="AH99" s="139">
        <v>4.7999999999999996E-3</v>
      </c>
      <c r="AI99" s="139">
        <v>4.2500000000000003E-2</v>
      </c>
      <c r="AJ99" s="139">
        <v>5.6000000000000001E-2</v>
      </c>
      <c r="AK99" s="137">
        <v>0</v>
      </c>
      <c r="AL99" s="137"/>
      <c r="AM99" s="137"/>
      <c r="AN99" s="137">
        <v>0</v>
      </c>
      <c r="AO99" s="140">
        <f t="shared" si="40"/>
        <v>5086.0248040538927</v>
      </c>
      <c r="AP99" s="137"/>
      <c r="AQ99" s="137">
        <v>0</v>
      </c>
      <c r="AR99" s="137">
        <f t="shared" si="41"/>
        <v>5086.0248040538927</v>
      </c>
      <c r="AS99" s="137">
        <f t="shared" si="42"/>
        <v>5340</v>
      </c>
      <c r="AT99" s="137">
        <f>BK99+103-71</f>
        <v>71.999999999997726</v>
      </c>
      <c r="AU99" s="141"/>
      <c r="AV99" s="141"/>
      <c r="AW99" s="137">
        <f t="shared" si="43"/>
        <v>35520</v>
      </c>
      <c r="AX99" s="137">
        <v>0</v>
      </c>
      <c r="AY99" s="137">
        <f t="shared" si="44"/>
        <v>35520</v>
      </c>
      <c r="AZ99" s="137">
        <f t="shared" si="45"/>
        <v>35880</v>
      </c>
      <c r="BA99" s="142">
        <f t="shared" si="46"/>
        <v>-360</v>
      </c>
      <c r="BB99" s="137"/>
      <c r="BC99" s="137">
        <v>0</v>
      </c>
      <c r="BD99" s="142">
        <v>0</v>
      </c>
      <c r="BE99" s="135">
        <v>359.2</v>
      </c>
      <c r="BF99" s="143">
        <f t="shared" si="47"/>
        <v>0.53879999999999995</v>
      </c>
      <c r="BG99" s="143">
        <f t="shared" si="48"/>
        <v>358.66120000000001</v>
      </c>
      <c r="BH99" s="143">
        <f t="shared" si="49"/>
        <v>358.8</v>
      </c>
      <c r="BI99" s="144">
        <f t="shared" si="50"/>
        <v>39.999999999997726</v>
      </c>
      <c r="BJ99" s="144">
        <v>0</v>
      </c>
      <c r="BK99" s="137">
        <f t="shared" si="51"/>
        <v>39.999999999997726</v>
      </c>
      <c r="BL99" s="2"/>
      <c r="BM99" s="10" t="str">
        <f t="shared" si="52"/>
        <v>Unloading no. 92 Bill No L/PB/25-26/12 ,Deduction For Oil Deduction= 0 ,Bardana=  ,F.M=  Brokerage/Rate Difference 0 ,Shortage = 5086.02480405389 ,Greenish=  ,Moisture= 0</v>
      </c>
      <c r="BN99" s="3"/>
      <c r="BO99" s="13" t="str">
        <f t="shared" si="37"/>
        <v xml:space="preserve"> Party Condition 39.6  ,F.M% 0.48 ,Greenish 4.25 ,Moisture 5.6 ,Shortage in KG= 71.9999999999977  ,Oil% 39.53</v>
      </c>
      <c r="BP99" s="4">
        <f t="shared" si="38"/>
        <v>6978.8727569563707</v>
      </c>
      <c r="BQ99" s="5" t="str">
        <f t="shared" si="53"/>
        <v>39.53</v>
      </c>
      <c r="BR99" s="6">
        <f t="shared" si="54"/>
        <v>7414.941962867887</v>
      </c>
      <c r="BS99" s="5" t="s">
        <v>62</v>
      </c>
      <c r="BT99" s="5" t="s">
        <v>63</v>
      </c>
      <c r="BW99" s="92"/>
      <c r="BX99" s="27">
        <v>39.65</v>
      </c>
      <c r="BY99" s="27">
        <v>39.53</v>
      </c>
      <c r="BZ99" s="96"/>
    </row>
    <row r="100" spans="1:78" s="1" customFormat="1" ht="15.75" hidden="1" x14ac:dyDescent="0.3">
      <c r="A100" s="128" t="s">
        <v>134</v>
      </c>
      <c r="B100" s="130">
        <v>46116</v>
      </c>
      <c r="C100" s="128">
        <v>93</v>
      </c>
      <c r="D100" s="128" t="s">
        <v>259</v>
      </c>
      <c r="E100" s="130">
        <v>46116</v>
      </c>
      <c r="F100" s="131" t="s">
        <v>101</v>
      </c>
      <c r="G100" s="131" t="s">
        <v>102</v>
      </c>
      <c r="H100" s="131" t="s">
        <v>103</v>
      </c>
      <c r="I100" s="132"/>
      <c r="J100" s="131" t="s">
        <v>113</v>
      </c>
      <c r="K100" s="133">
        <v>0</v>
      </c>
      <c r="L100" s="134">
        <v>46111</v>
      </c>
      <c r="M100" s="132"/>
      <c r="N100" s="131" t="s">
        <v>291</v>
      </c>
      <c r="O100" s="130">
        <v>46114</v>
      </c>
      <c r="P100" s="135">
        <v>0</v>
      </c>
      <c r="Q100" s="135">
        <v>400</v>
      </c>
      <c r="R100" s="135">
        <v>106</v>
      </c>
      <c r="S100" s="135">
        <v>0</v>
      </c>
      <c r="T100" s="135">
        <v>506</v>
      </c>
      <c r="U100" s="135">
        <v>506</v>
      </c>
      <c r="V100" s="135">
        <v>0</v>
      </c>
      <c r="W100" s="135">
        <v>303.60000000000002</v>
      </c>
      <c r="X100" s="135">
        <v>307</v>
      </c>
      <c r="Y100" s="135">
        <v>2144607.12</v>
      </c>
      <c r="Z100" s="136"/>
      <c r="AA100" s="135">
        <v>53615.178</v>
      </c>
      <c r="AB100" s="135">
        <v>53615.178</v>
      </c>
      <c r="AC100" s="135">
        <v>2251837.48</v>
      </c>
      <c r="AD100" s="137">
        <f t="shared" si="36"/>
        <v>2249585.6425199998</v>
      </c>
      <c r="AE100" s="138">
        <v>40.32</v>
      </c>
      <c r="AF100" s="135">
        <v>39.6</v>
      </c>
      <c r="AG100" s="138">
        <v>40.28</v>
      </c>
      <c r="AH100" s="139">
        <v>4.5999999999999999E-3</v>
      </c>
      <c r="AI100" s="139">
        <v>4.4200000000000003E-2</v>
      </c>
      <c r="AJ100" s="139">
        <v>5.7000000000000002E-2</v>
      </c>
      <c r="AK100" s="137">
        <f t="shared" si="39"/>
        <v>0</v>
      </c>
      <c r="AL100" s="137"/>
      <c r="AM100" s="137"/>
      <c r="AN100" s="137">
        <v>0</v>
      </c>
      <c r="AO100" s="140">
        <f t="shared" si="40"/>
        <v>2048.5377628460101</v>
      </c>
      <c r="AP100" s="137"/>
      <c r="AQ100" s="137">
        <v>0</v>
      </c>
      <c r="AR100" s="137">
        <f t="shared" si="41"/>
        <v>2048.5377628460101</v>
      </c>
      <c r="AS100" s="137">
        <f t="shared" si="42"/>
        <v>2151</v>
      </c>
      <c r="AT100" s="137">
        <f>BK100+30-61</f>
        <v>29.000000000002274</v>
      </c>
      <c r="AU100" s="141"/>
      <c r="AV100" s="141"/>
      <c r="AW100" s="137">
        <f t="shared" si="43"/>
        <v>30360.000000000004</v>
      </c>
      <c r="AX100" s="137">
        <v>0</v>
      </c>
      <c r="AY100" s="137">
        <f t="shared" si="44"/>
        <v>30360.000000000004</v>
      </c>
      <c r="AZ100" s="137">
        <f t="shared" si="45"/>
        <v>30700</v>
      </c>
      <c r="BA100" s="142">
        <f t="shared" si="46"/>
        <v>-339.99999999999636</v>
      </c>
      <c r="BB100" s="137"/>
      <c r="BC100" s="137">
        <v>0</v>
      </c>
      <c r="BD100" s="142">
        <v>0</v>
      </c>
      <c r="BE100" s="135">
        <v>307.60000000000002</v>
      </c>
      <c r="BF100" s="143">
        <f t="shared" si="47"/>
        <v>0.46140000000000003</v>
      </c>
      <c r="BG100" s="143">
        <f t="shared" si="48"/>
        <v>307.1386</v>
      </c>
      <c r="BH100" s="143">
        <f t="shared" si="49"/>
        <v>307</v>
      </c>
      <c r="BI100" s="144">
        <f t="shared" si="50"/>
        <v>60.000000000002274</v>
      </c>
      <c r="BJ100" s="144">
        <v>0</v>
      </c>
      <c r="BK100" s="137">
        <f t="shared" si="51"/>
        <v>60.000000000002274</v>
      </c>
      <c r="BL100" s="2"/>
      <c r="BM100" s="10" t="str">
        <f t="shared" si="52"/>
        <v>Unloading no. 93 Bill No L/PB/25-26/11 ,Deduction For Oil Deduction= 0 ,Bardana=  ,F.M=  Brokerage/Rate Difference 0 ,Shortage = 2048.53776284601 ,Greenish=  ,Moisture= 0</v>
      </c>
      <c r="BN100" s="3"/>
      <c r="BO100" s="13" t="str">
        <f t="shared" si="37"/>
        <v xml:space="preserve"> Party Condition 39.6  ,F.M% 0.46 ,Greenish 4.42 ,Moisture 5.7 ,Shortage in KG= 29.0000000000023  ,Oil% 40.28</v>
      </c>
      <c r="BP100" s="4">
        <f t="shared" si="38"/>
        <v>6979.0181831829132</v>
      </c>
      <c r="BQ100" s="5" t="str">
        <f t="shared" si="53"/>
        <v>40.28</v>
      </c>
      <c r="BR100" s="6">
        <f t="shared" si="54"/>
        <v>7277.0298831599384</v>
      </c>
      <c r="BS100" s="5" t="s">
        <v>62</v>
      </c>
      <c r="BT100" s="5" t="s">
        <v>63</v>
      </c>
      <c r="BW100" s="92"/>
      <c r="BX100" s="27">
        <v>40.32</v>
      </c>
      <c r="BY100" s="27">
        <v>40.28</v>
      </c>
      <c r="BZ100" s="96"/>
    </row>
    <row r="101" spans="1:78" s="1" customFormat="1" ht="15.75" hidden="1" x14ac:dyDescent="0.3">
      <c r="A101" s="128" t="s">
        <v>233</v>
      </c>
      <c r="B101" s="130">
        <v>46117</v>
      </c>
      <c r="C101" s="128">
        <v>94</v>
      </c>
      <c r="D101" s="128" t="s">
        <v>260</v>
      </c>
      <c r="E101" s="130">
        <v>46117</v>
      </c>
      <c r="F101" s="131" t="s">
        <v>98</v>
      </c>
      <c r="G101" s="131" t="s">
        <v>99</v>
      </c>
      <c r="H101" s="131" t="s">
        <v>199</v>
      </c>
      <c r="I101" s="132"/>
      <c r="J101" s="131" t="s">
        <v>113</v>
      </c>
      <c r="K101" s="133">
        <v>0</v>
      </c>
      <c r="L101" s="134">
        <v>46114</v>
      </c>
      <c r="M101" s="132"/>
      <c r="N101" s="131">
        <v>7</v>
      </c>
      <c r="O101" s="130">
        <v>46114</v>
      </c>
      <c r="P101" s="135">
        <v>0</v>
      </c>
      <c r="Q101" s="135">
        <v>200</v>
      </c>
      <c r="R101" s="135">
        <v>277</v>
      </c>
      <c r="S101" s="135">
        <v>0</v>
      </c>
      <c r="T101" s="135">
        <v>477</v>
      </c>
      <c r="U101" s="135">
        <v>477</v>
      </c>
      <c r="V101" s="135">
        <v>0</v>
      </c>
      <c r="W101" s="135">
        <v>286.2</v>
      </c>
      <c r="X101" s="135">
        <v>289.60000000000002</v>
      </c>
      <c r="Y101" s="135">
        <v>1992801.06</v>
      </c>
      <c r="Z101" s="136"/>
      <c r="AA101" s="135">
        <v>49820.0265</v>
      </c>
      <c r="AB101" s="135">
        <v>49820.0265</v>
      </c>
      <c r="AC101" s="135">
        <v>2092441.11</v>
      </c>
      <c r="AD101" s="137">
        <f t="shared" si="36"/>
        <v>2090348.6688900001</v>
      </c>
      <c r="AE101" s="138">
        <v>39</v>
      </c>
      <c r="AF101" s="135">
        <v>39.29</v>
      </c>
      <c r="AG101" s="138">
        <v>39.020000000000003</v>
      </c>
      <c r="AH101" s="139">
        <v>4.4999999999999997E-3</v>
      </c>
      <c r="AI101" s="139">
        <v>4.4999999999999998E-2</v>
      </c>
      <c r="AJ101" s="139">
        <v>5.3999999999999999E-2</v>
      </c>
      <c r="AK101" s="137">
        <f t="shared" si="39"/>
        <v>14708.890491219097</v>
      </c>
      <c r="AL101" s="137"/>
      <c r="AM101" s="137"/>
      <c r="AN101" s="137">
        <f t="shared" ref="AN101:AN129" si="56">W101*1.38</f>
        <v>394.95599999999996</v>
      </c>
      <c r="AO101" s="140">
        <f t="shared" si="40"/>
        <v>0</v>
      </c>
      <c r="AP101" s="137"/>
      <c r="AQ101" s="137">
        <v>0</v>
      </c>
      <c r="AR101" s="137">
        <f t="shared" si="41"/>
        <v>15103.846491219098</v>
      </c>
      <c r="AS101" s="137">
        <f t="shared" si="42"/>
        <v>15859</v>
      </c>
      <c r="AT101" s="137">
        <v>0</v>
      </c>
      <c r="AU101" s="141"/>
      <c r="AV101" s="141"/>
      <c r="AW101" s="137">
        <f t="shared" si="43"/>
        <v>28620</v>
      </c>
      <c r="AX101" s="137">
        <v>0</v>
      </c>
      <c r="AY101" s="137">
        <f t="shared" si="44"/>
        <v>28620</v>
      </c>
      <c r="AZ101" s="137">
        <f t="shared" si="45"/>
        <v>28960.000000000004</v>
      </c>
      <c r="BA101" s="142">
        <f t="shared" si="46"/>
        <v>-340.00000000000364</v>
      </c>
      <c r="BB101" s="137"/>
      <c r="BC101" s="137">
        <v>0</v>
      </c>
      <c r="BD101" s="142">
        <v>0</v>
      </c>
      <c r="BE101" s="135">
        <v>290.05</v>
      </c>
      <c r="BF101" s="143">
        <f t="shared" si="47"/>
        <v>0.43507499999999999</v>
      </c>
      <c r="BG101" s="143">
        <f t="shared" si="48"/>
        <v>289.61492500000003</v>
      </c>
      <c r="BH101" s="143">
        <f t="shared" si="49"/>
        <v>289.60000000000002</v>
      </c>
      <c r="BI101" s="144">
        <f t="shared" si="50"/>
        <v>44.999999999998863</v>
      </c>
      <c r="BJ101" s="144">
        <v>0</v>
      </c>
      <c r="BK101" s="137">
        <f t="shared" si="51"/>
        <v>44.999999999998863</v>
      </c>
      <c r="BL101" s="2"/>
      <c r="BM101" s="10" t="str">
        <f t="shared" si="52"/>
        <v>Unloading no. 94 Bill No 7 ,Deduction For Oil Deduction= 14708.8904912191 ,Bardana=  ,F.M=  Brokerage/Rate Difference 394.956 ,Shortage = 0 ,Greenish=  ,Moisture= 0</v>
      </c>
      <c r="BN101" s="3"/>
      <c r="BO101" s="13" t="str">
        <f t="shared" si="37"/>
        <v xml:space="preserve"> Party Condition 39.29  ,F.M% 0.45 ,Greenish 4.5 ,Moisture 5.4 ,Shortage in KG= 0  ,Oil% 39</v>
      </c>
      <c r="BP101" s="4">
        <f t="shared" si="38"/>
        <v>6829.064963773415</v>
      </c>
      <c r="BQ101" s="5" t="str">
        <f t="shared" si="53"/>
        <v>l% 39</v>
      </c>
      <c r="BR101" s="6" t="e">
        <f t="shared" si="54"/>
        <v>#VALUE!</v>
      </c>
      <c r="BS101" s="5" t="s">
        <v>62</v>
      </c>
      <c r="BT101" s="5" t="s">
        <v>63</v>
      </c>
      <c r="BW101" s="92"/>
      <c r="BX101" s="27">
        <v>39</v>
      </c>
      <c r="BY101" s="27">
        <v>39.020000000000003</v>
      </c>
      <c r="BZ101" s="96"/>
    </row>
    <row r="102" spans="1:78" s="1" customFormat="1" ht="15.75" hidden="1" x14ac:dyDescent="0.3">
      <c r="A102" s="128" t="s">
        <v>233</v>
      </c>
      <c r="B102" s="130">
        <v>46117</v>
      </c>
      <c r="C102" s="128">
        <v>95</v>
      </c>
      <c r="D102" s="128" t="s">
        <v>261</v>
      </c>
      <c r="E102" s="130">
        <v>46117</v>
      </c>
      <c r="F102" s="131" t="s">
        <v>98</v>
      </c>
      <c r="G102" s="131" t="s">
        <v>99</v>
      </c>
      <c r="H102" s="131" t="s">
        <v>199</v>
      </c>
      <c r="I102" s="132"/>
      <c r="J102" s="131" t="s">
        <v>113</v>
      </c>
      <c r="K102" s="133">
        <v>0</v>
      </c>
      <c r="L102" s="134">
        <v>46114</v>
      </c>
      <c r="M102" s="132"/>
      <c r="N102" s="131">
        <v>8</v>
      </c>
      <c r="O102" s="130">
        <v>46115</v>
      </c>
      <c r="P102" s="135">
        <v>0</v>
      </c>
      <c r="Q102" s="135">
        <v>450</v>
      </c>
      <c r="R102" s="135">
        <v>63</v>
      </c>
      <c r="S102" s="135">
        <v>0</v>
      </c>
      <c r="T102" s="135">
        <v>513</v>
      </c>
      <c r="U102" s="135">
        <v>513</v>
      </c>
      <c r="V102" s="135">
        <v>0</v>
      </c>
      <c r="W102" s="135">
        <v>307.8</v>
      </c>
      <c r="X102" s="135">
        <v>311.39999999999998</v>
      </c>
      <c r="Y102" s="135">
        <v>2143201.14</v>
      </c>
      <c r="Z102" s="136"/>
      <c r="AA102" s="135">
        <v>53580.0285</v>
      </c>
      <c r="AB102" s="135">
        <v>53580.0285</v>
      </c>
      <c r="AC102" s="135">
        <v>2250361.2000000002</v>
      </c>
      <c r="AD102" s="137">
        <f t="shared" si="36"/>
        <v>2248110.8388</v>
      </c>
      <c r="AE102" s="138">
        <v>39.229999999999997</v>
      </c>
      <c r="AF102" s="135">
        <v>39.29</v>
      </c>
      <c r="AG102" s="138">
        <v>39.06</v>
      </c>
      <c r="AH102" s="139">
        <v>4.4999999999999997E-3</v>
      </c>
      <c r="AI102" s="139">
        <v>4.3900000000000002E-2</v>
      </c>
      <c r="AJ102" s="139">
        <v>5.3999999999999999E-2</v>
      </c>
      <c r="AK102" s="137">
        <f t="shared" si="39"/>
        <v>12546.099826927801</v>
      </c>
      <c r="AL102" s="137"/>
      <c r="AM102" s="137"/>
      <c r="AN102" s="137">
        <f t="shared" si="56"/>
        <v>424.76400000000001</v>
      </c>
      <c r="AO102" s="140">
        <f t="shared" si="40"/>
        <v>0</v>
      </c>
      <c r="AP102" s="137"/>
      <c r="AQ102" s="137">
        <v>0</v>
      </c>
      <c r="AR102" s="137">
        <f t="shared" si="41"/>
        <v>12970.8638269278</v>
      </c>
      <c r="AS102" s="137">
        <f t="shared" si="42"/>
        <v>13619</v>
      </c>
      <c r="AT102" s="137">
        <v>0</v>
      </c>
      <c r="AU102" s="141"/>
      <c r="AV102" s="141"/>
      <c r="AW102" s="137">
        <f t="shared" si="43"/>
        <v>30780</v>
      </c>
      <c r="AX102" s="137">
        <v>0</v>
      </c>
      <c r="AY102" s="137">
        <f t="shared" si="44"/>
        <v>30780</v>
      </c>
      <c r="AZ102" s="137">
        <f t="shared" si="45"/>
        <v>31139.999999999996</v>
      </c>
      <c r="BA102" s="142">
        <f t="shared" si="46"/>
        <v>-359.99999999999636</v>
      </c>
      <c r="BB102" s="137"/>
      <c r="BC102" s="137">
        <v>0</v>
      </c>
      <c r="BD102" s="142">
        <v>0</v>
      </c>
      <c r="BE102" s="135">
        <v>311.64999999999998</v>
      </c>
      <c r="BF102" s="143">
        <f t="shared" si="47"/>
        <v>0.46747499999999997</v>
      </c>
      <c r="BG102" s="143">
        <f t="shared" si="48"/>
        <v>311.182525</v>
      </c>
      <c r="BH102" s="143">
        <f t="shared" si="49"/>
        <v>311.39999999999998</v>
      </c>
      <c r="BI102" s="144">
        <f t="shared" si="50"/>
        <v>25</v>
      </c>
      <c r="BJ102" s="144">
        <v>0</v>
      </c>
      <c r="BK102" s="137">
        <f t="shared" si="51"/>
        <v>25</v>
      </c>
      <c r="BL102" s="2"/>
      <c r="BM102" s="10" t="str">
        <f t="shared" si="52"/>
        <v>Unloading no. 95 Bill No 8 ,Deduction For Oil Deduction= 12546.0998269278 ,Bardana=  ,F.M=  Brokerage/Rate Difference 424.764 ,Shortage = 0 ,Greenish=  ,Moisture= 0</v>
      </c>
      <c r="BN102" s="3"/>
      <c r="BO102" s="13" t="str">
        <f t="shared" si="37"/>
        <v xml:space="preserve"> Party Condition 39.29  ,F.M% 0.45 ,Greenish 4.39 ,Moisture 5.4 ,Shortage in KG= 0  ,Oil% 39.06</v>
      </c>
      <c r="BP102" s="4">
        <f t="shared" si="38"/>
        <v>6840.8165580381265</v>
      </c>
      <c r="BQ102" s="5" t="str">
        <f t="shared" si="53"/>
        <v>39.06</v>
      </c>
      <c r="BR102" s="6">
        <f t="shared" si="54"/>
        <v>7355.7167290732541</v>
      </c>
      <c r="BS102" s="5" t="s">
        <v>62</v>
      </c>
      <c r="BT102" s="5" t="s">
        <v>63</v>
      </c>
      <c r="BW102" s="92"/>
      <c r="BX102" s="27">
        <v>39.229999999999997</v>
      </c>
      <c r="BY102" s="27">
        <v>39.06</v>
      </c>
      <c r="BZ102" s="96"/>
    </row>
    <row r="103" spans="1:78" s="1" customFormat="1" ht="15.75" hidden="1" x14ac:dyDescent="0.3">
      <c r="A103" s="128" t="s">
        <v>234</v>
      </c>
      <c r="B103" s="130">
        <v>46117</v>
      </c>
      <c r="C103" s="128">
        <v>96</v>
      </c>
      <c r="D103" s="128" t="s">
        <v>262</v>
      </c>
      <c r="E103" s="130">
        <v>46117</v>
      </c>
      <c r="F103" s="131" t="s">
        <v>200</v>
      </c>
      <c r="G103" s="131" t="s">
        <v>201</v>
      </c>
      <c r="H103" s="131" t="s">
        <v>202</v>
      </c>
      <c r="I103" s="132"/>
      <c r="J103" s="131" t="s">
        <v>113</v>
      </c>
      <c r="K103" s="133">
        <v>0</v>
      </c>
      <c r="L103" s="134">
        <v>46113</v>
      </c>
      <c r="M103" s="132"/>
      <c r="N103" s="131">
        <v>24</v>
      </c>
      <c r="O103" s="130">
        <v>46114</v>
      </c>
      <c r="P103" s="135">
        <v>0</v>
      </c>
      <c r="Q103" s="135">
        <v>500</v>
      </c>
      <c r="R103" s="135">
        <v>126</v>
      </c>
      <c r="S103" s="135">
        <v>0</v>
      </c>
      <c r="T103" s="135">
        <v>626</v>
      </c>
      <c r="U103" s="135">
        <v>626</v>
      </c>
      <c r="V103" s="135">
        <v>0</v>
      </c>
      <c r="W103" s="135">
        <v>375.6</v>
      </c>
      <c r="X103" s="135">
        <v>381.5</v>
      </c>
      <c r="Y103" s="135">
        <v>2664672.92</v>
      </c>
      <c r="Z103" s="136"/>
      <c r="AA103" s="135">
        <v>66616.823000000004</v>
      </c>
      <c r="AB103" s="135">
        <v>66616.823000000004</v>
      </c>
      <c r="AC103" s="135">
        <v>2797906.57</v>
      </c>
      <c r="AD103" s="137">
        <f t="shared" si="36"/>
        <v>2795108.6634299997</v>
      </c>
      <c r="AE103" s="138">
        <v>40.29</v>
      </c>
      <c r="AF103" s="135">
        <v>39.700000000000003</v>
      </c>
      <c r="AG103" s="138">
        <v>40.36</v>
      </c>
      <c r="AH103" s="139">
        <v>4.1999999999999997E-3</v>
      </c>
      <c r="AI103" s="139">
        <v>4.2000000000000003E-2</v>
      </c>
      <c r="AJ103" s="139">
        <v>5.3999999999999999E-2</v>
      </c>
      <c r="AK103" s="137">
        <f t="shared" si="39"/>
        <v>0</v>
      </c>
      <c r="AL103" s="137"/>
      <c r="AM103" s="137"/>
      <c r="AN103" s="137">
        <f t="shared" si="56"/>
        <v>518.32799999999997</v>
      </c>
      <c r="AO103" s="140">
        <f t="shared" si="40"/>
        <v>0</v>
      </c>
      <c r="AP103" s="137"/>
      <c r="AQ103" s="137">
        <v>0</v>
      </c>
      <c r="AR103" s="137">
        <f t="shared" si="41"/>
        <v>518.32799999999997</v>
      </c>
      <c r="AS103" s="137">
        <f t="shared" si="42"/>
        <v>544</v>
      </c>
      <c r="AT103" s="137">
        <v>0</v>
      </c>
      <c r="AU103" s="141"/>
      <c r="AV103" s="141"/>
      <c r="AW103" s="137">
        <f t="shared" si="43"/>
        <v>37560</v>
      </c>
      <c r="AX103" s="137">
        <v>0</v>
      </c>
      <c r="AY103" s="137">
        <f t="shared" si="44"/>
        <v>37560</v>
      </c>
      <c r="AZ103" s="137">
        <f t="shared" si="45"/>
        <v>38150</v>
      </c>
      <c r="BA103" s="142">
        <f t="shared" si="46"/>
        <v>-590</v>
      </c>
      <c r="BB103" s="137"/>
      <c r="BC103" s="137">
        <v>0</v>
      </c>
      <c r="BD103" s="142">
        <v>0</v>
      </c>
      <c r="BE103" s="135">
        <v>381.8</v>
      </c>
      <c r="BF103" s="143">
        <f t="shared" si="47"/>
        <v>0.57269999999999999</v>
      </c>
      <c r="BG103" s="143">
        <f t="shared" si="48"/>
        <v>381.22730000000001</v>
      </c>
      <c r="BH103" s="143">
        <f t="shared" si="49"/>
        <v>381.5</v>
      </c>
      <c r="BI103" s="144">
        <f t="shared" si="50"/>
        <v>30.000000000001137</v>
      </c>
      <c r="BJ103" s="144">
        <v>0</v>
      </c>
      <c r="BK103" s="137">
        <f t="shared" si="51"/>
        <v>30.000000000001137</v>
      </c>
      <c r="BL103" s="2"/>
      <c r="BM103" s="10" t="str">
        <f t="shared" si="52"/>
        <v>Unloading no. 96 Bill No 24 ,Deduction For Oil Deduction= 0 ,Bardana=  ,F.M=  Brokerage/Rate Difference 518.328 ,Shortage = 0 ,Greenish=  ,Moisture= 0</v>
      </c>
      <c r="BN103" s="3"/>
      <c r="BO103" s="13" t="str">
        <f t="shared" si="37"/>
        <v xml:space="preserve"> Party Condition 39.7  ,F.M% 0.42 ,Greenish 4.2 ,Moisture 5.4 ,Shortage in KG= 0  ,Oil% 40.29</v>
      </c>
      <c r="BP103" s="4">
        <f t="shared" si="38"/>
        <v>6983.3672136304058</v>
      </c>
      <c r="BQ103" s="5" t="str">
        <f t="shared" si="53"/>
        <v>40.29</v>
      </c>
      <c r="BR103" s="6">
        <f t="shared" si="54"/>
        <v>7279.7573336430141</v>
      </c>
      <c r="BS103" s="5" t="s">
        <v>62</v>
      </c>
      <c r="BT103" s="5" t="s">
        <v>63</v>
      </c>
      <c r="BW103" s="92"/>
      <c r="BX103" s="27">
        <v>40.29</v>
      </c>
      <c r="BY103" s="27">
        <v>40.36</v>
      </c>
      <c r="BZ103" s="96"/>
    </row>
    <row r="104" spans="1:78" s="1" customFormat="1" ht="15.75" hidden="1" x14ac:dyDescent="0.3">
      <c r="A104" s="128" t="s">
        <v>234</v>
      </c>
      <c r="B104" s="130">
        <v>46117</v>
      </c>
      <c r="C104" s="128">
        <v>97</v>
      </c>
      <c r="D104" s="128" t="s">
        <v>263</v>
      </c>
      <c r="E104" s="130">
        <v>46117</v>
      </c>
      <c r="F104" s="131" t="s">
        <v>200</v>
      </c>
      <c r="G104" s="131" t="s">
        <v>201</v>
      </c>
      <c r="H104" s="131" t="s">
        <v>202</v>
      </c>
      <c r="I104" s="132"/>
      <c r="J104" s="131" t="s">
        <v>113</v>
      </c>
      <c r="K104" s="133">
        <v>0</v>
      </c>
      <c r="L104" s="134">
        <v>46113</v>
      </c>
      <c r="M104" s="132"/>
      <c r="N104" s="131">
        <v>22</v>
      </c>
      <c r="O104" s="130">
        <v>46114</v>
      </c>
      <c r="P104" s="135">
        <v>0</v>
      </c>
      <c r="Q104" s="135">
        <v>400</v>
      </c>
      <c r="R104" s="135">
        <v>245</v>
      </c>
      <c r="S104" s="135">
        <v>0</v>
      </c>
      <c r="T104" s="135">
        <v>645</v>
      </c>
      <c r="U104" s="135">
        <v>645</v>
      </c>
      <c r="V104" s="135">
        <v>0</v>
      </c>
      <c r="W104" s="135">
        <v>387</v>
      </c>
      <c r="X104" s="135">
        <v>392.5</v>
      </c>
      <c r="Y104" s="135">
        <v>2745549.57</v>
      </c>
      <c r="Z104" s="136"/>
      <c r="AA104" s="135">
        <v>68638.739249999999</v>
      </c>
      <c r="AB104" s="135">
        <v>68638.739249999999</v>
      </c>
      <c r="AC104" s="135">
        <v>2882827.05</v>
      </c>
      <c r="AD104" s="137">
        <f t="shared" si="36"/>
        <v>2879944.2229499999</v>
      </c>
      <c r="AE104" s="138">
        <v>40.159999999999997</v>
      </c>
      <c r="AF104" s="135">
        <v>39.700000000000003</v>
      </c>
      <c r="AG104" s="138">
        <v>40.22</v>
      </c>
      <c r="AH104" s="139">
        <v>4.5999999999999999E-3</v>
      </c>
      <c r="AI104" s="139">
        <v>4.1599999999999998E-2</v>
      </c>
      <c r="AJ104" s="139">
        <v>5.8000000000000003E-2</v>
      </c>
      <c r="AK104" s="137">
        <f t="shared" si="39"/>
        <v>0</v>
      </c>
      <c r="AL104" s="137"/>
      <c r="AM104" s="137"/>
      <c r="AN104" s="137">
        <f t="shared" si="56"/>
        <v>534.05999999999995</v>
      </c>
      <c r="AO104" s="140">
        <f t="shared" si="40"/>
        <v>0</v>
      </c>
      <c r="AP104" s="137"/>
      <c r="AQ104" s="137">
        <v>0</v>
      </c>
      <c r="AR104" s="137">
        <f t="shared" si="41"/>
        <v>534.05999999999995</v>
      </c>
      <c r="AS104" s="137">
        <f t="shared" si="42"/>
        <v>561</v>
      </c>
      <c r="AT104" s="137">
        <v>0</v>
      </c>
      <c r="AU104" s="141"/>
      <c r="AV104" s="141"/>
      <c r="AW104" s="137">
        <f t="shared" si="43"/>
        <v>38700</v>
      </c>
      <c r="AX104" s="137">
        <v>0</v>
      </c>
      <c r="AY104" s="137">
        <f t="shared" si="44"/>
        <v>38700</v>
      </c>
      <c r="AZ104" s="137">
        <f t="shared" si="45"/>
        <v>39250</v>
      </c>
      <c r="BA104" s="142">
        <f t="shared" si="46"/>
        <v>-550</v>
      </c>
      <c r="BB104" s="137"/>
      <c r="BC104" s="137">
        <v>0</v>
      </c>
      <c r="BD104" s="142">
        <v>0</v>
      </c>
      <c r="BE104" s="135">
        <v>392.75</v>
      </c>
      <c r="BF104" s="143">
        <f t="shared" si="47"/>
        <v>0.5891249999999999</v>
      </c>
      <c r="BG104" s="143">
        <f t="shared" si="48"/>
        <v>392.16087499999998</v>
      </c>
      <c r="BH104" s="143">
        <f t="shared" si="49"/>
        <v>392.5</v>
      </c>
      <c r="BI104" s="144">
        <f t="shared" si="50"/>
        <v>25</v>
      </c>
      <c r="BJ104" s="144">
        <v>0</v>
      </c>
      <c r="BK104" s="137">
        <f t="shared" si="51"/>
        <v>25</v>
      </c>
      <c r="BL104" s="2"/>
      <c r="BM104" s="10" t="str">
        <f t="shared" si="52"/>
        <v>Unloading no. 97 Bill No 22 ,Deduction For Oil Deduction= 0 ,Bardana=  ,F.M=  Brokerage/Rate Difference 534.06 ,Shortage = 0 ,Greenish=  ,Moisture= 0</v>
      </c>
      <c r="BN104" s="3"/>
      <c r="BO104" s="13" t="str">
        <f t="shared" si="37"/>
        <v xml:space="preserve"> Party Condition 39.7  ,F.M% 0.46 ,Greenish 4.16 ,Moisture 5.8 ,Shortage in KG= 0  ,Oil% 40.16</v>
      </c>
      <c r="BP104" s="4">
        <f t="shared" si="38"/>
        <v>6993.6700891719738</v>
      </c>
      <c r="BQ104" s="5" t="str">
        <f t="shared" si="53"/>
        <v>40.16</v>
      </c>
      <c r="BR104" s="6">
        <f t="shared" si="54"/>
        <v>7314.0972048113272</v>
      </c>
      <c r="BS104" s="5" t="s">
        <v>62</v>
      </c>
      <c r="BT104" s="5" t="s">
        <v>63</v>
      </c>
      <c r="BW104" s="92"/>
      <c r="BX104" s="27">
        <v>40.159999999999997</v>
      </c>
      <c r="BY104" s="27">
        <v>40.22</v>
      </c>
      <c r="BZ104" s="96"/>
    </row>
    <row r="105" spans="1:78" s="1" customFormat="1" ht="15.75" hidden="1" x14ac:dyDescent="0.3">
      <c r="A105" s="128" t="s">
        <v>231</v>
      </c>
      <c r="B105" s="130">
        <v>46117</v>
      </c>
      <c r="C105" s="128">
        <v>98</v>
      </c>
      <c r="D105" s="128" t="s">
        <v>264</v>
      </c>
      <c r="E105" s="130">
        <v>46117</v>
      </c>
      <c r="F105" s="131" t="s">
        <v>107</v>
      </c>
      <c r="G105" s="131" t="s">
        <v>108</v>
      </c>
      <c r="H105" s="131" t="s">
        <v>109</v>
      </c>
      <c r="I105" s="132"/>
      <c r="J105" s="131" t="s">
        <v>113</v>
      </c>
      <c r="K105" s="133">
        <v>0</v>
      </c>
      <c r="L105" s="134">
        <v>46113</v>
      </c>
      <c r="M105" s="132"/>
      <c r="N105" s="131">
        <v>28</v>
      </c>
      <c r="O105" s="130">
        <v>46115</v>
      </c>
      <c r="P105" s="135">
        <v>0</v>
      </c>
      <c r="Q105" s="135">
        <v>370</v>
      </c>
      <c r="R105" s="135">
        <v>200</v>
      </c>
      <c r="S105" s="135">
        <v>0</v>
      </c>
      <c r="T105" s="135">
        <v>570</v>
      </c>
      <c r="U105" s="135">
        <v>570</v>
      </c>
      <c r="V105" s="135">
        <v>0</v>
      </c>
      <c r="W105" s="135">
        <v>342</v>
      </c>
      <c r="X105" s="135">
        <v>346.1</v>
      </c>
      <c r="Y105" s="135">
        <v>2391363.1800000002</v>
      </c>
      <c r="Z105" s="136"/>
      <c r="AA105" s="135">
        <v>59784.0795</v>
      </c>
      <c r="AB105" s="135">
        <v>59784.0795</v>
      </c>
      <c r="AC105" s="135">
        <v>2510931.34</v>
      </c>
      <c r="AD105" s="137">
        <f t="shared" si="36"/>
        <v>2508420.4086599997</v>
      </c>
      <c r="AE105" s="138">
        <v>39.1</v>
      </c>
      <c r="AF105" s="135">
        <v>38.880000000000003</v>
      </c>
      <c r="AG105" s="138">
        <v>39.229999999999997</v>
      </c>
      <c r="AH105" s="139">
        <v>4.7000000000000002E-3</v>
      </c>
      <c r="AI105" s="139">
        <v>4.3999999999999997E-2</v>
      </c>
      <c r="AJ105" s="139">
        <v>5.6000000000000001E-2</v>
      </c>
      <c r="AK105" s="137">
        <f t="shared" si="39"/>
        <v>0</v>
      </c>
      <c r="AL105" s="137"/>
      <c r="AM105" s="137"/>
      <c r="AN105" s="137">
        <f t="shared" si="56"/>
        <v>471.96</v>
      </c>
      <c r="AO105" s="140">
        <f t="shared" si="40"/>
        <v>0</v>
      </c>
      <c r="AP105" s="137"/>
      <c r="AQ105" s="137">
        <v>0</v>
      </c>
      <c r="AR105" s="137">
        <f t="shared" si="41"/>
        <v>471.96</v>
      </c>
      <c r="AS105" s="137">
        <f t="shared" si="42"/>
        <v>496</v>
      </c>
      <c r="AT105" s="137">
        <v>0</v>
      </c>
      <c r="AU105" s="141"/>
      <c r="AV105" s="141"/>
      <c r="AW105" s="137">
        <f t="shared" si="43"/>
        <v>34200</v>
      </c>
      <c r="AX105" s="137">
        <v>0</v>
      </c>
      <c r="AY105" s="137">
        <f t="shared" si="44"/>
        <v>34200</v>
      </c>
      <c r="AZ105" s="137">
        <f t="shared" si="45"/>
        <v>34610</v>
      </c>
      <c r="BA105" s="142">
        <f t="shared" si="46"/>
        <v>-410</v>
      </c>
      <c r="BB105" s="137"/>
      <c r="BC105" s="137">
        <v>0</v>
      </c>
      <c r="BD105" s="142">
        <v>0</v>
      </c>
      <c r="BE105" s="135">
        <v>346.4</v>
      </c>
      <c r="BF105" s="143">
        <f t="shared" si="47"/>
        <v>0.51959999999999995</v>
      </c>
      <c r="BG105" s="143">
        <f t="shared" si="48"/>
        <v>345.88039999999995</v>
      </c>
      <c r="BH105" s="143">
        <f t="shared" si="49"/>
        <v>346.1</v>
      </c>
      <c r="BI105" s="144">
        <f t="shared" si="50"/>
        <v>29.999999999995453</v>
      </c>
      <c r="BJ105" s="144">
        <v>0</v>
      </c>
      <c r="BK105" s="137">
        <f t="shared" si="51"/>
        <v>29.999999999995453</v>
      </c>
      <c r="BL105" s="2"/>
      <c r="BM105" s="10" t="str">
        <f t="shared" si="52"/>
        <v>Unloading no. 98 Bill No 28 ,Deduction For Oil Deduction= 0 ,Bardana=  ,F.M=  Brokerage/Rate Difference 471.96 ,Shortage = 0 ,Greenish=  ,Moisture= 0</v>
      </c>
      <c r="BN105" s="3"/>
      <c r="BO105" s="13" t="str">
        <f t="shared" si="37"/>
        <v xml:space="preserve"> Party Condition 38.88  ,F.M% 0.47 ,Greenish 4.4 ,Moisture 5.6 ,Shortage in KG= 0  ,Oil% 39.1</v>
      </c>
      <c r="BP105" s="4">
        <f t="shared" si="38"/>
        <v>6908.0936723490322</v>
      </c>
      <c r="BQ105" s="5" t="str">
        <f t="shared" si="53"/>
        <v xml:space="preserve"> 39.1</v>
      </c>
      <c r="BR105" s="6">
        <f t="shared" si="54"/>
        <v>7420.4586761805458</v>
      </c>
      <c r="BS105" s="5" t="s">
        <v>62</v>
      </c>
      <c r="BT105" s="5" t="s">
        <v>63</v>
      </c>
      <c r="BW105" s="92"/>
      <c r="BX105" s="27">
        <v>39.1</v>
      </c>
      <c r="BY105" s="27">
        <v>39.229999999999997</v>
      </c>
      <c r="BZ105" s="96"/>
    </row>
    <row r="106" spans="1:78" s="1" customFormat="1" ht="15.75" hidden="1" x14ac:dyDescent="0.3">
      <c r="A106" s="128" t="s">
        <v>234</v>
      </c>
      <c r="B106" s="130">
        <v>46117</v>
      </c>
      <c r="C106" s="128">
        <v>99</v>
      </c>
      <c r="D106" s="128" t="s">
        <v>265</v>
      </c>
      <c r="E106" s="130">
        <v>46117</v>
      </c>
      <c r="F106" s="131" t="s">
        <v>200</v>
      </c>
      <c r="G106" s="131" t="s">
        <v>201</v>
      </c>
      <c r="H106" s="131" t="s">
        <v>202</v>
      </c>
      <c r="I106" s="132"/>
      <c r="J106" s="131" t="s">
        <v>113</v>
      </c>
      <c r="K106" s="133">
        <v>0</v>
      </c>
      <c r="L106" s="134">
        <v>46113</v>
      </c>
      <c r="M106" s="132"/>
      <c r="N106" s="131">
        <v>23</v>
      </c>
      <c r="O106" s="130">
        <v>46114</v>
      </c>
      <c r="P106" s="135">
        <v>0</v>
      </c>
      <c r="Q106" s="135">
        <v>500</v>
      </c>
      <c r="R106" s="135">
        <v>90</v>
      </c>
      <c r="S106" s="135">
        <v>0</v>
      </c>
      <c r="T106" s="135">
        <v>590</v>
      </c>
      <c r="U106" s="135">
        <v>590</v>
      </c>
      <c r="V106" s="135">
        <v>0</v>
      </c>
      <c r="W106" s="135">
        <v>354</v>
      </c>
      <c r="X106" s="135">
        <v>359.3</v>
      </c>
      <c r="Y106" s="135">
        <v>2511432.94</v>
      </c>
      <c r="Z106" s="136"/>
      <c r="AA106" s="135">
        <v>62785.823499999999</v>
      </c>
      <c r="AB106" s="135">
        <v>62785.823499999999</v>
      </c>
      <c r="AC106" s="135">
        <v>2637004.59</v>
      </c>
      <c r="AD106" s="137">
        <f t="shared" si="36"/>
        <v>2634367.5854099998</v>
      </c>
      <c r="AE106" s="138">
        <v>39.85</v>
      </c>
      <c r="AF106" s="135">
        <v>39.700000000000003</v>
      </c>
      <c r="AG106" s="138">
        <v>39.799999999999997</v>
      </c>
      <c r="AH106" s="139">
        <v>4.7999999999999996E-3</v>
      </c>
      <c r="AI106" s="139">
        <v>4.2799999999999998E-2</v>
      </c>
      <c r="AJ106" s="139">
        <v>5.8999999999999997E-2</v>
      </c>
      <c r="AK106" s="137">
        <f t="shared" si="39"/>
        <v>0</v>
      </c>
      <c r="AL106" s="137"/>
      <c r="AM106" s="137"/>
      <c r="AN106" s="137">
        <f t="shared" si="56"/>
        <v>488.52</v>
      </c>
      <c r="AO106" s="140">
        <f t="shared" si="40"/>
        <v>0</v>
      </c>
      <c r="AP106" s="137"/>
      <c r="AQ106" s="137">
        <v>0</v>
      </c>
      <c r="AR106" s="137">
        <f t="shared" si="41"/>
        <v>488.52</v>
      </c>
      <c r="AS106" s="137">
        <f t="shared" si="42"/>
        <v>513</v>
      </c>
      <c r="AT106" s="137">
        <v>0</v>
      </c>
      <c r="AU106" s="141"/>
      <c r="AV106" s="141"/>
      <c r="AW106" s="137">
        <f t="shared" si="43"/>
        <v>35400</v>
      </c>
      <c r="AX106" s="137">
        <v>0</v>
      </c>
      <c r="AY106" s="137">
        <f t="shared" si="44"/>
        <v>35400</v>
      </c>
      <c r="AZ106" s="137">
        <f t="shared" si="45"/>
        <v>35930</v>
      </c>
      <c r="BA106" s="142">
        <f t="shared" si="46"/>
        <v>-530</v>
      </c>
      <c r="BB106" s="137"/>
      <c r="BC106" s="137">
        <v>0</v>
      </c>
      <c r="BD106" s="142">
        <v>0</v>
      </c>
      <c r="BE106" s="135">
        <v>359.4</v>
      </c>
      <c r="BF106" s="143">
        <f t="shared" si="47"/>
        <v>0.53909999999999991</v>
      </c>
      <c r="BG106" s="143">
        <f t="shared" si="48"/>
        <v>358.86089999999996</v>
      </c>
      <c r="BH106" s="143">
        <f t="shared" si="49"/>
        <v>359.3</v>
      </c>
      <c r="BI106" s="144">
        <f t="shared" si="50"/>
        <v>9.9999999999965894</v>
      </c>
      <c r="BJ106" s="144">
        <v>0</v>
      </c>
      <c r="BK106" s="137">
        <f t="shared" si="51"/>
        <v>9.9999999999965894</v>
      </c>
      <c r="BL106" s="2"/>
      <c r="BM106" s="10" t="str">
        <f t="shared" si="52"/>
        <v>Unloading no. 99 Bill No 23 ,Deduction For Oil Deduction= 0 ,Bardana=  ,F.M=  Brokerage/Rate Difference 488.52 ,Shortage = 0 ,Greenish=  ,Moisture= 0</v>
      </c>
      <c r="BN106" s="3"/>
      <c r="BO106" s="13" t="str">
        <f t="shared" si="37"/>
        <v xml:space="preserve"> Party Condition 39.7  ,F.M% 0.48 ,Greenish 4.28 ,Moisture 5.9 ,Shortage in KG= 0  ,Oil% 39.8</v>
      </c>
      <c r="BP106" s="4">
        <f t="shared" si="38"/>
        <v>6988.4342332312826</v>
      </c>
      <c r="BQ106" s="5" t="str">
        <f t="shared" si="53"/>
        <v xml:space="preserve"> 39.8</v>
      </c>
      <c r="BR106" s="6">
        <f t="shared" si="54"/>
        <v>7374.729592857133</v>
      </c>
      <c r="BS106" s="5" t="s">
        <v>62</v>
      </c>
      <c r="BT106" s="5" t="s">
        <v>63</v>
      </c>
      <c r="BW106" s="92"/>
      <c r="BX106" s="27">
        <v>39.85</v>
      </c>
      <c r="BY106" s="27">
        <v>39.799999999999997</v>
      </c>
      <c r="BZ106" s="96"/>
    </row>
    <row r="107" spans="1:78" s="1" customFormat="1" ht="15.75" hidden="1" x14ac:dyDescent="0.3">
      <c r="A107" s="128" t="s">
        <v>233</v>
      </c>
      <c r="B107" s="130">
        <v>46117</v>
      </c>
      <c r="C107" s="128">
        <v>100</v>
      </c>
      <c r="D107" s="128" t="s">
        <v>266</v>
      </c>
      <c r="E107" s="130">
        <v>46117</v>
      </c>
      <c r="F107" s="131" t="s">
        <v>98</v>
      </c>
      <c r="G107" s="131" t="s">
        <v>99</v>
      </c>
      <c r="H107" s="131" t="s">
        <v>199</v>
      </c>
      <c r="I107" s="132"/>
      <c r="J107" s="131" t="s">
        <v>113</v>
      </c>
      <c r="K107" s="133">
        <v>0</v>
      </c>
      <c r="L107" s="134">
        <v>46114</v>
      </c>
      <c r="M107" s="132"/>
      <c r="N107" s="131">
        <v>10</v>
      </c>
      <c r="O107" s="130">
        <v>46115</v>
      </c>
      <c r="P107" s="135">
        <v>0</v>
      </c>
      <c r="Q107" s="135">
        <v>300</v>
      </c>
      <c r="R107" s="135">
        <v>225</v>
      </c>
      <c r="S107" s="135">
        <v>0</v>
      </c>
      <c r="T107" s="135">
        <v>525</v>
      </c>
      <c r="U107" s="135">
        <v>525</v>
      </c>
      <c r="V107" s="135">
        <v>0</v>
      </c>
      <c r="W107" s="135">
        <v>315</v>
      </c>
      <c r="X107" s="135">
        <v>318.5</v>
      </c>
      <c r="Y107" s="135">
        <v>2193334.5</v>
      </c>
      <c r="Z107" s="136"/>
      <c r="AA107" s="135">
        <v>54833.362500000003</v>
      </c>
      <c r="AB107" s="135">
        <v>54833.362500000003</v>
      </c>
      <c r="AC107" s="135">
        <v>2303001.23</v>
      </c>
      <c r="AD107" s="137">
        <f t="shared" si="36"/>
        <v>2300698.2287699999</v>
      </c>
      <c r="AE107" s="138">
        <v>39.75</v>
      </c>
      <c r="AF107" s="135">
        <v>39.29</v>
      </c>
      <c r="AG107" s="138">
        <v>39.799999999999997</v>
      </c>
      <c r="AH107" s="139">
        <v>4.0000000000000001E-3</v>
      </c>
      <c r="AI107" s="139">
        <v>4.1799999999999997E-2</v>
      </c>
      <c r="AJ107" s="139">
        <v>5.7000000000000002E-2</v>
      </c>
      <c r="AK107" s="137">
        <f t="shared" si="39"/>
        <v>0</v>
      </c>
      <c r="AL107" s="137"/>
      <c r="AM107" s="137"/>
      <c r="AN107" s="137">
        <f t="shared" si="56"/>
        <v>434.7</v>
      </c>
      <c r="AO107" s="140">
        <f t="shared" si="40"/>
        <v>0</v>
      </c>
      <c r="AP107" s="137"/>
      <c r="AQ107" s="137">
        <v>0</v>
      </c>
      <c r="AR107" s="137">
        <f t="shared" si="41"/>
        <v>434.7</v>
      </c>
      <c r="AS107" s="137">
        <f t="shared" si="42"/>
        <v>456</v>
      </c>
      <c r="AT107" s="137">
        <v>0</v>
      </c>
      <c r="AU107" s="141"/>
      <c r="AV107" s="141"/>
      <c r="AW107" s="137">
        <f t="shared" si="43"/>
        <v>31500</v>
      </c>
      <c r="AX107" s="137">
        <v>0</v>
      </c>
      <c r="AY107" s="137">
        <f t="shared" si="44"/>
        <v>31500</v>
      </c>
      <c r="AZ107" s="137">
        <f t="shared" si="45"/>
        <v>31850</v>
      </c>
      <c r="BA107" s="142">
        <f t="shared" si="46"/>
        <v>-350</v>
      </c>
      <c r="BB107" s="137"/>
      <c r="BC107" s="137">
        <v>0</v>
      </c>
      <c r="BD107" s="142">
        <v>0</v>
      </c>
      <c r="BE107" s="135">
        <v>318.7</v>
      </c>
      <c r="BF107" s="143">
        <f t="shared" si="47"/>
        <v>0.47804999999999997</v>
      </c>
      <c r="BG107" s="143">
        <f t="shared" si="48"/>
        <v>318.22194999999999</v>
      </c>
      <c r="BH107" s="143">
        <f t="shared" si="49"/>
        <v>318.5</v>
      </c>
      <c r="BI107" s="144">
        <f t="shared" si="50"/>
        <v>19.999999999998863</v>
      </c>
      <c r="BJ107" s="144">
        <v>0</v>
      </c>
      <c r="BK107" s="137">
        <f t="shared" si="51"/>
        <v>19.999999999998863</v>
      </c>
      <c r="BL107" s="2"/>
      <c r="BM107" s="10" t="str">
        <f t="shared" si="52"/>
        <v>Unloading no. 100 Bill No 10 ,Deduction For Oil Deduction= 0 ,Bardana=  ,F.M=  Brokerage/Rate Difference 434.7 ,Shortage = 0 ,Greenish=  ,Moisture= 0</v>
      </c>
      <c r="BN107" s="3"/>
      <c r="BO107" s="13" t="str">
        <f t="shared" si="37"/>
        <v xml:space="preserve"> Party Condition 39.29  ,F.M% 0.4 ,Greenish 4.18 ,Moisture 5.7 ,Shortage in KG= 0  ,Oil% 39.75</v>
      </c>
      <c r="BP107" s="4">
        <f t="shared" si="38"/>
        <v>6885.0857142857139</v>
      </c>
      <c r="BQ107" s="5" t="str">
        <f t="shared" si="53"/>
        <v>39.75</v>
      </c>
      <c r="BR107" s="6">
        <f t="shared" si="54"/>
        <v>7274.8075471698112</v>
      </c>
      <c r="BS107" s="5" t="s">
        <v>62</v>
      </c>
      <c r="BT107" s="5" t="s">
        <v>63</v>
      </c>
      <c r="BW107" s="92"/>
      <c r="BX107" s="27">
        <v>39.75</v>
      </c>
      <c r="BY107" s="27">
        <v>39.799999999999997</v>
      </c>
      <c r="BZ107" s="96"/>
    </row>
    <row r="108" spans="1:78" s="1" customFormat="1" ht="15.75" hidden="1" x14ac:dyDescent="0.3">
      <c r="A108" s="128" t="s">
        <v>233</v>
      </c>
      <c r="B108" s="130">
        <v>46117</v>
      </c>
      <c r="C108" s="128">
        <v>101</v>
      </c>
      <c r="D108" s="128" t="s">
        <v>267</v>
      </c>
      <c r="E108" s="130">
        <v>46117</v>
      </c>
      <c r="F108" s="131" t="s">
        <v>98</v>
      </c>
      <c r="G108" s="131" t="s">
        <v>99</v>
      </c>
      <c r="H108" s="131" t="s">
        <v>199</v>
      </c>
      <c r="I108" s="132"/>
      <c r="J108" s="131" t="s">
        <v>113</v>
      </c>
      <c r="K108" s="133">
        <v>0</v>
      </c>
      <c r="L108" s="134">
        <v>46114</v>
      </c>
      <c r="M108" s="132"/>
      <c r="N108" s="131">
        <v>12</v>
      </c>
      <c r="O108" s="130">
        <v>46115</v>
      </c>
      <c r="P108" s="135">
        <v>0</v>
      </c>
      <c r="Q108" s="135">
        <v>380</v>
      </c>
      <c r="R108" s="135">
        <v>84</v>
      </c>
      <c r="S108" s="135">
        <v>0</v>
      </c>
      <c r="T108" s="135">
        <v>464</v>
      </c>
      <c r="U108" s="135">
        <v>464</v>
      </c>
      <c r="V108" s="135">
        <v>0</v>
      </c>
      <c r="W108" s="135">
        <v>278.39999999999998</v>
      </c>
      <c r="X108" s="135">
        <v>281.60000000000002</v>
      </c>
      <c r="Y108" s="135">
        <v>1938489.92</v>
      </c>
      <c r="Z108" s="136"/>
      <c r="AA108" s="135">
        <v>48462.248</v>
      </c>
      <c r="AB108" s="135">
        <v>48462.248</v>
      </c>
      <c r="AC108" s="135">
        <v>2035414.42</v>
      </c>
      <c r="AD108" s="137">
        <f t="shared" si="36"/>
        <v>2033379.0055799999</v>
      </c>
      <c r="AE108" s="138">
        <v>39.36</v>
      </c>
      <c r="AF108" s="135">
        <v>39.29</v>
      </c>
      <c r="AG108" s="138">
        <v>39.299999999999997</v>
      </c>
      <c r="AH108" s="139">
        <v>4.1000000000000003E-3</v>
      </c>
      <c r="AI108" s="139">
        <v>0.04</v>
      </c>
      <c r="AJ108" s="139">
        <v>5.5E-2</v>
      </c>
      <c r="AK108" s="137">
        <f t="shared" si="39"/>
        <v>0</v>
      </c>
      <c r="AL108" s="137"/>
      <c r="AM108" s="137"/>
      <c r="AN108" s="137">
        <f t="shared" si="56"/>
        <v>384.19199999999995</v>
      </c>
      <c r="AO108" s="140">
        <f t="shared" si="40"/>
        <v>0</v>
      </c>
      <c r="AP108" s="137"/>
      <c r="AQ108" s="137">
        <v>0</v>
      </c>
      <c r="AR108" s="137">
        <f t="shared" si="41"/>
        <v>384.19199999999995</v>
      </c>
      <c r="AS108" s="137">
        <f t="shared" si="42"/>
        <v>403</v>
      </c>
      <c r="AT108" s="137">
        <v>0</v>
      </c>
      <c r="AU108" s="141"/>
      <c r="AV108" s="141"/>
      <c r="AW108" s="137">
        <f t="shared" si="43"/>
        <v>27839.999999999996</v>
      </c>
      <c r="AX108" s="137">
        <v>0</v>
      </c>
      <c r="AY108" s="137">
        <f t="shared" si="44"/>
        <v>27839.999999999996</v>
      </c>
      <c r="AZ108" s="137">
        <f t="shared" si="45"/>
        <v>28160.000000000004</v>
      </c>
      <c r="BA108" s="142">
        <f t="shared" si="46"/>
        <v>-320.00000000000728</v>
      </c>
      <c r="BB108" s="137"/>
      <c r="BC108" s="137">
        <v>0</v>
      </c>
      <c r="BD108" s="142">
        <v>0</v>
      </c>
      <c r="BE108" s="135">
        <v>282</v>
      </c>
      <c r="BF108" s="143">
        <f t="shared" si="47"/>
        <v>0.42299999999999999</v>
      </c>
      <c r="BG108" s="143">
        <f t="shared" si="48"/>
        <v>281.577</v>
      </c>
      <c r="BH108" s="143">
        <f t="shared" si="49"/>
        <v>281.60000000000002</v>
      </c>
      <c r="BI108" s="144">
        <f t="shared" si="50"/>
        <v>39.999999999997726</v>
      </c>
      <c r="BJ108" s="144">
        <v>0</v>
      </c>
      <c r="BK108" s="137">
        <f t="shared" si="51"/>
        <v>39.999999999997726</v>
      </c>
      <c r="BL108" s="2"/>
      <c r="BM108" s="10" t="str">
        <f t="shared" si="52"/>
        <v>Unloading no. 101 Bill No 12 ,Deduction For Oil Deduction= 0 ,Bardana=  ,F.M=  Brokerage/Rate Difference 384.192 ,Shortage = 0 ,Greenish=  ,Moisture= 0</v>
      </c>
      <c r="BN108" s="3"/>
      <c r="BO108" s="13" t="str">
        <f t="shared" si="37"/>
        <v xml:space="preserve"> Party Condition 39.29  ,F.M% 0.41 ,Greenish 4 ,Moisture 5.5 ,Shortage in KG= 0  ,Oil% 39.3</v>
      </c>
      <c r="BP108" s="4">
        <f t="shared" si="38"/>
        <v>6882.477727272726</v>
      </c>
      <c r="BQ108" s="5" t="str">
        <f t="shared" si="53"/>
        <v xml:space="preserve"> 39.3</v>
      </c>
      <c r="BR108" s="6">
        <f t="shared" si="54"/>
        <v>7355.3197085357388</v>
      </c>
      <c r="BS108" s="5" t="s">
        <v>62</v>
      </c>
      <c r="BT108" s="5" t="s">
        <v>63</v>
      </c>
      <c r="BW108" s="92"/>
      <c r="BX108" s="27">
        <v>39.36</v>
      </c>
      <c r="BY108" s="27">
        <v>39.299999999999997</v>
      </c>
      <c r="BZ108" s="96"/>
    </row>
    <row r="109" spans="1:78" s="1" customFormat="1" ht="15.75" hidden="1" x14ac:dyDescent="0.3">
      <c r="A109" s="128" t="s">
        <v>133</v>
      </c>
      <c r="B109" s="130">
        <v>46117</v>
      </c>
      <c r="C109" s="128">
        <v>102</v>
      </c>
      <c r="D109" s="128" t="s">
        <v>268</v>
      </c>
      <c r="E109" s="130">
        <v>46117</v>
      </c>
      <c r="F109" s="131" t="s">
        <v>95</v>
      </c>
      <c r="G109" s="131" t="s">
        <v>96</v>
      </c>
      <c r="H109" s="131" t="s">
        <v>97</v>
      </c>
      <c r="I109" s="132"/>
      <c r="J109" s="131" t="s">
        <v>113</v>
      </c>
      <c r="K109" s="133">
        <v>0</v>
      </c>
      <c r="L109" s="134">
        <v>46111</v>
      </c>
      <c r="M109" s="132"/>
      <c r="N109" s="131">
        <v>7</v>
      </c>
      <c r="O109" s="130">
        <v>46114</v>
      </c>
      <c r="P109" s="135">
        <v>0</v>
      </c>
      <c r="Q109" s="135">
        <v>400</v>
      </c>
      <c r="R109" s="135">
        <v>81</v>
      </c>
      <c r="S109" s="135">
        <v>0</v>
      </c>
      <c r="T109" s="135">
        <v>481</v>
      </c>
      <c r="U109" s="135">
        <v>481</v>
      </c>
      <c r="V109" s="135">
        <v>0</v>
      </c>
      <c r="W109" s="135">
        <v>288.60000000000002</v>
      </c>
      <c r="X109" s="135">
        <v>292</v>
      </c>
      <c r="Y109" s="135">
        <v>2044348.12</v>
      </c>
      <c r="Z109" s="136"/>
      <c r="AA109" s="135">
        <v>51108.703000000001</v>
      </c>
      <c r="AB109" s="135">
        <v>51108.703000000001</v>
      </c>
      <c r="AC109" s="135">
        <v>2146565.5299999998</v>
      </c>
      <c r="AD109" s="137">
        <f t="shared" si="36"/>
        <v>2144418.96447</v>
      </c>
      <c r="AE109" s="138">
        <v>40.08</v>
      </c>
      <c r="AF109" s="135">
        <v>39.82</v>
      </c>
      <c r="AG109" s="138">
        <v>40.04</v>
      </c>
      <c r="AH109" s="139">
        <v>4.4999999999999997E-3</v>
      </c>
      <c r="AI109" s="139">
        <v>4.1000000000000002E-2</v>
      </c>
      <c r="AJ109" s="139">
        <v>5.8000000000000003E-2</v>
      </c>
      <c r="AK109" s="137">
        <f t="shared" si="39"/>
        <v>0</v>
      </c>
      <c r="AL109" s="137"/>
      <c r="AM109" s="137"/>
      <c r="AN109" s="137">
        <f t="shared" si="56"/>
        <v>398.26799999999997</v>
      </c>
      <c r="AO109" s="140">
        <f t="shared" si="40"/>
        <v>0</v>
      </c>
      <c r="AP109" s="137"/>
      <c r="AQ109" s="137">
        <v>0</v>
      </c>
      <c r="AR109" s="137">
        <f t="shared" si="41"/>
        <v>398.26799999999997</v>
      </c>
      <c r="AS109" s="137">
        <f t="shared" si="42"/>
        <v>418</v>
      </c>
      <c r="AT109" s="137">
        <v>0</v>
      </c>
      <c r="AU109" s="141"/>
      <c r="AV109" s="141"/>
      <c r="AW109" s="137">
        <f t="shared" si="43"/>
        <v>28860.000000000004</v>
      </c>
      <c r="AX109" s="137">
        <v>0</v>
      </c>
      <c r="AY109" s="137">
        <f t="shared" si="44"/>
        <v>28860.000000000004</v>
      </c>
      <c r="AZ109" s="137">
        <f t="shared" si="45"/>
        <v>29200</v>
      </c>
      <c r="BA109" s="142">
        <f t="shared" si="46"/>
        <v>-339.99999999999636</v>
      </c>
      <c r="BB109" s="137"/>
      <c r="BC109" s="137">
        <v>0</v>
      </c>
      <c r="BD109" s="142">
        <v>0</v>
      </c>
      <c r="BE109" s="135">
        <v>292.5</v>
      </c>
      <c r="BF109" s="143">
        <f t="shared" si="47"/>
        <v>0.43874999999999997</v>
      </c>
      <c r="BG109" s="143">
        <f t="shared" si="48"/>
        <v>292.06124999999997</v>
      </c>
      <c r="BH109" s="143">
        <f t="shared" si="49"/>
        <v>292</v>
      </c>
      <c r="BI109" s="144">
        <f t="shared" si="50"/>
        <v>50</v>
      </c>
      <c r="BJ109" s="144">
        <v>0</v>
      </c>
      <c r="BK109" s="137">
        <f t="shared" si="51"/>
        <v>50</v>
      </c>
      <c r="BL109" s="2"/>
      <c r="BM109" s="10" t="str">
        <f t="shared" si="52"/>
        <v>Unloading no. 102 Bill No 7 ,Deduction For Oil Deduction= 0 ,Bardana=  ,F.M=  Brokerage/Rate Difference 398.268 ,Shortage = 0 ,Greenish=  ,Moisture= 0</v>
      </c>
      <c r="BN109" s="3"/>
      <c r="BO109" s="13" t="str">
        <f t="shared" si="37"/>
        <v xml:space="preserve"> Party Condition 39.82  ,F.M% 0.45 ,Greenish 4.1 ,Moisture 5.8 ,Shortage in KG= 0  ,Oil% 40.04</v>
      </c>
      <c r="BP109" s="4">
        <f t="shared" si="38"/>
        <v>6999.8282602739737</v>
      </c>
      <c r="BQ109" s="5" t="str">
        <f t="shared" si="53"/>
        <v>40.04</v>
      </c>
      <c r="BR109" s="6">
        <f t="shared" si="54"/>
        <v>7342.4771960915805</v>
      </c>
      <c r="BS109" s="5" t="s">
        <v>62</v>
      </c>
      <c r="BT109" s="5" t="s">
        <v>63</v>
      </c>
      <c r="BW109" s="92"/>
      <c r="BX109" s="27">
        <v>40.08</v>
      </c>
      <c r="BY109" s="27">
        <v>40.04</v>
      </c>
      <c r="BZ109" s="96"/>
    </row>
    <row r="110" spans="1:78" s="1" customFormat="1" ht="15.75" hidden="1" x14ac:dyDescent="0.3">
      <c r="A110" s="128" t="s">
        <v>235</v>
      </c>
      <c r="B110" s="130">
        <v>46117</v>
      </c>
      <c r="C110" s="128">
        <v>103</v>
      </c>
      <c r="D110" s="128" t="s">
        <v>269</v>
      </c>
      <c r="E110" s="130">
        <v>46117</v>
      </c>
      <c r="F110" s="131" t="s">
        <v>95</v>
      </c>
      <c r="G110" s="131" t="s">
        <v>96</v>
      </c>
      <c r="H110" s="131" t="s">
        <v>97</v>
      </c>
      <c r="I110" s="132"/>
      <c r="J110" s="131" t="s">
        <v>113</v>
      </c>
      <c r="K110" s="133">
        <v>0</v>
      </c>
      <c r="L110" s="134">
        <v>46113</v>
      </c>
      <c r="M110" s="132"/>
      <c r="N110" s="131">
        <v>9</v>
      </c>
      <c r="O110" s="130">
        <v>46115</v>
      </c>
      <c r="P110" s="135">
        <v>0</v>
      </c>
      <c r="Q110" s="135">
        <v>500</v>
      </c>
      <c r="R110" s="135">
        <v>36</v>
      </c>
      <c r="S110" s="135">
        <v>0</v>
      </c>
      <c r="T110" s="135">
        <v>536</v>
      </c>
      <c r="U110" s="135">
        <v>536</v>
      </c>
      <c r="V110" s="135">
        <v>0</v>
      </c>
      <c r="W110" s="135">
        <v>321.60000000000002</v>
      </c>
      <c r="X110" s="135">
        <v>365.5</v>
      </c>
      <c r="Y110" s="135">
        <v>2270982.4300000002</v>
      </c>
      <c r="Z110" s="136"/>
      <c r="AA110" s="135">
        <v>56774.560749999997</v>
      </c>
      <c r="AB110" s="135">
        <v>56774.560749999997</v>
      </c>
      <c r="AC110" s="135">
        <v>2384531.5499999998</v>
      </c>
      <c r="AD110" s="137">
        <f t="shared" si="36"/>
        <v>2382147.0184499999</v>
      </c>
      <c r="AE110" s="138">
        <v>39.549999999999997</v>
      </c>
      <c r="AF110" s="135">
        <v>39.42</v>
      </c>
      <c r="AG110" s="138">
        <v>39.51</v>
      </c>
      <c r="AH110" s="139">
        <v>4.3E-3</v>
      </c>
      <c r="AI110" s="139">
        <v>4.3099999999999999E-2</v>
      </c>
      <c r="AJ110" s="139">
        <v>5.6000000000000001E-2</v>
      </c>
      <c r="AK110" s="137">
        <f t="shared" si="39"/>
        <v>0</v>
      </c>
      <c r="AL110" s="137"/>
      <c r="AM110" s="137"/>
      <c r="AN110" s="137">
        <f t="shared" si="56"/>
        <v>443.80799999999999</v>
      </c>
      <c r="AO110" s="140">
        <f t="shared" si="40"/>
        <v>0</v>
      </c>
      <c r="AP110" s="137"/>
      <c r="AQ110" s="137">
        <v>0</v>
      </c>
      <c r="AR110" s="137">
        <f t="shared" si="41"/>
        <v>443.80799999999999</v>
      </c>
      <c r="AS110" s="137">
        <f t="shared" si="42"/>
        <v>466</v>
      </c>
      <c r="AT110" s="137">
        <v>0</v>
      </c>
      <c r="AU110" s="141"/>
      <c r="AV110" s="141"/>
      <c r="AW110" s="137">
        <f t="shared" si="43"/>
        <v>32160.000000000004</v>
      </c>
      <c r="AX110" s="137">
        <v>0</v>
      </c>
      <c r="AY110" s="137">
        <f t="shared" si="44"/>
        <v>32160.000000000004</v>
      </c>
      <c r="AZ110" s="137">
        <f t="shared" si="45"/>
        <v>36550</v>
      </c>
      <c r="BA110" s="142">
        <f t="shared" si="46"/>
        <v>-4389.9999999999964</v>
      </c>
      <c r="BB110" s="137"/>
      <c r="BC110" s="137">
        <v>0</v>
      </c>
      <c r="BD110" s="142">
        <v>0</v>
      </c>
      <c r="BE110" s="135">
        <v>366.2</v>
      </c>
      <c r="BF110" s="143">
        <f t="shared" si="47"/>
        <v>0.54930000000000001</v>
      </c>
      <c r="BG110" s="143">
        <f t="shared" si="48"/>
        <v>365.65069999999997</v>
      </c>
      <c r="BH110" s="143">
        <f t="shared" si="49"/>
        <v>365.5</v>
      </c>
      <c r="BI110" s="144">
        <f t="shared" si="50"/>
        <v>69.999999999998863</v>
      </c>
      <c r="BJ110" s="144">
        <v>0</v>
      </c>
      <c r="BK110" s="137">
        <f t="shared" si="51"/>
        <v>69.999999999998863</v>
      </c>
      <c r="BL110" s="2"/>
      <c r="BM110" s="10" t="str">
        <f t="shared" si="52"/>
        <v>Unloading no. 103 Bill No 9 ,Deduction For Oil Deduction= 0 ,Bardana=  ,F.M=  Brokerage/Rate Difference 443.808 ,Shortage = 0 ,Greenish=  ,Moisture= 0</v>
      </c>
      <c r="BN110" s="3"/>
      <c r="BO110" s="13" t="str">
        <f t="shared" si="37"/>
        <v xml:space="preserve"> Party Condition 39.42  ,F.M% 0.43 ,Greenish 4.31 ,Moisture 5.6 ,Shortage in KG= 0  ,Oil% 39.51</v>
      </c>
      <c r="BP110" s="4">
        <f t="shared" si="38"/>
        <v>6212.1439726402186</v>
      </c>
      <c r="BQ110" s="5" t="str">
        <f t="shared" si="53"/>
        <v>39.51</v>
      </c>
      <c r="BR110" s="6">
        <f t="shared" si="54"/>
        <v>6603.6458327230876</v>
      </c>
      <c r="BS110" s="5" t="s">
        <v>62</v>
      </c>
      <c r="BT110" s="5" t="s">
        <v>63</v>
      </c>
      <c r="BW110" s="92"/>
      <c r="BX110" s="27">
        <v>39.549999999999997</v>
      </c>
      <c r="BY110" s="27">
        <v>39.51</v>
      </c>
      <c r="BZ110" s="96"/>
    </row>
    <row r="111" spans="1:78" s="1" customFormat="1" ht="15.75" hidden="1" x14ac:dyDescent="0.3">
      <c r="A111" s="128" t="s">
        <v>133</v>
      </c>
      <c r="B111" s="130">
        <v>46117</v>
      </c>
      <c r="C111" s="128">
        <v>103</v>
      </c>
      <c r="D111" s="128" t="s">
        <v>269</v>
      </c>
      <c r="E111" s="130">
        <v>46117</v>
      </c>
      <c r="F111" s="131" t="s">
        <v>95</v>
      </c>
      <c r="G111" s="131" t="s">
        <v>96</v>
      </c>
      <c r="H111" s="131" t="s">
        <v>97</v>
      </c>
      <c r="I111" s="132"/>
      <c r="J111" s="131" t="s">
        <v>113</v>
      </c>
      <c r="K111" s="133">
        <v>0</v>
      </c>
      <c r="L111" s="134">
        <v>46111</v>
      </c>
      <c r="M111" s="132"/>
      <c r="N111" s="131">
        <v>9</v>
      </c>
      <c r="O111" s="130">
        <v>46115</v>
      </c>
      <c r="P111" s="135">
        <v>0</v>
      </c>
      <c r="Q111" s="135">
        <v>0</v>
      </c>
      <c r="R111" s="135">
        <v>64</v>
      </c>
      <c r="S111" s="135">
        <v>0</v>
      </c>
      <c r="T111" s="135">
        <v>64</v>
      </c>
      <c r="U111" s="135">
        <v>64</v>
      </c>
      <c r="V111" s="135">
        <v>0</v>
      </c>
      <c r="W111" s="135">
        <v>38.4</v>
      </c>
      <c r="X111" s="135">
        <v>0</v>
      </c>
      <c r="Y111" s="135">
        <v>269389.06</v>
      </c>
      <c r="Z111" s="136"/>
      <c r="AA111" s="135">
        <v>6734.7264999999998</v>
      </c>
      <c r="AB111" s="135">
        <v>6734.7264999999998</v>
      </c>
      <c r="AC111" s="135">
        <v>282858.51</v>
      </c>
      <c r="AD111" s="137">
        <f t="shared" si="36"/>
        <v>282575.65149000002</v>
      </c>
      <c r="AE111" s="138">
        <v>39.549999999999997</v>
      </c>
      <c r="AF111" s="135">
        <v>39.82</v>
      </c>
      <c r="AG111" s="138">
        <v>39.51</v>
      </c>
      <c r="AH111" s="139">
        <v>4.3E-3</v>
      </c>
      <c r="AI111" s="139">
        <v>4.3099999999999999E-2</v>
      </c>
      <c r="AJ111" s="139">
        <v>5.6000000000000001E-2</v>
      </c>
      <c r="AK111" s="137">
        <f t="shared" si="39"/>
        <v>2097.2026268207087</v>
      </c>
      <c r="AL111" s="137"/>
      <c r="AM111" s="137"/>
      <c r="AN111" s="137">
        <f t="shared" si="56"/>
        <v>52.991999999999997</v>
      </c>
      <c r="AO111" s="140">
        <f t="shared" si="40"/>
        <v>0</v>
      </c>
      <c r="AP111" s="137"/>
      <c r="AQ111" s="137">
        <v>0</v>
      </c>
      <c r="AR111" s="137">
        <f t="shared" si="41"/>
        <v>2150.1946268207089</v>
      </c>
      <c r="AS111" s="137">
        <f t="shared" si="42"/>
        <v>2258</v>
      </c>
      <c r="AT111" s="137">
        <v>0</v>
      </c>
      <c r="AU111" s="141"/>
      <c r="AV111" s="141"/>
      <c r="AW111" s="137">
        <f t="shared" si="43"/>
        <v>3840</v>
      </c>
      <c r="AX111" s="137">
        <v>0</v>
      </c>
      <c r="AY111" s="137">
        <f t="shared" si="44"/>
        <v>3840</v>
      </c>
      <c r="AZ111" s="137">
        <f t="shared" si="45"/>
        <v>0</v>
      </c>
      <c r="BA111" s="142">
        <f t="shared" si="46"/>
        <v>3840</v>
      </c>
      <c r="BB111" s="137"/>
      <c r="BC111" s="137">
        <v>0</v>
      </c>
      <c r="BD111" s="142">
        <v>0</v>
      </c>
      <c r="BE111" s="135">
        <v>0</v>
      </c>
      <c r="BF111" s="143">
        <f t="shared" si="47"/>
        <v>0</v>
      </c>
      <c r="BG111" s="143">
        <f t="shared" si="48"/>
        <v>0</v>
      </c>
      <c r="BH111" s="143">
        <f t="shared" si="49"/>
        <v>0</v>
      </c>
      <c r="BI111" s="144">
        <f t="shared" si="50"/>
        <v>0</v>
      </c>
      <c r="BJ111" s="144">
        <v>0</v>
      </c>
      <c r="BK111" s="137">
        <f t="shared" si="51"/>
        <v>0</v>
      </c>
      <c r="BL111" s="2"/>
      <c r="BM111" s="10" t="str">
        <f t="shared" si="52"/>
        <v>Unloading no. 103 Bill No 9 ,Deduction For Oil Deduction= 2097.20262682071 ,Bardana=  ,F.M=  Brokerage/Rate Difference 52.992 ,Shortage = 0 ,Greenish=  ,Moisture= 0</v>
      </c>
      <c r="BN111" s="3"/>
      <c r="BO111" s="13" t="str">
        <f t="shared" si="37"/>
        <v xml:space="preserve"> Party Condition 39.82  ,F.M% 0.43 ,Greenish 4.31 ,Moisture 5.6 ,Shortage in KG= 0  ,Oil% 39.51</v>
      </c>
      <c r="BP111" s="4" t="e">
        <f t="shared" si="38"/>
        <v>#DIV/0!</v>
      </c>
      <c r="BQ111" s="5" t="str">
        <f t="shared" si="53"/>
        <v>39.51</v>
      </c>
      <c r="BR111" s="6" t="e">
        <f t="shared" si="54"/>
        <v>#DIV/0!</v>
      </c>
      <c r="BS111" s="5" t="s">
        <v>62</v>
      </c>
      <c r="BT111" s="5" t="s">
        <v>63</v>
      </c>
      <c r="BW111" s="92"/>
      <c r="BX111" s="27">
        <v>39.549999999999997</v>
      </c>
      <c r="BY111" s="27">
        <v>39.51</v>
      </c>
      <c r="BZ111" s="96"/>
    </row>
    <row r="112" spans="1:78" s="1" customFormat="1" ht="15.75" hidden="1" x14ac:dyDescent="0.3">
      <c r="A112" s="128" t="s">
        <v>133</v>
      </c>
      <c r="B112" s="130">
        <v>46117</v>
      </c>
      <c r="C112" s="128">
        <v>104</v>
      </c>
      <c r="D112" s="128" t="s">
        <v>270</v>
      </c>
      <c r="E112" s="130">
        <v>46117</v>
      </c>
      <c r="F112" s="131" t="s">
        <v>95</v>
      </c>
      <c r="G112" s="131" t="s">
        <v>96</v>
      </c>
      <c r="H112" s="131" t="s">
        <v>97</v>
      </c>
      <c r="I112" s="132"/>
      <c r="J112" s="131" t="s">
        <v>113</v>
      </c>
      <c r="K112" s="133">
        <v>0</v>
      </c>
      <c r="L112" s="134">
        <v>46111</v>
      </c>
      <c r="M112" s="132"/>
      <c r="N112" s="131">
        <v>8</v>
      </c>
      <c r="O112" s="130">
        <v>46114</v>
      </c>
      <c r="P112" s="135">
        <v>0</v>
      </c>
      <c r="Q112" s="135">
        <v>470</v>
      </c>
      <c r="R112" s="135">
        <v>90</v>
      </c>
      <c r="S112" s="135">
        <v>0</v>
      </c>
      <c r="T112" s="135">
        <v>560</v>
      </c>
      <c r="U112" s="135">
        <v>560</v>
      </c>
      <c r="V112" s="135">
        <v>0</v>
      </c>
      <c r="W112" s="135">
        <v>336</v>
      </c>
      <c r="X112" s="135">
        <v>340.4</v>
      </c>
      <c r="Y112" s="135">
        <v>2380114.2400000002</v>
      </c>
      <c r="Z112" s="136"/>
      <c r="AA112" s="135">
        <v>59502.856</v>
      </c>
      <c r="AB112" s="135">
        <v>59502.856</v>
      </c>
      <c r="AC112" s="135">
        <v>2499119.9500000002</v>
      </c>
      <c r="AD112" s="137">
        <f t="shared" si="36"/>
        <v>2496620.83005</v>
      </c>
      <c r="AE112" s="138">
        <v>40.549999999999997</v>
      </c>
      <c r="AF112" s="135">
        <v>39.82</v>
      </c>
      <c r="AG112" s="138">
        <v>40.42</v>
      </c>
      <c r="AH112" s="139">
        <v>4.5999999999999999E-3</v>
      </c>
      <c r="AI112" s="139">
        <v>4.3499999999999997E-2</v>
      </c>
      <c r="AJ112" s="139">
        <v>5.8999999999999997E-2</v>
      </c>
      <c r="AK112" s="137">
        <f t="shared" si="39"/>
        <v>0</v>
      </c>
      <c r="AL112" s="137"/>
      <c r="AM112" s="137"/>
      <c r="AN112" s="137">
        <f t="shared" si="56"/>
        <v>463.67999999999995</v>
      </c>
      <c r="AO112" s="140">
        <f t="shared" si="40"/>
        <v>0</v>
      </c>
      <c r="AP112" s="137"/>
      <c r="AQ112" s="137">
        <v>0</v>
      </c>
      <c r="AR112" s="137">
        <f t="shared" si="41"/>
        <v>463.67999999999995</v>
      </c>
      <c r="AS112" s="137">
        <f t="shared" si="42"/>
        <v>487</v>
      </c>
      <c r="AT112" s="137">
        <v>0</v>
      </c>
      <c r="AU112" s="141"/>
      <c r="AV112" s="141"/>
      <c r="AW112" s="137">
        <f t="shared" si="43"/>
        <v>33600</v>
      </c>
      <c r="AX112" s="137">
        <v>0</v>
      </c>
      <c r="AY112" s="137">
        <f t="shared" si="44"/>
        <v>33600</v>
      </c>
      <c r="AZ112" s="137">
        <f t="shared" si="45"/>
        <v>34040</v>
      </c>
      <c r="BA112" s="142">
        <f t="shared" si="46"/>
        <v>-440</v>
      </c>
      <c r="BB112" s="137"/>
      <c r="BC112" s="137">
        <v>0</v>
      </c>
      <c r="BD112" s="142">
        <v>0</v>
      </c>
      <c r="BE112" s="135">
        <v>340.9</v>
      </c>
      <c r="BF112" s="143">
        <f t="shared" si="47"/>
        <v>0.51134999999999997</v>
      </c>
      <c r="BG112" s="143">
        <f t="shared" si="48"/>
        <v>340.38864999999998</v>
      </c>
      <c r="BH112" s="143">
        <f t="shared" si="49"/>
        <v>340.4</v>
      </c>
      <c r="BI112" s="144">
        <f t="shared" si="50"/>
        <v>50</v>
      </c>
      <c r="BJ112" s="144">
        <v>0</v>
      </c>
      <c r="BK112" s="137">
        <f t="shared" si="51"/>
        <v>50</v>
      </c>
      <c r="BL112" s="2"/>
      <c r="BM112" s="10" t="str">
        <f t="shared" si="52"/>
        <v>Unloading no. 104 Bill No 8 ,Deduction For Oil Deduction= 0 ,Bardana=  ,F.M=  Brokerage/Rate Difference 463.68 ,Shortage = 0 ,Greenish=  ,Moisture= 0</v>
      </c>
      <c r="BN112" s="3"/>
      <c r="BO112" s="13" t="str">
        <f t="shared" si="37"/>
        <v xml:space="preserve"> Party Condition 39.82  ,F.M% 0.46 ,Greenish 4.35 ,Moisture 5.9 ,Shortage in KG= 0  ,Oil% 40.42</v>
      </c>
      <c r="BP112" s="4">
        <f t="shared" si="38"/>
        <v>6990.7478260869575</v>
      </c>
      <c r="BQ112" s="5" t="str">
        <f t="shared" si="53"/>
        <v>40.42</v>
      </c>
      <c r="BR112" s="6">
        <f t="shared" si="54"/>
        <v>7264.0130800507714</v>
      </c>
      <c r="BS112" s="5" t="s">
        <v>62</v>
      </c>
      <c r="BT112" s="5" t="s">
        <v>63</v>
      </c>
      <c r="BW112" s="92"/>
      <c r="BX112" s="27">
        <v>40.549999999999997</v>
      </c>
      <c r="BY112" s="27">
        <v>40.42</v>
      </c>
      <c r="BZ112" s="96"/>
    </row>
    <row r="113" spans="1:78" s="1" customFormat="1" ht="15.75" hidden="1" x14ac:dyDescent="0.3">
      <c r="A113" s="128" t="s">
        <v>235</v>
      </c>
      <c r="B113" s="130">
        <v>46117</v>
      </c>
      <c r="C113" s="128">
        <v>105</v>
      </c>
      <c r="D113" s="128" t="s">
        <v>271</v>
      </c>
      <c r="E113" s="130">
        <v>46117</v>
      </c>
      <c r="F113" s="131" t="s">
        <v>95</v>
      </c>
      <c r="G113" s="131" t="s">
        <v>96</v>
      </c>
      <c r="H113" s="131" t="s">
        <v>97</v>
      </c>
      <c r="I113" s="132"/>
      <c r="J113" s="131" t="s">
        <v>113</v>
      </c>
      <c r="K113" s="133">
        <v>0</v>
      </c>
      <c r="L113" s="134">
        <v>46113</v>
      </c>
      <c r="M113" s="132"/>
      <c r="N113" s="131">
        <v>10</v>
      </c>
      <c r="O113" s="130">
        <v>46115</v>
      </c>
      <c r="P113" s="135">
        <v>0</v>
      </c>
      <c r="Q113" s="135">
        <v>400</v>
      </c>
      <c r="R113" s="135">
        <v>350</v>
      </c>
      <c r="S113" s="135">
        <v>0</v>
      </c>
      <c r="T113" s="135">
        <v>750</v>
      </c>
      <c r="U113" s="135">
        <v>750</v>
      </c>
      <c r="V113" s="135">
        <v>0</v>
      </c>
      <c r="W113" s="135">
        <v>450</v>
      </c>
      <c r="X113" s="135">
        <v>456.1</v>
      </c>
      <c r="Y113" s="135">
        <v>3174009</v>
      </c>
      <c r="Z113" s="136"/>
      <c r="AA113" s="135">
        <v>79350.225000000006</v>
      </c>
      <c r="AB113" s="135">
        <v>79350.225000000006</v>
      </c>
      <c r="AC113" s="135">
        <v>3332709.45</v>
      </c>
      <c r="AD113" s="137">
        <f t="shared" si="36"/>
        <v>3329376.7405500002</v>
      </c>
      <c r="AE113" s="138">
        <v>39.29</v>
      </c>
      <c r="AF113" s="135">
        <v>39.42</v>
      </c>
      <c r="AG113" s="138">
        <v>39.39</v>
      </c>
      <c r="AH113" s="139">
        <v>4.5999999999999999E-3</v>
      </c>
      <c r="AI113" s="139">
        <v>4.4999999999999998E-2</v>
      </c>
      <c r="AJ113" s="139">
        <v>5.6000000000000001E-2</v>
      </c>
      <c r="AK113" s="137">
        <f t="shared" si="39"/>
        <v>10467.305175038258</v>
      </c>
      <c r="AL113" s="137"/>
      <c r="AM113" s="137"/>
      <c r="AN113" s="137">
        <f t="shared" si="56"/>
        <v>621</v>
      </c>
      <c r="AO113" s="140">
        <f t="shared" si="40"/>
        <v>0</v>
      </c>
      <c r="AP113" s="137"/>
      <c r="AQ113" s="137">
        <v>0</v>
      </c>
      <c r="AR113" s="137">
        <f t="shared" si="41"/>
        <v>11088.305175038258</v>
      </c>
      <c r="AS113" s="137">
        <f t="shared" si="42"/>
        <v>11643</v>
      </c>
      <c r="AT113" s="137">
        <v>0</v>
      </c>
      <c r="AU113" s="141"/>
      <c r="AV113" s="141"/>
      <c r="AW113" s="137">
        <f t="shared" si="43"/>
        <v>45000</v>
      </c>
      <c r="AX113" s="137">
        <v>0</v>
      </c>
      <c r="AY113" s="137">
        <f t="shared" si="44"/>
        <v>45000</v>
      </c>
      <c r="AZ113" s="137">
        <f t="shared" si="45"/>
        <v>45610</v>
      </c>
      <c r="BA113" s="142">
        <f t="shared" si="46"/>
        <v>-610</v>
      </c>
      <c r="BB113" s="137"/>
      <c r="BC113" s="137">
        <v>0</v>
      </c>
      <c r="BD113" s="142">
        <v>0</v>
      </c>
      <c r="BE113" s="135">
        <v>456.9</v>
      </c>
      <c r="BF113" s="143">
        <f t="shared" si="47"/>
        <v>0.68535000000000001</v>
      </c>
      <c r="BG113" s="143">
        <f t="shared" si="48"/>
        <v>456.21464999999995</v>
      </c>
      <c r="BH113" s="143">
        <f t="shared" si="49"/>
        <v>456.1</v>
      </c>
      <c r="BI113" s="144">
        <f t="shared" si="50"/>
        <v>79.999999999995453</v>
      </c>
      <c r="BJ113" s="144">
        <v>0</v>
      </c>
      <c r="BK113" s="137">
        <f t="shared" si="51"/>
        <v>79.999999999995453</v>
      </c>
      <c r="BL113" s="2"/>
      <c r="BM113" s="10" t="str">
        <f t="shared" si="52"/>
        <v>Unloading no. 105 Bill No 10 ,Deduction For Oil Deduction= 10467.3051750383 ,Bardana=  ,F.M=  Brokerage/Rate Difference 621 ,Shortage = 0 ,Greenish=  ,Moisture= 0</v>
      </c>
      <c r="BN113" s="3"/>
      <c r="BO113" s="13" t="str">
        <f t="shared" si="37"/>
        <v xml:space="preserve"> Party Condition 39.42  ,F.M% 0.46 ,Greenish 4.5 ,Moisture 5.6 ,Shortage in KG= 0  ,Oil% 39.29</v>
      </c>
      <c r="BP113" s="4">
        <f t="shared" si="38"/>
        <v>6934.7088244353472</v>
      </c>
      <c r="BQ113" s="5" t="str">
        <f t="shared" si="53"/>
        <v>39.29</v>
      </c>
      <c r="BR113" s="6">
        <f t="shared" si="54"/>
        <v>7413.0254677089488</v>
      </c>
      <c r="BS113" s="5" t="s">
        <v>62</v>
      </c>
      <c r="BT113" s="5" t="s">
        <v>63</v>
      </c>
      <c r="BW113" s="92"/>
      <c r="BX113" s="27">
        <v>39.29</v>
      </c>
      <c r="BY113" s="27">
        <v>39.39</v>
      </c>
      <c r="BZ113" s="96"/>
    </row>
    <row r="114" spans="1:78" s="1" customFormat="1" ht="15.75" hidden="1" x14ac:dyDescent="0.3">
      <c r="A114" s="128" t="s">
        <v>233</v>
      </c>
      <c r="B114" s="130">
        <v>46117</v>
      </c>
      <c r="C114" s="128">
        <v>106</v>
      </c>
      <c r="D114" s="128" t="s">
        <v>272</v>
      </c>
      <c r="E114" s="130">
        <v>46117</v>
      </c>
      <c r="F114" s="131" t="s">
        <v>98</v>
      </c>
      <c r="G114" s="131" t="s">
        <v>99</v>
      </c>
      <c r="H114" s="131" t="s">
        <v>199</v>
      </c>
      <c r="I114" s="132"/>
      <c r="J114" s="131" t="s">
        <v>113</v>
      </c>
      <c r="K114" s="133">
        <v>0</v>
      </c>
      <c r="L114" s="134">
        <v>46114</v>
      </c>
      <c r="M114" s="132"/>
      <c r="N114" s="131">
        <v>11</v>
      </c>
      <c r="O114" s="130">
        <v>46115</v>
      </c>
      <c r="P114" s="135">
        <v>0</v>
      </c>
      <c r="Q114" s="135">
        <v>200</v>
      </c>
      <c r="R114" s="135">
        <v>268</v>
      </c>
      <c r="S114" s="135">
        <v>0</v>
      </c>
      <c r="T114" s="135">
        <v>468</v>
      </c>
      <c r="U114" s="135">
        <v>468</v>
      </c>
      <c r="V114" s="135">
        <v>0</v>
      </c>
      <c r="W114" s="135">
        <v>280.2</v>
      </c>
      <c r="X114" s="135">
        <v>283.39999999999998</v>
      </c>
      <c r="Y114" s="135">
        <v>1955201.04</v>
      </c>
      <c r="Z114" s="136"/>
      <c r="AA114" s="135">
        <v>48880.025999999998</v>
      </c>
      <c r="AB114" s="135">
        <v>48880.025999999998</v>
      </c>
      <c r="AC114" s="135">
        <v>2052961.09</v>
      </c>
      <c r="AD114" s="137">
        <f t="shared" si="36"/>
        <v>2050908.12891</v>
      </c>
      <c r="AE114" s="138">
        <v>40</v>
      </c>
      <c r="AF114" s="135">
        <v>39.29</v>
      </c>
      <c r="AG114" s="138">
        <v>39.840000000000003</v>
      </c>
      <c r="AH114" s="139">
        <v>4.4999999999999997E-3</v>
      </c>
      <c r="AI114" s="139">
        <v>0.04</v>
      </c>
      <c r="AJ114" s="139">
        <v>5.8999999999999997E-2</v>
      </c>
      <c r="AK114" s="137">
        <f t="shared" si="39"/>
        <v>0</v>
      </c>
      <c r="AL114" s="137"/>
      <c r="AM114" s="137"/>
      <c r="AN114" s="137">
        <f t="shared" si="56"/>
        <v>386.67599999999993</v>
      </c>
      <c r="AO114" s="140">
        <f t="shared" si="40"/>
        <v>0</v>
      </c>
      <c r="AP114" s="137"/>
      <c r="AQ114" s="137">
        <v>0</v>
      </c>
      <c r="AR114" s="137">
        <f t="shared" si="41"/>
        <v>386.67599999999993</v>
      </c>
      <c r="AS114" s="137">
        <f t="shared" si="42"/>
        <v>406</v>
      </c>
      <c r="AT114" s="137">
        <v>0</v>
      </c>
      <c r="AU114" s="141"/>
      <c r="AV114" s="141"/>
      <c r="AW114" s="137">
        <f t="shared" si="43"/>
        <v>28020</v>
      </c>
      <c r="AX114" s="137">
        <v>0</v>
      </c>
      <c r="AY114" s="137">
        <f t="shared" si="44"/>
        <v>28020</v>
      </c>
      <c r="AZ114" s="137">
        <f t="shared" si="45"/>
        <v>28339.999999999996</v>
      </c>
      <c r="BA114" s="142">
        <f t="shared" si="46"/>
        <v>-319.99999999999636</v>
      </c>
      <c r="BB114" s="137"/>
      <c r="BC114" s="137">
        <v>0</v>
      </c>
      <c r="BD114" s="142">
        <v>0</v>
      </c>
      <c r="BE114" s="135">
        <v>284.10000000000002</v>
      </c>
      <c r="BF114" s="143">
        <f t="shared" si="47"/>
        <v>0.42615000000000003</v>
      </c>
      <c r="BG114" s="143">
        <f t="shared" si="48"/>
        <v>283.67385000000002</v>
      </c>
      <c r="BH114" s="143">
        <f t="shared" si="49"/>
        <v>283.39999999999998</v>
      </c>
      <c r="BI114" s="144">
        <f t="shared" si="50"/>
        <v>70.000000000004547</v>
      </c>
      <c r="BJ114" s="144">
        <v>0</v>
      </c>
      <c r="BK114" s="137">
        <f t="shared" si="51"/>
        <v>70.000000000004547</v>
      </c>
      <c r="BL114" s="2"/>
      <c r="BM114" s="10" t="str">
        <f t="shared" si="52"/>
        <v>Unloading no. 106 Bill No 11 ,Deduction For Oil Deduction= 0 ,Bardana=  ,F.M=  Brokerage/Rate Difference 386.676 ,Shortage = 0 ,Greenish=  ,Moisture= 0</v>
      </c>
      <c r="BN114" s="3"/>
      <c r="BO114" s="13" t="str">
        <f t="shared" si="37"/>
        <v xml:space="preserve"> Party Condition 39.29  ,F.M% 0.45 ,Greenish 4 ,Moisture 5.9 ,Shortage in KG= 0  ,Oil% 39.84</v>
      </c>
      <c r="BP114" s="4">
        <f t="shared" si="38"/>
        <v>6897.7218207480601</v>
      </c>
      <c r="BQ114" s="5" t="str">
        <f t="shared" si="53"/>
        <v>39.84</v>
      </c>
      <c r="BR114" s="6">
        <f t="shared" si="54"/>
        <v>7271.6946905476534</v>
      </c>
      <c r="BS114" s="5" t="s">
        <v>62</v>
      </c>
      <c r="BT114" s="5" t="s">
        <v>63</v>
      </c>
      <c r="BW114" s="92"/>
      <c r="BX114" s="27">
        <v>40</v>
      </c>
      <c r="BY114" s="27">
        <v>39.840000000000003</v>
      </c>
      <c r="BZ114" s="96"/>
    </row>
    <row r="115" spans="1:78" s="1" customFormat="1" ht="15.75" hidden="1" x14ac:dyDescent="0.3">
      <c r="A115" s="128" t="s">
        <v>234</v>
      </c>
      <c r="B115" s="130">
        <v>46117</v>
      </c>
      <c r="C115" s="128">
        <v>107</v>
      </c>
      <c r="D115" s="128" t="s">
        <v>273</v>
      </c>
      <c r="E115" s="130">
        <v>46117</v>
      </c>
      <c r="F115" s="131" t="s">
        <v>200</v>
      </c>
      <c r="G115" s="131" t="s">
        <v>201</v>
      </c>
      <c r="H115" s="131" t="s">
        <v>202</v>
      </c>
      <c r="I115" s="132"/>
      <c r="J115" s="131" t="s">
        <v>113</v>
      </c>
      <c r="K115" s="133">
        <v>0</v>
      </c>
      <c r="L115" s="134">
        <v>46113</v>
      </c>
      <c r="M115" s="132"/>
      <c r="N115" s="131">
        <v>25</v>
      </c>
      <c r="O115" s="130">
        <v>46115</v>
      </c>
      <c r="P115" s="135">
        <v>0</v>
      </c>
      <c r="Q115" s="135">
        <v>404</v>
      </c>
      <c r="R115" s="135">
        <v>260</v>
      </c>
      <c r="S115" s="135">
        <v>0</v>
      </c>
      <c r="T115" s="135">
        <v>664</v>
      </c>
      <c r="U115" s="135">
        <v>664</v>
      </c>
      <c r="V115" s="135">
        <v>0</v>
      </c>
      <c r="W115" s="135">
        <v>398.4</v>
      </c>
      <c r="X115" s="135">
        <v>404.7</v>
      </c>
      <c r="Y115" s="135">
        <v>2826426.22</v>
      </c>
      <c r="Z115" s="136"/>
      <c r="AA115" s="135">
        <v>70660.655499999993</v>
      </c>
      <c r="AB115" s="135">
        <v>70660.655499999993</v>
      </c>
      <c r="AC115" s="135">
        <v>2967747.53</v>
      </c>
      <c r="AD115" s="137">
        <f t="shared" si="36"/>
        <v>2964779.78247</v>
      </c>
      <c r="AE115" s="138">
        <v>40.4</v>
      </c>
      <c r="AF115" s="135">
        <v>39.700000000000003</v>
      </c>
      <c r="AG115" s="138">
        <v>40.35</v>
      </c>
      <c r="AH115" s="139">
        <v>4.4000000000000003E-3</v>
      </c>
      <c r="AI115" s="139">
        <v>0.04</v>
      </c>
      <c r="AJ115" s="139">
        <v>5.6000000000000001E-2</v>
      </c>
      <c r="AK115" s="137">
        <f t="shared" si="39"/>
        <v>0</v>
      </c>
      <c r="AL115" s="137"/>
      <c r="AM115" s="137"/>
      <c r="AN115" s="137">
        <f t="shared" si="56"/>
        <v>549.79199999999992</v>
      </c>
      <c r="AO115" s="140">
        <f t="shared" si="40"/>
        <v>0</v>
      </c>
      <c r="AP115" s="137"/>
      <c r="AQ115" s="137">
        <v>0</v>
      </c>
      <c r="AR115" s="137">
        <f t="shared" si="41"/>
        <v>549.79199999999992</v>
      </c>
      <c r="AS115" s="137">
        <f t="shared" si="42"/>
        <v>577</v>
      </c>
      <c r="AT115" s="137">
        <v>0</v>
      </c>
      <c r="AU115" s="141"/>
      <c r="AV115" s="141"/>
      <c r="AW115" s="137">
        <f t="shared" si="43"/>
        <v>39840</v>
      </c>
      <c r="AX115" s="137">
        <v>0</v>
      </c>
      <c r="AY115" s="137">
        <f t="shared" si="44"/>
        <v>39840</v>
      </c>
      <c r="AZ115" s="137">
        <f t="shared" si="45"/>
        <v>40470</v>
      </c>
      <c r="BA115" s="142">
        <f t="shared" si="46"/>
        <v>-630</v>
      </c>
      <c r="BB115" s="137"/>
      <c r="BC115" s="137">
        <v>0</v>
      </c>
      <c r="BD115" s="142">
        <v>0</v>
      </c>
      <c r="BE115" s="135">
        <v>405.05</v>
      </c>
      <c r="BF115" s="143">
        <f t="shared" si="47"/>
        <v>0.60757499999999998</v>
      </c>
      <c r="BG115" s="143">
        <f t="shared" si="48"/>
        <v>404.44242500000001</v>
      </c>
      <c r="BH115" s="143">
        <f t="shared" si="49"/>
        <v>404.7</v>
      </c>
      <c r="BI115" s="144">
        <f t="shared" si="50"/>
        <v>35.000000000002274</v>
      </c>
      <c r="BJ115" s="144">
        <v>0</v>
      </c>
      <c r="BK115" s="137">
        <f t="shared" si="51"/>
        <v>35.000000000002274</v>
      </c>
      <c r="BL115" s="2"/>
      <c r="BM115" s="10" t="str">
        <f t="shared" si="52"/>
        <v>Unloading no. 107 Bill No 25 ,Deduction For Oil Deduction= 0 ,Bardana=  ,F.M=  Brokerage/Rate Difference 549.792 ,Shortage = 0 ,Greenish=  ,Moisture= 0</v>
      </c>
      <c r="BN115" s="3"/>
      <c r="BO115" s="13" t="str">
        <f t="shared" si="37"/>
        <v xml:space="preserve"> Party Condition 39.7  ,F.M% 0.44 ,Greenish 4 ,Moisture 5.6 ,Shortage in KG= 0  ,Oil% 40.35</v>
      </c>
      <c r="BP115" s="4">
        <f t="shared" si="38"/>
        <v>6982.6449913516199</v>
      </c>
      <c r="BQ115" s="5" t="str">
        <f t="shared" si="53"/>
        <v>40.35</v>
      </c>
      <c r="BR115" s="6">
        <f t="shared" si="54"/>
        <v>7268.1806601429498</v>
      </c>
      <c r="BS115" s="5" t="s">
        <v>62</v>
      </c>
      <c r="BT115" s="5" t="s">
        <v>63</v>
      </c>
      <c r="BW115" s="92"/>
      <c r="BX115" s="27">
        <v>40.4</v>
      </c>
      <c r="BY115" s="27">
        <v>40.35</v>
      </c>
      <c r="BZ115" s="96"/>
    </row>
    <row r="116" spans="1:78" s="1" customFormat="1" ht="15.75" hidden="1" x14ac:dyDescent="0.3">
      <c r="A116" s="128" t="s">
        <v>236</v>
      </c>
      <c r="B116" s="130">
        <v>46117</v>
      </c>
      <c r="C116" s="128">
        <v>108</v>
      </c>
      <c r="D116" s="128" t="s">
        <v>274</v>
      </c>
      <c r="E116" s="130">
        <v>46117</v>
      </c>
      <c r="F116" s="131" t="s">
        <v>95</v>
      </c>
      <c r="G116" s="131" t="s">
        <v>96</v>
      </c>
      <c r="H116" s="131" t="s">
        <v>97</v>
      </c>
      <c r="I116" s="132"/>
      <c r="J116" s="131" t="s">
        <v>113</v>
      </c>
      <c r="K116" s="133">
        <v>0</v>
      </c>
      <c r="L116" s="134">
        <v>46114</v>
      </c>
      <c r="M116" s="132"/>
      <c r="N116" s="131">
        <v>12</v>
      </c>
      <c r="O116" s="130">
        <v>46115</v>
      </c>
      <c r="P116" s="135">
        <v>0</v>
      </c>
      <c r="Q116" s="135">
        <v>380</v>
      </c>
      <c r="R116" s="135">
        <v>216</v>
      </c>
      <c r="S116" s="135">
        <v>0</v>
      </c>
      <c r="T116" s="135">
        <v>596</v>
      </c>
      <c r="U116" s="135">
        <v>596</v>
      </c>
      <c r="V116" s="135">
        <v>0</v>
      </c>
      <c r="W116" s="135">
        <v>357.6</v>
      </c>
      <c r="X116" s="135">
        <v>362</v>
      </c>
      <c r="Y116" s="135">
        <v>2492101.29</v>
      </c>
      <c r="Z116" s="136"/>
      <c r="AA116" s="135">
        <v>62302.532249999997</v>
      </c>
      <c r="AB116" s="135">
        <v>62302.532249999997</v>
      </c>
      <c r="AC116" s="135">
        <v>2616706.35</v>
      </c>
      <c r="AD116" s="137">
        <f t="shared" si="36"/>
        <v>2614089.64365</v>
      </c>
      <c r="AE116" s="138">
        <v>40.49</v>
      </c>
      <c r="AF116" s="135">
        <v>39.28</v>
      </c>
      <c r="AG116" s="138">
        <v>40.33</v>
      </c>
      <c r="AH116" s="139">
        <v>4.7000000000000002E-3</v>
      </c>
      <c r="AI116" s="139">
        <v>4.6600000000000003E-2</v>
      </c>
      <c r="AJ116" s="139">
        <v>5.5E-2</v>
      </c>
      <c r="AK116" s="137">
        <f t="shared" si="39"/>
        <v>0</v>
      </c>
      <c r="AL116" s="137"/>
      <c r="AM116" s="137"/>
      <c r="AN116" s="137">
        <f t="shared" si="56"/>
        <v>493.488</v>
      </c>
      <c r="AO116" s="140">
        <f t="shared" si="40"/>
        <v>0</v>
      </c>
      <c r="AP116" s="137"/>
      <c r="AQ116" s="137">
        <v>0</v>
      </c>
      <c r="AR116" s="137">
        <f t="shared" si="41"/>
        <v>493.488</v>
      </c>
      <c r="AS116" s="137">
        <f t="shared" si="42"/>
        <v>518</v>
      </c>
      <c r="AT116" s="137">
        <v>0</v>
      </c>
      <c r="AU116" s="141"/>
      <c r="AV116" s="141"/>
      <c r="AW116" s="137">
        <f t="shared" si="43"/>
        <v>35760</v>
      </c>
      <c r="AX116" s="137">
        <v>0</v>
      </c>
      <c r="AY116" s="137">
        <f t="shared" si="44"/>
        <v>35760</v>
      </c>
      <c r="AZ116" s="137">
        <f t="shared" si="45"/>
        <v>36200</v>
      </c>
      <c r="BA116" s="142">
        <f t="shared" si="46"/>
        <v>-440</v>
      </c>
      <c r="BB116" s="137"/>
      <c r="BC116" s="137">
        <v>0</v>
      </c>
      <c r="BD116" s="142">
        <v>0</v>
      </c>
      <c r="BE116" s="135">
        <v>363.3</v>
      </c>
      <c r="BF116" s="143">
        <f t="shared" si="47"/>
        <v>0.54494999999999993</v>
      </c>
      <c r="BG116" s="143">
        <f t="shared" si="48"/>
        <v>362.75505000000004</v>
      </c>
      <c r="BH116" s="143">
        <f t="shared" si="49"/>
        <v>362</v>
      </c>
      <c r="BI116" s="144">
        <f t="shared" si="50"/>
        <v>130.00000000000114</v>
      </c>
      <c r="BJ116" s="144">
        <v>0</v>
      </c>
      <c r="BK116" s="137">
        <f t="shared" si="51"/>
        <v>130.00000000000114</v>
      </c>
      <c r="BL116" s="2"/>
      <c r="BM116" s="10" t="str">
        <f t="shared" si="52"/>
        <v>Unloading no. 108 Bill No 12 ,Deduction For Oil Deduction= 0 ,Bardana=  ,F.M=  Brokerage/Rate Difference 493.488 ,Shortage = 0 ,Greenish=  ,Moisture= 0</v>
      </c>
      <c r="BN116" s="3"/>
      <c r="BO116" s="13" t="str">
        <f t="shared" si="37"/>
        <v xml:space="preserve"> Party Condition 39.28  ,F.M% 0.47 ,Greenish 4.66 ,Moisture 5.5 ,Shortage in KG= 0  ,Oil% 40.33</v>
      </c>
      <c r="BP116" s="4">
        <f t="shared" si="38"/>
        <v>6882.8944806629834</v>
      </c>
      <c r="BQ116" s="5" t="str">
        <f t="shared" si="53"/>
        <v>40.33</v>
      </c>
      <c r="BR116" s="6">
        <f t="shared" si="54"/>
        <v>7167.9039967231665</v>
      </c>
      <c r="BS116" s="5" t="s">
        <v>62</v>
      </c>
      <c r="BT116" s="5" t="s">
        <v>63</v>
      </c>
      <c r="BW116" s="92"/>
      <c r="BX116" s="27">
        <v>40.49</v>
      </c>
      <c r="BY116" s="27">
        <v>40.33</v>
      </c>
      <c r="BZ116" s="96"/>
    </row>
    <row r="117" spans="1:78" s="1" customFormat="1" ht="15.75" hidden="1" x14ac:dyDescent="0.3">
      <c r="A117" s="128" t="s">
        <v>134</v>
      </c>
      <c r="B117" s="130">
        <v>46117</v>
      </c>
      <c r="C117" s="128">
        <v>109</v>
      </c>
      <c r="D117" s="128" t="s">
        <v>275</v>
      </c>
      <c r="E117" s="130">
        <v>46117</v>
      </c>
      <c r="F117" s="131" t="s">
        <v>101</v>
      </c>
      <c r="G117" s="131" t="s">
        <v>102</v>
      </c>
      <c r="H117" s="131" t="s">
        <v>103</v>
      </c>
      <c r="I117" s="132"/>
      <c r="J117" s="131" t="s">
        <v>113</v>
      </c>
      <c r="K117" s="133">
        <v>0</v>
      </c>
      <c r="L117" s="134">
        <v>46111</v>
      </c>
      <c r="M117" s="132"/>
      <c r="N117" s="131" t="s">
        <v>292</v>
      </c>
      <c r="O117" s="130">
        <v>46115</v>
      </c>
      <c r="P117" s="135">
        <v>0</v>
      </c>
      <c r="Q117" s="135">
        <v>250</v>
      </c>
      <c r="R117" s="135">
        <v>49</v>
      </c>
      <c r="S117" s="135">
        <v>0</v>
      </c>
      <c r="T117" s="135">
        <v>299</v>
      </c>
      <c r="U117" s="135">
        <v>299</v>
      </c>
      <c r="V117" s="135">
        <v>0</v>
      </c>
      <c r="W117" s="135">
        <v>179.4</v>
      </c>
      <c r="X117" s="135">
        <v>181.3</v>
      </c>
      <c r="Y117" s="135">
        <v>1267267.8500000001</v>
      </c>
      <c r="Z117" s="136"/>
      <c r="AA117" s="135">
        <v>31681.696250000001</v>
      </c>
      <c r="AB117" s="135">
        <v>31681.696250000001</v>
      </c>
      <c r="AC117" s="135">
        <v>1330631.24</v>
      </c>
      <c r="AD117" s="137">
        <f t="shared" si="36"/>
        <v>1329300.60876</v>
      </c>
      <c r="AE117" s="138">
        <v>40.5</v>
      </c>
      <c r="AF117" s="135">
        <v>39.6</v>
      </c>
      <c r="AG117" s="138">
        <v>40.450000000000003</v>
      </c>
      <c r="AH117" s="139">
        <v>4.3E-3</v>
      </c>
      <c r="AI117" s="139">
        <v>4.2999999999999997E-2</v>
      </c>
      <c r="AJ117" s="139">
        <v>5.3999999999999999E-2</v>
      </c>
      <c r="AK117" s="137">
        <f t="shared" si="39"/>
        <v>0</v>
      </c>
      <c r="AL117" s="137"/>
      <c r="AM117" s="137"/>
      <c r="AN117" s="137">
        <f t="shared" si="56"/>
        <v>247.572</v>
      </c>
      <c r="AO117" s="140">
        <f t="shared" si="40"/>
        <v>0</v>
      </c>
      <c r="AP117" s="137"/>
      <c r="AQ117" s="137">
        <v>0</v>
      </c>
      <c r="AR117" s="137">
        <f t="shared" si="41"/>
        <v>247.572</v>
      </c>
      <c r="AS117" s="137">
        <f t="shared" si="42"/>
        <v>260</v>
      </c>
      <c r="AT117" s="137">
        <v>0</v>
      </c>
      <c r="AU117" s="141"/>
      <c r="AV117" s="141"/>
      <c r="AW117" s="137">
        <f t="shared" si="43"/>
        <v>17940</v>
      </c>
      <c r="AX117" s="137">
        <v>0</v>
      </c>
      <c r="AY117" s="137">
        <f t="shared" si="44"/>
        <v>17940</v>
      </c>
      <c r="AZ117" s="137">
        <f t="shared" si="45"/>
        <v>18130</v>
      </c>
      <c r="BA117" s="142">
        <f t="shared" si="46"/>
        <v>-190</v>
      </c>
      <c r="BB117" s="137"/>
      <c r="BC117" s="137">
        <v>0</v>
      </c>
      <c r="BD117" s="142">
        <v>0</v>
      </c>
      <c r="BE117" s="135">
        <v>181.9</v>
      </c>
      <c r="BF117" s="143">
        <f t="shared" si="47"/>
        <v>0.27284999999999998</v>
      </c>
      <c r="BG117" s="143">
        <f t="shared" si="48"/>
        <v>181.62715</v>
      </c>
      <c r="BH117" s="143">
        <f t="shared" si="49"/>
        <v>181.3</v>
      </c>
      <c r="BI117" s="144">
        <f t="shared" si="50"/>
        <v>59.999999999999432</v>
      </c>
      <c r="BJ117" s="144">
        <v>0</v>
      </c>
      <c r="BK117" s="137">
        <f t="shared" si="51"/>
        <v>59.999999999999432</v>
      </c>
      <c r="BL117" s="2"/>
      <c r="BM117" s="10" t="str">
        <f t="shared" si="52"/>
        <v>Unloading no. 109 Bill No L/PB/25-26/13 ,Deduction For Oil Deduction= 0 ,Bardana=  ,F.M=  Brokerage/Rate Difference 247.572 ,Shortage = 0 ,Greenish=  ,Moisture= 0</v>
      </c>
      <c r="BN117" s="3"/>
      <c r="BO117" s="13" t="str">
        <f t="shared" si="37"/>
        <v xml:space="preserve"> Party Condition 39.6  ,F.M% 0.43 ,Greenish 4.3 ,Moisture 5.4 ,Shortage in KG= 0  ,Oil% 40.45</v>
      </c>
      <c r="BP117" s="4">
        <f t="shared" si="38"/>
        <v>6988.5288361831226</v>
      </c>
      <c r="BQ117" s="5" t="str">
        <f t="shared" si="53"/>
        <v>40.45</v>
      </c>
      <c r="BR117" s="6">
        <f t="shared" si="54"/>
        <v>7256.3216593248735</v>
      </c>
      <c r="BS117" s="5" t="s">
        <v>62</v>
      </c>
      <c r="BT117" s="5" t="s">
        <v>63</v>
      </c>
      <c r="BW117" s="92"/>
      <c r="BX117" s="27">
        <v>40.5</v>
      </c>
      <c r="BY117" s="27">
        <v>40.450000000000003</v>
      </c>
      <c r="BZ117" s="96"/>
    </row>
    <row r="118" spans="1:78" s="1" customFormat="1" ht="15.75" hidden="1" x14ac:dyDescent="0.3">
      <c r="A118" s="128" t="s">
        <v>236</v>
      </c>
      <c r="B118" s="130">
        <v>46117</v>
      </c>
      <c r="C118" s="128">
        <v>110</v>
      </c>
      <c r="D118" s="128" t="s">
        <v>276</v>
      </c>
      <c r="E118" s="130">
        <v>46117</v>
      </c>
      <c r="F118" s="131" t="s">
        <v>95</v>
      </c>
      <c r="G118" s="131" t="s">
        <v>96</v>
      </c>
      <c r="H118" s="131" t="s">
        <v>97</v>
      </c>
      <c r="I118" s="132"/>
      <c r="J118" s="131" t="s">
        <v>113</v>
      </c>
      <c r="K118" s="133">
        <v>0</v>
      </c>
      <c r="L118" s="134">
        <v>46114</v>
      </c>
      <c r="M118" s="132"/>
      <c r="N118" s="131">
        <v>14</v>
      </c>
      <c r="O118" s="130">
        <v>46115</v>
      </c>
      <c r="P118" s="135">
        <v>0</v>
      </c>
      <c r="Q118" s="135">
        <v>400</v>
      </c>
      <c r="R118" s="135">
        <v>39</v>
      </c>
      <c r="S118" s="135">
        <v>0</v>
      </c>
      <c r="T118" s="135">
        <v>439</v>
      </c>
      <c r="U118" s="135">
        <v>439</v>
      </c>
      <c r="V118" s="135">
        <v>0</v>
      </c>
      <c r="W118" s="135">
        <v>263.39999999999998</v>
      </c>
      <c r="X118" s="135">
        <v>265.8</v>
      </c>
      <c r="Y118" s="135">
        <v>1835624.94</v>
      </c>
      <c r="Z118" s="136"/>
      <c r="AA118" s="135">
        <v>45890.623500000002</v>
      </c>
      <c r="AB118" s="135">
        <v>45890.623500000002</v>
      </c>
      <c r="AC118" s="135">
        <v>1927406.19</v>
      </c>
      <c r="AD118" s="137">
        <f t="shared" si="36"/>
        <v>1925478.7838099999</v>
      </c>
      <c r="AE118" s="138">
        <v>39.659999999999997</v>
      </c>
      <c r="AF118" s="135">
        <v>39.28</v>
      </c>
      <c r="AG118" s="138">
        <v>39.520000000000003</v>
      </c>
      <c r="AH118" s="139">
        <v>4.3E-3</v>
      </c>
      <c r="AI118" s="139">
        <v>3.5000000000000003E-2</v>
      </c>
      <c r="AJ118" s="139">
        <v>5.3999999999999999E-2</v>
      </c>
      <c r="AK118" s="137">
        <f t="shared" si="39"/>
        <v>0</v>
      </c>
      <c r="AL118" s="137"/>
      <c r="AM118" s="137"/>
      <c r="AN118" s="137">
        <f t="shared" si="56"/>
        <v>363.49199999999996</v>
      </c>
      <c r="AO118" s="140">
        <f t="shared" si="40"/>
        <v>0</v>
      </c>
      <c r="AP118" s="137"/>
      <c r="AQ118" s="137">
        <v>0</v>
      </c>
      <c r="AR118" s="137">
        <f t="shared" si="41"/>
        <v>363.49199999999996</v>
      </c>
      <c r="AS118" s="137">
        <f t="shared" si="42"/>
        <v>382</v>
      </c>
      <c r="AT118" s="137">
        <v>0</v>
      </c>
      <c r="AU118" s="141"/>
      <c r="AV118" s="141"/>
      <c r="AW118" s="137">
        <f t="shared" si="43"/>
        <v>26339.999999999996</v>
      </c>
      <c r="AX118" s="137">
        <v>0</v>
      </c>
      <c r="AY118" s="137">
        <f t="shared" si="44"/>
        <v>26339.999999999996</v>
      </c>
      <c r="AZ118" s="137">
        <f t="shared" si="45"/>
        <v>26580</v>
      </c>
      <c r="BA118" s="142">
        <f t="shared" si="46"/>
        <v>-240.00000000000364</v>
      </c>
      <c r="BB118" s="137"/>
      <c r="BC118" s="137">
        <v>0</v>
      </c>
      <c r="BD118" s="142">
        <v>0</v>
      </c>
      <c r="BE118" s="135">
        <v>266.5</v>
      </c>
      <c r="BF118" s="143">
        <f t="shared" si="47"/>
        <v>0.39974999999999999</v>
      </c>
      <c r="BG118" s="143">
        <f t="shared" si="48"/>
        <v>266.10025000000002</v>
      </c>
      <c r="BH118" s="143">
        <f t="shared" si="49"/>
        <v>265.8</v>
      </c>
      <c r="BI118" s="144">
        <f t="shared" si="50"/>
        <v>69.999999999998863</v>
      </c>
      <c r="BJ118" s="144">
        <v>0</v>
      </c>
      <c r="BK118" s="137">
        <f t="shared" si="51"/>
        <v>69.999999999998863</v>
      </c>
      <c r="BL118" s="2"/>
      <c r="BM118" s="10" t="str">
        <f t="shared" si="52"/>
        <v>Unloading no. 110 Bill No 14 ,Deduction For Oil Deduction= 0 ,Bardana=  ,F.M=  Brokerage/Rate Difference 363.492 ,Shortage = 0 ,Greenish=  ,Moisture= 0</v>
      </c>
      <c r="BN118" s="3"/>
      <c r="BO118" s="13" t="str">
        <f t="shared" si="37"/>
        <v xml:space="preserve"> Party Condition 39.28  ,F.M% 0.43 ,Greenish 3.5 ,Moisture 5.4 ,Shortage in KG= 0  ,Oil% 39.52</v>
      </c>
      <c r="BP118" s="4">
        <f t="shared" si="38"/>
        <v>6904.6706094808114</v>
      </c>
      <c r="BQ118" s="5" t="str">
        <f t="shared" si="53"/>
        <v>39.52</v>
      </c>
      <c r="BR118" s="6">
        <f t="shared" si="54"/>
        <v>7337.9596558247476</v>
      </c>
      <c r="BS118" s="5" t="s">
        <v>62</v>
      </c>
      <c r="BT118" s="5" t="s">
        <v>63</v>
      </c>
      <c r="BW118" s="92"/>
      <c r="BX118" s="27">
        <v>39.659999999999997</v>
      </c>
      <c r="BY118" s="27">
        <v>39.520000000000003</v>
      </c>
      <c r="BZ118" s="96"/>
    </row>
    <row r="119" spans="1:78" s="1" customFormat="1" ht="15.75" hidden="1" x14ac:dyDescent="0.3">
      <c r="A119" s="128" t="s">
        <v>236</v>
      </c>
      <c r="B119" s="130">
        <v>46117</v>
      </c>
      <c r="C119" s="128">
        <v>111</v>
      </c>
      <c r="D119" s="128" t="s">
        <v>277</v>
      </c>
      <c r="E119" s="130">
        <v>46117</v>
      </c>
      <c r="F119" s="131" t="s">
        <v>95</v>
      </c>
      <c r="G119" s="131" t="s">
        <v>96</v>
      </c>
      <c r="H119" s="131" t="s">
        <v>97</v>
      </c>
      <c r="I119" s="132"/>
      <c r="J119" s="131" t="s">
        <v>113</v>
      </c>
      <c r="K119" s="133">
        <v>0</v>
      </c>
      <c r="L119" s="134">
        <v>46114</v>
      </c>
      <c r="M119" s="132"/>
      <c r="N119" s="131">
        <v>13</v>
      </c>
      <c r="O119" s="130">
        <v>46115</v>
      </c>
      <c r="P119" s="135">
        <v>0</v>
      </c>
      <c r="Q119" s="135">
        <v>390</v>
      </c>
      <c r="R119" s="135">
        <v>35</v>
      </c>
      <c r="S119" s="135">
        <v>0</v>
      </c>
      <c r="T119" s="135">
        <v>425</v>
      </c>
      <c r="U119" s="135">
        <v>425</v>
      </c>
      <c r="V119" s="135">
        <v>0</v>
      </c>
      <c r="W119" s="135">
        <v>255</v>
      </c>
      <c r="X119" s="135">
        <v>258.10000000000002</v>
      </c>
      <c r="Y119" s="135">
        <v>1777085.65</v>
      </c>
      <c r="Z119" s="136"/>
      <c r="AA119" s="135">
        <v>44427.141250000001</v>
      </c>
      <c r="AB119" s="135">
        <v>44427.141250000001</v>
      </c>
      <c r="AC119" s="135">
        <v>1865939.93</v>
      </c>
      <c r="AD119" s="137">
        <f t="shared" si="36"/>
        <v>1864073.9900699998</v>
      </c>
      <c r="AE119" s="138">
        <v>40</v>
      </c>
      <c r="AF119" s="135">
        <v>39.28</v>
      </c>
      <c r="AG119" s="138">
        <v>40.020000000000003</v>
      </c>
      <c r="AH119" s="139">
        <v>4.0000000000000001E-3</v>
      </c>
      <c r="AI119" s="139">
        <v>4.2599999999999999E-2</v>
      </c>
      <c r="AJ119" s="139">
        <v>5.8000000000000003E-2</v>
      </c>
      <c r="AK119" s="137">
        <f t="shared" si="39"/>
        <v>0</v>
      </c>
      <c r="AL119" s="137"/>
      <c r="AM119" s="137"/>
      <c r="AN119" s="137">
        <f t="shared" si="56"/>
        <v>351.9</v>
      </c>
      <c r="AO119" s="140">
        <f t="shared" si="40"/>
        <v>0</v>
      </c>
      <c r="AP119" s="137"/>
      <c r="AQ119" s="137">
        <v>0</v>
      </c>
      <c r="AR119" s="137">
        <f t="shared" si="41"/>
        <v>351.9</v>
      </c>
      <c r="AS119" s="137">
        <f t="shared" si="42"/>
        <v>369</v>
      </c>
      <c r="AT119" s="137">
        <v>0</v>
      </c>
      <c r="AU119" s="141"/>
      <c r="AV119" s="141"/>
      <c r="AW119" s="137">
        <f t="shared" si="43"/>
        <v>25500</v>
      </c>
      <c r="AX119" s="137">
        <v>0</v>
      </c>
      <c r="AY119" s="137">
        <f t="shared" si="44"/>
        <v>25500</v>
      </c>
      <c r="AZ119" s="137">
        <f t="shared" si="45"/>
        <v>25810.000000000004</v>
      </c>
      <c r="BA119" s="142">
        <f t="shared" si="46"/>
        <v>-310.00000000000364</v>
      </c>
      <c r="BB119" s="137"/>
      <c r="BC119" s="137">
        <v>0</v>
      </c>
      <c r="BD119" s="142">
        <v>0</v>
      </c>
      <c r="BE119" s="135">
        <v>258.60000000000002</v>
      </c>
      <c r="BF119" s="143">
        <f t="shared" si="47"/>
        <v>0.38789999999999997</v>
      </c>
      <c r="BG119" s="143">
        <f t="shared" si="48"/>
        <v>258.21210000000002</v>
      </c>
      <c r="BH119" s="143">
        <f t="shared" si="49"/>
        <v>258.10000000000002</v>
      </c>
      <c r="BI119" s="144">
        <f t="shared" si="50"/>
        <v>50</v>
      </c>
      <c r="BJ119" s="144">
        <v>0</v>
      </c>
      <c r="BK119" s="137">
        <f t="shared" si="51"/>
        <v>50</v>
      </c>
      <c r="BL119" s="2"/>
      <c r="BM119" s="10" t="str">
        <f t="shared" si="52"/>
        <v>Unloading no. 111 Bill No 13 ,Deduction For Oil Deduction= 0 ,Bardana=  ,F.M=  Brokerage/Rate Difference 351.9 ,Shortage = 0 ,Greenish=  ,Moisture= 0</v>
      </c>
      <c r="BN119" s="3"/>
      <c r="BO119" s="13" t="str">
        <f t="shared" si="37"/>
        <v xml:space="preserve"> Party Condition 39.28  ,F.M% 0.4 ,Greenish 4.26 ,Moisture 5.8 ,Shortage in KG= 0  ,Oil% 40</v>
      </c>
      <c r="BP119" s="4">
        <f t="shared" si="38"/>
        <v>6883.8967454475005</v>
      </c>
      <c r="BQ119" s="5" t="str">
        <f t="shared" si="53"/>
        <v>l% 40</v>
      </c>
      <c r="BR119" s="6" t="e">
        <f t="shared" si="54"/>
        <v>#VALUE!</v>
      </c>
      <c r="BS119" s="5" t="s">
        <v>62</v>
      </c>
      <c r="BT119" s="5" t="s">
        <v>63</v>
      </c>
      <c r="BW119" s="92"/>
      <c r="BX119" s="27">
        <v>40</v>
      </c>
      <c r="BY119" s="27">
        <v>40.020000000000003</v>
      </c>
      <c r="BZ119" s="96"/>
    </row>
    <row r="120" spans="1:78" s="1" customFormat="1" ht="15.75" hidden="1" x14ac:dyDescent="0.3">
      <c r="A120" s="128" t="s">
        <v>237</v>
      </c>
      <c r="B120" s="130">
        <v>46117</v>
      </c>
      <c r="C120" s="128">
        <v>112</v>
      </c>
      <c r="D120" s="128" t="s">
        <v>278</v>
      </c>
      <c r="E120" s="130">
        <v>46117</v>
      </c>
      <c r="F120" s="131" t="s">
        <v>98</v>
      </c>
      <c r="G120" s="131" t="s">
        <v>99</v>
      </c>
      <c r="H120" s="131" t="s">
        <v>199</v>
      </c>
      <c r="I120" s="132"/>
      <c r="J120" s="131" t="s">
        <v>113</v>
      </c>
      <c r="K120" s="133">
        <v>0</v>
      </c>
      <c r="L120" s="134">
        <v>46105</v>
      </c>
      <c r="M120" s="132"/>
      <c r="N120" s="131">
        <v>13</v>
      </c>
      <c r="O120" s="130">
        <v>46115</v>
      </c>
      <c r="P120" s="135">
        <v>0</v>
      </c>
      <c r="Q120" s="135">
        <v>350</v>
      </c>
      <c r="R120" s="135">
        <v>71</v>
      </c>
      <c r="S120" s="135">
        <v>0</v>
      </c>
      <c r="T120" s="135">
        <v>421</v>
      </c>
      <c r="U120" s="135">
        <v>421</v>
      </c>
      <c r="V120" s="135">
        <v>0</v>
      </c>
      <c r="W120" s="135">
        <v>252.6</v>
      </c>
      <c r="X120" s="135">
        <v>255</v>
      </c>
      <c r="Y120" s="135">
        <v>1731978.84</v>
      </c>
      <c r="Z120" s="136"/>
      <c r="AA120" s="135">
        <v>43299.470999999998</v>
      </c>
      <c r="AB120" s="135">
        <v>43299.470999999998</v>
      </c>
      <c r="AC120" s="135">
        <v>1818577.78</v>
      </c>
      <c r="AD120" s="137">
        <f t="shared" si="36"/>
        <v>1816759.2022200001</v>
      </c>
      <c r="AE120" s="138">
        <v>39.299999999999997</v>
      </c>
      <c r="AF120" s="135">
        <v>39.67</v>
      </c>
      <c r="AG120" s="138">
        <v>39.1</v>
      </c>
      <c r="AH120" s="139">
        <v>4.4999999999999997E-3</v>
      </c>
      <c r="AI120" s="139">
        <v>4.8000000000000001E-2</v>
      </c>
      <c r="AJ120" s="139">
        <v>5.3999999999999999E-2</v>
      </c>
      <c r="AK120" s="137">
        <f t="shared" si="39"/>
        <v>24886.008036299485</v>
      </c>
      <c r="AL120" s="137"/>
      <c r="AM120" s="137"/>
      <c r="AN120" s="137">
        <f t="shared" si="56"/>
        <v>348.58799999999997</v>
      </c>
      <c r="AO120" s="140">
        <f t="shared" si="40"/>
        <v>0</v>
      </c>
      <c r="AP120" s="137"/>
      <c r="AQ120" s="137">
        <v>0</v>
      </c>
      <c r="AR120" s="137">
        <f t="shared" si="41"/>
        <v>25234.596036299485</v>
      </c>
      <c r="AS120" s="137">
        <f t="shared" si="42"/>
        <v>26496</v>
      </c>
      <c r="AT120" s="137">
        <v>0</v>
      </c>
      <c r="AU120" s="141"/>
      <c r="AV120" s="141"/>
      <c r="AW120" s="137">
        <f t="shared" si="43"/>
        <v>25260</v>
      </c>
      <c r="AX120" s="137">
        <v>0</v>
      </c>
      <c r="AY120" s="137">
        <f t="shared" si="44"/>
        <v>25260</v>
      </c>
      <c r="AZ120" s="137">
        <f t="shared" si="45"/>
        <v>25500</v>
      </c>
      <c r="BA120" s="142">
        <f t="shared" si="46"/>
        <v>-240</v>
      </c>
      <c r="BB120" s="137"/>
      <c r="BC120" s="137">
        <v>0</v>
      </c>
      <c r="BD120" s="142">
        <v>0</v>
      </c>
      <c r="BE120" s="135">
        <v>255.75</v>
      </c>
      <c r="BF120" s="143">
        <f t="shared" si="47"/>
        <v>0.38362499999999999</v>
      </c>
      <c r="BG120" s="143">
        <f t="shared" si="48"/>
        <v>255.36637500000001</v>
      </c>
      <c r="BH120" s="143">
        <f t="shared" si="49"/>
        <v>255</v>
      </c>
      <c r="BI120" s="144">
        <f t="shared" si="50"/>
        <v>75</v>
      </c>
      <c r="BJ120" s="144">
        <v>0</v>
      </c>
      <c r="BK120" s="137">
        <f t="shared" si="51"/>
        <v>75</v>
      </c>
      <c r="BL120" s="2"/>
      <c r="BM120" s="10" t="str">
        <f t="shared" si="52"/>
        <v>Unloading no. 112 Bill No 13 ,Deduction For Oil Deduction= 24886.0080362995 ,Bardana=  ,F.M=  Brokerage/Rate Difference 348.588 ,Shortage = 0 ,Greenish=  ,Moisture= 0</v>
      </c>
      <c r="BN120" s="3"/>
      <c r="BO120" s="13" t="str">
        <f t="shared" si="37"/>
        <v xml:space="preserve"> Party Condition 39.67  ,F.M% 0.45 ,Greenish 4.8 ,Moisture 5.4 ,Shortage in KG= 0  ,Oil% 39.1</v>
      </c>
      <c r="BP120" s="4">
        <f t="shared" si="38"/>
        <v>6693.1146822105902</v>
      </c>
      <c r="BQ120" s="5" t="str">
        <f t="shared" si="53"/>
        <v xml:space="preserve"> 39.1</v>
      </c>
      <c r="BR120" s="6">
        <f t="shared" si="54"/>
        <v>7189.5349527581784</v>
      </c>
      <c r="BS120" s="5" t="s">
        <v>62</v>
      </c>
      <c r="BT120" s="5" t="s">
        <v>63</v>
      </c>
      <c r="BW120" s="92"/>
      <c r="BX120" s="27">
        <v>39.299999999999997</v>
      </c>
      <c r="BY120" s="27">
        <v>39.1</v>
      </c>
      <c r="BZ120" s="96"/>
    </row>
    <row r="121" spans="1:78" s="1" customFormat="1" ht="15.75" hidden="1" x14ac:dyDescent="0.3">
      <c r="A121" s="128" t="s">
        <v>231</v>
      </c>
      <c r="B121" s="130">
        <v>46117</v>
      </c>
      <c r="C121" s="128">
        <v>113</v>
      </c>
      <c r="D121" s="128" t="s">
        <v>279</v>
      </c>
      <c r="E121" s="130">
        <v>46117</v>
      </c>
      <c r="F121" s="131" t="s">
        <v>107</v>
      </c>
      <c r="G121" s="131" t="s">
        <v>108</v>
      </c>
      <c r="H121" s="131" t="s">
        <v>109</v>
      </c>
      <c r="I121" s="132"/>
      <c r="J121" s="131" t="s">
        <v>113</v>
      </c>
      <c r="K121" s="133">
        <v>0</v>
      </c>
      <c r="L121" s="134">
        <v>46113</v>
      </c>
      <c r="M121" s="132"/>
      <c r="N121" s="131">
        <v>31</v>
      </c>
      <c r="O121" s="130">
        <v>46115</v>
      </c>
      <c r="P121" s="135">
        <v>0</v>
      </c>
      <c r="Q121" s="135">
        <v>230</v>
      </c>
      <c r="R121" s="135">
        <v>24</v>
      </c>
      <c r="S121" s="135">
        <v>0</v>
      </c>
      <c r="T121" s="135">
        <v>254</v>
      </c>
      <c r="U121" s="135">
        <v>254</v>
      </c>
      <c r="V121" s="135">
        <v>0</v>
      </c>
      <c r="W121" s="135">
        <v>152.4</v>
      </c>
      <c r="X121" s="135">
        <v>154.6</v>
      </c>
      <c r="Y121" s="135">
        <v>1065625</v>
      </c>
      <c r="Z121" s="136"/>
      <c r="AA121" s="135">
        <v>26640.625</v>
      </c>
      <c r="AB121" s="135">
        <v>26640.625</v>
      </c>
      <c r="AC121" s="135">
        <v>1118906.25</v>
      </c>
      <c r="AD121" s="137">
        <f t="shared" si="36"/>
        <v>1117787.34375</v>
      </c>
      <c r="AE121" s="138">
        <v>39.049999999999997</v>
      </c>
      <c r="AF121" s="135">
        <v>38.880000000000003</v>
      </c>
      <c r="AG121" s="138">
        <v>39.24</v>
      </c>
      <c r="AH121" s="139">
        <v>4.7000000000000002E-3</v>
      </c>
      <c r="AI121" s="139">
        <v>4.3999999999999997E-2</v>
      </c>
      <c r="AJ121" s="139">
        <v>6.4000000000000001E-2</v>
      </c>
      <c r="AK121" s="137">
        <f t="shared" si="39"/>
        <v>0</v>
      </c>
      <c r="AL121" s="137"/>
      <c r="AM121" s="137"/>
      <c r="AN121" s="137">
        <f t="shared" si="56"/>
        <v>210.31199999999998</v>
      </c>
      <c r="AO121" s="140">
        <f t="shared" si="40"/>
        <v>0</v>
      </c>
      <c r="AP121" s="137"/>
      <c r="AQ121" s="137">
        <v>0</v>
      </c>
      <c r="AR121" s="137">
        <f t="shared" si="41"/>
        <v>210.31199999999998</v>
      </c>
      <c r="AS121" s="137">
        <f t="shared" si="42"/>
        <v>221</v>
      </c>
      <c r="AT121" s="137">
        <v>0</v>
      </c>
      <c r="AU121" s="141"/>
      <c r="AV121" s="141"/>
      <c r="AW121" s="137">
        <f t="shared" si="43"/>
        <v>15240</v>
      </c>
      <c r="AX121" s="137">
        <v>0</v>
      </c>
      <c r="AY121" s="137">
        <f t="shared" si="44"/>
        <v>15240</v>
      </c>
      <c r="AZ121" s="137">
        <f t="shared" si="45"/>
        <v>15460</v>
      </c>
      <c r="BA121" s="142">
        <f t="shared" si="46"/>
        <v>-220</v>
      </c>
      <c r="BB121" s="137"/>
      <c r="BC121" s="137">
        <v>0</v>
      </c>
      <c r="BD121" s="142">
        <v>0</v>
      </c>
      <c r="BE121" s="135">
        <v>154.9</v>
      </c>
      <c r="BF121" s="143">
        <f t="shared" si="47"/>
        <v>0.23235</v>
      </c>
      <c r="BG121" s="143">
        <f t="shared" si="48"/>
        <v>154.66765000000001</v>
      </c>
      <c r="BH121" s="143">
        <f t="shared" si="49"/>
        <v>154.6</v>
      </c>
      <c r="BI121" s="144">
        <f t="shared" si="50"/>
        <v>30.000000000001137</v>
      </c>
      <c r="BJ121" s="144">
        <v>0</v>
      </c>
      <c r="BK121" s="137">
        <f t="shared" si="51"/>
        <v>30.000000000001137</v>
      </c>
      <c r="BL121" s="2"/>
      <c r="BM121" s="10" t="str">
        <f t="shared" si="52"/>
        <v>Unloading no. 113 Bill No 31 ,Deduction For Oil Deduction= 0 ,Bardana=  ,F.M=  Brokerage/Rate Difference 210.312 ,Shortage = 0 ,Greenish=  ,Moisture= 0</v>
      </c>
      <c r="BN121" s="3"/>
      <c r="BO121" s="13" t="str">
        <f t="shared" si="37"/>
        <v xml:space="preserve"> Party Condition 38.88  ,F.M% 0.47 ,Greenish 4.4 ,Moisture 6.4 ,Shortage in KG= 0  ,Oil% 39.05</v>
      </c>
      <c r="BP121" s="4">
        <f t="shared" si="38"/>
        <v>6891.4274773609322</v>
      </c>
      <c r="BQ121" s="5" t="str">
        <f t="shared" si="53"/>
        <v>39.05</v>
      </c>
      <c r="BR121" s="6">
        <f t="shared" si="54"/>
        <v>7412.0346747543954</v>
      </c>
      <c r="BS121" s="5" t="s">
        <v>62</v>
      </c>
      <c r="BT121" s="5" t="s">
        <v>63</v>
      </c>
      <c r="BW121" s="92"/>
      <c r="BX121" s="27">
        <v>39.049999999999997</v>
      </c>
      <c r="BY121" s="27">
        <v>39.24</v>
      </c>
      <c r="BZ121" s="96"/>
    </row>
    <row r="122" spans="1:78" s="1" customFormat="1" ht="15.75" hidden="1" x14ac:dyDescent="0.3">
      <c r="A122" s="128" t="s">
        <v>238</v>
      </c>
      <c r="B122" s="130">
        <v>46117</v>
      </c>
      <c r="C122" s="128">
        <v>114</v>
      </c>
      <c r="D122" s="128" t="s">
        <v>280</v>
      </c>
      <c r="E122" s="130">
        <v>46117</v>
      </c>
      <c r="F122" s="131" t="s">
        <v>104</v>
      </c>
      <c r="G122" s="131" t="s">
        <v>105</v>
      </c>
      <c r="H122" s="131" t="s">
        <v>106</v>
      </c>
      <c r="I122" s="132"/>
      <c r="J122" s="131" t="s">
        <v>113</v>
      </c>
      <c r="K122" s="133">
        <v>0</v>
      </c>
      <c r="L122" s="134">
        <v>46113</v>
      </c>
      <c r="M122" s="132"/>
      <c r="N122" s="131" t="s">
        <v>293</v>
      </c>
      <c r="O122" s="130">
        <v>46115</v>
      </c>
      <c r="P122" s="135">
        <v>0</v>
      </c>
      <c r="Q122" s="135">
        <v>360</v>
      </c>
      <c r="R122" s="135">
        <v>320</v>
      </c>
      <c r="S122" s="135">
        <v>0</v>
      </c>
      <c r="T122" s="135">
        <v>680</v>
      </c>
      <c r="U122" s="135">
        <v>680</v>
      </c>
      <c r="V122" s="135">
        <v>0</v>
      </c>
      <c r="W122" s="135">
        <v>408</v>
      </c>
      <c r="X122" s="135">
        <v>415</v>
      </c>
      <c r="Y122" s="135">
        <v>2842248.84</v>
      </c>
      <c r="Z122" s="136"/>
      <c r="AA122" s="135">
        <v>71056.221000000005</v>
      </c>
      <c r="AB122" s="135">
        <v>71056.221000000005</v>
      </c>
      <c r="AC122" s="135">
        <v>2984361.28</v>
      </c>
      <c r="AD122" s="137">
        <f t="shared" si="36"/>
        <v>2981376.91872</v>
      </c>
      <c r="AE122" s="138">
        <v>40.06</v>
      </c>
      <c r="AF122" s="135">
        <v>39.5</v>
      </c>
      <c r="AG122" s="138">
        <v>40</v>
      </c>
      <c r="AH122" s="139">
        <v>4.0000000000000001E-3</v>
      </c>
      <c r="AI122" s="139">
        <v>4.3299999999999998E-2</v>
      </c>
      <c r="AJ122" s="139">
        <v>5.8000000000000003E-2</v>
      </c>
      <c r="AK122" s="137">
        <f t="shared" si="39"/>
        <v>0</v>
      </c>
      <c r="AL122" s="137"/>
      <c r="AM122" s="137"/>
      <c r="AN122" s="137">
        <f t="shared" si="56"/>
        <v>563.04</v>
      </c>
      <c r="AO122" s="140">
        <f t="shared" si="40"/>
        <v>0</v>
      </c>
      <c r="AP122" s="137"/>
      <c r="AQ122" s="137">
        <v>0</v>
      </c>
      <c r="AR122" s="137">
        <f t="shared" si="41"/>
        <v>563.04</v>
      </c>
      <c r="AS122" s="137">
        <f t="shared" si="42"/>
        <v>591</v>
      </c>
      <c r="AT122" s="137">
        <v>0</v>
      </c>
      <c r="AU122" s="141"/>
      <c r="AV122" s="141"/>
      <c r="AW122" s="137">
        <f t="shared" si="43"/>
        <v>40800</v>
      </c>
      <c r="AX122" s="137">
        <v>0</v>
      </c>
      <c r="AY122" s="137">
        <f t="shared" si="44"/>
        <v>40800</v>
      </c>
      <c r="AZ122" s="137">
        <f t="shared" si="45"/>
        <v>41500</v>
      </c>
      <c r="BA122" s="142">
        <f t="shared" si="46"/>
        <v>-700</v>
      </c>
      <c r="BB122" s="137"/>
      <c r="BC122" s="137">
        <v>0</v>
      </c>
      <c r="BD122" s="142">
        <v>0</v>
      </c>
      <c r="BE122" s="135">
        <v>414</v>
      </c>
      <c r="BF122" s="143">
        <f t="shared" si="47"/>
        <v>0.621</v>
      </c>
      <c r="BG122" s="143">
        <f t="shared" si="48"/>
        <v>413.37900000000002</v>
      </c>
      <c r="BH122" s="143">
        <f t="shared" si="49"/>
        <v>415</v>
      </c>
      <c r="BI122" s="144">
        <f t="shared" si="50"/>
        <v>-100</v>
      </c>
      <c r="BJ122" s="144">
        <v>0</v>
      </c>
      <c r="BK122" s="137">
        <f t="shared" si="51"/>
        <v>-100</v>
      </c>
      <c r="BL122" s="2"/>
      <c r="BM122" s="10" t="str">
        <f t="shared" si="52"/>
        <v>Unloading no. 114 Bill No MTC/2026-27/009 ,Deduction For Oil Deduction= 0 ,Bardana=  ,F.M=  Brokerage/Rate Difference 563.04 ,Shortage = 0 ,Greenish=  ,Moisture= 0</v>
      </c>
      <c r="BN122" s="3"/>
      <c r="BO122" s="13" t="str">
        <f t="shared" si="37"/>
        <v xml:space="preserve"> Party Condition 39.5  ,F.M% 0.4 ,Greenish 4.33 ,Moisture 5.8 ,Shortage in KG= 0  ,Oil% 40</v>
      </c>
      <c r="BP122" s="4">
        <f t="shared" si="38"/>
        <v>6847.4356626506024</v>
      </c>
      <c r="BQ122" s="5" t="str">
        <f t="shared" si="53"/>
        <v>l% 40</v>
      </c>
      <c r="BR122" s="6" t="e">
        <f t="shared" si="54"/>
        <v>#VALUE!</v>
      </c>
      <c r="BS122" s="5" t="s">
        <v>62</v>
      </c>
      <c r="BT122" s="5" t="s">
        <v>63</v>
      </c>
      <c r="BW122" s="92"/>
      <c r="BX122" s="27">
        <v>40.06</v>
      </c>
      <c r="BY122" s="27">
        <v>40</v>
      </c>
      <c r="BZ122" s="96"/>
    </row>
    <row r="123" spans="1:78" s="1" customFormat="1" ht="15.75" hidden="1" x14ac:dyDescent="0.3">
      <c r="A123" s="128" t="s">
        <v>235</v>
      </c>
      <c r="B123" s="130">
        <v>46117</v>
      </c>
      <c r="C123" s="128">
        <v>115</v>
      </c>
      <c r="D123" s="128" t="s">
        <v>281</v>
      </c>
      <c r="E123" s="130">
        <v>46117</v>
      </c>
      <c r="F123" s="131" t="s">
        <v>95</v>
      </c>
      <c r="G123" s="131" t="s">
        <v>96</v>
      </c>
      <c r="H123" s="131" t="s">
        <v>97</v>
      </c>
      <c r="I123" s="132"/>
      <c r="J123" s="131" t="s">
        <v>113</v>
      </c>
      <c r="K123" s="133">
        <v>0</v>
      </c>
      <c r="L123" s="134">
        <v>46113</v>
      </c>
      <c r="M123" s="132"/>
      <c r="N123" s="131">
        <v>11</v>
      </c>
      <c r="O123" s="130">
        <v>46115</v>
      </c>
      <c r="P123" s="135">
        <v>0</v>
      </c>
      <c r="Q123" s="135">
        <v>500</v>
      </c>
      <c r="R123" s="135">
        <v>126</v>
      </c>
      <c r="S123" s="135">
        <v>0</v>
      </c>
      <c r="T123" s="135">
        <v>626</v>
      </c>
      <c r="U123" s="135">
        <v>626</v>
      </c>
      <c r="V123" s="135">
        <v>0</v>
      </c>
      <c r="W123" s="135">
        <v>27.6</v>
      </c>
      <c r="X123" s="135">
        <v>382</v>
      </c>
      <c r="Y123" s="135">
        <v>218452.552</v>
      </c>
      <c r="Z123" s="136"/>
      <c r="AA123" s="135">
        <v>5461.3137999999999</v>
      </c>
      <c r="AB123" s="135">
        <v>5461.3137999999999</v>
      </c>
      <c r="AC123" s="135">
        <v>229375.18</v>
      </c>
      <c r="AD123" s="137">
        <f t="shared" si="36"/>
        <v>229145.80481999999</v>
      </c>
      <c r="AE123" s="138">
        <v>40.1</v>
      </c>
      <c r="AF123" s="135">
        <v>39.42</v>
      </c>
      <c r="AG123" s="138">
        <v>40.24</v>
      </c>
      <c r="AH123" s="139">
        <v>4.1000000000000003E-3</v>
      </c>
      <c r="AI123" s="139">
        <v>4.3200000000000002E-2</v>
      </c>
      <c r="AJ123" s="139">
        <v>5.8999999999999997E-2</v>
      </c>
      <c r="AK123" s="137">
        <f t="shared" si="39"/>
        <v>0</v>
      </c>
      <c r="AL123" s="137"/>
      <c r="AM123" s="137"/>
      <c r="AN123" s="137">
        <f t="shared" si="56"/>
        <v>38.088000000000001</v>
      </c>
      <c r="AO123" s="140">
        <f t="shared" si="40"/>
        <v>0</v>
      </c>
      <c r="AP123" s="137"/>
      <c r="AQ123" s="137">
        <v>0</v>
      </c>
      <c r="AR123" s="137">
        <f t="shared" si="41"/>
        <v>38.088000000000001</v>
      </c>
      <c r="AS123" s="137">
        <f t="shared" si="42"/>
        <v>40</v>
      </c>
      <c r="AT123" s="137">
        <v>0</v>
      </c>
      <c r="AU123" s="141"/>
      <c r="AV123" s="141"/>
      <c r="AW123" s="137">
        <f t="shared" si="43"/>
        <v>2760</v>
      </c>
      <c r="AX123" s="137">
        <v>0</v>
      </c>
      <c r="AY123" s="137">
        <f t="shared" si="44"/>
        <v>2760</v>
      </c>
      <c r="AZ123" s="137">
        <f t="shared" si="45"/>
        <v>38200</v>
      </c>
      <c r="BA123" s="142">
        <f t="shared" si="46"/>
        <v>-35440</v>
      </c>
      <c r="BB123" s="137"/>
      <c r="BC123" s="137">
        <v>0</v>
      </c>
      <c r="BD123" s="142">
        <v>0</v>
      </c>
      <c r="BE123" s="135">
        <v>382.2</v>
      </c>
      <c r="BF123" s="143">
        <f t="shared" si="47"/>
        <v>0.57330000000000003</v>
      </c>
      <c r="BG123" s="143">
        <f t="shared" si="48"/>
        <v>381.62669999999997</v>
      </c>
      <c r="BH123" s="143">
        <f t="shared" si="49"/>
        <v>382</v>
      </c>
      <c r="BI123" s="144">
        <f t="shared" si="50"/>
        <v>19.999999999998863</v>
      </c>
      <c r="BJ123" s="144">
        <v>0</v>
      </c>
      <c r="BK123" s="137">
        <f t="shared" si="51"/>
        <v>19.999999999998863</v>
      </c>
      <c r="BL123" s="2"/>
      <c r="BM123" s="10" t="str">
        <f t="shared" si="52"/>
        <v>Unloading no. 115 Bill No 11 ,Deduction For Oil Deduction= 0 ,Bardana=  ,F.M=  Brokerage/Rate Difference 38.088 ,Shortage = 0 ,Greenish=  ,Moisture= 0</v>
      </c>
      <c r="BN123" s="3"/>
      <c r="BO123" s="13" t="str">
        <f t="shared" si="37"/>
        <v xml:space="preserve"> Party Condition 39.42  ,F.M% 0.41 ,Greenish 4.32 ,Moisture 5.9 ,Shortage in KG= 0  ,Oil% 40.1</v>
      </c>
      <c r="BP123" s="4">
        <f t="shared" si="38"/>
        <v>571.76561256544505</v>
      </c>
      <c r="BQ123" s="5" t="str">
        <f t="shared" si="53"/>
        <v xml:space="preserve"> 40.1</v>
      </c>
      <c r="BR123" s="6">
        <f t="shared" si="54"/>
        <v>598.85675131542871</v>
      </c>
      <c r="BS123" s="5" t="s">
        <v>62</v>
      </c>
      <c r="BT123" s="5" t="s">
        <v>63</v>
      </c>
      <c r="BW123" s="92"/>
      <c r="BX123" s="27">
        <v>40.1</v>
      </c>
      <c r="BY123" s="27">
        <v>40.24</v>
      </c>
      <c r="BZ123" s="96"/>
    </row>
    <row r="124" spans="1:78" s="1" customFormat="1" ht="15.75" hidden="1" x14ac:dyDescent="0.3">
      <c r="A124" s="128" t="s">
        <v>236</v>
      </c>
      <c r="B124" s="130">
        <v>46117</v>
      </c>
      <c r="C124" s="128">
        <v>115</v>
      </c>
      <c r="D124" s="128" t="s">
        <v>281</v>
      </c>
      <c r="E124" s="130">
        <v>46117</v>
      </c>
      <c r="F124" s="131" t="s">
        <v>95</v>
      </c>
      <c r="G124" s="131" t="s">
        <v>96</v>
      </c>
      <c r="H124" s="131" t="s">
        <v>97</v>
      </c>
      <c r="I124" s="132"/>
      <c r="J124" s="131" t="s">
        <v>113</v>
      </c>
      <c r="K124" s="133">
        <v>0</v>
      </c>
      <c r="L124" s="134">
        <v>46114</v>
      </c>
      <c r="M124" s="132"/>
      <c r="N124" s="131">
        <v>11</v>
      </c>
      <c r="O124" s="130">
        <v>46115</v>
      </c>
      <c r="P124" s="135">
        <v>0</v>
      </c>
      <c r="Q124" s="135">
        <v>0</v>
      </c>
      <c r="R124" s="135">
        <v>0</v>
      </c>
      <c r="S124" s="135">
        <v>0</v>
      </c>
      <c r="T124" s="135">
        <v>0</v>
      </c>
      <c r="U124" s="135">
        <v>0</v>
      </c>
      <c r="V124" s="135">
        <v>0</v>
      </c>
      <c r="W124" s="135">
        <v>348</v>
      </c>
      <c r="X124" s="135">
        <v>382</v>
      </c>
      <c r="Y124" s="135">
        <v>2401419.2400000002</v>
      </c>
      <c r="Z124" s="136"/>
      <c r="AA124" s="135">
        <v>60035.481</v>
      </c>
      <c r="AB124" s="135">
        <v>60035.481</v>
      </c>
      <c r="AC124" s="135">
        <v>2521490.2000000002</v>
      </c>
      <c r="AD124" s="137">
        <f t="shared" si="36"/>
        <v>2518968.7098000003</v>
      </c>
      <c r="AE124" s="138">
        <v>40.1</v>
      </c>
      <c r="AF124" s="135">
        <v>39.28</v>
      </c>
      <c r="AG124" s="138">
        <v>40.24</v>
      </c>
      <c r="AH124" s="139">
        <v>4.1000000000000003E-3</v>
      </c>
      <c r="AI124" s="139">
        <v>4.3200000000000002E-2</v>
      </c>
      <c r="AJ124" s="139">
        <v>5.8999999999999997E-2</v>
      </c>
      <c r="AK124" s="137">
        <f t="shared" si="39"/>
        <v>0</v>
      </c>
      <c r="AL124" s="137"/>
      <c r="AM124" s="137"/>
      <c r="AN124" s="137">
        <f t="shared" si="56"/>
        <v>480.23999999999995</v>
      </c>
      <c r="AO124" s="140">
        <f t="shared" si="40"/>
        <v>0</v>
      </c>
      <c r="AP124" s="137"/>
      <c r="AQ124" s="137">
        <v>0</v>
      </c>
      <c r="AR124" s="137">
        <f t="shared" si="41"/>
        <v>480.23999999999995</v>
      </c>
      <c r="AS124" s="137">
        <f t="shared" si="42"/>
        <v>504</v>
      </c>
      <c r="AT124" s="137">
        <v>0</v>
      </c>
      <c r="AU124" s="141"/>
      <c r="AV124" s="141"/>
      <c r="AW124" s="137">
        <f t="shared" si="43"/>
        <v>34800</v>
      </c>
      <c r="AX124" s="137">
        <v>0</v>
      </c>
      <c r="AY124" s="137">
        <f t="shared" si="44"/>
        <v>34800</v>
      </c>
      <c r="AZ124" s="137">
        <f t="shared" si="45"/>
        <v>38200</v>
      </c>
      <c r="BA124" s="142">
        <f t="shared" si="46"/>
        <v>-3400</v>
      </c>
      <c r="BB124" s="137"/>
      <c r="BC124" s="137">
        <v>0</v>
      </c>
      <c r="BD124" s="142">
        <v>0</v>
      </c>
      <c r="BE124" s="135">
        <v>382.2</v>
      </c>
      <c r="BF124" s="143">
        <f t="shared" si="47"/>
        <v>0.57330000000000003</v>
      </c>
      <c r="BG124" s="143">
        <f t="shared" si="48"/>
        <v>381.62669999999997</v>
      </c>
      <c r="BH124" s="143">
        <f t="shared" si="49"/>
        <v>382</v>
      </c>
      <c r="BI124" s="144">
        <f t="shared" si="50"/>
        <v>19.999999999998863</v>
      </c>
      <c r="BJ124" s="144">
        <v>0</v>
      </c>
      <c r="BK124" s="137">
        <f t="shared" si="51"/>
        <v>19.999999999998863</v>
      </c>
      <c r="BL124" s="2"/>
      <c r="BM124" s="10" t="str">
        <f t="shared" si="52"/>
        <v>Unloading no. 115 Bill No 11 ,Deduction For Oil Deduction= 0 ,Bardana=  ,F.M=  Brokerage/Rate Difference 480.24 ,Shortage = 0 ,Greenish=  ,Moisture= 0</v>
      </c>
      <c r="BN124" s="3"/>
      <c r="BO124" s="13" t="str">
        <f t="shared" si="37"/>
        <v xml:space="preserve"> Party Condition 39.28  ,F.M% 0.41 ,Greenish 4.32 ,Moisture 5.9 ,Shortage in KG= 0  ,Oil% 40.1</v>
      </c>
      <c r="BP124" s="4">
        <f t="shared" si="38"/>
        <v>6285.1806282722509</v>
      </c>
      <c r="BQ124" s="5" t="str">
        <f t="shared" si="53"/>
        <v xml:space="preserve"> 40.1</v>
      </c>
      <c r="BR124" s="6">
        <f t="shared" si="54"/>
        <v>6582.9822041754251</v>
      </c>
      <c r="BS124" s="5" t="s">
        <v>62</v>
      </c>
      <c r="BT124" s="5" t="s">
        <v>63</v>
      </c>
      <c r="BW124" s="92"/>
      <c r="BX124" s="27">
        <v>40.1</v>
      </c>
      <c r="BY124" s="27">
        <v>40.24</v>
      </c>
      <c r="BZ124" s="96"/>
    </row>
    <row r="125" spans="1:78" s="1" customFormat="1" ht="15.75" hidden="1" x14ac:dyDescent="0.3">
      <c r="A125" s="128" t="s">
        <v>227</v>
      </c>
      <c r="B125" s="130">
        <v>46117</v>
      </c>
      <c r="C125" s="128">
        <v>116</v>
      </c>
      <c r="D125" s="128" t="s">
        <v>282</v>
      </c>
      <c r="E125" s="130">
        <v>46117</v>
      </c>
      <c r="F125" s="131" t="s">
        <v>98</v>
      </c>
      <c r="G125" s="131" t="s">
        <v>99</v>
      </c>
      <c r="H125" s="131" t="s">
        <v>199</v>
      </c>
      <c r="I125" s="132"/>
      <c r="J125" s="131" t="s">
        <v>113</v>
      </c>
      <c r="K125" s="133">
        <v>0</v>
      </c>
      <c r="L125" s="134">
        <v>46113</v>
      </c>
      <c r="M125" s="132"/>
      <c r="N125" s="131">
        <v>14</v>
      </c>
      <c r="O125" s="130">
        <v>46116</v>
      </c>
      <c r="P125" s="135">
        <v>0</v>
      </c>
      <c r="Q125" s="135">
        <v>460</v>
      </c>
      <c r="R125" s="135">
        <v>81</v>
      </c>
      <c r="S125" s="135">
        <v>0</v>
      </c>
      <c r="T125" s="135">
        <v>541</v>
      </c>
      <c r="U125" s="135">
        <v>541</v>
      </c>
      <c r="V125" s="135">
        <v>0</v>
      </c>
      <c r="W125" s="135">
        <v>324.60000000000002</v>
      </c>
      <c r="X125" s="135">
        <v>328.9</v>
      </c>
      <c r="Y125" s="135">
        <v>2279099.91</v>
      </c>
      <c r="Z125" s="136"/>
      <c r="AA125" s="135">
        <v>56977.497750000002</v>
      </c>
      <c r="AB125" s="135">
        <v>56977.497750000002</v>
      </c>
      <c r="AC125" s="135">
        <v>2393054.91</v>
      </c>
      <c r="AD125" s="137">
        <f t="shared" si="36"/>
        <v>2390661.8550900002</v>
      </c>
      <c r="AE125" s="138">
        <v>39.1</v>
      </c>
      <c r="AF125" s="135">
        <v>39.380000000000003</v>
      </c>
      <c r="AG125" s="138">
        <v>39.26</v>
      </c>
      <c r="AH125" s="139">
        <v>4.1000000000000003E-3</v>
      </c>
      <c r="AI125" s="139">
        <v>0.04</v>
      </c>
      <c r="AJ125" s="139">
        <v>5.7000000000000002E-2</v>
      </c>
      <c r="AK125" s="137">
        <f t="shared" si="39"/>
        <v>16204.874931437344</v>
      </c>
      <c r="AL125" s="137"/>
      <c r="AM125" s="137"/>
      <c r="AN125" s="137">
        <f t="shared" si="56"/>
        <v>447.94799999999998</v>
      </c>
      <c r="AO125" s="140">
        <f t="shared" si="40"/>
        <v>0</v>
      </c>
      <c r="AP125" s="137"/>
      <c r="AQ125" s="137">
        <v>0</v>
      </c>
      <c r="AR125" s="137">
        <f t="shared" si="41"/>
        <v>16652.822931437342</v>
      </c>
      <c r="AS125" s="137">
        <f t="shared" si="42"/>
        <v>17485</v>
      </c>
      <c r="AT125" s="137">
        <v>0</v>
      </c>
      <c r="AU125" s="141"/>
      <c r="AV125" s="141"/>
      <c r="AW125" s="137">
        <f t="shared" si="43"/>
        <v>32460.000000000004</v>
      </c>
      <c r="AX125" s="137">
        <v>0</v>
      </c>
      <c r="AY125" s="137">
        <f t="shared" si="44"/>
        <v>32460.000000000004</v>
      </c>
      <c r="AZ125" s="137">
        <f t="shared" si="45"/>
        <v>32890</v>
      </c>
      <c r="BA125" s="142">
        <f t="shared" si="46"/>
        <v>-429.99999999999636</v>
      </c>
      <c r="BB125" s="137"/>
      <c r="BC125" s="137">
        <v>0</v>
      </c>
      <c r="BD125" s="142">
        <v>0</v>
      </c>
      <c r="BE125" s="135">
        <v>329.2</v>
      </c>
      <c r="BF125" s="143">
        <f t="shared" si="47"/>
        <v>0.49379999999999996</v>
      </c>
      <c r="BG125" s="143">
        <f t="shared" si="48"/>
        <v>328.70619999999997</v>
      </c>
      <c r="BH125" s="143">
        <f t="shared" si="49"/>
        <v>328.9</v>
      </c>
      <c r="BI125" s="144">
        <f t="shared" si="50"/>
        <v>30.000000000001137</v>
      </c>
      <c r="BJ125" s="144">
        <v>0</v>
      </c>
      <c r="BK125" s="137">
        <f t="shared" si="51"/>
        <v>30.000000000001137</v>
      </c>
      <c r="BL125" s="2"/>
      <c r="BM125" s="10" t="str">
        <f t="shared" si="52"/>
        <v>Unloading no. 116 Bill No 14 ,Deduction For Oil Deduction= 16204.8749314373 ,Bardana=  ,F.M=  Brokerage/Rate Difference 447.948 ,Shortage = 0 ,Greenish=  ,Moisture= 0</v>
      </c>
      <c r="BN125" s="3"/>
      <c r="BO125" s="13" t="str">
        <f t="shared" si="37"/>
        <v xml:space="preserve"> Party Condition 39.38  ,F.M% 0.41 ,Greenish 4 ,Moisture 5.7 ,Shortage in KG= 0  ,Oil% 39.1</v>
      </c>
      <c r="BP125" s="4">
        <f t="shared" si="38"/>
        <v>6878.8296961646793</v>
      </c>
      <c r="BQ125" s="5" t="str">
        <f t="shared" si="53"/>
        <v xml:space="preserve"> 39.1</v>
      </c>
      <c r="BR125" s="6">
        <f t="shared" si="54"/>
        <v>7389.0242260592468</v>
      </c>
      <c r="BS125" s="5" t="s">
        <v>62</v>
      </c>
      <c r="BT125" s="5" t="s">
        <v>63</v>
      </c>
      <c r="BW125" s="92"/>
      <c r="BX125" s="27">
        <v>39.1</v>
      </c>
      <c r="BY125" s="27">
        <v>39.26</v>
      </c>
      <c r="BZ125" s="96"/>
    </row>
    <row r="126" spans="1:78" s="1" customFormat="1" ht="15.75" hidden="1" x14ac:dyDescent="0.3">
      <c r="A126" s="128" t="s">
        <v>239</v>
      </c>
      <c r="B126" s="130">
        <v>46117</v>
      </c>
      <c r="C126" s="128">
        <v>117</v>
      </c>
      <c r="D126" s="128" t="s">
        <v>283</v>
      </c>
      <c r="E126" s="130">
        <v>46117</v>
      </c>
      <c r="F126" s="131" t="s">
        <v>95</v>
      </c>
      <c r="G126" s="131" t="s">
        <v>96</v>
      </c>
      <c r="H126" s="131" t="s">
        <v>97</v>
      </c>
      <c r="I126" s="132"/>
      <c r="J126" s="131" t="s">
        <v>113</v>
      </c>
      <c r="K126" s="133">
        <v>0</v>
      </c>
      <c r="L126" s="134">
        <v>46114</v>
      </c>
      <c r="M126" s="132"/>
      <c r="N126" s="131">
        <v>15</v>
      </c>
      <c r="O126" s="130">
        <v>46116</v>
      </c>
      <c r="P126" s="135">
        <v>0</v>
      </c>
      <c r="Q126" s="135">
        <v>400</v>
      </c>
      <c r="R126" s="135">
        <v>314</v>
      </c>
      <c r="S126" s="135">
        <v>0</v>
      </c>
      <c r="T126" s="135">
        <v>714</v>
      </c>
      <c r="U126" s="135">
        <v>714</v>
      </c>
      <c r="V126" s="135">
        <v>0</v>
      </c>
      <c r="W126" s="135">
        <v>247.8</v>
      </c>
      <c r="X126" s="135">
        <v>433.8</v>
      </c>
      <c r="Y126" s="135">
        <v>1740617.97</v>
      </c>
      <c r="Z126" s="136"/>
      <c r="AA126" s="135">
        <v>43515.449249999998</v>
      </c>
      <c r="AB126" s="135">
        <v>43515.449249999998</v>
      </c>
      <c r="AC126" s="135">
        <v>1827648.87</v>
      </c>
      <c r="AD126" s="137">
        <f t="shared" si="36"/>
        <v>1825821.2211300002</v>
      </c>
      <c r="AE126" s="138">
        <v>39.799999999999997</v>
      </c>
      <c r="AF126" s="135">
        <v>39.770000000000003</v>
      </c>
      <c r="AG126" s="138">
        <v>39.770000000000003</v>
      </c>
      <c r="AH126" s="139">
        <v>4.3E-3</v>
      </c>
      <c r="AI126" s="139">
        <v>0.04</v>
      </c>
      <c r="AJ126" s="139">
        <v>5.1999999999999998E-2</v>
      </c>
      <c r="AK126" s="137">
        <f t="shared" si="39"/>
        <v>0</v>
      </c>
      <c r="AL126" s="137"/>
      <c r="AM126" s="137"/>
      <c r="AN126" s="137">
        <f t="shared" si="56"/>
        <v>341.964</v>
      </c>
      <c r="AO126" s="140">
        <f t="shared" si="40"/>
        <v>0</v>
      </c>
      <c r="AP126" s="137"/>
      <c r="AQ126" s="137">
        <v>0</v>
      </c>
      <c r="AR126" s="137">
        <f t="shared" si="41"/>
        <v>341.964</v>
      </c>
      <c r="AS126" s="137">
        <f t="shared" si="42"/>
        <v>359</v>
      </c>
      <c r="AT126" s="137">
        <v>0</v>
      </c>
      <c r="AU126" s="141"/>
      <c r="AV126" s="141"/>
      <c r="AW126" s="137">
        <f t="shared" si="43"/>
        <v>24780</v>
      </c>
      <c r="AX126" s="137">
        <v>0</v>
      </c>
      <c r="AY126" s="137">
        <f t="shared" si="44"/>
        <v>24780</v>
      </c>
      <c r="AZ126" s="137">
        <f t="shared" si="45"/>
        <v>43380</v>
      </c>
      <c r="BA126" s="142">
        <f t="shared" si="46"/>
        <v>-18600</v>
      </c>
      <c r="BB126" s="137"/>
      <c r="BC126" s="137">
        <v>0</v>
      </c>
      <c r="BD126" s="142">
        <v>0</v>
      </c>
      <c r="BE126" s="135">
        <v>434.3</v>
      </c>
      <c r="BF126" s="143">
        <f t="shared" si="47"/>
        <v>0.65144999999999997</v>
      </c>
      <c r="BG126" s="143">
        <f t="shared" si="48"/>
        <v>433.64855</v>
      </c>
      <c r="BH126" s="143">
        <f t="shared" si="49"/>
        <v>433.8</v>
      </c>
      <c r="BI126" s="144">
        <f t="shared" si="50"/>
        <v>50</v>
      </c>
      <c r="BJ126" s="144">
        <v>0</v>
      </c>
      <c r="BK126" s="137">
        <f t="shared" si="51"/>
        <v>50</v>
      </c>
      <c r="BL126" s="2"/>
      <c r="BM126" s="10" t="str">
        <f t="shared" si="52"/>
        <v>Unloading no. 117 Bill No 15 ,Deduction For Oil Deduction= 0 ,Bardana=  ,F.M=  Brokerage/Rate Difference 341.964 ,Shortage = 0 ,Greenish=  ,Moisture= 0</v>
      </c>
      <c r="BN126" s="3"/>
      <c r="BO126" s="13" t="str">
        <f t="shared" si="37"/>
        <v xml:space="preserve"> Party Condition 39.77  ,F.M% 0.43 ,Greenish 4 ,Moisture 5.2 ,Shortage in KG= 0  ,Oil% 39.77</v>
      </c>
      <c r="BP126" s="4">
        <f t="shared" si="38"/>
        <v>4011.7012586445367</v>
      </c>
      <c r="BQ126" s="5" t="str">
        <f t="shared" si="53"/>
        <v>39.77</v>
      </c>
      <c r="BR126" s="6">
        <f t="shared" si="54"/>
        <v>4236.6470420686574</v>
      </c>
      <c r="BS126" s="5" t="s">
        <v>62</v>
      </c>
      <c r="BT126" s="5" t="s">
        <v>63</v>
      </c>
      <c r="BW126" s="92"/>
      <c r="BX126" s="27">
        <v>39.799999999999997</v>
      </c>
      <c r="BY126" s="27">
        <v>39.770000000000003</v>
      </c>
      <c r="BZ126" s="96"/>
    </row>
    <row r="127" spans="1:78" s="1" customFormat="1" ht="15.75" hidden="1" x14ac:dyDescent="0.3">
      <c r="A127" s="128" t="s">
        <v>236</v>
      </c>
      <c r="B127" s="130">
        <v>46117</v>
      </c>
      <c r="C127" s="128">
        <v>117</v>
      </c>
      <c r="D127" s="128" t="s">
        <v>283</v>
      </c>
      <c r="E127" s="130">
        <v>46117</v>
      </c>
      <c r="F127" s="131" t="s">
        <v>95</v>
      </c>
      <c r="G127" s="131" t="s">
        <v>96</v>
      </c>
      <c r="H127" s="131" t="s">
        <v>97</v>
      </c>
      <c r="I127" s="132"/>
      <c r="J127" s="131" t="s">
        <v>113</v>
      </c>
      <c r="K127" s="133">
        <v>0</v>
      </c>
      <c r="L127" s="134">
        <v>46114</v>
      </c>
      <c r="M127" s="132"/>
      <c r="N127" s="131">
        <v>15</v>
      </c>
      <c r="O127" s="130">
        <v>46116</v>
      </c>
      <c r="P127" s="135">
        <v>0</v>
      </c>
      <c r="Q127" s="135">
        <v>0</v>
      </c>
      <c r="R127" s="135">
        <v>0</v>
      </c>
      <c r="S127" s="135">
        <v>0</v>
      </c>
      <c r="T127" s="135">
        <v>0</v>
      </c>
      <c r="U127" s="135">
        <v>0</v>
      </c>
      <c r="V127" s="135">
        <v>0</v>
      </c>
      <c r="W127" s="135">
        <v>180.6</v>
      </c>
      <c r="X127" s="135">
        <v>433.8</v>
      </c>
      <c r="Y127" s="135">
        <v>1246253.78</v>
      </c>
      <c r="Z127" s="136"/>
      <c r="AA127" s="135">
        <v>31156.344499999999</v>
      </c>
      <c r="AB127" s="135">
        <v>31156.344499999999</v>
      </c>
      <c r="AC127" s="135">
        <v>1308566.47</v>
      </c>
      <c r="AD127" s="137">
        <f t="shared" si="36"/>
        <v>1307257.90353</v>
      </c>
      <c r="AE127" s="138">
        <v>39.799999999999997</v>
      </c>
      <c r="AF127" s="135">
        <v>39.28</v>
      </c>
      <c r="AG127" s="138">
        <v>39.770000000000003</v>
      </c>
      <c r="AH127" s="139">
        <v>4.3E-3</v>
      </c>
      <c r="AI127" s="139">
        <v>0.04</v>
      </c>
      <c r="AJ127" s="139">
        <v>5.1999999999999998E-2</v>
      </c>
      <c r="AK127" s="137">
        <f t="shared" si="39"/>
        <v>0</v>
      </c>
      <c r="AL127" s="137"/>
      <c r="AM127" s="137"/>
      <c r="AN127" s="137">
        <f t="shared" si="56"/>
        <v>249.22799999999998</v>
      </c>
      <c r="AO127" s="140">
        <f t="shared" si="40"/>
        <v>0</v>
      </c>
      <c r="AP127" s="137"/>
      <c r="AQ127" s="137">
        <v>0</v>
      </c>
      <c r="AR127" s="137">
        <f t="shared" si="41"/>
        <v>249.22799999999998</v>
      </c>
      <c r="AS127" s="137">
        <f t="shared" si="42"/>
        <v>262</v>
      </c>
      <c r="AT127" s="137">
        <v>0</v>
      </c>
      <c r="AU127" s="141"/>
      <c r="AV127" s="141"/>
      <c r="AW127" s="137">
        <f t="shared" si="43"/>
        <v>18060</v>
      </c>
      <c r="AX127" s="137">
        <v>0</v>
      </c>
      <c r="AY127" s="137">
        <f t="shared" si="44"/>
        <v>18060</v>
      </c>
      <c r="AZ127" s="137">
        <f t="shared" si="45"/>
        <v>43380</v>
      </c>
      <c r="BA127" s="142">
        <f t="shared" si="46"/>
        <v>-25320</v>
      </c>
      <c r="BB127" s="137"/>
      <c r="BC127" s="137">
        <v>0</v>
      </c>
      <c r="BD127" s="142">
        <v>0</v>
      </c>
      <c r="BE127" s="135">
        <v>434.3</v>
      </c>
      <c r="BF127" s="143">
        <f t="shared" si="47"/>
        <v>0.65144999999999997</v>
      </c>
      <c r="BG127" s="143">
        <f t="shared" si="48"/>
        <v>433.64855</v>
      </c>
      <c r="BH127" s="143">
        <f t="shared" si="49"/>
        <v>433.8</v>
      </c>
      <c r="BI127" s="144">
        <f t="shared" si="50"/>
        <v>50</v>
      </c>
      <c r="BJ127" s="144">
        <v>0</v>
      </c>
      <c r="BK127" s="137">
        <f t="shared" si="51"/>
        <v>50</v>
      </c>
      <c r="BL127" s="2"/>
      <c r="BM127" s="10" t="str">
        <f t="shared" si="52"/>
        <v>Unloading no. 117 Bill No 15 ,Deduction For Oil Deduction= 0 ,Bardana=  ,F.M=  Brokerage/Rate Difference 249.228 ,Shortage = 0 ,Greenish=  ,Moisture= 0</v>
      </c>
      <c r="BN127" s="3"/>
      <c r="BO127" s="13" t="str">
        <f t="shared" si="37"/>
        <v xml:space="preserve"> Party Condition 39.28  ,F.M% 0.43 ,Greenish 4 ,Moisture 5.2 ,Shortage in KG= 0  ,Oil% 39.77</v>
      </c>
      <c r="BP127" s="4">
        <f t="shared" si="38"/>
        <v>2872.3018718303369</v>
      </c>
      <c r="BQ127" s="5" t="str">
        <f t="shared" si="53"/>
        <v>39.77</v>
      </c>
      <c r="BR127" s="6">
        <f t="shared" si="54"/>
        <v>3033.35877839764</v>
      </c>
      <c r="BS127" s="5" t="s">
        <v>62</v>
      </c>
      <c r="BT127" s="5" t="s">
        <v>63</v>
      </c>
      <c r="BW127" s="92"/>
      <c r="BX127" s="27">
        <v>39.799999999999997</v>
      </c>
      <c r="BY127" s="27">
        <v>39.770000000000003</v>
      </c>
      <c r="BZ127" s="96"/>
    </row>
    <row r="128" spans="1:78" s="1" customFormat="1" ht="15.75" hidden="1" x14ac:dyDescent="0.3">
      <c r="A128" s="128" t="s">
        <v>240</v>
      </c>
      <c r="B128" s="130">
        <v>46117</v>
      </c>
      <c r="C128" s="128">
        <v>118</v>
      </c>
      <c r="D128" s="128" t="s">
        <v>284</v>
      </c>
      <c r="E128" s="130">
        <v>46117</v>
      </c>
      <c r="F128" s="131" t="s">
        <v>98</v>
      </c>
      <c r="G128" s="131" t="s">
        <v>99</v>
      </c>
      <c r="H128" s="131" t="s">
        <v>199</v>
      </c>
      <c r="I128" s="132"/>
      <c r="J128" s="131" t="s">
        <v>113</v>
      </c>
      <c r="K128" s="133">
        <v>0</v>
      </c>
      <c r="L128" s="134">
        <v>46109</v>
      </c>
      <c r="M128" s="132"/>
      <c r="N128" s="131">
        <v>15</v>
      </c>
      <c r="O128" s="130">
        <v>46116</v>
      </c>
      <c r="P128" s="135">
        <v>0</v>
      </c>
      <c r="Q128" s="135">
        <v>410</v>
      </c>
      <c r="R128" s="135">
        <v>59</v>
      </c>
      <c r="S128" s="135">
        <v>0</v>
      </c>
      <c r="T128" s="135">
        <v>469</v>
      </c>
      <c r="U128" s="135">
        <v>469</v>
      </c>
      <c r="V128" s="135">
        <v>0</v>
      </c>
      <c r="W128" s="135">
        <v>281.39999999999998</v>
      </c>
      <c r="X128" s="135">
        <v>285.3</v>
      </c>
      <c r="Y128" s="135">
        <v>1948876.97</v>
      </c>
      <c r="Z128" s="136"/>
      <c r="AA128" s="135">
        <v>48721.924249999996</v>
      </c>
      <c r="AB128" s="135">
        <v>48721.924249999996</v>
      </c>
      <c r="AC128" s="135">
        <v>2046320.82</v>
      </c>
      <c r="AD128" s="137">
        <f t="shared" si="36"/>
        <v>2044274.49918</v>
      </c>
      <c r="AE128" s="138">
        <v>39.61</v>
      </c>
      <c r="AF128" s="135">
        <v>40.24</v>
      </c>
      <c r="AG128" s="138">
        <v>39.630000000000003</v>
      </c>
      <c r="AH128" s="139">
        <v>4.4000000000000003E-3</v>
      </c>
      <c r="AI128" s="139">
        <v>3.9E-2</v>
      </c>
      <c r="AJ128" s="139">
        <v>5.6000000000000001E-2</v>
      </c>
      <c r="AK128" s="137">
        <f t="shared" si="39"/>
        <v>30511.741826540874</v>
      </c>
      <c r="AL128" s="137"/>
      <c r="AM128" s="137"/>
      <c r="AN128" s="137">
        <f t="shared" si="56"/>
        <v>388.33199999999994</v>
      </c>
      <c r="AO128" s="140">
        <f t="shared" si="40"/>
        <v>0</v>
      </c>
      <c r="AP128" s="137"/>
      <c r="AQ128" s="137">
        <v>0</v>
      </c>
      <c r="AR128" s="137">
        <f t="shared" si="41"/>
        <v>30900.073826540873</v>
      </c>
      <c r="AS128" s="137">
        <f t="shared" si="42"/>
        <v>32445</v>
      </c>
      <c r="AT128" s="137">
        <v>0</v>
      </c>
      <c r="AU128" s="141"/>
      <c r="AV128" s="141"/>
      <c r="AW128" s="137">
        <f t="shared" si="43"/>
        <v>28139.999999999996</v>
      </c>
      <c r="AX128" s="137">
        <v>0</v>
      </c>
      <c r="AY128" s="137">
        <f t="shared" si="44"/>
        <v>28139.999999999996</v>
      </c>
      <c r="AZ128" s="137">
        <f t="shared" si="45"/>
        <v>28530</v>
      </c>
      <c r="BA128" s="142">
        <f t="shared" si="46"/>
        <v>-390.00000000000364</v>
      </c>
      <c r="BB128" s="137"/>
      <c r="BC128" s="137">
        <v>0</v>
      </c>
      <c r="BD128" s="142">
        <v>0</v>
      </c>
      <c r="BE128" s="135">
        <v>285.55</v>
      </c>
      <c r="BF128" s="143">
        <f t="shared" si="47"/>
        <v>0.42832500000000001</v>
      </c>
      <c r="BG128" s="143">
        <f t="shared" si="48"/>
        <v>285.12167500000004</v>
      </c>
      <c r="BH128" s="143">
        <f t="shared" si="49"/>
        <v>285.3</v>
      </c>
      <c r="BI128" s="144">
        <f t="shared" si="50"/>
        <v>25</v>
      </c>
      <c r="BJ128" s="144">
        <v>0</v>
      </c>
      <c r="BK128" s="137">
        <f t="shared" si="51"/>
        <v>25</v>
      </c>
      <c r="BL128" s="2"/>
      <c r="BM128" s="10" t="str">
        <f t="shared" si="52"/>
        <v>Unloading no. 118 Bill No 15 ,Deduction For Oil Deduction= 30511.7418265409 ,Bardana=  ,F.M=  Brokerage/Rate Difference 388.332 ,Shortage = 0 ,Greenish=  ,Moisture= 0</v>
      </c>
      <c r="BN128" s="3"/>
      <c r="BO128" s="13" t="str">
        <f t="shared" si="37"/>
        <v xml:space="preserve"> Party Condition 40.24  ,F.M% 0.44 ,Greenish 3.9 ,Moisture 5.6 ,Shortage in KG= 0  ,Oil% 39.61</v>
      </c>
      <c r="BP128" s="4">
        <f t="shared" si="38"/>
        <v>6722.6670037625618</v>
      </c>
      <c r="BQ128" s="5" t="str">
        <f t="shared" si="53"/>
        <v>39.61</v>
      </c>
      <c r="BR128" s="6">
        <f t="shared" si="54"/>
        <v>7128.3012915432364</v>
      </c>
      <c r="BS128" s="5" t="s">
        <v>62</v>
      </c>
      <c r="BT128" s="5" t="s">
        <v>63</v>
      </c>
      <c r="BW128" s="92"/>
      <c r="BX128" s="27">
        <v>39.61</v>
      </c>
      <c r="BY128" s="27">
        <v>39.630000000000003</v>
      </c>
      <c r="BZ128" s="96"/>
    </row>
    <row r="129" spans="1:78" s="1" customFormat="1" ht="15.75" hidden="1" x14ac:dyDescent="0.3">
      <c r="A129" s="128" t="s">
        <v>239</v>
      </c>
      <c r="B129" s="130">
        <v>46117</v>
      </c>
      <c r="C129" s="128">
        <v>119</v>
      </c>
      <c r="D129" s="128" t="s">
        <v>285</v>
      </c>
      <c r="E129" s="130">
        <v>46117</v>
      </c>
      <c r="F129" s="131" t="s">
        <v>95</v>
      </c>
      <c r="G129" s="131" t="s">
        <v>96</v>
      </c>
      <c r="H129" s="131" t="s">
        <v>97</v>
      </c>
      <c r="I129" s="132"/>
      <c r="J129" s="131" t="s">
        <v>113</v>
      </c>
      <c r="K129" s="133">
        <v>0</v>
      </c>
      <c r="L129" s="134">
        <v>46115</v>
      </c>
      <c r="M129" s="132"/>
      <c r="N129" s="131">
        <v>21</v>
      </c>
      <c r="O129" s="130">
        <v>46116</v>
      </c>
      <c r="P129" s="135">
        <v>0</v>
      </c>
      <c r="Q129" s="135">
        <v>350</v>
      </c>
      <c r="R129" s="135">
        <v>80</v>
      </c>
      <c r="S129" s="135">
        <v>0</v>
      </c>
      <c r="T129" s="135">
        <v>430</v>
      </c>
      <c r="U129" s="135">
        <v>430</v>
      </c>
      <c r="V129" s="135">
        <v>0</v>
      </c>
      <c r="W129" s="135">
        <v>258</v>
      </c>
      <c r="X129" s="135">
        <v>260.5</v>
      </c>
      <c r="Y129" s="135">
        <v>1799416.7</v>
      </c>
      <c r="Z129" s="136"/>
      <c r="AA129" s="135">
        <v>44985.417500000003</v>
      </c>
      <c r="AB129" s="135">
        <v>44985.417500000003</v>
      </c>
      <c r="AC129" s="135">
        <v>1889387.54</v>
      </c>
      <c r="AD129" s="137">
        <f t="shared" si="36"/>
        <v>1887498.15246</v>
      </c>
      <c r="AE129" s="138">
        <v>40.200000000000003</v>
      </c>
      <c r="AF129" s="135">
        <v>39.770000000000003</v>
      </c>
      <c r="AG129" s="138">
        <v>40.369999999999997</v>
      </c>
      <c r="AH129" s="139">
        <v>4.0000000000000001E-3</v>
      </c>
      <c r="AI129" s="139">
        <v>0.04</v>
      </c>
      <c r="AJ129" s="139">
        <v>5.5E-2</v>
      </c>
      <c r="AK129" s="137">
        <f t="shared" si="39"/>
        <v>0</v>
      </c>
      <c r="AL129" s="137"/>
      <c r="AM129" s="137"/>
      <c r="AN129" s="137">
        <f t="shared" si="56"/>
        <v>356.03999999999996</v>
      </c>
      <c r="AO129" s="140">
        <f t="shared" si="40"/>
        <v>0</v>
      </c>
      <c r="AP129" s="137"/>
      <c r="AQ129" s="137">
        <v>0</v>
      </c>
      <c r="AR129" s="137">
        <f t="shared" si="41"/>
        <v>356.03999999999996</v>
      </c>
      <c r="AS129" s="137">
        <f t="shared" si="42"/>
        <v>374</v>
      </c>
      <c r="AT129" s="137">
        <v>0</v>
      </c>
      <c r="AU129" s="141"/>
      <c r="AV129" s="141"/>
      <c r="AW129" s="137">
        <f t="shared" si="43"/>
        <v>25800</v>
      </c>
      <c r="AX129" s="137">
        <v>0</v>
      </c>
      <c r="AY129" s="137">
        <f t="shared" si="44"/>
        <v>25800</v>
      </c>
      <c r="AZ129" s="137">
        <f t="shared" si="45"/>
        <v>26050</v>
      </c>
      <c r="BA129" s="142">
        <f t="shared" si="46"/>
        <v>-250</v>
      </c>
      <c r="BB129" s="137"/>
      <c r="BC129" s="137">
        <v>0</v>
      </c>
      <c r="BD129" s="142">
        <v>0</v>
      </c>
      <c r="BE129" s="135">
        <v>260.89999999999998</v>
      </c>
      <c r="BF129" s="143">
        <f t="shared" si="47"/>
        <v>0.39134999999999998</v>
      </c>
      <c r="BG129" s="143">
        <f t="shared" si="48"/>
        <v>260.50864999999999</v>
      </c>
      <c r="BH129" s="143">
        <f t="shared" si="49"/>
        <v>260.5</v>
      </c>
      <c r="BI129" s="144">
        <f t="shared" si="50"/>
        <v>39.999999999997726</v>
      </c>
      <c r="BJ129" s="144">
        <v>0</v>
      </c>
      <c r="BK129" s="137">
        <f t="shared" si="51"/>
        <v>39.999999999997726</v>
      </c>
      <c r="BL129" s="2"/>
      <c r="BM129" s="10" t="str">
        <f t="shared" si="52"/>
        <v>Unloading no. 119 Bill No 21 ,Deduction For Oil Deduction= 0 ,Bardana=  ,F.M=  Brokerage/Rate Difference 356.04 ,Shortage = 0 ,Greenish=  ,Moisture= 0</v>
      </c>
      <c r="BN129" s="3"/>
      <c r="BO129" s="13" t="str">
        <f t="shared" si="37"/>
        <v xml:space="preserve"> Party Condition 39.77  ,F.M% 0.4 ,Greenish 4 ,Moisture 5.5 ,Shortage in KG= 0  ,Oil% 40.2</v>
      </c>
      <c r="BP129" s="4">
        <f t="shared" si="38"/>
        <v>6906.1829558541267</v>
      </c>
      <c r="BQ129" s="5" t="str">
        <f t="shared" si="53"/>
        <v xml:space="preserve"> 40.2</v>
      </c>
      <c r="BR129" s="6">
        <f t="shared" si="54"/>
        <v>7215.4150285043106</v>
      </c>
      <c r="BS129" s="5" t="s">
        <v>62</v>
      </c>
      <c r="BT129" s="5" t="s">
        <v>63</v>
      </c>
      <c r="BW129" s="92"/>
      <c r="BX129" s="27">
        <v>40.200000000000003</v>
      </c>
      <c r="BY129" s="27">
        <v>40.369999999999997</v>
      </c>
      <c r="BZ129" s="96"/>
    </row>
    <row r="130" spans="1:78" s="1" customFormat="1" ht="15.75" hidden="1" x14ac:dyDescent="0.3">
      <c r="A130" s="128" t="s">
        <v>239</v>
      </c>
      <c r="B130" s="129">
        <v>46115</v>
      </c>
      <c r="C130" s="128">
        <v>120</v>
      </c>
      <c r="D130" s="128" t="s">
        <v>307</v>
      </c>
      <c r="E130" s="146">
        <v>46118</v>
      </c>
      <c r="F130" s="128" t="s">
        <v>95</v>
      </c>
      <c r="G130" s="128" t="s">
        <v>96</v>
      </c>
      <c r="H130" s="128" t="s">
        <v>97</v>
      </c>
      <c r="I130" s="136"/>
      <c r="J130" s="128" t="s">
        <v>113</v>
      </c>
      <c r="K130" s="135">
        <v>0</v>
      </c>
      <c r="L130" s="129">
        <v>46115</v>
      </c>
      <c r="M130" s="136"/>
      <c r="N130" s="128">
        <v>20</v>
      </c>
      <c r="O130" s="146">
        <v>46116</v>
      </c>
      <c r="P130" s="135">
        <v>0</v>
      </c>
      <c r="Q130" s="135">
        <v>400</v>
      </c>
      <c r="R130" s="135">
        <v>108</v>
      </c>
      <c r="S130" s="135">
        <v>0</v>
      </c>
      <c r="T130" s="135">
        <v>508</v>
      </c>
      <c r="U130" s="135">
        <v>508</v>
      </c>
      <c r="V130" s="135">
        <v>0</v>
      </c>
      <c r="W130" s="135">
        <v>304.8</v>
      </c>
      <c r="X130" s="135">
        <v>309.3</v>
      </c>
      <c r="Y130" s="135">
        <v>2125822.52</v>
      </c>
      <c r="Z130" s="136"/>
      <c r="AA130" s="135">
        <v>53145.563000000002</v>
      </c>
      <c r="AB130" s="135">
        <v>53145.563000000002</v>
      </c>
      <c r="AC130" s="135">
        <v>2232113.65</v>
      </c>
      <c r="AD130" s="137">
        <f t="shared" si="36"/>
        <v>2229881.5363499997</v>
      </c>
      <c r="AE130" s="138">
        <v>39.950000000000003</v>
      </c>
      <c r="AF130" s="135">
        <v>39.770000000000003</v>
      </c>
      <c r="AG130" s="138">
        <v>39.9</v>
      </c>
      <c r="AH130" s="139">
        <v>4.3E-3</v>
      </c>
      <c r="AI130" s="139">
        <v>4.1000000000000002E-2</v>
      </c>
      <c r="AJ130" s="139">
        <v>5.6000000000000001E-2</v>
      </c>
      <c r="AK130" s="137">
        <f t="shared" ref="AK130:AK193" si="57">+IF(AF130=42,IF(MIN(AE130,AG130)&lt;AF130,Y130*((AF130-MIN(AE130,AG130))/AF130)),IF(MIN(AE130,AG130)&lt;AF130,Y130*((AF130-MIN(AE130,AG130))/AF130),0))</f>
        <v>0</v>
      </c>
      <c r="AL130" s="137"/>
      <c r="AM130" s="137"/>
      <c r="AN130" s="137">
        <f t="shared" ref="AN130:AN149" si="58">W130*1.38</f>
        <v>420.62399999999997</v>
      </c>
      <c r="AO130" s="140">
        <f t="shared" ref="AO130:AO193" si="59">AT130*Y130/AW130</f>
        <v>0</v>
      </c>
      <c r="AP130" s="137"/>
      <c r="AQ130" s="137">
        <v>0</v>
      </c>
      <c r="AR130" s="137">
        <f t="shared" ref="AR130:AR193" si="60">SUM(AK130:AQ130)</f>
        <v>420.62399999999997</v>
      </c>
      <c r="AS130" s="137">
        <f t="shared" ref="AS130:AS193" si="61">ROUND(AR130*1.05,0)</f>
        <v>442</v>
      </c>
      <c r="AT130" s="137">
        <v>0</v>
      </c>
      <c r="AU130" s="141"/>
      <c r="AV130" s="141"/>
      <c r="AW130" s="137">
        <f t="shared" ref="AW130:AW193" si="62">W130*100</f>
        <v>30480</v>
      </c>
      <c r="AX130" s="137">
        <v>0</v>
      </c>
      <c r="AY130" s="137">
        <f t="shared" ref="AY130:AY193" si="63">+AW130+AX130</f>
        <v>30480</v>
      </c>
      <c r="AZ130" s="137">
        <f t="shared" ref="AZ130:AZ193" si="64">X130*100</f>
        <v>30930</v>
      </c>
      <c r="BA130" s="142">
        <f t="shared" ref="BA130:BA193" si="65">AY130-AZ130</f>
        <v>-450</v>
      </c>
      <c r="BB130" s="137"/>
      <c r="BC130" s="137">
        <v>0</v>
      </c>
      <c r="BD130" s="142">
        <v>0</v>
      </c>
      <c r="BE130" s="135">
        <v>260.89999999999998</v>
      </c>
      <c r="BF130" s="143">
        <f t="shared" ref="BF130:BF193" si="66">+BE130*0.15/100</f>
        <v>0.39134999999999998</v>
      </c>
      <c r="BG130" s="143">
        <f t="shared" ref="BG130:BG193" si="67">BE130-BF130</f>
        <v>260.50864999999999</v>
      </c>
      <c r="BH130" s="143">
        <f t="shared" ref="BH130:BH193" si="68">X130</f>
        <v>309.3</v>
      </c>
      <c r="BI130" s="144">
        <f t="shared" ref="BI130:BI193" si="69">(BE130-BH130)*100</f>
        <v>-4840.0000000000036</v>
      </c>
      <c r="BJ130" s="144">
        <v>0</v>
      </c>
      <c r="BK130" s="137">
        <f t="shared" ref="BK130:BK193" si="70">BI130</f>
        <v>-4840.0000000000036</v>
      </c>
      <c r="BL130" s="2"/>
      <c r="BM130" s="10" t="str">
        <f t="shared" ref="BM130:BM193" si="71">+$C$1&amp;" "&amp;C130 &amp;" "&amp;$N$1&amp;" "&amp;N130&amp;" "&amp;$BM$1&amp;" "&amp;$AK$1&amp;" "&amp;AK130&amp;" "&amp;$AL$1&amp;" "&amp;AL130&amp;" "&amp;$AM$1&amp;" "&amp;AM130&amp;" "&amp;$AN$1&amp;" "&amp;AN130&amp;" "&amp;$AO$1&amp;" "&amp;AO130&amp;" "&amp;$AP$1&amp;" "&amp;AP130&amp;" "&amp;$AQ$1&amp;" "&amp;AQ130</f>
        <v>Unloading no. 120 Bill No 20 ,Deduction For Oil Deduction= 0 ,Bardana=  ,F.M=  Brokerage/Rate Difference 420.624 ,Shortage = 0 ,Greenish=  ,Moisture= 0</v>
      </c>
      <c r="BN130" s="3"/>
      <c r="BO130" s="13" t="str">
        <f t="shared" si="37"/>
        <v xml:space="preserve"> Party Condition 39.77  ,F.M% 0.43 ,Greenish 4.1 ,Moisture 5.6 ,Shortage in KG= 0  ,Oil% 39.9</v>
      </c>
      <c r="BP130" s="4">
        <f t="shared" si="38"/>
        <v>6871.6517814419658</v>
      </c>
      <c r="BQ130" s="5" t="str">
        <f t="shared" ref="BQ130:BQ193" si="72">RIGHT(BO130,5)</f>
        <v xml:space="preserve"> 39.9</v>
      </c>
      <c r="BR130" s="6">
        <f t="shared" ref="BR130:BR193" si="73">BP130*42/BQ130</f>
        <v>7233.3176646757529</v>
      </c>
      <c r="BS130" s="5" t="s">
        <v>62</v>
      </c>
      <c r="BT130" s="5" t="s">
        <v>63</v>
      </c>
      <c r="BW130" s="92"/>
      <c r="BX130" s="27">
        <v>39.950000000000003</v>
      </c>
      <c r="BY130" s="27">
        <v>39.9</v>
      </c>
      <c r="BZ130" s="96"/>
    </row>
    <row r="131" spans="1:78" s="1" customFormat="1" ht="15.75" hidden="1" x14ac:dyDescent="0.3">
      <c r="A131" s="128" t="s">
        <v>239</v>
      </c>
      <c r="B131" s="129">
        <v>46115</v>
      </c>
      <c r="C131" s="128">
        <v>121</v>
      </c>
      <c r="D131" s="128" t="s">
        <v>308</v>
      </c>
      <c r="E131" s="146">
        <v>46118</v>
      </c>
      <c r="F131" s="128" t="s">
        <v>95</v>
      </c>
      <c r="G131" s="128" t="s">
        <v>96</v>
      </c>
      <c r="H131" s="128" t="s">
        <v>97</v>
      </c>
      <c r="I131" s="136"/>
      <c r="J131" s="128" t="s">
        <v>113</v>
      </c>
      <c r="K131" s="135">
        <v>0</v>
      </c>
      <c r="L131" s="129">
        <v>46115</v>
      </c>
      <c r="M131" s="136"/>
      <c r="N131" s="128">
        <v>19</v>
      </c>
      <c r="O131" s="146">
        <v>46116</v>
      </c>
      <c r="P131" s="135">
        <v>0</v>
      </c>
      <c r="Q131" s="135">
        <v>400</v>
      </c>
      <c r="R131" s="135">
        <v>41</v>
      </c>
      <c r="S131" s="135">
        <v>0</v>
      </c>
      <c r="T131" s="135">
        <v>441</v>
      </c>
      <c r="U131" s="135">
        <v>441</v>
      </c>
      <c r="V131" s="135">
        <v>0</v>
      </c>
      <c r="W131" s="135">
        <v>264.60000000000002</v>
      </c>
      <c r="X131" s="135">
        <v>268</v>
      </c>
      <c r="Y131" s="135">
        <v>1845448.29</v>
      </c>
      <c r="Z131" s="136"/>
      <c r="AA131" s="135">
        <v>46136.207249999999</v>
      </c>
      <c r="AB131" s="135">
        <v>46136.207249999999</v>
      </c>
      <c r="AC131" s="135">
        <v>1937720.7</v>
      </c>
      <c r="AD131" s="137">
        <f t="shared" ref="AD131:AD195" si="74">SUM(AC131-AC131*0.1%)</f>
        <v>1935782.9793</v>
      </c>
      <c r="AE131" s="138">
        <v>39.799999999999997</v>
      </c>
      <c r="AF131" s="135">
        <v>39.770000000000003</v>
      </c>
      <c r="AG131" s="138">
        <v>39.700000000000003</v>
      </c>
      <c r="AH131" s="139">
        <v>4.5999999999999999E-3</v>
      </c>
      <c r="AI131" s="139">
        <v>0.04</v>
      </c>
      <c r="AJ131" s="139">
        <v>5.8000000000000003E-2</v>
      </c>
      <c r="AK131" s="137">
        <f t="shared" si="57"/>
        <v>3248.2117249182934</v>
      </c>
      <c r="AL131" s="137"/>
      <c r="AM131" s="137"/>
      <c r="AN131" s="137">
        <f t="shared" si="58"/>
        <v>365.14800000000002</v>
      </c>
      <c r="AO131" s="140">
        <f t="shared" si="59"/>
        <v>0</v>
      </c>
      <c r="AP131" s="137"/>
      <c r="AQ131" s="137">
        <v>0</v>
      </c>
      <c r="AR131" s="137">
        <f t="shared" si="60"/>
        <v>3613.3597249182935</v>
      </c>
      <c r="AS131" s="137">
        <f t="shared" si="61"/>
        <v>3794</v>
      </c>
      <c r="AT131" s="137">
        <v>0</v>
      </c>
      <c r="AU131" s="141"/>
      <c r="AV131" s="141"/>
      <c r="AW131" s="137">
        <f t="shared" si="62"/>
        <v>26460.000000000004</v>
      </c>
      <c r="AX131" s="137">
        <v>0</v>
      </c>
      <c r="AY131" s="137">
        <f t="shared" si="63"/>
        <v>26460.000000000004</v>
      </c>
      <c r="AZ131" s="137">
        <f t="shared" si="64"/>
        <v>26800</v>
      </c>
      <c r="BA131" s="142">
        <f t="shared" si="65"/>
        <v>-339.99999999999636</v>
      </c>
      <c r="BB131" s="137"/>
      <c r="BC131" s="137">
        <v>0</v>
      </c>
      <c r="BD131" s="142">
        <v>0</v>
      </c>
      <c r="BE131" s="135">
        <v>260.89999999999998</v>
      </c>
      <c r="BF131" s="143">
        <f t="shared" si="66"/>
        <v>0.39134999999999998</v>
      </c>
      <c r="BG131" s="143">
        <f t="shared" si="67"/>
        <v>260.50864999999999</v>
      </c>
      <c r="BH131" s="143">
        <f t="shared" si="68"/>
        <v>268</v>
      </c>
      <c r="BI131" s="144">
        <f t="shared" si="69"/>
        <v>-710.00000000000227</v>
      </c>
      <c r="BJ131" s="144">
        <v>0</v>
      </c>
      <c r="BK131" s="137">
        <f t="shared" si="70"/>
        <v>-710.00000000000227</v>
      </c>
      <c r="BL131" s="2"/>
      <c r="BM131" s="10" t="str">
        <f t="shared" si="71"/>
        <v>Unloading no. 121 Bill No 19 ,Deduction For Oil Deduction= 3248.21172491829 ,Bardana=  ,F.M=  Brokerage/Rate Difference 365.148 ,Shortage = 0 ,Greenish=  ,Moisture= 0</v>
      </c>
      <c r="BN131" s="3"/>
      <c r="BO131" s="13" t="str">
        <f t="shared" ref="BO131:BO194" si="75">+" "&amp;$AF$1&amp;" "&amp;AF131&amp;" "&amp;" "&amp;$AH$1&amp;" "&amp;AH131*100&amp;" "&amp;$AI$1&amp;" "&amp;AI131*100&amp;" "&amp;$AJ$1&amp;" "&amp;AJ131*100&amp;" ,"&amp;$AT$1&amp;" "&amp;AT131&amp;" "&amp;IF(AE131&gt;AG131," ,Oil%"&amp;" "&amp;AG131," ,Oil%"&amp;" "&amp;AE131)</f>
        <v xml:space="preserve"> Party Condition 39.77  ,F.M% 0.46 ,Greenish 4 ,Moisture 5.8 ,Shortage in KG= 0  ,Oil% 39.7</v>
      </c>
      <c r="BP131" s="4">
        <f t="shared" ref="BP131:BP194" si="76">(Y131-AR131)/X131</f>
        <v>6872.5183965488122</v>
      </c>
      <c r="BQ131" s="5" t="str">
        <f t="shared" si="72"/>
        <v xml:space="preserve"> 39.7</v>
      </c>
      <c r="BR131" s="6">
        <f t="shared" si="73"/>
        <v>7270.6743741826212</v>
      </c>
      <c r="BS131" s="5" t="s">
        <v>62</v>
      </c>
      <c r="BT131" s="5" t="s">
        <v>63</v>
      </c>
      <c r="BW131" s="92"/>
      <c r="BX131" s="27">
        <v>39.799999999999997</v>
      </c>
      <c r="BY131" s="27">
        <v>39.700000000000003</v>
      </c>
      <c r="BZ131" s="96"/>
    </row>
    <row r="132" spans="1:78" s="1" customFormat="1" ht="15.75" hidden="1" x14ac:dyDescent="0.3">
      <c r="A132" s="128" t="s">
        <v>225</v>
      </c>
      <c r="B132" s="146">
        <v>46113</v>
      </c>
      <c r="C132" s="128">
        <v>122</v>
      </c>
      <c r="D132" s="128" t="s">
        <v>309</v>
      </c>
      <c r="E132" s="146">
        <v>46118</v>
      </c>
      <c r="F132" s="128" t="s">
        <v>110</v>
      </c>
      <c r="G132" s="128" t="s">
        <v>111</v>
      </c>
      <c r="H132" s="128" t="s">
        <v>112</v>
      </c>
      <c r="I132" s="136"/>
      <c r="J132" s="128" t="s">
        <v>113</v>
      </c>
      <c r="K132" s="135">
        <v>0</v>
      </c>
      <c r="L132" s="129">
        <v>46113</v>
      </c>
      <c r="M132" s="136"/>
      <c r="N132" s="128" t="s">
        <v>370</v>
      </c>
      <c r="O132" s="146">
        <v>46116</v>
      </c>
      <c r="P132" s="135">
        <v>0</v>
      </c>
      <c r="Q132" s="135">
        <v>300</v>
      </c>
      <c r="R132" s="135">
        <v>67</v>
      </c>
      <c r="S132" s="135">
        <v>0</v>
      </c>
      <c r="T132" s="135">
        <v>367</v>
      </c>
      <c r="U132" s="135">
        <v>367</v>
      </c>
      <c r="V132" s="135">
        <v>0</v>
      </c>
      <c r="W132" s="135">
        <v>220.2</v>
      </c>
      <c r="X132" s="135">
        <v>225.4</v>
      </c>
      <c r="Y132" s="135">
        <v>1547345.4</v>
      </c>
      <c r="Z132" s="136"/>
      <c r="AA132" s="135">
        <v>38683.635000000002</v>
      </c>
      <c r="AB132" s="135">
        <v>38683.635000000002</v>
      </c>
      <c r="AC132" s="135">
        <v>1624712.67</v>
      </c>
      <c r="AD132" s="137">
        <f t="shared" si="74"/>
        <v>1623087.9573299999</v>
      </c>
      <c r="AE132" s="138">
        <v>40.39</v>
      </c>
      <c r="AF132" s="135">
        <v>39.79</v>
      </c>
      <c r="AG132" s="138">
        <v>40.200000000000003</v>
      </c>
      <c r="AH132" s="139">
        <v>4.7999999999999996E-3</v>
      </c>
      <c r="AI132" s="139">
        <v>4.7600000000000003E-2</v>
      </c>
      <c r="AJ132" s="139">
        <v>5.6000000000000001E-2</v>
      </c>
      <c r="AK132" s="137">
        <f t="shared" si="57"/>
        <v>0</v>
      </c>
      <c r="AL132" s="137"/>
      <c r="AM132" s="137"/>
      <c r="AN132" s="137">
        <f t="shared" si="58"/>
        <v>303.87599999999998</v>
      </c>
      <c r="AO132" s="140">
        <f t="shared" si="59"/>
        <v>0</v>
      </c>
      <c r="AP132" s="137"/>
      <c r="AQ132" s="137">
        <v>0</v>
      </c>
      <c r="AR132" s="137">
        <f t="shared" si="60"/>
        <v>303.87599999999998</v>
      </c>
      <c r="AS132" s="137">
        <f t="shared" si="61"/>
        <v>319</v>
      </c>
      <c r="AT132" s="137">
        <v>0</v>
      </c>
      <c r="AU132" s="141"/>
      <c r="AV132" s="141"/>
      <c r="AW132" s="137">
        <f t="shared" si="62"/>
        <v>22020</v>
      </c>
      <c r="AX132" s="137">
        <v>0</v>
      </c>
      <c r="AY132" s="137">
        <f t="shared" si="63"/>
        <v>22020</v>
      </c>
      <c r="AZ132" s="137">
        <f t="shared" si="64"/>
        <v>22540</v>
      </c>
      <c r="BA132" s="142">
        <f t="shared" si="65"/>
        <v>-520</v>
      </c>
      <c r="BB132" s="137"/>
      <c r="BC132" s="137">
        <v>0</v>
      </c>
      <c r="BD132" s="142">
        <v>0</v>
      </c>
      <c r="BE132" s="135">
        <v>268.3</v>
      </c>
      <c r="BF132" s="143">
        <f t="shared" si="66"/>
        <v>0.40244999999999997</v>
      </c>
      <c r="BG132" s="143">
        <f t="shared" si="67"/>
        <v>267.89755000000002</v>
      </c>
      <c r="BH132" s="143">
        <f t="shared" si="68"/>
        <v>225.4</v>
      </c>
      <c r="BI132" s="144">
        <f t="shared" si="69"/>
        <v>4290.0000000000009</v>
      </c>
      <c r="BJ132" s="144">
        <v>0</v>
      </c>
      <c r="BK132" s="137">
        <f t="shared" si="70"/>
        <v>4290.0000000000009</v>
      </c>
      <c r="BL132" s="2"/>
      <c r="BM132" s="10" t="str">
        <f t="shared" si="71"/>
        <v>Unloading no. 122 Bill No G1645 ,Deduction For Oil Deduction= 0 ,Bardana=  ,F.M=  Brokerage/Rate Difference 303.876 ,Shortage = 0 ,Greenish=  ,Moisture= 0</v>
      </c>
      <c r="BN132" s="3"/>
      <c r="BO132" s="13" t="str">
        <f t="shared" si="75"/>
        <v xml:space="preserve"> Party Condition 39.79  ,F.M% 0.48 ,Greenish 4.76 ,Moisture 5.6 ,Shortage in KG= 0  ,Oil% 40.2</v>
      </c>
      <c r="BP132" s="4">
        <f t="shared" si="76"/>
        <v>6863.5382608695645</v>
      </c>
      <c r="BQ132" s="5" t="str">
        <f t="shared" si="72"/>
        <v xml:space="preserve"> 40.2</v>
      </c>
      <c r="BR132" s="6">
        <f t="shared" si="73"/>
        <v>7170.8608695652156</v>
      </c>
      <c r="BS132" s="5" t="s">
        <v>62</v>
      </c>
      <c r="BT132" s="5" t="s">
        <v>63</v>
      </c>
      <c r="BW132" s="92"/>
      <c r="BX132" s="27">
        <v>40.39</v>
      </c>
      <c r="BY132" s="27">
        <v>40.200000000000003</v>
      </c>
      <c r="BZ132" s="96"/>
    </row>
    <row r="133" spans="1:78" s="1" customFormat="1" ht="15.75" hidden="1" x14ac:dyDescent="0.3">
      <c r="A133" s="128" t="s">
        <v>300</v>
      </c>
      <c r="B133" s="146">
        <v>46114</v>
      </c>
      <c r="C133" s="128">
        <v>123</v>
      </c>
      <c r="D133" s="128" t="s">
        <v>310</v>
      </c>
      <c r="E133" s="146">
        <v>46118</v>
      </c>
      <c r="F133" s="128" t="s">
        <v>104</v>
      </c>
      <c r="G133" s="128" t="s">
        <v>105</v>
      </c>
      <c r="H133" s="128" t="s">
        <v>106</v>
      </c>
      <c r="I133" s="136"/>
      <c r="J133" s="128" t="s">
        <v>113</v>
      </c>
      <c r="K133" s="135">
        <v>0</v>
      </c>
      <c r="L133" s="129">
        <v>46114</v>
      </c>
      <c r="M133" s="136"/>
      <c r="N133" s="128" t="s">
        <v>371</v>
      </c>
      <c r="O133" s="146">
        <v>46116</v>
      </c>
      <c r="P133" s="135">
        <v>0</v>
      </c>
      <c r="Q133" s="135">
        <v>450</v>
      </c>
      <c r="R133" s="135">
        <v>127</v>
      </c>
      <c r="S133" s="135">
        <v>0</v>
      </c>
      <c r="T133" s="135">
        <v>577</v>
      </c>
      <c r="U133" s="135">
        <v>577</v>
      </c>
      <c r="V133" s="135">
        <v>0</v>
      </c>
      <c r="W133" s="135">
        <v>346.2</v>
      </c>
      <c r="X133" s="135">
        <v>351.7</v>
      </c>
      <c r="Y133" s="135">
        <v>2399796.08</v>
      </c>
      <c r="Z133" s="136"/>
      <c r="AA133" s="135">
        <v>59994.902000000002</v>
      </c>
      <c r="AB133" s="135">
        <v>59994.902000000002</v>
      </c>
      <c r="AC133" s="135">
        <v>2519785.88</v>
      </c>
      <c r="AD133" s="137">
        <f t="shared" si="74"/>
        <v>2517266.09412</v>
      </c>
      <c r="AE133" s="138">
        <v>39.020000000000003</v>
      </c>
      <c r="AF133" s="135">
        <v>39.049999999999997</v>
      </c>
      <c r="AG133" s="138">
        <v>39.08</v>
      </c>
      <c r="AH133" s="139">
        <v>4.3E-3</v>
      </c>
      <c r="AI133" s="139">
        <v>4.1099999999999998E-2</v>
      </c>
      <c r="AJ133" s="139">
        <v>5.8999999999999997E-2</v>
      </c>
      <c r="AK133" s="137">
        <f t="shared" si="57"/>
        <v>1843.6333521123095</v>
      </c>
      <c r="AL133" s="137"/>
      <c r="AM133" s="137"/>
      <c r="AN133" s="137">
        <f t="shared" si="58"/>
        <v>477.75599999999997</v>
      </c>
      <c r="AO133" s="140">
        <f t="shared" si="59"/>
        <v>0</v>
      </c>
      <c r="AP133" s="137"/>
      <c r="AQ133" s="137">
        <v>0</v>
      </c>
      <c r="AR133" s="137">
        <f t="shared" si="60"/>
        <v>2321.3893521123096</v>
      </c>
      <c r="AS133" s="137">
        <f t="shared" si="61"/>
        <v>2437</v>
      </c>
      <c r="AT133" s="137">
        <v>0</v>
      </c>
      <c r="AU133" s="141"/>
      <c r="AV133" s="141"/>
      <c r="AW133" s="137">
        <f t="shared" si="62"/>
        <v>34620</v>
      </c>
      <c r="AX133" s="137">
        <v>0</v>
      </c>
      <c r="AY133" s="137">
        <f t="shared" si="63"/>
        <v>34620</v>
      </c>
      <c r="AZ133" s="137">
        <f t="shared" si="64"/>
        <v>35170</v>
      </c>
      <c r="BA133" s="142">
        <f t="shared" si="65"/>
        <v>-550</v>
      </c>
      <c r="BB133" s="137"/>
      <c r="BC133" s="137">
        <v>0</v>
      </c>
      <c r="BD133" s="142">
        <v>0</v>
      </c>
      <c r="BE133" s="135">
        <v>225.7</v>
      </c>
      <c r="BF133" s="143">
        <f t="shared" si="66"/>
        <v>0.33854999999999996</v>
      </c>
      <c r="BG133" s="143">
        <f t="shared" si="67"/>
        <v>225.36144999999999</v>
      </c>
      <c r="BH133" s="143">
        <f t="shared" si="68"/>
        <v>351.7</v>
      </c>
      <c r="BI133" s="144">
        <f t="shared" si="69"/>
        <v>-12600</v>
      </c>
      <c r="BJ133" s="144">
        <v>0</v>
      </c>
      <c r="BK133" s="137">
        <f t="shared" si="70"/>
        <v>-12600</v>
      </c>
      <c r="BL133" s="2"/>
      <c r="BM133" s="10" t="str">
        <f t="shared" si="71"/>
        <v>Unloading no. 123 Bill No MTC/26-27/020 ,Deduction For Oil Deduction= 1843.63335211231 ,Bardana=  ,F.M=  Brokerage/Rate Difference 477.756 ,Shortage = 0 ,Greenish=  ,Moisture= 0</v>
      </c>
      <c r="BN133" s="3"/>
      <c r="BO133" s="13" t="str">
        <f t="shared" si="75"/>
        <v xml:space="preserve"> Party Condition 39.05  ,F.M% 0.43 ,Greenish 4.11 ,Moisture 5.9 ,Shortage in KG= 0  ,Oil% 39.02</v>
      </c>
      <c r="BP133" s="4">
        <f t="shared" si="76"/>
        <v>6816.8174314696844</v>
      </c>
      <c r="BQ133" s="5" t="str">
        <f t="shared" si="72"/>
        <v>39.02</v>
      </c>
      <c r="BR133" s="6">
        <f t="shared" si="73"/>
        <v>7337.4252209566057</v>
      </c>
      <c r="BS133" s="5" t="s">
        <v>62</v>
      </c>
      <c r="BT133" s="5" t="s">
        <v>63</v>
      </c>
      <c r="BW133" s="92"/>
      <c r="BX133" s="27">
        <v>39.020000000000003</v>
      </c>
      <c r="BY133" s="27">
        <v>39.08</v>
      </c>
      <c r="BZ133" s="96"/>
    </row>
    <row r="134" spans="1:78" s="1" customFormat="1" ht="15.75" hidden="1" x14ac:dyDescent="0.3">
      <c r="A134" s="128" t="s">
        <v>306</v>
      </c>
      <c r="B134" s="146">
        <v>46114</v>
      </c>
      <c r="C134" s="128">
        <v>124</v>
      </c>
      <c r="D134" s="128" t="s">
        <v>311</v>
      </c>
      <c r="E134" s="146">
        <v>46118</v>
      </c>
      <c r="F134" s="128" t="s">
        <v>367</v>
      </c>
      <c r="G134" s="128" t="s">
        <v>368</v>
      </c>
      <c r="H134" s="128" t="s">
        <v>369</v>
      </c>
      <c r="I134" s="136"/>
      <c r="J134" s="128" t="s">
        <v>113</v>
      </c>
      <c r="K134" s="135">
        <v>0</v>
      </c>
      <c r="L134" s="129">
        <v>46114</v>
      </c>
      <c r="M134" s="136"/>
      <c r="N134" s="128">
        <v>6</v>
      </c>
      <c r="O134" s="146">
        <v>46116</v>
      </c>
      <c r="P134" s="135">
        <v>0</v>
      </c>
      <c r="Q134" s="135">
        <v>339</v>
      </c>
      <c r="R134" s="135">
        <v>50</v>
      </c>
      <c r="S134" s="135">
        <v>0</v>
      </c>
      <c r="T134" s="135">
        <v>389</v>
      </c>
      <c r="U134" s="135">
        <v>389</v>
      </c>
      <c r="V134" s="135">
        <v>0</v>
      </c>
      <c r="W134" s="135">
        <v>233.4</v>
      </c>
      <c r="X134" s="135">
        <v>237.1</v>
      </c>
      <c r="Y134" s="135">
        <v>1640197.03</v>
      </c>
      <c r="Z134" s="136"/>
      <c r="AA134" s="135">
        <v>41004.925750000002</v>
      </c>
      <c r="AB134" s="135">
        <v>41004.925750000002</v>
      </c>
      <c r="AC134" s="135">
        <v>1722206.88</v>
      </c>
      <c r="AD134" s="137">
        <f t="shared" si="74"/>
        <v>1720484.6731199999</v>
      </c>
      <c r="AE134" s="138">
        <v>39.659999999999997</v>
      </c>
      <c r="AF134" s="135">
        <v>39.340000000000003</v>
      </c>
      <c r="AG134" s="138">
        <v>39.58</v>
      </c>
      <c r="AH134" s="139">
        <v>4.5999999999999999E-3</v>
      </c>
      <c r="AI134" s="139">
        <v>4.58E-2</v>
      </c>
      <c r="AJ134" s="139">
        <v>5.2999999999999999E-2</v>
      </c>
      <c r="AK134" s="137">
        <f t="shared" si="57"/>
        <v>0</v>
      </c>
      <c r="AL134" s="137"/>
      <c r="AM134" s="137"/>
      <c r="AN134" s="137">
        <f t="shared" si="58"/>
        <v>322.09199999999998</v>
      </c>
      <c r="AO134" s="140">
        <f t="shared" si="59"/>
        <v>0</v>
      </c>
      <c r="AP134" s="137"/>
      <c r="AQ134" s="137">
        <v>0</v>
      </c>
      <c r="AR134" s="137">
        <f t="shared" si="60"/>
        <v>322.09199999999998</v>
      </c>
      <c r="AS134" s="137">
        <f t="shared" si="61"/>
        <v>338</v>
      </c>
      <c r="AT134" s="137">
        <v>0</v>
      </c>
      <c r="AU134" s="141"/>
      <c r="AV134" s="141"/>
      <c r="AW134" s="137">
        <f t="shared" si="62"/>
        <v>23340</v>
      </c>
      <c r="AX134" s="137">
        <v>0</v>
      </c>
      <c r="AY134" s="137">
        <f t="shared" si="63"/>
        <v>23340</v>
      </c>
      <c r="AZ134" s="137">
        <f t="shared" si="64"/>
        <v>23710</v>
      </c>
      <c r="BA134" s="142">
        <f t="shared" si="65"/>
        <v>-370</v>
      </c>
      <c r="BB134" s="137"/>
      <c r="BC134" s="137">
        <v>0</v>
      </c>
      <c r="BD134" s="142">
        <v>0</v>
      </c>
      <c r="BE134" s="135">
        <v>351.8</v>
      </c>
      <c r="BF134" s="143">
        <f t="shared" si="66"/>
        <v>0.52770000000000006</v>
      </c>
      <c r="BG134" s="143">
        <f t="shared" si="67"/>
        <v>351.27230000000003</v>
      </c>
      <c r="BH134" s="143">
        <f t="shared" si="68"/>
        <v>237.1</v>
      </c>
      <c r="BI134" s="144">
        <f t="shared" si="69"/>
        <v>11470.000000000002</v>
      </c>
      <c r="BJ134" s="144">
        <v>0</v>
      </c>
      <c r="BK134" s="137">
        <f t="shared" si="70"/>
        <v>11470.000000000002</v>
      </c>
      <c r="BL134" s="2"/>
      <c r="BM134" s="10" t="str">
        <f t="shared" si="71"/>
        <v>Unloading no. 124 Bill No 6 ,Deduction For Oil Deduction= 0 ,Bardana=  ,F.M=  Brokerage/Rate Difference 322.092 ,Shortage = 0 ,Greenish=  ,Moisture= 0</v>
      </c>
      <c r="BN134" s="3"/>
      <c r="BO134" s="13" t="str">
        <f t="shared" si="75"/>
        <v xml:space="preserve"> Party Condition 39.34  ,F.M% 0.46 ,Greenish 4.58 ,Moisture 5.3 ,Shortage in KG= 0  ,Oil% 39.58</v>
      </c>
      <c r="BP134" s="4">
        <f t="shared" si="76"/>
        <v>6916.385229860819</v>
      </c>
      <c r="BQ134" s="5" t="str">
        <f t="shared" si="72"/>
        <v>39.58</v>
      </c>
      <c r="BR134" s="6">
        <f t="shared" si="73"/>
        <v>7339.2667926769682</v>
      </c>
      <c r="BS134" s="5" t="s">
        <v>62</v>
      </c>
      <c r="BT134" s="5" t="s">
        <v>63</v>
      </c>
      <c r="BW134" s="92"/>
      <c r="BX134" s="27">
        <v>39.659999999999997</v>
      </c>
      <c r="BY134" s="27">
        <v>39.58</v>
      </c>
      <c r="BZ134" s="96"/>
    </row>
    <row r="135" spans="1:78" s="1" customFormat="1" ht="15.75" hidden="1" x14ac:dyDescent="0.3">
      <c r="A135" s="128" t="s">
        <v>239</v>
      </c>
      <c r="B135" s="129">
        <v>46115</v>
      </c>
      <c r="C135" s="128">
        <v>125</v>
      </c>
      <c r="D135" s="128" t="s">
        <v>312</v>
      </c>
      <c r="E135" s="146">
        <v>46118</v>
      </c>
      <c r="F135" s="128" t="s">
        <v>95</v>
      </c>
      <c r="G135" s="128" t="s">
        <v>96</v>
      </c>
      <c r="H135" s="128" t="s">
        <v>97</v>
      </c>
      <c r="I135" s="136"/>
      <c r="J135" s="128" t="s">
        <v>113</v>
      </c>
      <c r="K135" s="135">
        <v>0</v>
      </c>
      <c r="L135" s="129">
        <v>46115</v>
      </c>
      <c r="M135" s="136"/>
      <c r="N135" s="128">
        <v>24</v>
      </c>
      <c r="O135" s="146">
        <v>46117</v>
      </c>
      <c r="P135" s="135">
        <v>0</v>
      </c>
      <c r="Q135" s="135">
        <v>364</v>
      </c>
      <c r="R135" s="135">
        <v>0</v>
      </c>
      <c r="S135" s="135">
        <v>0</v>
      </c>
      <c r="T135" s="135">
        <v>364</v>
      </c>
      <c r="U135" s="135">
        <v>364</v>
      </c>
      <c r="V135" s="135">
        <v>0</v>
      </c>
      <c r="W135" s="135">
        <v>218.4</v>
      </c>
      <c r="X135" s="135">
        <v>347.7</v>
      </c>
      <c r="Y135" s="135">
        <v>1531755.16</v>
      </c>
      <c r="Z135" s="136"/>
      <c r="AA135" s="135">
        <v>38293.879000000001</v>
      </c>
      <c r="AB135" s="135">
        <v>38293.879000000001</v>
      </c>
      <c r="AC135" s="135">
        <v>1608342.92</v>
      </c>
      <c r="AD135" s="137">
        <f t="shared" si="74"/>
        <v>1606734.57708</v>
      </c>
      <c r="AE135" s="138">
        <v>39.880000000000003</v>
      </c>
      <c r="AF135" s="135">
        <v>39.770000000000003</v>
      </c>
      <c r="AG135" s="138">
        <v>39.72</v>
      </c>
      <c r="AH135" s="139">
        <v>4.3E-3</v>
      </c>
      <c r="AI135" s="139">
        <v>4.2799999999999998E-2</v>
      </c>
      <c r="AJ135" s="139">
        <v>5.8999999999999997E-2</v>
      </c>
      <c r="AK135" s="137">
        <f t="shared" si="57"/>
        <v>1925.7671108877676</v>
      </c>
      <c r="AL135" s="137"/>
      <c r="AM135" s="137"/>
      <c r="AN135" s="137">
        <f t="shared" si="58"/>
        <v>301.392</v>
      </c>
      <c r="AO135" s="140">
        <f t="shared" si="59"/>
        <v>0</v>
      </c>
      <c r="AP135" s="137"/>
      <c r="AQ135" s="137">
        <v>0</v>
      </c>
      <c r="AR135" s="137">
        <f t="shared" si="60"/>
        <v>2227.1591108877674</v>
      </c>
      <c r="AS135" s="137">
        <f t="shared" si="61"/>
        <v>2339</v>
      </c>
      <c r="AT135" s="137">
        <v>0</v>
      </c>
      <c r="AU135" s="141"/>
      <c r="AV135" s="141"/>
      <c r="AW135" s="137">
        <f t="shared" si="62"/>
        <v>21840</v>
      </c>
      <c r="AX135" s="137">
        <v>0</v>
      </c>
      <c r="AY135" s="137">
        <f t="shared" si="63"/>
        <v>21840</v>
      </c>
      <c r="AZ135" s="137">
        <f t="shared" si="64"/>
        <v>34770</v>
      </c>
      <c r="BA135" s="142">
        <f t="shared" si="65"/>
        <v>-12930</v>
      </c>
      <c r="BB135" s="137"/>
      <c r="BC135" s="137">
        <v>0</v>
      </c>
      <c r="BD135" s="142">
        <v>0</v>
      </c>
      <c r="BE135" s="135">
        <v>237.7</v>
      </c>
      <c r="BF135" s="143">
        <f t="shared" si="66"/>
        <v>0.35654999999999992</v>
      </c>
      <c r="BG135" s="143">
        <f t="shared" si="67"/>
        <v>237.34344999999999</v>
      </c>
      <c r="BH135" s="143">
        <f t="shared" si="68"/>
        <v>347.7</v>
      </c>
      <c r="BI135" s="144">
        <f t="shared" si="69"/>
        <v>-11000</v>
      </c>
      <c r="BJ135" s="144">
        <v>0</v>
      </c>
      <c r="BK135" s="137">
        <f t="shared" si="70"/>
        <v>-11000</v>
      </c>
      <c r="BL135" s="2"/>
      <c r="BM135" s="10" t="str">
        <f t="shared" si="71"/>
        <v>Unloading no. 125 Bill No 24 ,Deduction For Oil Deduction= 1925.76711088777 ,Bardana=  ,F.M=  Brokerage/Rate Difference 301.392 ,Shortage = 0 ,Greenish=  ,Moisture= 0</v>
      </c>
      <c r="BN135" s="3"/>
      <c r="BO135" s="13" t="str">
        <f t="shared" si="75"/>
        <v xml:space="preserve"> Party Condition 39.77  ,F.M% 0.43 ,Greenish 4.28 ,Moisture 5.9 ,Shortage in KG= 0  ,Oil% 39.72</v>
      </c>
      <c r="BP135" s="4">
        <f t="shared" si="76"/>
        <v>4398.9876355740935</v>
      </c>
      <c r="BQ135" s="5" t="str">
        <f t="shared" si="72"/>
        <v>39.72</v>
      </c>
      <c r="BR135" s="6">
        <f t="shared" si="73"/>
        <v>4651.4974998517609</v>
      </c>
      <c r="BS135" s="5" t="s">
        <v>62</v>
      </c>
      <c r="BT135" s="5" t="s">
        <v>63</v>
      </c>
      <c r="BW135" s="92"/>
      <c r="BX135" s="27">
        <v>39.880000000000003</v>
      </c>
      <c r="BY135" s="27">
        <v>39.72</v>
      </c>
      <c r="BZ135" s="96"/>
    </row>
    <row r="136" spans="1:78" s="1" customFormat="1" ht="15.75" hidden="1" x14ac:dyDescent="0.3">
      <c r="A136" s="128" t="s">
        <v>294</v>
      </c>
      <c r="B136" s="146">
        <v>46116</v>
      </c>
      <c r="C136" s="128">
        <v>125</v>
      </c>
      <c r="D136" s="128" t="s">
        <v>312</v>
      </c>
      <c r="E136" s="146">
        <v>46118</v>
      </c>
      <c r="F136" s="128" t="s">
        <v>95</v>
      </c>
      <c r="G136" s="128" t="s">
        <v>96</v>
      </c>
      <c r="H136" s="128" t="s">
        <v>97</v>
      </c>
      <c r="I136" s="136"/>
      <c r="J136" s="128" t="s">
        <v>113</v>
      </c>
      <c r="K136" s="135">
        <v>0</v>
      </c>
      <c r="L136" s="129">
        <v>46116</v>
      </c>
      <c r="M136" s="136"/>
      <c r="N136" s="128">
        <v>24</v>
      </c>
      <c r="O136" s="146">
        <v>46117</v>
      </c>
      <c r="P136" s="135">
        <v>0</v>
      </c>
      <c r="Q136" s="135">
        <v>16</v>
      </c>
      <c r="R136" s="135">
        <v>192</v>
      </c>
      <c r="S136" s="135">
        <v>0</v>
      </c>
      <c r="T136" s="135">
        <v>208</v>
      </c>
      <c r="U136" s="135">
        <v>208</v>
      </c>
      <c r="V136" s="135">
        <v>0</v>
      </c>
      <c r="W136" s="135">
        <v>124.8</v>
      </c>
      <c r="X136" s="135">
        <v>0</v>
      </c>
      <c r="Y136" s="135">
        <v>848637.5</v>
      </c>
      <c r="Z136" s="136"/>
      <c r="AA136" s="135">
        <v>21215.9375</v>
      </c>
      <c r="AB136" s="135">
        <v>21215.9375</v>
      </c>
      <c r="AC136" s="135">
        <v>891069.38</v>
      </c>
      <c r="AD136" s="137">
        <f t="shared" si="74"/>
        <v>890178.31062</v>
      </c>
      <c r="AE136" s="138">
        <v>39.880000000000003</v>
      </c>
      <c r="AF136" s="135">
        <v>39.729999999999997</v>
      </c>
      <c r="AG136" s="138">
        <v>39.72</v>
      </c>
      <c r="AH136" s="139">
        <v>4.3E-3</v>
      </c>
      <c r="AI136" s="139">
        <v>4.2799999999999998E-2</v>
      </c>
      <c r="AJ136" s="139">
        <v>5.8999999999999997E-2</v>
      </c>
      <c r="AK136" s="137">
        <f t="shared" si="57"/>
        <v>213.60118298510727</v>
      </c>
      <c r="AL136" s="137"/>
      <c r="AM136" s="137"/>
      <c r="AN136" s="137">
        <f t="shared" si="58"/>
        <v>172.22399999999999</v>
      </c>
      <c r="AO136" s="140">
        <f t="shared" si="59"/>
        <v>0</v>
      </c>
      <c r="AP136" s="137"/>
      <c r="AQ136" s="137">
        <v>0</v>
      </c>
      <c r="AR136" s="137">
        <f t="shared" si="60"/>
        <v>385.82518298510729</v>
      </c>
      <c r="AS136" s="137">
        <f t="shared" si="61"/>
        <v>405</v>
      </c>
      <c r="AT136" s="137">
        <v>0</v>
      </c>
      <c r="AU136" s="141"/>
      <c r="AV136" s="141"/>
      <c r="AW136" s="137">
        <f t="shared" si="62"/>
        <v>12480</v>
      </c>
      <c r="AX136" s="137">
        <v>0</v>
      </c>
      <c r="AY136" s="137">
        <f t="shared" si="63"/>
        <v>12480</v>
      </c>
      <c r="AZ136" s="137">
        <f t="shared" si="64"/>
        <v>0</v>
      </c>
      <c r="BA136" s="142">
        <f t="shared" si="65"/>
        <v>12480</v>
      </c>
      <c r="BB136" s="137"/>
      <c r="BC136" s="137">
        <v>0</v>
      </c>
      <c r="BD136" s="142">
        <v>0</v>
      </c>
      <c r="BE136" s="135">
        <v>348.2</v>
      </c>
      <c r="BF136" s="143">
        <f t="shared" si="66"/>
        <v>0.52229999999999999</v>
      </c>
      <c r="BG136" s="143">
        <f t="shared" si="67"/>
        <v>347.67770000000002</v>
      </c>
      <c r="BH136" s="143">
        <f t="shared" si="68"/>
        <v>0</v>
      </c>
      <c r="BI136" s="144">
        <f t="shared" si="69"/>
        <v>34820</v>
      </c>
      <c r="BJ136" s="144">
        <v>0</v>
      </c>
      <c r="BK136" s="137">
        <f t="shared" si="70"/>
        <v>34820</v>
      </c>
      <c r="BL136" s="2"/>
      <c r="BM136" s="10" t="str">
        <f t="shared" si="71"/>
        <v>Unloading no. 125 Bill No 24 ,Deduction For Oil Deduction= 213.601182985107 ,Bardana=  ,F.M=  Brokerage/Rate Difference 172.224 ,Shortage = 0 ,Greenish=  ,Moisture= 0</v>
      </c>
      <c r="BN136" s="3"/>
      <c r="BO136" s="13" t="str">
        <f t="shared" si="75"/>
        <v xml:space="preserve"> Party Condition 39.73  ,F.M% 0.43 ,Greenish 4.28 ,Moisture 5.9 ,Shortage in KG= 0  ,Oil% 39.72</v>
      </c>
      <c r="BP136" s="4" t="e">
        <f t="shared" si="76"/>
        <v>#DIV/0!</v>
      </c>
      <c r="BQ136" s="5" t="str">
        <f t="shared" si="72"/>
        <v>39.72</v>
      </c>
      <c r="BR136" s="6" t="e">
        <f t="shared" si="73"/>
        <v>#DIV/0!</v>
      </c>
      <c r="BS136" s="5" t="s">
        <v>62</v>
      </c>
      <c r="BT136" s="5" t="s">
        <v>63</v>
      </c>
      <c r="BW136" s="92"/>
      <c r="BX136" s="27">
        <v>39.880000000000003</v>
      </c>
      <c r="BY136" s="27">
        <v>39.72</v>
      </c>
      <c r="BZ136" s="96"/>
    </row>
    <row r="137" spans="1:78" s="1" customFormat="1" ht="15.75" hidden="1" x14ac:dyDescent="0.3">
      <c r="A137" s="128" t="s">
        <v>294</v>
      </c>
      <c r="B137" s="146">
        <v>46116</v>
      </c>
      <c r="C137" s="128">
        <v>126</v>
      </c>
      <c r="D137" s="128" t="s">
        <v>313</v>
      </c>
      <c r="E137" s="146">
        <v>46118</v>
      </c>
      <c r="F137" s="128" t="s">
        <v>95</v>
      </c>
      <c r="G137" s="128" t="s">
        <v>96</v>
      </c>
      <c r="H137" s="128" t="s">
        <v>97</v>
      </c>
      <c r="I137" s="136"/>
      <c r="J137" s="128" t="s">
        <v>113</v>
      </c>
      <c r="K137" s="135">
        <v>0</v>
      </c>
      <c r="L137" s="129">
        <v>46116</v>
      </c>
      <c r="M137" s="136"/>
      <c r="N137" s="128">
        <v>29</v>
      </c>
      <c r="O137" s="146">
        <v>46117</v>
      </c>
      <c r="P137" s="135">
        <v>0</v>
      </c>
      <c r="Q137" s="135">
        <v>450</v>
      </c>
      <c r="R137" s="135">
        <v>50</v>
      </c>
      <c r="S137" s="135">
        <v>0</v>
      </c>
      <c r="T137" s="135">
        <v>500</v>
      </c>
      <c r="U137" s="135">
        <v>500</v>
      </c>
      <c r="V137" s="135">
        <v>0</v>
      </c>
      <c r="W137" s="135">
        <v>300</v>
      </c>
      <c r="X137" s="135">
        <v>303.5</v>
      </c>
      <c r="Y137" s="135">
        <v>2060494</v>
      </c>
      <c r="Z137" s="136"/>
      <c r="AA137" s="135">
        <v>51512.35</v>
      </c>
      <c r="AB137" s="135">
        <v>51512.35</v>
      </c>
      <c r="AC137" s="135">
        <v>2163518.7000000002</v>
      </c>
      <c r="AD137" s="137">
        <f t="shared" si="74"/>
        <v>2161355.1813000003</v>
      </c>
      <c r="AE137" s="138">
        <v>40.36</v>
      </c>
      <c r="AF137" s="135">
        <v>39.729999999999997</v>
      </c>
      <c r="AG137" s="138">
        <v>40.32</v>
      </c>
      <c r="AH137" s="139">
        <v>4.4000000000000003E-3</v>
      </c>
      <c r="AI137" s="139">
        <v>0.04</v>
      </c>
      <c r="AJ137" s="139">
        <v>5.6000000000000001E-2</v>
      </c>
      <c r="AK137" s="137">
        <f t="shared" si="57"/>
        <v>0</v>
      </c>
      <c r="AL137" s="137"/>
      <c r="AM137" s="137"/>
      <c r="AN137" s="137">
        <f t="shared" si="58"/>
        <v>413.99999999999994</v>
      </c>
      <c r="AO137" s="140">
        <f t="shared" si="59"/>
        <v>0</v>
      </c>
      <c r="AP137" s="137"/>
      <c r="AQ137" s="137">
        <v>0</v>
      </c>
      <c r="AR137" s="137">
        <f t="shared" si="60"/>
        <v>413.99999999999994</v>
      </c>
      <c r="AS137" s="137">
        <f t="shared" si="61"/>
        <v>435</v>
      </c>
      <c r="AT137" s="137">
        <v>0</v>
      </c>
      <c r="AU137" s="141"/>
      <c r="AV137" s="141"/>
      <c r="AW137" s="137">
        <f t="shared" si="62"/>
        <v>30000</v>
      </c>
      <c r="AX137" s="137">
        <v>0</v>
      </c>
      <c r="AY137" s="137">
        <f t="shared" si="63"/>
        <v>30000</v>
      </c>
      <c r="AZ137" s="137">
        <f t="shared" si="64"/>
        <v>30350</v>
      </c>
      <c r="BA137" s="142">
        <f t="shared" si="65"/>
        <v>-350</v>
      </c>
      <c r="BB137" s="137"/>
      <c r="BC137" s="137">
        <v>0</v>
      </c>
      <c r="BD137" s="142">
        <v>0</v>
      </c>
      <c r="BE137" s="135">
        <v>0</v>
      </c>
      <c r="BF137" s="143">
        <f t="shared" si="66"/>
        <v>0</v>
      </c>
      <c r="BG137" s="143">
        <f t="shared" si="67"/>
        <v>0</v>
      </c>
      <c r="BH137" s="143">
        <f t="shared" si="68"/>
        <v>303.5</v>
      </c>
      <c r="BI137" s="144">
        <f t="shared" si="69"/>
        <v>-30350</v>
      </c>
      <c r="BJ137" s="144">
        <v>0</v>
      </c>
      <c r="BK137" s="137">
        <f t="shared" si="70"/>
        <v>-30350</v>
      </c>
      <c r="BL137" s="2"/>
      <c r="BM137" s="10" t="str">
        <f t="shared" si="71"/>
        <v>Unloading no. 126 Bill No 29 ,Deduction For Oil Deduction= 0 ,Bardana=  ,F.M=  Brokerage/Rate Difference 414 ,Shortage = 0 ,Greenish=  ,Moisture= 0</v>
      </c>
      <c r="BN137" s="3"/>
      <c r="BO137" s="13" t="str">
        <f t="shared" si="75"/>
        <v xml:space="preserve"> Party Condition 39.73  ,F.M% 0.44 ,Greenish 4 ,Moisture 5.6 ,Shortage in KG= 0  ,Oil% 40.32</v>
      </c>
      <c r="BP137" s="4">
        <f t="shared" si="76"/>
        <v>6787.7429983525535</v>
      </c>
      <c r="BQ137" s="5" t="str">
        <f t="shared" si="72"/>
        <v>40.32</v>
      </c>
      <c r="BR137" s="6">
        <f t="shared" si="73"/>
        <v>7070.5656232839092</v>
      </c>
      <c r="BS137" s="5" t="s">
        <v>62</v>
      </c>
      <c r="BT137" s="5" t="s">
        <v>63</v>
      </c>
      <c r="BW137" s="92"/>
      <c r="BX137" s="27">
        <v>40.36</v>
      </c>
      <c r="BY137" s="27">
        <v>40.32</v>
      </c>
      <c r="BZ137" s="96"/>
    </row>
    <row r="138" spans="1:78" s="1" customFormat="1" ht="15.75" hidden="1" x14ac:dyDescent="0.3">
      <c r="A138" s="128" t="s">
        <v>227</v>
      </c>
      <c r="B138" s="129">
        <v>46113</v>
      </c>
      <c r="C138" s="128">
        <v>127</v>
      </c>
      <c r="D138" s="128" t="s">
        <v>314</v>
      </c>
      <c r="E138" s="146">
        <v>46118</v>
      </c>
      <c r="F138" s="128" t="s">
        <v>98</v>
      </c>
      <c r="G138" s="128" t="s">
        <v>99</v>
      </c>
      <c r="H138" s="128" t="s">
        <v>199</v>
      </c>
      <c r="I138" s="136"/>
      <c r="J138" s="128" t="s">
        <v>113</v>
      </c>
      <c r="K138" s="135">
        <v>0</v>
      </c>
      <c r="L138" s="129">
        <v>46113</v>
      </c>
      <c r="M138" s="136"/>
      <c r="N138" s="128">
        <v>16</v>
      </c>
      <c r="O138" s="146">
        <v>46116</v>
      </c>
      <c r="P138" s="135">
        <v>0</v>
      </c>
      <c r="Q138" s="135">
        <v>376</v>
      </c>
      <c r="R138" s="135">
        <v>100</v>
      </c>
      <c r="S138" s="135">
        <v>0</v>
      </c>
      <c r="T138" s="135">
        <v>476</v>
      </c>
      <c r="U138" s="135">
        <v>476</v>
      </c>
      <c r="V138" s="135">
        <v>0</v>
      </c>
      <c r="W138" s="135">
        <v>285.60000000000002</v>
      </c>
      <c r="X138" s="135">
        <v>290</v>
      </c>
      <c r="Y138" s="135">
        <v>2005270.9</v>
      </c>
      <c r="Z138" s="136"/>
      <c r="AA138" s="135">
        <v>50131.772499999999</v>
      </c>
      <c r="AB138" s="135">
        <v>50131.772499999999</v>
      </c>
      <c r="AC138" s="135">
        <v>2105534.4500000002</v>
      </c>
      <c r="AD138" s="137">
        <f t="shared" si="74"/>
        <v>2103428.91555</v>
      </c>
      <c r="AE138" s="138">
        <v>39.119999999999997</v>
      </c>
      <c r="AF138" s="135">
        <v>39.380000000000003</v>
      </c>
      <c r="AG138" s="138">
        <v>39.049999999999997</v>
      </c>
      <c r="AH138" s="139">
        <v>4.1999999999999997E-3</v>
      </c>
      <c r="AI138" s="139">
        <v>4.1000000000000002E-2</v>
      </c>
      <c r="AJ138" s="139">
        <v>6.2E-2</v>
      </c>
      <c r="AK138" s="137">
        <f t="shared" si="57"/>
        <v>16803.946089385747</v>
      </c>
      <c r="AL138" s="137"/>
      <c r="AM138" s="137"/>
      <c r="AN138" s="137">
        <f t="shared" si="58"/>
        <v>394.12799999999999</v>
      </c>
      <c r="AO138" s="140">
        <f t="shared" si="59"/>
        <v>0</v>
      </c>
      <c r="AP138" s="137"/>
      <c r="AQ138" s="137">
        <v>0</v>
      </c>
      <c r="AR138" s="137">
        <f t="shared" si="60"/>
        <v>17198.074089385747</v>
      </c>
      <c r="AS138" s="137">
        <f t="shared" si="61"/>
        <v>18058</v>
      </c>
      <c r="AT138" s="137">
        <v>0</v>
      </c>
      <c r="AU138" s="141"/>
      <c r="AV138" s="141"/>
      <c r="AW138" s="137">
        <f t="shared" si="62"/>
        <v>28560.000000000004</v>
      </c>
      <c r="AX138" s="137">
        <v>0</v>
      </c>
      <c r="AY138" s="137">
        <f t="shared" si="63"/>
        <v>28560.000000000004</v>
      </c>
      <c r="AZ138" s="137">
        <f t="shared" si="64"/>
        <v>29000</v>
      </c>
      <c r="BA138" s="142">
        <f t="shared" si="65"/>
        <v>-439.99999999999636</v>
      </c>
      <c r="BB138" s="137"/>
      <c r="BC138" s="137">
        <v>0</v>
      </c>
      <c r="BD138" s="142">
        <v>0</v>
      </c>
      <c r="BE138" s="135">
        <v>303.60000000000002</v>
      </c>
      <c r="BF138" s="143">
        <f t="shared" si="66"/>
        <v>0.45539999999999997</v>
      </c>
      <c r="BG138" s="143">
        <f t="shared" si="67"/>
        <v>303.14460000000003</v>
      </c>
      <c r="BH138" s="143">
        <f t="shared" si="68"/>
        <v>290</v>
      </c>
      <c r="BI138" s="144">
        <f t="shared" si="69"/>
        <v>1360.0000000000023</v>
      </c>
      <c r="BJ138" s="144">
        <v>0</v>
      </c>
      <c r="BK138" s="137">
        <f t="shared" si="70"/>
        <v>1360.0000000000023</v>
      </c>
      <c r="BL138" s="2"/>
      <c r="BM138" s="10" t="str">
        <f t="shared" si="71"/>
        <v>Unloading no. 127 Bill No 16 ,Deduction For Oil Deduction= 16803.9460893857 ,Bardana=  ,F.M=  Brokerage/Rate Difference 394.128 ,Shortage = 0 ,Greenish=  ,Moisture= 0</v>
      </c>
      <c r="BN138" s="3"/>
      <c r="BO138" s="13" t="str">
        <f t="shared" si="75"/>
        <v xml:space="preserve"> Party Condition 39.38  ,F.M% 0.42 ,Greenish 4.1 ,Moisture 6.2 ,Shortage in KG= 0  ,Oil% 39.05</v>
      </c>
      <c r="BP138" s="4">
        <f t="shared" si="76"/>
        <v>6855.4235376228071</v>
      </c>
      <c r="BQ138" s="5" t="str">
        <f t="shared" si="72"/>
        <v>39.05</v>
      </c>
      <c r="BR138" s="6">
        <f t="shared" si="73"/>
        <v>7373.3108471231226</v>
      </c>
      <c r="BS138" s="5" t="s">
        <v>62</v>
      </c>
      <c r="BT138" s="5" t="s">
        <v>63</v>
      </c>
      <c r="BW138" s="92"/>
      <c r="BX138" s="27">
        <v>39.119999999999997</v>
      </c>
      <c r="BY138" s="27">
        <v>39.049999999999997</v>
      </c>
      <c r="BZ138" s="96"/>
    </row>
    <row r="139" spans="1:78" s="1" customFormat="1" ht="15.75" hidden="1" x14ac:dyDescent="0.3">
      <c r="A139" s="128" t="s">
        <v>227</v>
      </c>
      <c r="B139" s="129">
        <v>46113</v>
      </c>
      <c r="C139" s="128">
        <v>128</v>
      </c>
      <c r="D139" s="128" t="s">
        <v>315</v>
      </c>
      <c r="E139" s="146">
        <v>46118</v>
      </c>
      <c r="F139" s="128" t="s">
        <v>98</v>
      </c>
      <c r="G139" s="128" t="s">
        <v>99</v>
      </c>
      <c r="H139" s="128" t="s">
        <v>199</v>
      </c>
      <c r="I139" s="136"/>
      <c r="J139" s="128" t="s">
        <v>113</v>
      </c>
      <c r="K139" s="135">
        <v>0</v>
      </c>
      <c r="L139" s="129">
        <v>46113</v>
      </c>
      <c r="M139" s="136"/>
      <c r="N139" s="128">
        <v>17</v>
      </c>
      <c r="O139" s="146">
        <v>46116</v>
      </c>
      <c r="P139" s="135">
        <v>0</v>
      </c>
      <c r="Q139" s="135">
        <v>290</v>
      </c>
      <c r="R139" s="135">
        <v>165</v>
      </c>
      <c r="S139" s="135">
        <v>0</v>
      </c>
      <c r="T139" s="135">
        <v>455</v>
      </c>
      <c r="U139" s="135">
        <v>455</v>
      </c>
      <c r="V139" s="135">
        <v>0</v>
      </c>
      <c r="W139" s="135">
        <v>273</v>
      </c>
      <c r="X139" s="135">
        <v>276.7</v>
      </c>
      <c r="Y139" s="135">
        <v>1916803.07</v>
      </c>
      <c r="Z139" s="136"/>
      <c r="AA139" s="135">
        <v>47920.07675</v>
      </c>
      <c r="AB139" s="135">
        <v>47920.07675</v>
      </c>
      <c r="AC139" s="135">
        <v>2012643.22</v>
      </c>
      <c r="AD139" s="137">
        <f t="shared" si="74"/>
        <v>2010630.57678</v>
      </c>
      <c r="AE139" s="138">
        <v>40.07</v>
      </c>
      <c r="AF139" s="135">
        <v>39.380000000000003</v>
      </c>
      <c r="AG139" s="138">
        <v>39.99</v>
      </c>
      <c r="AH139" s="139">
        <v>4.5999999999999999E-3</v>
      </c>
      <c r="AI139" s="139">
        <v>4.0800000000000003E-2</v>
      </c>
      <c r="AJ139" s="139">
        <v>5.8000000000000003E-2</v>
      </c>
      <c r="AK139" s="137">
        <f t="shared" si="57"/>
        <v>0</v>
      </c>
      <c r="AL139" s="137"/>
      <c r="AM139" s="137"/>
      <c r="AN139" s="137">
        <f t="shared" si="58"/>
        <v>376.73999999999995</v>
      </c>
      <c r="AO139" s="140">
        <f t="shared" si="59"/>
        <v>0</v>
      </c>
      <c r="AP139" s="137"/>
      <c r="AQ139" s="137">
        <v>0</v>
      </c>
      <c r="AR139" s="137">
        <f t="shared" si="60"/>
        <v>376.73999999999995</v>
      </c>
      <c r="AS139" s="137">
        <f t="shared" si="61"/>
        <v>396</v>
      </c>
      <c r="AT139" s="137">
        <v>0</v>
      </c>
      <c r="AU139" s="141"/>
      <c r="AV139" s="141"/>
      <c r="AW139" s="137">
        <f t="shared" si="62"/>
        <v>27300</v>
      </c>
      <c r="AX139" s="137">
        <v>0</v>
      </c>
      <c r="AY139" s="137">
        <f t="shared" si="63"/>
        <v>27300</v>
      </c>
      <c r="AZ139" s="137">
        <f t="shared" si="64"/>
        <v>27670</v>
      </c>
      <c r="BA139" s="142">
        <f t="shared" si="65"/>
        <v>-370</v>
      </c>
      <c r="BB139" s="137"/>
      <c r="BC139" s="137">
        <v>0</v>
      </c>
      <c r="BD139" s="142">
        <v>0</v>
      </c>
      <c r="BE139" s="135">
        <v>290.39999999999998</v>
      </c>
      <c r="BF139" s="143">
        <f t="shared" si="66"/>
        <v>0.43559999999999993</v>
      </c>
      <c r="BG139" s="143">
        <f t="shared" si="67"/>
        <v>289.96439999999996</v>
      </c>
      <c r="BH139" s="143">
        <f t="shared" si="68"/>
        <v>276.7</v>
      </c>
      <c r="BI139" s="144">
        <f t="shared" si="69"/>
        <v>1369.9999999999989</v>
      </c>
      <c r="BJ139" s="144">
        <v>0</v>
      </c>
      <c r="BK139" s="137">
        <f t="shared" si="70"/>
        <v>1369.9999999999989</v>
      </c>
      <c r="BL139" s="2"/>
      <c r="BM139" s="10" t="str">
        <f t="shared" si="71"/>
        <v>Unloading no. 128 Bill No 17 ,Deduction For Oil Deduction= 0 ,Bardana=  ,F.M=  Brokerage/Rate Difference 376.74 ,Shortage = 0 ,Greenish=  ,Moisture= 0</v>
      </c>
      <c r="BN139" s="3"/>
      <c r="BO139" s="13" t="str">
        <f t="shared" si="75"/>
        <v xml:space="preserve"> Party Condition 39.38  ,F.M% 0.46 ,Greenish 4.08 ,Moisture 5.8 ,Shortage in KG= 0  ,Oil% 39.99</v>
      </c>
      <c r="BP139" s="4">
        <f t="shared" si="76"/>
        <v>6926.0076978677271</v>
      </c>
      <c r="BQ139" s="5" t="str">
        <f t="shared" si="72"/>
        <v>39.99</v>
      </c>
      <c r="BR139" s="6">
        <f t="shared" si="73"/>
        <v>7274.1266144147166</v>
      </c>
      <c r="BS139" s="5" t="s">
        <v>62</v>
      </c>
      <c r="BT139" s="5" t="s">
        <v>63</v>
      </c>
      <c r="BW139" s="92"/>
      <c r="BX139" s="27">
        <v>40.07</v>
      </c>
      <c r="BY139" s="27">
        <v>39.99</v>
      </c>
      <c r="BZ139" s="96"/>
    </row>
    <row r="140" spans="1:78" s="1" customFormat="1" ht="15.75" hidden="1" x14ac:dyDescent="0.3">
      <c r="A140" s="128" t="s">
        <v>238</v>
      </c>
      <c r="B140" s="146">
        <v>46113</v>
      </c>
      <c r="C140" s="128">
        <v>129</v>
      </c>
      <c r="D140" s="128" t="s">
        <v>316</v>
      </c>
      <c r="E140" s="146">
        <v>46118</v>
      </c>
      <c r="F140" s="128" t="s">
        <v>104</v>
      </c>
      <c r="G140" s="128" t="s">
        <v>105</v>
      </c>
      <c r="H140" s="128" t="s">
        <v>106</v>
      </c>
      <c r="I140" s="136"/>
      <c r="J140" s="128" t="s">
        <v>113</v>
      </c>
      <c r="K140" s="135">
        <v>0</v>
      </c>
      <c r="L140" s="129">
        <v>46113</v>
      </c>
      <c r="M140" s="136"/>
      <c r="N140" s="128" t="s">
        <v>372</v>
      </c>
      <c r="O140" s="146">
        <v>46116</v>
      </c>
      <c r="P140" s="135">
        <v>0</v>
      </c>
      <c r="Q140" s="135">
        <v>300</v>
      </c>
      <c r="R140" s="135">
        <v>375</v>
      </c>
      <c r="S140" s="135">
        <v>0</v>
      </c>
      <c r="T140" s="135">
        <v>675</v>
      </c>
      <c r="U140" s="135">
        <v>675</v>
      </c>
      <c r="V140" s="135">
        <v>0</v>
      </c>
      <c r="W140" s="135">
        <v>405</v>
      </c>
      <c r="X140" s="135">
        <v>412.2</v>
      </c>
      <c r="Y140" s="135">
        <v>2821351.5</v>
      </c>
      <c r="Z140" s="136"/>
      <c r="AA140" s="135">
        <v>70533.787500000006</v>
      </c>
      <c r="AB140" s="135">
        <v>70533.787500000006</v>
      </c>
      <c r="AC140" s="135">
        <v>2962419.08</v>
      </c>
      <c r="AD140" s="137">
        <f t="shared" si="74"/>
        <v>2959456.6609200002</v>
      </c>
      <c r="AE140" s="138">
        <v>39.799999999999997</v>
      </c>
      <c r="AF140" s="135">
        <v>39.5</v>
      </c>
      <c r="AG140" s="138">
        <v>39.729999999999997</v>
      </c>
      <c r="AH140" s="139">
        <v>4.8999999999999998E-3</v>
      </c>
      <c r="AI140" s="139">
        <v>4.6100000000000002E-2</v>
      </c>
      <c r="AJ140" s="139">
        <v>0.06</v>
      </c>
      <c r="AK140" s="137">
        <f t="shared" si="57"/>
        <v>0</v>
      </c>
      <c r="AL140" s="137"/>
      <c r="AM140" s="137"/>
      <c r="AN140" s="137">
        <f t="shared" si="58"/>
        <v>558.9</v>
      </c>
      <c r="AO140" s="140">
        <f t="shared" si="59"/>
        <v>0</v>
      </c>
      <c r="AP140" s="137"/>
      <c r="AQ140" s="137">
        <v>0</v>
      </c>
      <c r="AR140" s="137">
        <f t="shared" si="60"/>
        <v>558.9</v>
      </c>
      <c r="AS140" s="137">
        <f t="shared" si="61"/>
        <v>587</v>
      </c>
      <c r="AT140" s="137">
        <v>0</v>
      </c>
      <c r="AU140" s="141"/>
      <c r="AV140" s="141"/>
      <c r="AW140" s="137">
        <f t="shared" si="62"/>
        <v>40500</v>
      </c>
      <c r="AX140" s="137">
        <v>0</v>
      </c>
      <c r="AY140" s="137">
        <f t="shared" si="63"/>
        <v>40500</v>
      </c>
      <c r="AZ140" s="137">
        <f t="shared" si="64"/>
        <v>41220</v>
      </c>
      <c r="BA140" s="142">
        <f t="shared" si="65"/>
        <v>-720</v>
      </c>
      <c r="BB140" s="137"/>
      <c r="BC140" s="137">
        <v>0</v>
      </c>
      <c r="BD140" s="142">
        <v>0</v>
      </c>
      <c r="BE140" s="135">
        <v>277.2</v>
      </c>
      <c r="BF140" s="143">
        <f t="shared" si="66"/>
        <v>0.4158</v>
      </c>
      <c r="BG140" s="143">
        <f t="shared" si="67"/>
        <v>276.7842</v>
      </c>
      <c r="BH140" s="143">
        <f t="shared" si="68"/>
        <v>412.2</v>
      </c>
      <c r="BI140" s="144">
        <f t="shared" si="69"/>
        <v>-13500</v>
      </c>
      <c r="BJ140" s="144">
        <v>0</v>
      </c>
      <c r="BK140" s="137">
        <f t="shared" si="70"/>
        <v>-13500</v>
      </c>
      <c r="BL140" s="2"/>
      <c r="BM140" s="10" t="str">
        <f t="shared" si="71"/>
        <v>Unloading no. 129 Bill No MTC/2026/27/011 ,Deduction For Oil Deduction= 0 ,Bardana=  ,F.M=  Brokerage/Rate Difference 558.9 ,Shortage = 0 ,Greenish=  ,Moisture= 0</v>
      </c>
      <c r="BN140" s="3"/>
      <c r="BO140" s="13" t="str">
        <f t="shared" si="75"/>
        <v xml:space="preserve"> Party Condition 39.5  ,F.M% 0.49 ,Greenish 4.61 ,Moisture 6 ,Shortage in KG= 0  ,Oil% 39.73</v>
      </c>
      <c r="BP140" s="4">
        <f t="shared" si="76"/>
        <v>6843.2620087336245</v>
      </c>
      <c r="BQ140" s="5" t="str">
        <f t="shared" si="72"/>
        <v>39.73</v>
      </c>
      <c r="BR140" s="6">
        <f t="shared" si="73"/>
        <v>7234.2563394616727</v>
      </c>
      <c r="BS140" s="5" t="s">
        <v>62</v>
      </c>
      <c r="BT140" s="5" t="s">
        <v>63</v>
      </c>
      <c r="BW140" s="92"/>
      <c r="BX140" s="27">
        <v>39.799999999999997</v>
      </c>
      <c r="BY140" s="27">
        <v>39.729999999999997</v>
      </c>
      <c r="BZ140" s="96"/>
    </row>
    <row r="141" spans="1:78" s="1" customFormat="1" ht="15.75" hidden="1" x14ac:dyDescent="0.3">
      <c r="A141" s="128" t="s">
        <v>300</v>
      </c>
      <c r="B141" s="146">
        <v>46114</v>
      </c>
      <c r="C141" s="128">
        <v>130</v>
      </c>
      <c r="D141" s="128" t="s">
        <v>317</v>
      </c>
      <c r="E141" s="146">
        <v>46118</v>
      </c>
      <c r="F141" s="128" t="s">
        <v>104</v>
      </c>
      <c r="G141" s="128" t="s">
        <v>105</v>
      </c>
      <c r="H141" s="128" t="s">
        <v>106</v>
      </c>
      <c r="I141" s="136"/>
      <c r="J141" s="128" t="s">
        <v>113</v>
      </c>
      <c r="K141" s="135">
        <v>0</v>
      </c>
      <c r="L141" s="129">
        <v>46114</v>
      </c>
      <c r="M141" s="136"/>
      <c r="N141" s="128" t="s">
        <v>373</v>
      </c>
      <c r="O141" s="146">
        <v>46116</v>
      </c>
      <c r="P141" s="135">
        <v>0</v>
      </c>
      <c r="Q141" s="135">
        <v>373</v>
      </c>
      <c r="R141" s="135">
        <v>300</v>
      </c>
      <c r="S141" s="135">
        <v>0</v>
      </c>
      <c r="T141" s="135">
        <v>673</v>
      </c>
      <c r="U141" s="135">
        <v>673</v>
      </c>
      <c r="V141" s="135">
        <v>0</v>
      </c>
      <c r="W141" s="135">
        <v>403.8</v>
      </c>
      <c r="X141" s="135">
        <v>408.9</v>
      </c>
      <c r="Y141" s="135">
        <v>2799068.92</v>
      </c>
      <c r="Z141" s="136"/>
      <c r="AA141" s="135">
        <v>69976.722999999998</v>
      </c>
      <c r="AB141" s="135">
        <v>69976.722999999998</v>
      </c>
      <c r="AC141" s="135">
        <v>2939022.37</v>
      </c>
      <c r="AD141" s="137">
        <f t="shared" si="74"/>
        <v>2936083.3476300002</v>
      </c>
      <c r="AE141" s="138">
        <v>40.450000000000003</v>
      </c>
      <c r="AF141" s="135">
        <v>39.049999999999997</v>
      </c>
      <c r="AG141" s="138">
        <v>40.5</v>
      </c>
      <c r="AH141" s="139">
        <v>4.4999999999999997E-3</v>
      </c>
      <c r="AI141" s="139">
        <v>0.04</v>
      </c>
      <c r="AJ141" s="139">
        <v>5.3999999999999999E-2</v>
      </c>
      <c r="AK141" s="137">
        <f t="shared" si="57"/>
        <v>0</v>
      </c>
      <c r="AL141" s="137"/>
      <c r="AM141" s="137"/>
      <c r="AN141" s="137">
        <f t="shared" si="58"/>
        <v>557.24400000000003</v>
      </c>
      <c r="AO141" s="140">
        <f t="shared" si="59"/>
        <v>0</v>
      </c>
      <c r="AP141" s="137"/>
      <c r="AQ141" s="137">
        <v>0</v>
      </c>
      <c r="AR141" s="137">
        <f t="shared" si="60"/>
        <v>557.24400000000003</v>
      </c>
      <c r="AS141" s="137">
        <f t="shared" si="61"/>
        <v>585</v>
      </c>
      <c r="AT141" s="137">
        <v>0</v>
      </c>
      <c r="AU141" s="141"/>
      <c r="AV141" s="141"/>
      <c r="AW141" s="137">
        <f t="shared" si="62"/>
        <v>40380</v>
      </c>
      <c r="AX141" s="137">
        <v>0</v>
      </c>
      <c r="AY141" s="137">
        <f t="shared" si="63"/>
        <v>40380</v>
      </c>
      <c r="AZ141" s="137">
        <f t="shared" si="64"/>
        <v>40890</v>
      </c>
      <c r="BA141" s="142">
        <f t="shared" si="65"/>
        <v>-510</v>
      </c>
      <c r="BB141" s="137"/>
      <c r="BC141" s="137">
        <v>0</v>
      </c>
      <c r="BD141" s="142">
        <v>0</v>
      </c>
      <c r="BE141" s="135">
        <v>412.15</v>
      </c>
      <c r="BF141" s="143">
        <f t="shared" si="66"/>
        <v>0.61822499999999991</v>
      </c>
      <c r="BG141" s="143">
        <f t="shared" si="67"/>
        <v>411.53177499999998</v>
      </c>
      <c r="BH141" s="143">
        <f t="shared" si="68"/>
        <v>408.9</v>
      </c>
      <c r="BI141" s="144">
        <f t="shared" si="69"/>
        <v>325</v>
      </c>
      <c r="BJ141" s="144">
        <v>0</v>
      </c>
      <c r="BK141" s="137">
        <f t="shared" si="70"/>
        <v>325</v>
      </c>
      <c r="BL141" s="2"/>
      <c r="BM141" s="10" t="str">
        <f t="shared" si="71"/>
        <v>Unloading no. 130 Bill No MTC/2026-27/016 ,Deduction For Oil Deduction= 0 ,Bardana=  ,F.M=  Brokerage/Rate Difference 557.244 ,Shortage = 0 ,Greenish=  ,Moisture= 0</v>
      </c>
      <c r="BN141" s="3"/>
      <c r="BO141" s="13" t="str">
        <f t="shared" si="75"/>
        <v xml:space="preserve"> Party Condition 39.05  ,F.M% 0.45 ,Greenish 4 ,Moisture 5.4 ,Shortage in KG= 0  ,Oil% 40.45</v>
      </c>
      <c r="BP141" s="4">
        <f t="shared" si="76"/>
        <v>6844.0001858645146</v>
      </c>
      <c r="BQ141" s="5" t="str">
        <f t="shared" si="72"/>
        <v>40.45</v>
      </c>
      <c r="BR141" s="6">
        <f t="shared" si="73"/>
        <v>7106.2548283389269</v>
      </c>
      <c r="BS141" s="5" t="s">
        <v>62</v>
      </c>
      <c r="BT141" s="5" t="s">
        <v>63</v>
      </c>
      <c r="BW141" s="92"/>
      <c r="BX141" s="27">
        <v>40.450000000000003</v>
      </c>
      <c r="BY141" s="27">
        <v>40.5</v>
      </c>
      <c r="BZ141" s="96"/>
    </row>
    <row r="142" spans="1:78" s="1" customFormat="1" ht="15.75" hidden="1" x14ac:dyDescent="0.3">
      <c r="A142" s="128" t="s">
        <v>227</v>
      </c>
      <c r="B142" s="129">
        <v>46113</v>
      </c>
      <c r="C142" s="128">
        <v>131</v>
      </c>
      <c r="D142" s="128" t="s">
        <v>318</v>
      </c>
      <c r="E142" s="146">
        <v>46118</v>
      </c>
      <c r="F142" s="128" t="s">
        <v>98</v>
      </c>
      <c r="G142" s="128" t="s">
        <v>99</v>
      </c>
      <c r="H142" s="128" t="s">
        <v>199</v>
      </c>
      <c r="I142" s="136"/>
      <c r="J142" s="128" t="s">
        <v>113</v>
      </c>
      <c r="K142" s="135">
        <v>0</v>
      </c>
      <c r="L142" s="129">
        <v>46113</v>
      </c>
      <c r="M142" s="136"/>
      <c r="N142" s="128">
        <v>19</v>
      </c>
      <c r="O142" s="146">
        <v>46117</v>
      </c>
      <c r="P142" s="135">
        <v>0</v>
      </c>
      <c r="Q142" s="135">
        <v>260</v>
      </c>
      <c r="R142" s="135">
        <v>208</v>
      </c>
      <c r="S142" s="135">
        <v>0</v>
      </c>
      <c r="T142" s="135">
        <v>468</v>
      </c>
      <c r="U142" s="135">
        <v>468</v>
      </c>
      <c r="V142" s="135">
        <v>0</v>
      </c>
      <c r="W142" s="135">
        <v>280.8</v>
      </c>
      <c r="X142" s="135">
        <v>284.39999999999998</v>
      </c>
      <c r="Y142" s="135">
        <v>1971566.06</v>
      </c>
      <c r="Z142" s="136"/>
      <c r="AA142" s="135">
        <v>49289.1515</v>
      </c>
      <c r="AB142" s="135">
        <v>49289.1515</v>
      </c>
      <c r="AC142" s="135">
        <v>2070144.36</v>
      </c>
      <c r="AD142" s="137">
        <f t="shared" si="74"/>
        <v>2068074.2156400001</v>
      </c>
      <c r="AE142" s="138">
        <v>39.659999999999997</v>
      </c>
      <c r="AF142" s="135">
        <v>39.380000000000003</v>
      </c>
      <c r="AG142" s="138">
        <v>39.57</v>
      </c>
      <c r="AH142" s="139">
        <v>4.4999999999999997E-3</v>
      </c>
      <c r="AI142" s="139">
        <v>0.04</v>
      </c>
      <c r="AJ142" s="139">
        <v>5.3999999999999999E-2</v>
      </c>
      <c r="AK142" s="137">
        <f t="shared" si="57"/>
        <v>0</v>
      </c>
      <c r="AL142" s="137"/>
      <c r="AM142" s="137"/>
      <c r="AN142" s="137">
        <f t="shared" si="58"/>
        <v>387.50399999999996</v>
      </c>
      <c r="AO142" s="140">
        <f t="shared" si="59"/>
        <v>0</v>
      </c>
      <c r="AP142" s="137"/>
      <c r="AQ142" s="137">
        <v>0</v>
      </c>
      <c r="AR142" s="137">
        <f t="shared" si="60"/>
        <v>387.50399999999996</v>
      </c>
      <c r="AS142" s="137">
        <f t="shared" si="61"/>
        <v>407</v>
      </c>
      <c r="AT142" s="137">
        <v>0</v>
      </c>
      <c r="AU142" s="141"/>
      <c r="AV142" s="141"/>
      <c r="AW142" s="137">
        <f t="shared" si="62"/>
        <v>28080</v>
      </c>
      <c r="AX142" s="137">
        <v>0</v>
      </c>
      <c r="AY142" s="137">
        <f t="shared" si="63"/>
        <v>28080</v>
      </c>
      <c r="AZ142" s="137">
        <f t="shared" si="64"/>
        <v>28439.999999999996</v>
      </c>
      <c r="BA142" s="142">
        <f t="shared" si="65"/>
        <v>-359.99999999999636</v>
      </c>
      <c r="BB142" s="137"/>
      <c r="BC142" s="137">
        <v>0</v>
      </c>
      <c r="BD142" s="142">
        <v>0</v>
      </c>
      <c r="BE142" s="135">
        <v>409.4</v>
      </c>
      <c r="BF142" s="143">
        <f t="shared" si="66"/>
        <v>0.61409999999999998</v>
      </c>
      <c r="BG142" s="143">
        <f t="shared" si="67"/>
        <v>408.78589999999997</v>
      </c>
      <c r="BH142" s="143">
        <f t="shared" si="68"/>
        <v>284.39999999999998</v>
      </c>
      <c r="BI142" s="144">
        <f t="shared" si="69"/>
        <v>12500</v>
      </c>
      <c r="BJ142" s="144">
        <v>0</v>
      </c>
      <c r="BK142" s="137">
        <f t="shared" si="70"/>
        <v>12500</v>
      </c>
      <c r="BL142" s="2"/>
      <c r="BM142" s="10" t="str">
        <f t="shared" si="71"/>
        <v>Unloading no. 131 Bill No 19 ,Deduction For Oil Deduction= 0 ,Bardana=  ,F.M=  Brokerage/Rate Difference 387.504 ,Shortage = 0 ,Greenish=  ,Moisture= 0</v>
      </c>
      <c r="BN142" s="3"/>
      <c r="BO142" s="13" t="str">
        <f t="shared" si="75"/>
        <v xml:space="preserve"> Party Condition 39.38  ,F.M% 0.45 ,Greenish 4 ,Moisture 5.4 ,Shortage in KG= 0  ,Oil% 39.57</v>
      </c>
      <c r="BP142" s="4">
        <f t="shared" si="76"/>
        <v>6931.0075808720121</v>
      </c>
      <c r="BQ142" s="5" t="str">
        <f t="shared" si="72"/>
        <v>39.57</v>
      </c>
      <c r="BR142" s="6">
        <f t="shared" si="73"/>
        <v>7356.6418599096414</v>
      </c>
      <c r="BS142" s="5" t="s">
        <v>62</v>
      </c>
      <c r="BT142" s="5" t="s">
        <v>63</v>
      </c>
      <c r="BW142" s="92"/>
      <c r="BX142" s="27">
        <v>39.659999999999997</v>
      </c>
      <c r="BY142" s="27">
        <v>39.57</v>
      </c>
      <c r="BZ142" s="96"/>
    </row>
    <row r="143" spans="1:78" s="1" customFormat="1" ht="15.75" hidden="1" x14ac:dyDescent="0.3">
      <c r="A143" s="128" t="s">
        <v>295</v>
      </c>
      <c r="B143" s="146">
        <v>46116</v>
      </c>
      <c r="C143" s="128">
        <v>132</v>
      </c>
      <c r="D143" s="128" t="s">
        <v>319</v>
      </c>
      <c r="E143" s="146">
        <v>46118</v>
      </c>
      <c r="F143" s="128" t="s">
        <v>101</v>
      </c>
      <c r="G143" s="128" t="s">
        <v>102</v>
      </c>
      <c r="H143" s="128" t="s">
        <v>97</v>
      </c>
      <c r="I143" s="136"/>
      <c r="J143" s="128" t="s">
        <v>113</v>
      </c>
      <c r="K143" s="135">
        <v>0</v>
      </c>
      <c r="L143" s="129">
        <v>46116</v>
      </c>
      <c r="M143" s="136"/>
      <c r="N143" s="128" t="s">
        <v>374</v>
      </c>
      <c r="O143" s="146">
        <v>46117</v>
      </c>
      <c r="P143" s="135">
        <v>0</v>
      </c>
      <c r="Q143" s="135">
        <v>222</v>
      </c>
      <c r="R143" s="135">
        <v>200</v>
      </c>
      <c r="S143" s="135">
        <v>0</v>
      </c>
      <c r="T143" s="135">
        <v>422</v>
      </c>
      <c r="U143" s="135">
        <v>422</v>
      </c>
      <c r="V143" s="135">
        <v>0</v>
      </c>
      <c r="W143" s="135">
        <v>253.2</v>
      </c>
      <c r="X143" s="135">
        <v>256.2</v>
      </c>
      <c r="Y143" s="135">
        <v>1734577.83</v>
      </c>
      <c r="Z143" s="136"/>
      <c r="AA143" s="135">
        <v>43364.445749999999</v>
      </c>
      <c r="AB143" s="135">
        <v>43364.445749999999</v>
      </c>
      <c r="AC143" s="135">
        <v>1821306.72</v>
      </c>
      <c r="AD143" s="137">
        <f t="shared" si="74"/>
        <v>1819485.41328</v>
      </c>
      <c r="AE143" s="138">
        <v>40.229999999999997</v>
      </c>
      <c r="AF143" s="135">
        <v>39.4</v>
      </c>
      <c r="AG143" s="138">
        <v>40.26</v>
      </c>
      <c r="AH143" s="139">
        <v>4.0000000000000001E-3</v>
      </c>
      <c r="AI143" s="139">
        <v>4.3200000000000002E-2</v>
      </c>
      <c r="AJ143" s="139">
        <v>5.7000000000000002E-2</v>
      </c>
      <c r="AK143" s="137">
        <f t="shared" si="57"/>
        <v>0</v>
      </c>
      <c r="AL143" s="137"/>
      <c r="AM143" s="137"/>
      <c r="AN143" s="137">
        <f t="shared" si="58"/>
        <v>349.41599999999994</v>
      </c>
      <c r="AO143" s="140">
        <f t="shared" si="59"/>
        <v>0</v>
      </c>
      <c r="AP143" s="137"/>
      <c r="AQ143" s="137">
        <v>0</v>
      </c>
      <c r="AR143" s="137">
        <f t="shared" si="60"/>
        <v>349.41599999999994</v>
      </c>
      <c r="AS143" s="137">
        <f t="shared" si="61"/>
        <v>367</v>
      </c>
      <c r="AT143" s="137">
        <v>0</v>
      </c>
      <c r="AU143" s="141"/>
      <c r="AV143" s="141"/>
      <c r="AW143" s="137">
        <f t="shared" si="62"/>
        <v>25320</v>
      </c>
      <c r="AX143" s="137">
        <v>0</v>
      </c>
      <c r="AY143" s="137">
        <f t="shared" si="63"/>
        <v>25320</v>
      </c>
      <c r="AZ143" s="137">
        <f t="shared" si="64"/>
        <v>25620</v>
      </c>
      <c r="BA143" s="142">
        <f t="shared" si="65"/>
        <v>-300</v>
      </c>
      <c r="BB143" s="137"/>
      <c r="BC143" s="137">
        <v>0</v>
      </c>
      <c r="BD143" s="142">
        <v>0</v>
      </c>
      <c r="BE143" s="135">
        <v>285.39999999999998</v>
      </c>
      <c r="BF143" s="143">
        <f t="shared" si="66"/>
        <v>0.42809999999999993</v>
      </c>
      <c r="BG143" s="143">
        <f t="shared" si="67"/>
        <v>284.97190000000001</v>
      </c>
      <c r="BH143" s="143">
        <f t="shared" si="68"/>
        <v>256.2</v>
      </c>
      <c r="BI143" s="144">
        <f t="shared" si="69"/>
        <v>2919.9999999999991</v>
      </c>
      <c r="BJ143" s="144">
        <v>0</v>
      </c>
      <c r="BK143" s="137">
        <f t="shared" si="70"/>
        <v>2919.9999999999991</v>
      </c>
      <c r="BL143" s="2"/>
      <c r="BM143" s="10" t="str">
        <f t="shared" si="71"/>
        <v>Unloading no. 132 Bill No L/PB/26-27/16 ,Deduction For Oil Deduction= 0 ,Bardana=  ,F.M=  Brokerage/Rate Difference 349.416 ,Shortage = 0 ,Greenish=  ,Moisture= 0</v>
      </c>
      <c r="BN143" s="3"/>
      <c r="BO143" s="13" t="str">
        <f t="shared" si="75"/>
        <v xml:space="preserve"> Party Condition 39.4  ,F.M% 0.4 ,Greenish 4.32 ,Moisture 5.7 ,Shortage in KG= 0  ,Oil% 40.23</v>
      </c>
      <c r="BP143" s="4">
        <f t="shared" si="76"/>
        <v>6769.0414285714296</v>
      </c>
      <c r="BQ143" s="5" t="str">
        <f t="shared" si="72"/>
        <v>40.23</v>
      </c>
      <c r="BR143" s="6">
        <f t="shared" si="73"/>
        <v>7066.8590604026867</v>
      </c>
      <c r="BS143" s="5" t="s">
        <v>62</v>
      </c>
      <c r="BT143" s="5" t="s">
        <v>63</v>
      </c>
      <c r="BW143" s="92"/>
      <c r="BX143" s="27">
        <v>40.229999999999997</v>
      </c>
      <c r="BY143" s="27">
        <v>40.26</v>
      </c>
      <c r="BZ143" s="96"/>
    </row>
    <row r="144" spans="1:78" s="1" customFormat="1" ht="15.75" hidden="1" x14ac:dyDescent="0.3">
      <c r="A144" s="128" t="s">
        <v>295</v>
      </c>
      <c r="B144" s="146">
        <v>46116</v>
      </c>
      <c r="C144" s="128">
        <v>133</v>
      </c>
      <c r="D144" s="128" t="s">
        <v>320</v>
      </c>
      <c r="E144" s="146">
        <v>46118</v>
      </c>
      <c r="F144" s="128" t="s">
        <v>101</v>
      </c>
      <c r="G144" s="128" t="s">
        <v>102</v>
      </c>
      <c r="H144" s="128" t="s">
        <v>97</v>
      </c>
      <c r="I144" s="136"/>
      <c r="J144" s="128" t="s">
        <v>113</v>
      </c>
      <c r="K144" s="135">
        <v>0</v>
      </c>
      <c r="L144" s="129">
        <v>46116</v>
      </c>
      <c r="M144" s="136"/>
      <c r="N144" s="128" t="s">
        <v>375</v>
      </c>
      <c r="O144" s="146">
        <v>46117</v>
      </c>
      <c r="P144" s="135">
        <v>0</v>
      </c>
      <c r="Q144" s="135">
        <v>490</v>
      </c>
      <c r="R144" s="135">
        <v>174</v>
      </c>
      <c r="S144" s="135">
        <v>0</v>
      </c>
      <c r="T144" s="135">
        <v>664</v>
      </c>
      <c r="U144" s="135">
        <v>664</v>
      </c>
      <c r="V144" s="135">
        <v>0</v>
      </c>
      <c r="W144" s="135">
        <v>398.4</v>
      </c>
      <c r="X144" s="135">
        <v>403.9</v>
      </c>
      <c r="Y144" s="135">
        <v>2729288.34</v>
      </c>
      <c r="Z144" s="136"/>
      <c r="AA144" s="135">
        <v>68232.208499999993</v>
      </c>
      <c r="AB144" s="135">
        <v>68232.208499999993</v>
      </c>
      <c r="AC144" s="135">
        <v>2865752.76</v>
      </c>
      <c r="AD144" s="137">
        <f t="shared" si="74"/>
        <v>2862887.0072399997</v>
      </c>
      <c r="AE144" s="138">
        <v>40.03</v>
      </c>
      <c r="AF144" s="135">
        <v>39.4</v>
      </c>
      <c r="AG144" s="138">
        <v>39.94</v>
      </c>
      <c r="AH144" s="139">
        <v>4.4999999999999997E-3</v>
      </c>
      <c r="AI144" s="139">
        <v>3.6999999999999998E-2</v>
      </c>
      <c r="AJ144" s="139">
        <v>5.5E-2</v>
      </c>
      <c r="AK144" s="137">
        <f t="shared" si="57"/>
        <v>0</v>
      </c>
      <c r="AL144" s="137"/>
      <c r="AM144" s="137"/>
      <c r="AN144" s="137">
        <f t="shared" si="58"/>
        <v>549.79199999999992</v>
      </c>
      <c r="AO144" s="140">
        <f t="shared" si="59"/>
        <v>0</v>
      </c>
      <c r="AP144" s="137"/>
      <c r="AQ144" s="137">
        <v>0</v>
      </c>
      <c r="AR144" s="137">
        <f t="shared" si="60"/>
        <v>549.79199999999992</v>
      </c>
      <c r="AS144" s="137">
        <f t="shared" si="61"/>
        <v>577</v>
      </c>
      <c r="AT144" s="137">
        <v>0</v>
      </c>
      <c r="AU144" s="141"/>
      <c r="AV144" s="141"/>
      <c r="AW144" s="137">
        <f t="shared" si="62"/>
        <v>39840</v>
      </c>
      <c r="AX144" s="137">
        <v>0</v>
      </c>
      <c r="AY144" s="137">
        <f t="shared" si="63"/>
        <v>39840</v>
      </c>
      <c r="AZ144" s="137">
        <f t="shared" si="64"/>
        <v>40390</v>
      </c>
      <c r="BA144" s="142">
        <f t="shared" si="65"/>
        <v>-550</v>
      </c>
      <c r="BB144" s="137"/>
      <c r="BC144" s="137">
        <v>0</v>
      </c>
      <c r="BD144" s="142">
        <v>0</v>
      </c>
      <c r="BE144" s="135">
        <v>256.5</v>
      </c>
      <c r="BF144" s="143">
        <f t="shared" si="66"/>
        <v>0.38475000000000004</v>
      </c>
      <c r="BG144" s="143">
        <f t="shared" si="67"/>
        <v>256.11525</v>
      </c>
      <c r="BH144" s="143">
        <f t="shared" si="68"/>
        <v>403.9</v>
      </c>
      <c r="BI144" s="144">
        <f t="shared" si="69"/>
        <v>-14739.999999999998</v>
      </c>
      <c r="BJ144" s="144">
        <v>0</v>
      </c>
      <c r="BK144" s="137">
        <f t="shared" si="70"/>
        <v>-14739.999999999998</v>
      </c>
      <c r="BL144" s="2"/>
      <c r="BM144" s="10" t="str">
        <f t="shared" si="71"/>
        <v>Unloading no. 133 Bill No L/PB/26-27/15 ,Deduction For Oil Deduction= 0 ,Bardana=  ,F.M=  Brokerage/Rate Difference 549.792 ,Shortage = 0 ,Greenish=  ,Moisture= 0</v>
      </c>
      <c r="BN144" s="3"/>
      <c r="BO144" s="13" t="str">
        <f t="shared" si="75"/>
        <v xml:space="preserve"> Party Condition 39.4  ,F.M% 0.45 ,Greenish 3.7 ,Moisture 5.5 ,Shortage in KG= 0  ,Oil% 39.94</v>
      </c>
      <c r="BP144" s="4">
        <f t="shared" si="76"/>
        <v>6755.9756078237187</v>
      </c>
      <c r="BQ144" s="5" t="str">
        <f t="shared" si="72"/>
        <v>39.94</v>
      </c>
      <c r="BR144" s="6">
        <f t="shared" si="73"/>
        <v>7104.4310347670562</v>
      </c>
      <c r="BS144" s="5" t="s">
        <v>62</v>
      </c>
      <c r="BT144" s="5" t="s">
        <v>63</v>
      </c>
      <c r="BW144" s="92"/>
      <c r="BX144" s="27">
        <v>40.03</v>
      </c>
      <c r="BY144" s="27">
        <v>39.94</v>
      </c>
      <c r="BZ144" s="96"/>
    </row>
    <row r="145" spans="1:78" s="1" customFormat="1" ht="15.75" hidden="1" x14ac:dyDescent="0.3">
      <c r="A145" s="128" t="s">
        <v>295</v>
      </c>
      <c r="B145" s="146">
        <v>46116</v>
      </c>
      <c r="C145" s="128">
        <v>134</v>
      </c>
      <c r="D145" s="128" t="s">
        <v>321</v>
      </c>
      <c r="E145" s="146">
        <v>46118</v>
      </c>
      <c r="F145" s="128" t="s">
        <v>101</v>
      </c>
      <c r="G145" s="128" t="s">
        <v>102</v>
      </c>
      <c r="H145" s="128" t="s">
        <v>97</v>
      </c>
      <c r="I145" s="136"/>
      <c r="J145" s="128" t="s">
        <v>113</v>
      </c>
      <c r="K145" s="135">
        <v>0</v>
      </c>
      <c r="L145" s="129">
        <v>46116</v>
      </c>
      <c r="M145" s="136"/>
      <c r="N145" s="128" t="s">
        <v>376</v>
      </c>
      <c r="O145" s="146">
        <v>46117</v>
      </c>
      <c r="P145" s="135">
        <v>0</v>
      </c>
      <c r="Q145" s="135">
        <v>400</v>
      </c>
      <c r="R145" s="135">
        <v>227</v>
      </c>
      <c r="S145" s="135">
        <v>0</v>
      </c>
      <c r="T145" s="135">
        <v>627</v>
      </c>
      <c r="U145" s="135">
        <v>627</v>
      </c>
      <c r="V145" s="135">
        <v>0</v>
      </c>
      <c r="W145" s="135">
        <v>376.2</v>
      </c>
      <c r="X145" s="135">
        <v>381</v>
      </c>
      <c r="Y145" s="135">
        <v>2577204.5</v>
      </c>
      <c r="Z145" s="136"/>
      <c r="AA145" s="135">
        <v>64430.112500000003</v>
      </c>
      <c r="AB145" s="135">
        <v>64430.112500000003</v>
      </c>
      <c r="AC145" s="135">
        <v>2706064.73</v>
      </c>
      <c r="AD145" s="137">
        <f t="shared" si="74"/>
        <v>2703358.6652699998</v>
      </c>
      <c r="AE145" s="138">
        <v>40.35</v>
      </c>
      <c r="AF145" s="135">
        <v>39.4</v>
      </c>
      <c r="AG145" s="138">
        <v>40.25</v>
      </c>
      <c r="AH145" s="139">
        <v>4.4999999999999997E-3</v>
      </c>
      <c r="AI145" s="139">
        <v>0.04</v>
      </c>
      <c r="AJ145" s="139">
        <v>5.0999999999999997E-2</v>
      </c>
      <c r="AK145" s="137">
        <f t="shared" si="57"/>
        <v>0</v>
      </c>
      <c r="AL145" s="137"/>
      <c r="AM145" s="137"/>
      <c r="AN145" s="137">
        <f t="shared" si="58"/>
        <v>519.15599999999995</v>
      </c>
      <c r="AO145" s="140">
        <f t="shared" si="59"/>
        <v>0</v>
      </c>
      <c r="AP145" s="137"/>
      <c r="AQ145" s="137">
        <v>0</v>
      </c>
      <c r="AR145" s="137">
        <f t="shared" si="60"/>
        <v>519.15599999999995</v>
      </c>
      <c r="AS145" s="137">
        <f t="shared" si="61"/>
        <v>545</v>
      </c>
      <c r="AT145" s="137">
        <v>0</v>
      </c>
      <c r="AU145" s="141"/>
      <c r="AV145" s="141"/>
      <c r="AW145" s="137">
        <f t="shared" si="62"/>
        <v>37620</v>
      </c>
      <c r="AX145" s="137">
        <v>0</v>
      </c>
      <c r="AY145" s="137">
        <f t="shared" si="63"/>
        <v>37620</v>
      </c>
      <c r="AZ145" s="137">
        <f t="shared" si="64"/>
        <v>38100</v>
      </c>
      <c r="BA145" s="142">
        <f t="shared" si="65"/>
        <v>-480</v>
      </c>
      <c r="BB145" s="137"/>
      <c r="BC145" s="137">
        <v>0</v>
      </c>
      <c r="BD145" s="142">
        <v>0</v>
      </c>
      <c r="BE145" s="135">
        <v>404.3</v>
      </c>
      <c r="BF145" s="143">
        <f t="shared" si="66"/>
        <v>0.60644999999999993</v>
      </c>
      <c r="BG145" s="143">
        <f t="shared" si="67"/>
        <v>403.69355000000002</v>
      </c>
      <c r="BH145" s="143">
        <f t="shared" si="68"/>
        <v>381</v>
      </c>
      <c r="BI145" s="144">
        <f t="shared" si="69"/>
        <v>2330.0000000000009</v>
      </c>
      <c r="BJ145" s="144">
        <v>0</v>
      </c>
      <c r="BK145" s="137">
        <f t="shared" si="70"/>
        <v>2330.0000000000009</v>
      </c>
      <c r="BL145" s="2"/>
      <c r="BM145" s="10" t="str">
        <f t="shared" si="71"/>
        <v>Unloading no. 134 Bill No L/PB/26-27/14 ,Deduction For Oil Deduction= 0 ,Bardana=  ,F.M=  Brokerage/Rate Difference 519.156 ,Shortage = 0 ,Greenish=  ,Moisture= 0</v>
      </c>
      <c r="BN145" s="3"/>
      <c r="BO145" s="13" t="str">
        <f t="shared" si="75"/>
        <v xml:space="preserve"> Party Condition 39.4  ,F.M% 0.45 ,Greenish 4 ,Moisture 5.1 ,Shortage in KG= 0  ,Oil% 40.25</v>
      </c>
      <c r="BP145" s="4">
        <f t="shared" si="76"/>
        <v>6762.9536587926514</v>
      </c>
      <c r="BQ145" s="5" t="str">
        <f t="shared" si="72"/>
        <v>40.25</v>
      </c>
      <c r="BR145" s="6">
        <f t="shared" si="73"/>
        <v>7056.9951222184191</v>
      </c>
      <c r="BS145" s="5" t="s">
        <v>62</v>
      </c>
      <c r="BT145" s="5" t="s">
        <v>63</v>
      </c>
      <c r="BW145" s="92"/>
      <c r="BX145" s="27">
        <v>40.35</v>
      </c>
      <c r="BY145" s="27">
        <v>40.25</v>
      </c>
      <c r="BZ145" s="96"/>
    </row>
    <row r="146" spans="1:78" s="1" customFormat="1" ht="15.75" hidden="1" x14ac:dyDescent="0.3">
      <c r="A146" s="128" t="s">
        <v>294</v>
      </c>
      <c r="B146" s="146">
        <v>46116</v>
      </c>
      <c r="C146" s="128">
        <v>135</v>
      </c>
      <c r="D146" s="128" t="s">
        <v>322</v>
      </c>
      <c r="E146" s="146">
        <v>46118</v>
      </c>
      <c r="F146" s="128" t="s">
        <v>95</v>
      </c>
      <c r="G146" s="128" t="s">
        <v>96</v>
      </c>
      <c r="H146" s="128" t="s">
        <v>97</v>
      </c>
      <c r="I146" s="136"/>
      <c r="J146" s="128" t="s">
        <v>113</v>
      </c>
      <c r="K146" s="135">
        <v>0</v>
      </c>
      <c r="L146" s="129">
        <v>46116</v>
      </c>
      <c r="M146" s="136"/>
      <c r="N146" s="128">
        <v>30</v>
      </c>
      <c r="O146" s="146">
        <v>46117</v>
      </c>
      <c r="P146" s="135">
        <v>0</v>
      </c>
      <c r="Q146" s="135">
        <v>300</v>
      </c>
      <c r="R146" s="135">
        <v>300</v>
      </c>
      <c r="S146" s="135">
        <v>0</v>
      </c>
      <c r="T146" s="135">
        <v>600</v>
      </c>
      <c r="U146" s="135">
        <v>600</v>
      </c>
      <c r="V146" s="135">
        <v>0</v>
      </c>
      <c r="W146" s="135">
        <v>360</v>
      </c>
      <c r="X146" s="135">
        <v>365.7</v>
      </c>
      <c r="Y146" s="135">
        <v>2472592.7999999998</v>
      </c>
      <c r="Z146" s="136"/>
      <c r="AA146" s="135">
        <v>61814.82</v>
      </c>
      <c r="AB146" s="135">
        <v>61814.82</v>
      </c>
      <c r="AC146" s="135">
        <v>2596222.44</v>
      </c>
      <c r="AD146" s="137">
        <f t="shared" si="74"/>
        <v>2593626.2175599998</v>
      </c>
      <c r="AE146" s="138">
        <v>39.880000000000003</v>
      </c>
      <c r="AF146" s="135">
        <v>39.729999999999997</v>
      </c>
      <c r="AG146" s="138">
        <v>39.700000000000003</v>
      </c>
      <c r="AH146" s="139">
        <v>4.5999999999999999E-3</v>
      </c>
      <c r="AI146" s="139">
        <v>4.36E-2</v>
      </c>
      <c r="AJ146" s="139">
        <v>5.8000000000000003E-2</v>
      </c>
      <c r="AK146" s="137">
        <f t="shared" si="57"/>
        <v>1867.0471683862381</v>
      </c>
      <c r="AL146" s="137"/>
      <c r="AM146" s="137"/>
      <c r="AN146" s="137">
        <f t="shared" si="58"/>
        <v>496.79999999999995</v>
      </c>
      <c r="AO146" s="140">
        <f t="shared" si="59"/>
        <v>0</v>
      </c>
      <c r="AP146" s="137"/>
      <c r="AQ146" s="137">
        <v>0</v>
      </c>
      <c r="AR146" s="137">
        <f t="shared" si="60"/>
        <v>2363.8471683862381</v>
      </c>
      <c r="AS146" s="137">
        <f t="shared" si="61"/>
        <v>2482</v>
      </c>
      <c r="AT146" s="137">
        <v>0</v>
      </c>
      <c r="AU146" s="141"/>
      <c r="AV146" s="141"/>
      <c r="AW146" s="137">
        <f t="shared" si="62"/>
        <v>36000</v>
      </c>
      <c r="AX146" s="137">
        <v>0</v>
      </c>
      <c r="AY146" s="137">
        <f t="shared" si="63"/>
        <v>36000</v>
      </c>
      <c r="AZ146" s="137">
        <f t="shared" si="64"/>
        <v>36570</v>
      </c>
      <c r="BA146" s="142">
        <f t="shared" si="65"/>
        <v>-570</v>
      </c>
      <c r="BB146" s="137"/>
      <c r="BC146" s="137">
        <v>0</v>
      </c>
      <c r="BD146" s="142">
        <v>0</v>
      </c>
      <c r="BE146" s="135">
        <v>381.4</v>
      </c>
      <c r="BF146" s="143">
        <f t="shared" si="66"/>
        <v>0.57209999999999994</v>
      </c>
      <c r="BG146" s="143">
        <f t="shared" si="67"/>
        <v>380.8279</v>
      </c>
      <c r="BH146" s="143">
        <f t="shared" si="68"/>
        <v>365.7</v>
      </c>
      <c r="BI146" s="144">
        <f t="shared" si="69"/>
        <v>1569.9999999999989</v>
      </c>
      <c r="BJ146" s="144">
        <v>0</v>
      </c>
      <c r="BK146" s="137">
        <f t="shared" si="70"/>
        <v>1569.9999999999989</v>
      </c>
      <c r="BL146" s="2"/>
      <c r="BM146" s="10" t="str">
        <f t="shared" si="71"/>
        <v>Unloading no. 135 Bill No 30 ,Deduction For Oil Deduction= 1867.04716838624 ,Bardana=  ,F.M=  Brokerage/Rate Difference 496.8 ,Shortage = 0 ,Greenish=  ,Moisture= 0</v>
      </c>
      <c r="BN146" s="3"/>
      <c r="BO146" s="13" t="str">
        <f t="shared" si="75"/>
        <v xml:space="preserve"> Party Condition 39.73  ,F.M% 0.46 ,Greenish 4.36 ,Moisture 5.8 ,Shortage in KG= 0  ,Oil% 39.7</v>
      </c>
      <c r="BP146" s="4">
        <f t="shared" si="76"/>
        <v>6754.7961521236357</v>
      </c>
      <c r="BQ146" s="5" t="str">
        <f t="shared" si="72"/>
        <v xml:space="preserve"> 39.7</v>
      </c>
      <c r="BR146" s="6">
        <f t="shared" si="73"/>
        <v>7146.1319493499414</v>
      </c>
      <c r="BS146" s="5" t="s">
        <v>62</v>
      </c>
      <c r="BT146" s="5" t="s">
        <v>63</v>
      </c>
      <c r="BW146" s="92"/>
      <c r="BX146" s="27">
        <v>39.880000000000003</v>
      </c>
      <c r="BY146" s="27">
        <v>39.700000000000003</v>
      </c>
      <c r="BZ146" s="96"/>
    </row>
    <row r="147" spans="1:78" s="1" customFormat="1" ht="15.75" hidden="1" x14ac:dyDescent="0.3">
      <c r="A147" s="128" t="s">
        <v>295</v>
      </c>
      <c r="B147" s="146">
        <v>46116</v>
      </c>
      <c r="C147" s="128">
        <v>136</v>
      </c>
      <c r="D147" s="128" t="s">
        <v>323</v>
      </c>
      <c r="E147" s="146">
        <v>46118</v>
      </c>
      <c r="F147" s="128" t="s">
        <v>101</v>
      </c>
      <c r="G147" s="128" t="s">
        <v>102</v>
      </c>
      <c r="H147" s="128" t="s">
        <v>97</v>
      </c>
      <c r="I147" s="136"/>
      <c r="J147" s="128" t="s">
        <v>113</v>
      </c>
      <c r="K147" s="135">
        <v>0</v>
      </c>
      <c r="L147" s="129">
        <v>46116</v>
      </c>
      <c r="M147" s="136"/>
      <c r="N147" s="128" t="s">
        <v>377</v>
      </c>
      <c r="O147" s="146">
        <v>46117</v>
      </c>
      <c r="P147" s="135">
        <v>0</v>
      </c>
      <c r="Q147" s="135">
        <v>660</v>
      </c>
      <c r="R147" s="135">
        <v>102</v>
      </c>
      <c r="S147" s="135">
        <v>0</v>
      </c>
      <c r="T147" s="135">
        <v>762</v>
      </c>
      <c r="U147" s="135">
        <v>762</v>
      </c>
      <c r="V147" s="135">
        <v>0</v>
      </c>
      <c r="W147" s="135">
        <v>457.2</v>
      </c>
      <c r="X147" s="135">
        <v>462.9</v>
      </c>
      <c r="Y147" s="135">
        <v>3132104.99</v>
      </c>
      <c r="Z147" s="136"/>
      <c r="AA147" s="135">
        <v>78302.624750000003</v>
      </c>
      <c r="AB147" s="135">
        <v>78302.624750000003</v>
      </c>
      <c r="AC147" s="135">
        <v>3288710.24</v>
      </c>
      <c r="AD147" s="137">
        <f t="shared" si="74"/>
        <v>3285421.5297600003</v>
      </c>
      <c r="AE147" s="138">
        <v>40.369999999999997</v>
      </c>
      <c r="AF147" s="135">
        <v>39.4</v>
      </c>
      <c r="AG147" s="138">
        <v>40.29</v>
      </c>
      <c r="AH147" s="139">
        <v>4.4999999999999997E-3</v>
      </c>
      <c r="AI147" s="139">
        <v>3.7499999999999999E-2</v>
      </c>
      <c r="AJ147" s="139">
        <v>5.3999999999999999E-2</v>
      </c>
      <c r="AK147" s="137">
        <f t="shared" si="57"/>
        <v>0</v>
      </c>
      <c r="AL147" s="137"/>
      <c r="AM147" s="137"/>
      <c r="AN147" s="137">
        <f t="shared" si="58"/>
        <v>630.93599999999992</v>
      </c>
      <c r="AO147" s="140">
        <f t="shared" si="59"/>
        <v>0</v>
      </c>
      <c r="AP147" s="137"/>
      <c r="AQ147" s="137">
        <v>0</v>
      </c>
      <c r="AR147" s="137">
        <f t="shared" si="60"/>
        <v>630.93599999999992</v>
      </c>
      <c r="AS147" s="137">
        <f t="shared" si="61"/>
        <v>662</v>
      </c>
      <c r="AT147" s="137">
        <v>0</v>
      </c>
      <c r="AU147" s="141"/>
      <c r="AV147" s="141"/>
      <c r="AW147" s="137">
        <f t="shared" si="62"/>
        <v>45720</v>
      </c>
      <c r="AX147" s="137">
        <v>0</v>
      </c>
      <c r="AY147" s="137">
        <f t="shared" si="63"/>
        <v>45720</v>
      </c>
      <c r="AZ147" s="137">
        <f t="shared" si="64"/>
        <v>46290</v>
      </c>
      <c r="BA147" s="142">
        <f t="shared" si="65"/>
        <v>-570</v>
      </c>
      <c r="BB147" s="137"/>
      <c r="BC147" s="137">
        <v>0</v>
      </c>
      <c r="BD147" s="142">
        <v>0</v>
      </c>
      <c r="BE147" s="135">
        <v>365.6</v>
      </c>
      <c r="BF147" s="143">
        <f t="shared" si="66"/>
        <v>0.5484</v>
      </c>
      <c r="BG147" s="143">
        <f t="shared" si="67"/>
        <v>365.05160000000001</v>
      </c>
      <c r="BH147" s="143">
        <f t="shared" si="68"/>
        <v>462.9</v>
      </c>
      <c r="BI147" s="144">
        <f t="shared" si="69"/>
        <v>-9729.9999999999964</v>
      </c>
      <c r="BJ147" s="144">
        <v>0</v>
      </c>
      <c r="BK147" s="137">
        <f t="shared" si="70"/>
        <v>-9729.9999999999964</v>
      </c>
      <c r="BL147" s="2"/>
      <c r="BM147" s="10" t="str">
        <f t="shared" si="71"/>
        <v>Unloading no. 136 Bill No L/PB/26-27/17 ,Deduction For Oil Deduction= 0 ,Bardana=  ,F.M=  Brokerage/Rate Difference 630.936 ,Shortage = 0 ,Greenish=  ,Moisture= 0</v>
      </c>
      <c r="BN147" s="3"/>
      <c r="BO147" s="13" t="str">
        <f t="shared" si="75"/>
        <v xml:space="preserve"> Party Condition 39.4  ,F.M% 0.45 ,Greenish 3.75 ,Moisture 5.4 ,Shortage in KG= 0  ,Oil% 40.29</v>
      </c>
      <c r="BP147" s="4">
        <f t="shared" si="76"/>
        <v>6764.9039835817675</v>
      </c>
      <c r="BQ147" s="5" t="str">
        <f t="shared" si="72"/>
        <v>40.29</v>
      </c>
      <c r="BR147" s="6">
        <f t="shared" si="73"/>
        <v>7052.0220230934283</v>
      </c>
      <c r="BS147" s="5" t="s">
        <v>62</v>
      </c>
      <c r="BT147" s="5" t="s">
        <v>63</v>
      </c>
      <c r="BW147" s="92"/>
      <c r="BX147" s="27">
        <v>40.369999999999997</v>
      </c>
      <c r="BY147" s="27">
        <v>40.29</v>
      </c>
      <c r="BZ147" s="96"/>
    </row>
    <row r="148" spans="1:78" s="1" customFormat="1" ht="15.75" hidden="1" x14ac:dyDescent="0.3">
      <c r="A148" s="128" t="s">
        <v>300</v>
      </c>
      <c r="B148" s="146">
        <v>46114</v>
      </c>
      <c r="C148" s="128">
        <v>137</v>
      </c>
      <c r="D148" s="128" t="s">
        <v>324</v>
      </c>
      <c r="E148" s="146">
        <v>46118</v>
      </c>
      <c r="F148" s="128" t="s">
        <v>104</v>
      </c>
      <c r="G148" s="128" t="s">
        <v>105</v>
      </c>
      <c r="H148" s="128" t="s">
        <v>106</v>
      </c>
      <c r="I148" s="136"/>
      <c r="J148" s="128" t="s">
        <v>113</v>
      </c>
      <c r="K148" s="135">
        <v>0</v>
      </c>
      <c r="L148" s="129">
        <v>46114</v>
      </c>
      <c r="M148" s="136"/>
      <c r="N148" s="128" t="s">
        <v>378</v>
      </c>
      <c r="O148" s="146">
        <v>46116</v>
      </c>
      <c r="P148" s="135">
        <v>0</v>
      </c>
      <c r="Q148" s="135">
        <v>510</v>
      </c>
      <c r="R148" s="135">
        <v>190</v>
      </c>
      <c r="S148" s="135">
        <v>0</v>
      </c>
      <c r="T148" s="135">
        <v>700</v>
      </c>
      <c r="U148" s="135">
        <v>700</v>
      </c>
      <c r="V148" s="135">
        <v>0</v>
      </c>
      <c r="W148" s="135">
        <v>420</v>
      </c>
      <c r="X148" s="135">
        <v>427.3</v>
      </c>
      <c r="Y148" s="135">
        <v>2911364.4</v>
      </c>
      <c r="Z148" s="136"/>
      <c r="AA148" s="135">
        <v>72784.11</v>
      </c>
      <c r="AB148" s="135">
        <v>72784.11</v>
      </c>
      <c r="AC148" s="135">
        <v>3056932.62</v>
      </c>
      <c r="AD148" s="137">
        <f t="shared" si="74"/>
        <v>3053875.68738</v>
      </c>
      <c r="AE148" s="138">
        <v>39.1</v>
      </c>
      <c r="AF148" s="135">
        <v>39.049999999999997</v>
      </c>
      <c r="AG148" s="138">
        <v>39.17</v>
      </c>
      <c r="AH148" s="139">
        <v>4.5999999999999999E-3</v>
      </c>
      <c r="AI148" s="139">
        <v>3.9E-2</v>
      </c>
      <c r="AJ148" s="139">
        <v>5.3999999999999999E-2</v>
      </c>
      <c r="AK148" s="137">
        <f t="shared" si="57"/>
        <v>0</v>
      </c>
      <c r="AL148" s="137"/>
      <c r="AM148" s="137"/>
      <c r="AN148" s="137">
        <f t="shared" si="58"/>
        <v>579.59999999999991</v>
      </c>
      <c r="AO148" s="140">
        <f t="shared" si="59"/>
        <v>0</v>
      </c>
      <c r="AP148" s="137"/>
      <c r="AQ148" s="137">
        <v>0</v>
      </c>
      <c r="AR148" s="137">
        <f t="shared" si="60"/>
        <v>579.59999999999991</v>
      </c>
      <c r="AS148" s="137">
        <f t="shared" si="61"/>
        <v>609</v>
      </c>
      <c r="AT148" s="137">
        <v>0</v>
      </c>
      <c r="AU148" s="141"/>
      <c r="AV148" s="141"/>
      <c r="AW148" s="137">
        <f t="shared" si="62"/>
        <v>42000</v>
      </c>
      <c r="AX148" s="137">
        <v>0</v>
      </c>
      <c r="AY148" s="137">
        <f t="shared" si="63"/>
        <v>42000</v>
      </c>
      <c r="AZ148" s="137">
        <f t="shared" si="64"/>
        <v>42730</v>
      </c>
      <c r="BA148" s="142">
        <f t="shared" si="65"/>
        <v>-730</v>
      </c>
      <c r="BB148" s="137"/>
      <c r="BC148" s="137">
        <v>0</v>
      </c>
      <c r="BD148" s="142">
        <v>0</v>
      </c>
      <c r="BE148" s="135">
        <v>462.9</v>
      </c>
      <c r="BF148" s="143">
        <f t="shared" si="66"/>
        <v>0.69434999999999991</v>
      </c>
      <c r="BG148" s="143">
        <f t="shared" si="67"/>
        <v>462.20564999999999</v>
      </c>
      <c r="BH148" s="143">
        <f t="shared" si="68"/>
        <v>427.3</v>
      </c>
      <c r="BI148" s="144">
        <f t="shared" si="69"/>
        <v>3559.9999999999964</v>
      </c>
      <c r="BJ148" s="144">
        <v>0</v>
      </c>
      <c r="BK148" s="137">
        <f t="shared" si="70"/>
        <v>3559.9999999999964</v>
      </c>
      <c r="BL148" s="2"/>
      <c r="BM148" s="10" t="str">
        <f t="shared" si="71"/>
        <v>Unloading no. 137 Bill No MTC/2026-27/021 ,Deduction For Oil Deduction= 0 ,Bardana=  ,F.M=  Brokerage/Rate Difference 579.6 ,Shortage = 0 ,Greenish=  ,Moisture= 0</v>
      </c>
      <c r="BN148" s="3"/>
      <c r="BO148" s="13" t="str">
        <f t="shared" si="75"/>
        <v xml:space="preserve"> Party Condition 39.05  ,F.M% 0.46 ,Greenish 3.9 ,Moisture 5.4 ,Shortage in KG= 0  ,Oil% 39.1</v>
      </c>
      <c r="BP148" s="4">
        <f t="shared" si="76"/>
        <v>6812.0402527498236</v>
      </c>
      <c r="BQ148" s="5" t="str">
        <f t="shared" si="72"/>
        <v xml:space="preserve"> 39.1</v>
      </c>
      <c r="BR148" s="6">
        <f t="shared" si="73"/>
        <v>7317.281089910296</v>
      </c>
      <c r="BS148" s="5" t="s">
        <v>62</v>
      </c>
      <c r="BT148" s="5" t="s">
        <v>63</v>
      </c>
      <c r="BW148" s="92"/>
      <c r="BX148" s="27">
        <v>39.1</v>
      </c>
      <c r="BY148" s="27">
        <v>39.17</v>
      </c>
      <c r="BZ148" s="96"/>
    </row>
    <row r="149" spans="1:78" s="1" customFormat="1" ht="15.75" hidden="1" x14ac:dyDescent="0.3">
      <c r="A149" s="128" t="s">
        <v>298</v>
      </c>
      <c r="B149" s="146">
        <v>46115</v>
      </c>
      <c r="C149" s="128">
        <v>138</v>
      </c>
      <c r="D149" s="128" t="s">
        <v>325</v>
      </c>
      <c r="E149" s="146">
        <v>46118</v>
      </c>
      <c r="F149" s="128" t="s">
        <v>98</v>
      </c>
      <c r="G149" s="128" t="s">
        <v>99</v>
      </c>
      <c r="H149" s="128" t="s">
        <v>199</v>
      </c>
      <c r="I149" s="136"/>
      <c r="J149" s="128" t="s">
        <v>113</v>
      </c>
      <c r="K149" s="135">
        <v>0</v>
      </c>
      <c r="L149" s="129">
        <v>46115</v>
      </c>
      <c r="M149" s="136"/>
      <c r="N149" s="128">
        <v>21</v>
      </c>
      <c r="O149" s="146">
        <v>46117</v>
      </c>
      <c r="P149" s="135">
        <v>0</v>
      </c>
      <c r="Q149" s="135">
        <v>300</v>
      </c>
      <c r="R149" s="135">
        <v>169</v>
      </c>
      <c r="S149" s="135">
        <v>0</v>
      </c>
      <c r="T149" s="135">
        <v>469</v>
      </c>
      <c r="U149" s="135">
        <v>469</v>
      </c>
      <c r="V149" s="135">
        <v>0</v>
      </c>
      <c r="W149" s="135">
        <v>281.39999999999998</v>
      </c>
      <c r="X149" s="135">
        <v>284.7</v>
      </c>
      <c r="Y149" s="135">
        <v>1952898.18</v>
      </c>
      <c r="Z149" s="136"/>
      <c r="AA149" s="135">
        <v>48822.4545</v>
      </c>
      <c r="AB149" s="135">
        <v>48822.4545</v>
      </c>
      <c r="AC149" s="135">
        <v>2050543.09</v>
      </c>
      <c r="AD149" s="137">
        <f t="shared" si="74"/>
        <v>2048492.54691</v>
      </c>
      <c r="AE149" s="138">
        <v>39.450000000000003</v>
      </c>
      <c r="AF149" s="135">
        <v>39.520000000000003</v>
      </c>
      <c r="AG149" s="138">
        <v>39.29</v>
      </c>
      <c r="AH149" s="139">
        <v>4.7000000000000002E-3</v>
      </c>
      <c r="AI149" s="139">
        <v>3.7499999999999999E-2</v>
      </c>
      <c r="AJ149" s="139">
        <v>5.8000000000000003E-2</v>
      </c>
      <c r="AK149" s="137">
        <f t="shared" si="57"/>
        <v>11365.55114878562</v>
      </c>
      <c r="AL149" s="137"/>
      <c r="AM149" s="137"/>
      <c r="AN149" s="137">
        <f t="shared" si="58"/>
        <v>388.33199999999994</v>
      </c>
      <c r="AO149" s="140">
        <f t="shared" si="59"/>
        <v>0</v>
      </c>
      <c r="AP149" s="137"/>
      <c r="AQ149" s="137">
        <v>0</v>
      </c>
      <c r="AR149" s="137">
        <f t="shared" si="60"/>
        <v>11753.883148785621</v>
      </c>
      <c r="AS149" s="137">
        <f t="shared" si="61"/>
        <v>12342</v>
      </c>
      <c r="AT149" s="137">
        <v>0</v>
      </c>
      <c r="AU149" s="141"/>
      <c r="AV149" s="141"/>
      <c r="AW149" s="137">
        <f t="shared" si="62"/>
        <v>28139.999999999996</v>
      </c>
      <c r="AX149" s="137">
        <v>0</v>
      </c>
      <c r="AY149" s="137">
        <f t="shared" si="63"/>
        <v>28139.999999999996</v>
      </c>
      <c r="AZ149" s="137">
        <f t="shared" si="64"/>
        <v>28470</v>
      </c>
      <c r="BA149" s="142">
        <f t="shared" si="65"/>
        <v>-330.00000000000364</v>
      </c>
      <c r="BB149" s="137"/>
      <c r="BC149" s="137">
        <v>0</v>
      </c>
      <c r="BD149" s="142">
        <v>0</v>
      </c>
      <c r="BE149" s="135">
        <v>427.1</v>
      </c>
      <c r="BF149" s="143">
        <f t="shared" si="66"/>
        <v>0.64064999999999994</v>
      </c>
      <c r="BG149" s="143">
        <f t="shared" si="67"/>
        <v>426.45935000000003</v>
      </c>
      <c r="BH149" s="143">
        <f t="shared" si="68"/>
        <v>284.7</v>
      </c>
      <c r="BI149" s="144">
        <f t="shared" si="69"/>
        <v>14240.000000000004</v>
      </c>
      <c r="BJ149" s="144">
        <v>0</v>
      </c>
      <c r="BK149" s="137">
        <f t="shared" si="70"/>
        <v>14240.000000000004</v>
      </c>
      <c r="BL149" s="2"/>
      <c r="BM149" s="10" t="str">
        <f t="shared" si="71"/>
        <v>Unloading no. 138 Bill No 21 ,Deduction For Oil Deduction= 11365.5511487856 ,Bardana=  ,F.M=  Brokerage/Rate Difference 388.332 ,Shortage = 0 ,Greenish=  ,Moisture= 0</v>
      </c>
      <c r="BN149" s="3"/>
      <c r="BO149" s="13" t="str">
        <f t="shared" si="75"/>
        <v xml:space="preserve"> Party Condition 39.52  ,F.M% 0.47 ,Greenish 3.75 ,Moisture 5.8 ,Shortage in KG= 0  ,Oil% 39.29</v>
      </c>
      <c r="BP149" s="4">
        <f t="shared" si="76"/>
        <v>6818.2096833551614</v>
      </c>
      <c r="BQ149" s="5" t="str">
        <f t="shared" si="72"/>
        <v>39.29</v>
      </c>
      <c r="BR149" s="6">
        <f t="shared" si="73"/>
        <v>7288.4908806545382</v>
      </c>
      <c r="BS149" s="5" t="s">
        <v>62</v>
      </c>
      <c r="BT149" s="5" t="s">
        <v>63</v>
      </c>
      <c r="BW149" s="92"/>
      <c r="BX149" s="27">
        <v>39.450000000000003</v>
      </c>
      <c r="BY149" s="27">
        <v>39.29</v>
      </c>
      <c r="BZ149" s="96"/>
    </row>
    <row r="150" spans="1:78" s="1" customFormat="1" ht="15.75" hidden="1" x14ac:dyDescent="0.3">
      <c r="A150" s="128" t="s">
        <v>233</v>
      </c>
      <c r="B150" s="146">
        <v>46114</v>
      </c>
      <c r="C150" s="128">
        <v>139</v>
      </c>
      <c r="D150" s="128" t="s">
        <v>326</v>
      </c>
      <c r="E150" s="130">
        <v>46119</v>
      </c>
      <c r="F150" s="128" t="s">
        <v>98</v>
      </c>
      <c r="G150" s="128" t="s">
        <v>99</v>
      </c>
      <c r="H150" s="128" t="s">
        <v>199</v>
      </c>
      <c r="I150" s="136"/>
      <c r="J150" s="128" t="s">
        <v>113</v>
      </c>
      <c r="K150" s="135">
        <v>0</v>
      </c>
      <c r="L150" s="129">
        <v>46114</v>
      </c>
      <c r="M150" s="136"/>
      <c r="N150" s="128">
        <v>22</v>
      </c>
      <c r="O150" s="130">
        <v>46117</v>
      </c>
      <c r="P150" s="135">
        <v>0</v>
      </c>
      <c r="Q150" s="135">
        <v>300</v>
      </c>
      <c r="R150" s="135">
        <v>174</v>
      </c>
      <c r="S150" s="135">
        <v>0</v>
      </c>
      <c r="T150" s="135">
        <v>474</v>
      </c>
      <c r="U150" s="135">
        <v>474</v>
      </c>
      <c r="V150" s="135">
        <v>0</v>
      </c>
      <c r="W150" s="135">
        <v>284.39999999999998</v>
      </c>
      <c r="X150" s="135">
        <v>287.2</v>
      </c>
      <c r="Y150" s="135">
        <v>1980267.72</v>
      </c>
      <c r="Z150" s="136"/>
      <c r="AA150" s="135">
        <v>49506.692999999999</v>
      </c>
      <c r="AB150" s="135">
        <v>49506.692999999999</v>
      </c>
      <c r="AC150" s="135">
        <v>2079281.11</v>
      </c>
      <c r="AD150" s="137">
        <f t="shared" si="74"/>
        <v>2077201.82889</v>
      </c>
      <c r="AE150" s="138">
        <v>39.200000000000003</v>
      </c>
      <c r="AF150" s="135">
        <v>39.29</v>
      </c>
      <c r="AG150" s="138">
        <v>39.229999999999997</v>
      </c>
      <c r="AH150" s="139">
        <v>4.1000000000000003E-3</v>
      </c>
      <c r="AI150" s="139">
        <v>3.7999999999999999E-2</v>
      </c>
      <c r="AJ150" s="139">
        <v>5.6000000000000001E-2</v>
      </c>
      <c r="AK150" s="137">
        <v>0</v>
      </c>
      <c r="AL150" s="137">
        <f>T150*0.5</f>
        <v>237</v>
      </c>
      <c r="AM150" s="137"/>
      <c r="AN150" s="137">
        <v>0</v>
      </c>
      <c r="AO150" s="140">
        <f t="shared" si="59"/>
        <v>4595.5580000002374</v>
      </c>
      <c r="AP150" s="137"/>
      <c r="AQ150" s="137">
        <v>0</v>
      </c>
      <c r="AR150" s="137">
        <f t="shared" si="60"/>
        <v>4832.5580000002374</v>
      </c>
      <c r="AS150" s="137">
        <f t="shared" si="61"/>
        <v>5074</v>
      </c>
      <c r="AT150" s="137">
        <f>BK150+33-57</f>
        <v>66.000000000003411</v>
      </c>
      <c r="AU150" s="141"/>
      <c r="AV150" s="141"/>
      <c r="AW150" s="137">
        <f t="shared" si="62"/>
        <v>28439.999999999996</v>
      </c>
      <c r="AX150" s="137">
        <v>0</v>
      </c>
      <c r="AY150" s="137">
        <f t="shared" si="63"/>
        <v>28439.999999999996</v>
      </c>
      <c r="AZ150" s="137">
        <f t="shared" si="64"/>
        <v>28720</v>
      </c>
      <c r="BA150" s="142">
        <f t="shared" si="65"/>
        <v>-280.00000000000364</v>
      </c>
      <c r="BB150" s="137"/>
      <c r="BC150" s="137">
        <v>0</v>
      </c>
      <c r="BD150" s="142">
        <v>0</v>
      </c>
      <c r="BE150" s="135">
        <v>288.10000000000002</v>
      </c>
      <c r="BF150" s="143">
        <f t="shared" si="66"/>
        <v>0.43215000000000003</v>
      </c>
      <c r="BG150" s="143">
        <f t="shared" si="67"/>
        <v>287.66785000000004</v>
      </c>
      <c r="BH150" s="143">
        <f t="shared" si="68"/>
        <v>287.2</v>
      </c>
      <c r="BI150" s="144">
        <f t="shared" si="69"/>
        <v>90.000000000003411</v>
      </c>
      <c r="BJ150" s="144">
        <v>0</v>
      </c>
      <c r="BK150" s="137">
        <f t="shared" si="70"/>
        <v>90.000000000003411</v>
      </c>
      <c r="BL150" s="2"/>
      <c r="BM150" s="10" t="str">
        <f t="shared" si="71"/>
        <v>Unloading no. 139 Bill No 22 ,Deduction For Oil Deduction= 0 ,Bardana= 237 ,F.M=  Brokerage/Rate Difference 0 ,Shortage = 4595.55800000024 ,Greenish=  ,Moisture= 0</v>
      </c>
      <c r="BN150" s="3"/>
      <c r="BO150" s="13" t="str">
        <f t="shared" si="75"/>
        <v xml:space="preserve"> Party Condition 39.29  ,F.M% 0.41 ,Greenish 3.8 ,Moisture 5.6 ,Shortage in KG= 66.0000000000034  ,Oil% 39.2</v>
      </c>
      <c r="BP150" s="4">
        <f t="shared" si="76"/>
        <v>6878.2561350974929</v>
      </c>
      <c r="BQ150" s="5" t="str">
        <f t="shared" si="72"/>
        <v xml:space="preserve"> 39.2</v>
      </c>
      <c r="BR150" s="6">
        <f t="shared" si="73"/>
        <v>7369.5601447473127</v>
      </c>
      <c r="BS150" s="5" t="s">
        <v>62</v>
      </c>
      <c r="BT150" s="5" t="s">
        <v>63</v>
      </c>
      <c r="BW150" s="92"/>
      <c r="BX150" s="27">
        <v>39.200000000000003</v>
      </c>
      <c r="BY150" s="27">
        <v>39.229999999999997</v>
      </c>
      <c r="BZ150" s="96"/>
    </row>
    <row r="151" spans="1:78" s="1" customFormat="1" ht="15.75" hidden="1" x14ac:dyDescent="0.3">
      <c r="A151" s="128" t="s">
        <v>294</v>
      </c>
      <c r="B151" s="146">
        <v>46116</v>
      </c>
      <c r="C151" s="128">
        <v>140</v>
      </c>
      <c r="D151" s="128" t="s">
        <v>327</v>
      </c>
      <c r="E151" s="130">
        <v>46119</v>
      </c>
      <c r="F151" s="128" t="s">
        <v>95</v>
      </c>
      <c r="G151" s="128" t="s">
        <v>96</v>
      </c>
      <c r="H151" s="128" t="s">
        <v>97</v>
      </c>
      <c r="I151" s="136"/>
      <c r="J151" s="128" t="s">
        <v>113</v>
      </c>
      <c r="K151" s="135">
        <v>0</v>
      </c>
      <c r="L151" s="129">
        <v>46116</v>
      </c>
      <c r="M151" s="136"/>
      <c r="N151" s="128">
        <v>32</v>
      </c>
      <c r="O151" s="130">
        <v>46118</v>
      </c>
      <c r="P151" s="135">
        <v>0</v>
      </c>
      <c r="Q151" s="135">
        <v>209</v>
      </c>
      <c r="R151" s="135">
        <v>400</v>
      </c>
      <c r="S151" s="135">
        <v>0</v>
      </c>
      <c r="T151" s="135">
        <v>609</v>
      </c>
      <c r="U151" s="135">
        <v>609</v>
      </c>
      <c r="V151" s="135">
        <v>0</v>
      </c>
      <c r="W151" s="135">
        <v>365.4</v>
      </c>
      <c r="X151" s="135">
        <v>370.2</v>
      </c>
      <c r="Y151" s="135">
        <v>2509681.69</v>
      </c>
      <c r="Z151" s="136"/>
      <c r="AA151" s="135">
        <v>62742.042249999999</v>
      </c>
      <c r="AB151" s="135">
        <v>62742.042249999999</v>
      </c>
      <c r="AC151" s="135">
        <v>2635165.77</v>
      </c>
      <c r="AD151" s="137">
        <f t="shared" si="74"/>
        <v>2632530.6042300002</v>
      </c>
      <c r="AE151" s="138">
        <v>40.46</v>
      </c>
      <c r="AF151" s="135">
        <v>39.729999999999997</v>
      </c>
      <c r="AG151" s="138">
        <v>40.5</v>
      </c>
      <c r="AH151" s="139">
        <v>4.1999999999999997E-3</v>
      </c>
      <c r="AI151" s="139">
        <v>6.3E-2</v>
      </c>
      <c r="AJ151" s="139">
        <v>5.6000000000000001E-2</v>
      </c>
      <c r="AK151" s="137">
        <f t="shared" si="57"/>
        <v>0</v>
      </c>
      <c r="AL151" s="137"/>
      <c r="AM151" s="137"/>
      <c r="AN151" s="137">
        <v>0</v>
      </c>
      <c r="AO151" s="140">
        <f t="shared" si="59"/>
        <v>0</v>
      </c>
      <c r="AP151" s="137"/>
      <c r="AQ151" s="137">
        <v>0</v>
      </c>
      <c r="AR151" s="137">
        <f t="shared" si="60"/>
        <v>0</v>
      </c>
      <c r="AS151" s="137">
        <f t="shared" si="61"/>
        <v>0</v>
      </c>
      <c r="AT151" s="137">
        <v>0</v>
      </c>
      <c r="AU151" s="141"/>
      <c r="AV151" s="141"/>
      <c r="AW151" s="137">
        <f t="shared" si="62"/>
        <v>36540</v>
      </c>
      <c r="AX151" s="137">
        <v>0</v>
      </c>
      <c r="AY151" s="137">
        <f t="shared" si="63"/>
        <v>36540</v>
      </c>
      <c r="AZ151" s="137">
        <f t="shared" si="64"/>
        <v>37020</v>
      </c>
      <c r="BA151" s="142">
        <f t="shared" si="65"/>
        <v>-480</v>
      </c>
      <c r="BB151" s="137"/>
      <c r="BC151" s="137">
        <v>0</v>
      </c>
      <c r="BD151" s="142">
        <v>0</v>
      </c>
      <c r="BE151" s="135">
        <v>370.4</v>
      </c>
      <c r="BF151" s="143">
        <f t="shared" si="66"/>
        <v>0.55559999999999998</v>
      </c>
      <c r="BG151" s="143">
        <f t="shared" si="67"/>
        <v>369.84439999999995</v>
      </c>
      <c r="BH151" s="143">
        <f t="shared" si="68"/>
        <v>370.2</v>
      </c>
      <c r="BI151" s="144">
        <f t="shared" si="69"/>
        <v>19.999999999998863</v>
      </c>
      <c r="BJ151" s="144">
        <v>0</v>
      </c>
      <c r="BK151" s="137">
        <f t="shared" si="70"/>
        <v>19.999999999998863</v>
      </c>
      <c r="BL151" s="2"/>
      <c r="BM151" s="10" t="str">
        <f t="shared" si="71"/>
        <v>Unloading no. 140 Bill No 32 ,Deduction For Oil Deduction= 0 ,Bardana=  ,F.M=  Brokerage/Rate Difference 0 ,Shortage = 0 ,Greenish=  ,Moisture= 0</v>
      </c>
      <c r="BN151" s="3"/>
      <c r="BO151" s="13" t="str">
        <f t="shared" si="75"/>
        <v xml:space="preserve"> Party Condition 39.73  ,F.M% 0.42 ,Greenish 6.3 ,Moisture 5.6 ,Shortage in KG= 0  ,Oil% 40.46</v>
      </c>
      <c r="BP151" s="4">
        <f t="shared" si="76"/>
        <v>6779.2590221501896</v>
      </c>
      <c r="BQ151" s="5" t="str">
        <f t="shared" si="72"/>
        <v>40.46</v>
      </c>
      <c r="BR151" s="6">
        <f t="shared" si="73"/>
        <v>7037.2931025780517</v>
      </c>
      <c r="BS151" s="5" t="s">
        <v>62</v>
      </c>
      <c r="BT151" s="5" t="s">
        <v>63</v>
      </c>
      <c r="BW151" s="92"/>
      <c r="BX151" s="27">
        <v>40.46</v>
      </c>
      <c r="BY151" s="27">
        <v>40.5</v>
      </c>
      <c r="BZ151" s="96"/>
    </row>
    <row r="152" spans="1:78" s="1" customFormat="1" ht="15.75" hidden="1" x14ac:dyDescent="0.3">
      <c r="A152" s="128" t="s">
        <v>295</v>
      </c>
      <c r="B152" s="146">
        <v>46116</v>
      </c>
      <c r="C152" s="128">
        <v>141</v>
      </c>
      <c r="D152" s="128" t="s">
        <v>328</v>
      </c>
      <c r="E152" s="130">
        <v>46119</v>
      </c>
      <c r="F152" s="128" t="s">
        <v>101</v>
      </c>
      <c r="G152" s="128" t="s">
        <v>102</v>
      </c>
      <c r="H152" s="128" t="s">
        <v>103</v>
      </c>
      <c r="I152" s="136"/>
      <c r="J152" s="128" t="s">
        <v>113</v>
      </c>
      <c r="K152" s="135">
        <v>0</v>
      </c>
      <c r="L152" s="129">
        <v>46116</v>
      </c>
      <c r="M152" s="136"/>
      <c r="N152" s="128" t="s">
        <v>379</v>
      </c>
      <c r="O152" s="130">
        <v>46118</v>
      </c>
      <c r="P152" s="135">
        <v>0</v>
      </c>
      <c r="Q152" s="135">
        <v>475</v>
      </c>
      <c r="R152" s="135">
        <v>25</v>
      </c>
      <c r="S152" s="135">
        <v>0</v>
      </c>
      <c r="T152" s="135">
        <v>500</v>
      </c>
      <c r="U152" s="135">
        <v>500</v>
      </c>
      <c r="V152" s="135">
        <v>0</v>
      </c>
      <c r="W152" s="135">
        <v>300</v>
      </c>
      <c r="X152" s="135">
        <v>302.7</v>
      </c>
      <c r="Y152" s="135">
        <v>2055187</v>
      </c>
      <c r="Z152" s="136"/>
      <c r="AA152" s="135">
        <v>51379.675000000003</v>
      </c>
      <c r="AB152" s="135">
        <v>51379.675000000003</v>
      </c>
      <c r="AC152" s="135">
        <v>2157946.35</v>
      </c>
      <c r="AD152" s="137">
        <f t="shared" si="74"/>
        <v>2155788.4036500002</v>
      </c>
      <c r="AE152" s="138">
        <v>39.5</v>
      </c>
      <c r="AF152" s="135">
        <v>39.4</v>
      </c>
      <c r="AG152" s="138">
        <v>39.520000000000003</v>
      </c>
      <c r="AH152" s="139">
        <v>4.1000000000000003E-3</v>
      </c>
      <c r="AI152" s="139">
        <v>4.4999999999999998E-2</v>
      </c>
      <c r="AJ152" s="139">
        <v>5.1999999999999998E-2</v>
      </c>
      <c r="AK152" s="137">
        <f t="shared" si="57"/>
        <v>0</v>
      </c>
      <c r="AL152" s="137"/>
      <c r="AM152" s="137"/>
      <c r="AN152" s="137">
        <v>0</v>
      </c>
      <c r="AO152" s="140">
        <f t="shared" si="59"/>
        <v>6508.0921666667446</v>
      </c>
      <c r="AP152" s="137"/>
      <c r="AQ152" s="137">
        <v>0</v>
      </c>
      <c r="AR152" s="137">
        <f t="shared" si="60"/>
        <v>6508.0921666667446</v>
      </c>
      <c r="AS152" s="137">
        <f t="shared" si="61"/>
        <v>6833</v>
      </c>
      <c r="AT152" s="137">
        <f>BK152+75-60</f>
        <v>95.000000000001137</v>
      </c>
      <c r="AU152" s="141"/>
      <c r="AV152" s="141"/>
      <c r="AW152" s="137">
        <f t="shared" si="62"/>
        <v>30000</v>
      </c>
      <c r="AX152" s="137">
        <v>0</v>
      </c>
      <c r="AY152" s="137">
        <f t="shared" si="63"/>
        <v>30000</v>
      </c>
      <c r="AZ152" s="137">
        <f t="shared" si="64"/>
        <v>30270</v>
      </c>
      <c r="BA152" s="142">
        <f t="shared" si="65"/>
        <v>-270</v>
      </c>
      <c r="BB152" s="137"/>
      <c r="BC152" s="137">
        <v>0</v>
      </c>
      <c r="BD152" s="142">
        <v>0</v>
      </c>
      <c r="BE152" s="135">
        <v>303.5</v>
      </c>
      <c r="BF152" s="143">
        <f t="shared" si="66"/>
        <v>0.45524999999999999</v>
      </c>
      <c r="BG152" s="143">
        <f t="shared" si="67"/>
        <v>303.04475000000002</v>
      </c>
      <c r="BH152" s="143">
        <f t="shared" si="68"/>
        <v>302.7</v>
      </c>
      <c r="BI152" s="144">
        <f t="shared" si="69"/>
        <v>80.000000000001137</v>
      </c>
      <c r="BJ152" s="144">
        <v>0</v>
      </c>
      <c r="BK152" s="137">
        <f t="shared" si="70"/>
        <v>80.000000000001137</v>
      </c>
      <c r="BL152" s="2"/>
      <c r="BM152" s="10" t="str">
        <f t="shared" si="71"/>
        <v>Unloading no. 141 Bill No L/PB/26-27/18 ,Deduction For Oil Deduction= 0 ,Bardana=  ,F.M=  Brokerage/Rate Difference 0 ,Shortage = 6508.09216666674 ,Greenish=  ,Moisture= 0</v>
      </c>
      <c r="BN152" s="3"/>
      <c r="BO152" s="13" t="str">
        <f t="shared" si="75"/>
        <v xml:space="preserve"> Party Condition 39.4  ,F.M% 0.41 ,Greenish 4.5 ,Moisture 5.2 ,Shortage in KG= 95.0000000000011  ,Oil% 39.5</v>
      </c>
      <c r="BP152" s="4">
        <f t="shared" si="76"/>
        <v>6768.0175349631099</v>
      </c>
      <c r="BQ152" s="5" t="str">
        <f t="shared" si="72"/>
        <v xml:space="preserve"> 39.5</v>
      </c>
      <c r="BR152" s="6">
        <f t="shared" si="73"/>
        <v>7196.3730751506491</v>
      </c>
      <c r="BS152" s="5" t="s">
        <v>62</v>
      </c>
      <c r="BT152" s="5" t="s">
        <v>63</v>
      </c>
      <c r="BW152" s="92"/>
      <c r="BX152" s="27">
        <v>39.5</v>
      </c>
      <c r="BY152" s="27">
        <v>39.520000000000003</v>
      </c>
      <c r="BZ152" s="96"/>
    </row>
    <row r="153" spans="1:78" s="1" customFormat="1" ht="15.75" hidden="1" x14ac:dyDescent="0.3">
      <c r="A153" s="128" t="s">
        <v>295</v>
      </c>
      <c r="B153" s="146">
        <v>46116</v>
      </c>
      <c r="C153" s="128">
        <v>142</v>
      </c>
      <c r="D153" s="128" t="s">
        <v>329</v>
      </c>
      <c r="E153" s="130">
        <v>46119</v>
      </c>
      <c r="F153" s="128" t="s">
        <v>101</v>
      </c>
      <c r="G153" s="128" t="s">
        <v>102</v>
      </c>
      <c r="H153" s="128" t="s">
        <v>103</v>
      </c>
      <c r="I153" s="136"/>
      <c r="J153" s="128" t="s">
        <v>113</v>
      </c>
      <c r="K153" s="135">
        <v>0</v>
      </c>
      <c r="L153" s="129">
        <v>46116</v>
      </c>
      <c r="M153" s="136"/>
      <c r="N153" s="128" t="s">
        <v>380</v>
      </c>
      <c r="O153" s="130">
        <v>46118</v>
      </c>
      <c r="P153" s="135">
        <v>0</v>
      </c>
      <c r="Q153" s="135">
        <v>456</v>
      </c>
      <c r="R153" s="135">
        <v>30</v>
      </c>
      <c r="S153" s="135">
        <v>0</v>
      </c>
      <c r="T153" s="135">
        <v>486</v>
      </c>
      <c r="U153" s="135">
        <v>486</v>
      </c>
      <c r="V153" s="135">
        <v>0</v>
      </c>
      <c r="W153" s="135">
        <v>291.60000000000002</v>
      </c>
      <c r="X153" s="135">
        <v>294.8</v>
      </c>
      <c r="Y153" s="135">
        <v>1997641.76</v>
      </c>
      <c r="Z153" s="136"/>
      <c r="AA153" s="135">
        <v>49941.044000000002</v>
      </c>
      <c r="AB153" s="135">
        <v>49941.044000000002</v>
      </c>
      <c r="AC153" s="135">
        <v>2097523.85</v>
      </c>
      <c r="AD153" s="137">
        <f t="shared" si="74"/>
        <v>2095426.3261500001</v>
      </c>
      <c r="AE153" s="138">
        <v>40.270000000000003</v>
      </c>
      <c r="AF153" s="135">
        <v>39.4</v>
      </c>
      <c r="AG153" s="138">
        <v>40.229999999999997</v>
      </c>
      <c r="AH153" s="139">
        <v>4.1999999999999997E-3</v>
      </c>
      <c r="AI153" s="139">
        <v>4.3999999999999997E-2</v>
      </c>
      <c r="AJ153" s="139">
        <v>0.06</v>
      </c>
      <c r="AK153" s="137">
        <f t="shared" si="57"/>
        <v>0</v>
      </c>
      <c r="AL153" s="137"/>
      <c r="AM153" s="137"/>
      <c r="AN153" s="137">
        <v>0</v>
      </c>
      <c r="AO153" s="140">
        <f t="shared" si="59"/>
        <v>2877.2617942386828</v>
      </c>
      <c r="AP153" s="137"/>
      <c r="AQ153" s="137">
        <v>0</v>
      </c>
      <c r="AR153" s="137">
        <f t="shared" si="60"/>
        <v>2877.2617942386828</v>
      </c>
      <c r="AS153" s="137">
        <f t="shared" si="61"/>
        <v>3021</v>
      </c>
      <c r="AT153" s="137">
        <f>BK153-58</f>
        <v>42</v>
      </c>
      <c r="AU153" s="141"/>
      <c r="AV153" s="141"/>
      <c r="AW153" s="137">
        <f t="shared" si="62"/>
        <v>29160.000000000004</v>
      </c>
      <c r="AX153" s="137">
        <v>0</v>
      </c>
      <c r="AY153" s="137">
        <f t="shared" si="63"/>
        <v>29160.000000000004</v>
      </c>
      <c r="AZ153" s="137">
        <f t="shared" si="64"/>
        <v>29480</v>
      </c>
      <c r="BA153" s="142">
        <f t="shared" si="65"/>
        <v>-319.99999999999636</v>
      </c>
      <c r="BB153" s="137"/>
      <c r="BC153" s="137">
        <v>0</v>
      </c>
      <c r="BD153" s="142">
        <v>0</v>
      </c>
      <c r="BE153" s="135">
        <v>295.8</v>
      </c>
      <c r="BF153" s="143">
        <f t="shared" si="66"/>
        <v>0.44369999999999998</v>
      </c>
      <c r="BG153" s="143">
        <f t="shared" si="67"/>
        <v>295.35630000000003</v>
      </c>
      <c r="BH153" s="143">
        <f t="shared" si="68"/>
        <v>294.8</v>
      </c>
      <c r="BI153" s="144">
        <f t="shared" si="69"/>
        <v>100</v>
      </c>
      <c r="BJ153" s="144">
        <v>0</v>
      </c>
      <c r="BK153" s="137">
        <f t="shared" si="70"/>
        <v>100</v>
      </c>
      <c r="BL153" s="2"/>
      <c r="BM153" s="10" t="str">
        <f t="shared" si="71"/>
        <v>Unloading no. 142 Bill No L/PB/26-27/19 ,Deduction For Oil Deduction= 0 ,Bardana=  ,F.M=  Brokerage/Rate Difference 0 ,Shortage = 2877.26179423868 ,Greenish=  ,Moisture= 0</v>
      </c>
      <c r="BN153" s="3"/>
      <c r="BO153" s="13" t="str">
        <f t="shared" si="75"/>
        <v xml:space="preserve"> Party Condition 39.4  ,F.M% 0.42 ,Greenish 4.4 ,Moisture 6 ,Shortage in KG= 42  ,Oil% 40.23</v>
      </c>
      <c r="BP153" s="4">
        <f t="shared" si="76"/>
        <v>6766.5010115527857</v>
      </c>
      <c r="BQ153" s="5" t="str">
        <f t="shared" si="72"/>
        <v>40.23</v>
      </c>
      <c r="BR153" s="6">
        <f t="shared" si="73"/>
        <v>7064.206872612901</v>
      </c>
      <c r="BS153" s="5" t="s">
        <v>62</v>
      </c>
      <c r="BT153" s="5" t="s">
        <v>63</v>
      </c>
      <c r="BW153" s="92"/>
      <c r="BX153" s="27">
        <v>40.270000000000003</v>
      </c>
      <c r="BY153" s="27">
        <v>40.229999999999997</v>
      </c>
      <c r="BZ153" s="96"/>
    </row>
    <row r="154" spans="1:78" s="1" customFormat="1" ht="15.75" hidden="1" x14ac:dyDescent="0.3">
      <c r="A154" s="128" t="s">
        <v>296</v>
      </c>
      <c r="B154" s="146">
        <v>46116</v>
      </c>
      <c r="C154" s="128">
        <v>143</v>
      </c>
      <c r="D154" s="128" t="s">
        <v>330</v>
      </c>
      <c r="E154" s="130">
        <v>46119</v>
      </c>
      <c r="F154" s="128" t="s">
        <v>98</v>
      </c>
      <c r="G154" s="128" t="s">
        <v>99</v>
      </c>
      <c r="H154" s="128" t="s">
        <v>199</v>
      </c>
      <c r="I154" s="136"/>
      <c r="J154" s="128" t="s">
        <v>113</v>
      </c>
      <c r="K154" s="135">
        <v>0</v>
      </c>
      <c r="L154" s="129">
        <v>46116</v>
      </c>
      <c r="M154" s="136"/>
      <c r="N154" s="128">
        <v>28</v>
      </c>
      <c r="O154" s="130">
        <v>46118</v>
      </c>
      <c r="P154" s="135">
        <v>0</v>
      </c>
      <c r="Q154" s="135">
        <v>361</v>
      </c>
      <c r="R154" s="135">
        <v>100</v>
      </c>
      <c r="S154" s="135">
        <v>0</v>
      </c>
      <c r="T154" s="135">
        <v>461</v>
      </c>
      <c r="U154" s="135">
        <v>461</v>
      </c>
      <c r="V154" s="135">
        <v>0</v>
      </c>
      <c r="W154" s="135">
        <v>276.60000000000002</v>
      </c>
      <c r="X154" s="135">
        <v>280.8</v>
      </c>
      <c r="Y154" s="135">
        <v>1897549.76</v>
      </c>
      <c r="Z154" s="136"/>
      <c r="AA154" s="135">
        <v>47438.743999999999</v>
      </c>
      <c r="AB154" s="135">
        <v>47438.743999999999</v>
      </c>
      <c r="AC154" s="135">
        <v>1992427.25</v>
      </c>
      <c r="AD154" s="137">
        <f t="shared" si="74"/>
        <v>1990434.8227500001</v>
      </c>
      <c r="AE154" s="138">
        <v>39.35</v>
      </c>
      <c r="AF154" s="135">
        <v>39.47</v>
      </c>
      <c r="AG154" s="138">
        <v>39.28</v>
      </c>
      <c r="AH154" s="139">
        <v>4.5999999999999999E-3</v>
      </c>
      <c r="AI154" s="139">
        <v>4.2599999999999999E-2</v>
      </c>
      <c r="AJ154" s="139">
        <v>5.8000000000000003E-2</v>
      </c>
      <c r="AK154" s="137">
        <v>0</v>
      </c>
      <c r="AL154" s="137">
        <f>T154*0.5</f>
        <v>230.5</v>
      </c>
      <c r="AM154" s="137"/>
      <c r="AN154" s="137">
        <v>0</v>
      </c>
      <c r="AO154" s="140">
        <f t="shared" si="59"/>
        <v>0</v>
      </c>
      <c r="AP154" s="137"/>
      <c r="AQ154" s="137">
        <v>0</v>
      </c>
      <c r="AR154" s="137">
        <f t="shared" si="60"/>
        <v>230.5</v>
      </c>
      <c r="AS154" s="137">
        <f t="shared" si="61"/>
        <v>242</v>
      </c>
      <c r="AT154" s="137">
        <v>0</v>
      </c>
      <c r="AU154" s="141"/>
      <c r="AV154" s="141"/>
      <c r="AW154" s="137">
        <f t="shared" si="62"/>
        <v>27660.000000000004</v>
      </c>
      <c r="AX154" s="137">
        <v>0</v>
      </c>
      <c r="AY154" s="137">
        <f t="shared" si="63"/>
        <v>27660.000000000004</v>
      </c>
      <c r="AZ154" s="137">
        <f t="shared" si="64"/>
        <v>28080</v>
      </c>
      <c r="BA154" s="142">
        <f t="shared" si="65"/>
        <v>-419.99999999999636</v>
      </c>
      <c r="BB154" s="137"/>
      <c r="BC154" s="137">
        <v>0</v>
      </c>
      <c r="BD154" s="142">
        <v>0</v>
      </c>
      <c r="BE154" s="135">
        <v>281.14999999999998</v>
      </c>
      <c r="BF154" s="143">
        <f t="shared" si="66"/>
        <v>0.42172499999999991</v>
      </c>
      <c r="BG154" s="143">
        <f t="shared" si="67"/>
        <v>280.728275</v>
      </c>
      <c r="BH154" s="143">
        <f t="shared" si="68"/>
        <v>280.8</v>
      </c>
      <c r="BI154" s="144">
        <f t="shared" si="69"/>
        <v>34.999999999996589</v>
      </c>
      <c r="BJ154" s="144">
        <v>0</v>
      </c>
      <c r="BK154" s="137">
        <f t="shared" si="70"/>
        <v>34.999999999996589</v>
      </c>
      <c r="BL154" s="2"/>
      <c r="BM154" s="10" t="str">
        <f t="shared" si="71"/>
        <v>Unloading no. 143 Bill No 28 ,Deduction For Oil Deduction= 0 ,Bardana= 230.5 ,F.M=  Brokerage/Rate Difference 0 ,Shortage = 0 ,Greenish=  ,Moisture= 0</v>
      </c>
      <c r="BN154" s="3"/>
      <c r="BO154" s="13" t="str">
        <f t="shared" si="75"/>
        <v xml:space="preserve"> Party Condition 39.47  ,F.M% 0.46 ,Greenish 4.26 ,Moisture 5.8 ,Shortage in KG= 0  ,Oil% 39.28</v>
      </c>
      <c r="BP154" s="4">
        <f t="shared" si="76"/>
        <v>6756.8349715099712</v>
      </c>
      <c r="BQ154" s="5" t="str">
        <f t="shared" si="72"/>
        <v>39.28</v>
      </c>
      <c r="BR154" s="6">
        <f t="shared" si="73"/>
        <v>7224.7217108813329</v>
      </c>
      <c r="BS154" s="5" t="s">
        <v>62</v>
      </c>
      <c r="BT154" s="5" t="s">
        <v>63</v>
      </c>
      <c r="BW154" s="92"/>
      <c r="BX154" s="27">
        <v>39.35</v>
      </c>
      <c r="BY154" s="27">
        <v>39.28</v>
      </c>
      <c r="BZ154" s="96"/>
    </row>
    <row r="155" spans="1:78" s="1" customFormat="1" ht="15.75" hidden="1" x14ac:dyDescent="0.3">
      <c r="A155" s="128" t="s">
        <v>294</v>
      </c>
      <c r="B155" s="146">
        <v>46116</v>
      </c>
      <c r="C155" s="128">
        <v>144</v>
      </c>
      <c r="D155" s="128" t="s">
        <v>331</v>
      </c>
      <c r="E155" s="130">
        <v>46119</v>
      </c>
      <c r="F155" s="128" t="s">
        <v>95</v>
      </c>
      <c r="G155" s="128" t="s">
        <v>96</v>
      </c>
      <c r="H155" s="128" t="s">
        <v>97</v>
      </c>
      <c r="I155" s="136"/>
      <c r="J155" s="128" t="s">
        <v>113</v>
      </c>
      <c r="K155" s="135">
        <v>0</v>
      </c>
      <c r="L155" s="129">
        <v>46116</v>
      </c>
      <c r="M155" s="136"/>
      <c r="N155" s="128">
        <v>35</v>
      </c>
      <c r="O155" s="130">
        <v>46118</v>
      </c>
      <c r="P155" s="135">
        <v>0</v>
      </c>
      <c r="Q155" s="135">
        <v>130</v>
      </c>
      <c r="R155" s="135">
        <v>307</v>
      </c>
      <c r="S155" s="135">
        <v>0</v>
      </c>
      <c r="T155" s="135">
        <v>437</v>
      </c>
      <c r="U155" s="135">
        <v>437</v>
      </c>
      <c r="V155" s="135">
        <v>0</v>
      </c>
      <c r="W155" s="135">
        <v>262.2</v>
      </c>
      <c r="X155" s="135">
        <v>265.5</v>
      </c>
      <c r="Y155" s="135">
        <v>1800871.76</v>
      </c>
      <c r="Z155" s="136"/>
      <c r="AA155" s="135">
        <v>45021.794000000002</v>
      </c>
      <c r="AB155" s="135">
        <v>45021.794000000002</v>
      </c>
      <c r="AC155" s="135">
        <v>1890915.35</v>
      </c>
      <c r="AD155" s="137">
        <f t="shared" si="74"/>
        <v>1889024.4346500002</v>
      </c>
      <c r="AE155" s="138">
        <v>40.200000000000003</v>
      </c>
      <c r="AF155" s="135">
        <v>39.729999999999997</v>
      </c>
      <c r="AG155" s="138">
        <v>40.14</v>
      </c>
      <c r="AH155" s="139">
        <v>4.1000000000000003E-3</v>
      </c>
      <c r="AI155" s="139">
        <v>4.4999999999999998E-2</v>
      </c>
      <c r="AJ155" s="139">
        <v>6.6000000000000003E-2</v>
      </c>
      <c r="AK155" s="137">
        <f t="shared" si="57"/>
        <v>0</v>
      </c>
      <c r="AL155" s="137"/>
      <c r="AM155" s="137"/>
      <c r="AN155" s="137">
        <v>0</v>
      </c>
      <c r="AO155" s="140">
        <f t="shared" si="59"/>
        <v>0</v>
      </c>
      <c r="AP155" s="137"/>
      <c r="AQ155" s="137">
        <v>0</v>
      </c>
      <c r="AR155" s="137">
        <f t="shared" si="60"/>
        <v>0</v>
      </c>
      <c r="AS155" s="137">
        <f t="shared" si="61"/>
        <v>0</v>
      </c>
      <c r="AT155" s="137">
        <v>0</v>
      </c>
      <c r="AU155" s="141"/>
      <c r="AV155" s="141"/>
      <c r="AW155" s="137">
        <f t="shared" si="62"/>
        <v>26220</v>
      </c>
      <c r="AX155" s="137">
        <v>0</v>
      </c>
      <c r="AY155" s="137">
        <f t="shared" si="63"/>
        <v>26220</v>
      </c>
      <c r="AZ155" s="137">
        <f t="shared" si="64"/>
        <v>26550</v>
      </c>
      <c r="BA155" s="142">
        <f t="shared" si="65"/>
        <v>-330</v>
      </c>
      <c r="BB155" s="137"/>
      <c r="BC155" s="137">
        <v>0</v>
      </c>
      <c r="BD155" s="142">
        <v>0</v>
      </c>
      <c r="BE155" s="135">
        <v>265.7</v>
      </c>
      <c r="BF155" s="143">
        <f t="shared" si="66"/>
        <v>0.39854999999999996</v>
      </c>
      <c r="BG155" s="143">
        <f t="shared" si="67"/>
        <v>265.30144999999999</v>
      </c>
      <c r="BH155" s="143">
        <f t="shared" si="68"/>
        <v>265.5</v>
      </c>
      <c r="BI155" s="144">
        <f t="shared" si="69"/>
        <v>19.999999999998863</v>
      </c>
      <c r="BJ155" s="144">
        <v>0</v>
      </c>
      <c r="BK155" s="137">
        <f t="shared" si="70"/>
        <v>19.999999999998863</v>
      </c>
      <c r="BL155" s="2"/>
      <c r="BM155" s="10" t="str">
        <f t="shared" si="71"/>
        <v>Unloading no. 144 Bill No 35 ,Deduction For Oil Deduction= 0 ,Bardana=  ,F.M=  Brokerage/Rate Difference 0 ,Shortage = 0 ,Greenish=  ,Moisture= 0</v>
      </c>
      <c r="BN155" s="3"/>
      <c r="BO155" s="13" t="str">
        <f t="shared" si="75"/>
        <v xml:space="preserve"> Party Condition 39.73  ,F.M% 0.41 ,Greenish 4.5 ,Moisture 6.6 ,Shortage in KG= 0  ,Oil% 40.14</v>
      </c>
      <c r="BP155" s="4">
        <f t="shared" si="76"/>
        <v>6782.9444821092275</v>
      </c>
      <c r="BQ155" s="5" t="str">
        <f t="shared" si="72"/>
        <v>40.14</v>
      </c>
      <c r="BR155" s="6">
        <f t="shared" si="73"/>
        <v>7097.2513265716889</v>
      </c>
      <c r="BS155" s="5" t="s">
        <v>62</v>
      </c>
      <c r="BT155" s="5" t="s">
        <v>63</v>
      </c>
      <c r="BW155" s="92"/>
      <c r="BX155" s="27">
        <v>40.200000000000003</v>
      </c>
      <c r="BY155" s="27">
        <v>40.14</v>
      </c>
      <c r="BZ155" s="96"/>
    </row>
    <row r="156" spans="1:78" s="1" customFormat="1" ht="15.75" hidden="1" x14ac:dyDescent="0.3">
      <c r="A156" s="128" t="s">
        <v>295</v>
      </c>
      <c r="B156" s="146">
        <v>46116</v>
      </c>
      <c r="C156" s="128">
        <v>145</v>
      </c>
      <c r="D156" s="128" t="s">
        <v>332</v>
      </c>
      <c r="E156" s="130">
        <v>46119</v>
      </c>
      <c r="F156" s="128" t="s">
        <v>101</v>
      </c>
      <c r="G156" s="128" t="s">
        <v>102</v>
      </c>
      <c r="H156" s="128" t="s">
        <v>103</v>
      </c>
      <c r="I156" s="136"/>
      <c r="J156" s="128" t="s">
        <v>113</v>
      </c>
      <c r="K156" s="135">
        <v>0</v>
      </c>
      <c r="L156" s="129">
        <v>46116</v>
      </c>
      <c r="M156" s="136"/>
      <c r="N156" s="128" t="s">
        <v>381</v>
      </c>
      <c r="O156" s="130">
        <v>46118</v>
      </c>
      <c r="P156" s="135">
        <v>0</v>
      </c>
      <c r="Q156" s="135">
        <v>181</v>
      </c>
      <c r="R156" s="135">
        <v>100</v>
      </c>
      <c r="S156" s="135">
        <v>0</v>
      </c>
      <c r="T156" s="135">
        <v>281</v>
      </c>
      <c r="U156" s="135">
        <v>281</v>
      </c>
      <c r="V156" s="135">
        <v>0</v>
      </c>
      <c r="W156" s="135">
        <v>168.6</v>
      </c>
      <c r="X156" s="135">
        <v>170.7</v>
      </c>
      <c r="Y156" s="135">
        <v>1155015.0900000001</v>
      </c>
      <c r="Z156" s="136"/>
      <c r="AA156" s="135">
        <v>28875.377250000001</v>
      </c>
      <c r="AB156" s="135">
        <v>28875.377250000001</v>
      </c>
      <c r="AC156" s="135">
        <v>1212765.8400000001</v>
      </c>
      <c r="AD156" s="137">
        <f t="shared" si="74"/>
        <v>1211553.0741600001</v>
      </c>
      <c r="AE156" s="138">
        <v>41.08</v>
      </c>
      <c r="AF156" s="135">
        <v>39.4</v>
      </c>
      <c r="AG156" s="138">
        <v>41.06</v>
      </c>
      <c r="AH156" s="139">
        <v>4.4000000000000003E-3</v>
      </c>
      <c r="AI156" s="139">
        <v>4.8599999999999997E-2</v>
      </c>
      <c r="AJ156" s="139">
        <v>5.3999999999999999E-2</v>
      </c>
      <c r="AK156" s="137">
        <f t="shared" si="57"/>
        <v>0</v>
      </c>
      <c r="AL156" s="137"/>
      <c r="AM156" s="137"/>
      <c r="AN156" s="137">
        <v>0</v>
      </c>
      <c r="AO156" s="140">
        <f t="shared" si="59"/>
        <v>0</v>
      </c>
      <c r="AP156" s="137"/>
      <c r="AQ156" s="137">
        <v>0</v>
      </c>
      <c r="AR156" s="137">
        <f t="shared" si="60"/>
        <v>0</v>
      </c>
      <c r="AS156" s="137">
        <f t="shared" si="61"/>
        <v>0</v>
      </c>
      <c r="AT156" s="137">
        <v>0</v>
      </c>
      <c r="AU156" s="141"/>
      <c r="AV156" s="141"/>
      <c r="AW156" s="137">
        <f t="shared" si="62"/>
        <v>16860</v>
      </c>
      <c r="AX156" s="137">
        <v>0</v>
      </c>
      <c r="AY156" s="137">
        <f t="shared" si="63"/>
        <v>16860</v>
      </c>
      <c r="AZ156" s="137">
        <f t="shared" si="64"/>
        <v>17070</v>
      </c>
      <c r="BA156" s="142">
        <f t="shared" si="65"/>
        <v>-210</v>
      </c>
      <c r="BB156" s="137"/>
      <c r="BC156" s="137">
        <v>0</v>
      </c>
      <c r="BD156" s="142">
        <v>0</v>
      </c>
      <c r="BE156" s="135">
        <v>171</v>
      </c>
      <c r="BF156" s="143">
        <f t="shared" si="66"/>
        <v>0.25650000000000001</v>
      </c>
      <c r="BG156" s="143">
        <f t="shared" si="67"/>
        <v>170.74350000000001</v>
      </c>
      <c r="BH156" s="143">
        <f t="shared" si="68"/>
        <v>170.7</v>
      </c>
      <c r="BI156" s="144">
        <f t="shared" si="69"/>
        <v>30.000000000001137</v>
      </c>
      <c r="BJ156" s="144">
        <v>0</v>
      </c>
      <c r="BK156" s="137">
        <f t="shared" si="70"/>
        <v>30.000000000001137</v>
      </c>
      <c r="BL156" s="2"/>
      <c r="BM156" s="10" t="str">
        <f t="shared" si="71"/>
        <v>Unloading no. 145 Bill No L/PB/26-27/20 ,Deduction For Oil Deduction= 0 ,Bardana=  ,F.M=  Brokerage/Rate Difference 0 ,Shortage = 0 ,Greenish=  ,Moisture= 0</v>
      </c>
      <c r="BN156" s="3"/>
      <c r="BO156" s="13" t="str">
        <f t="shared" si="75"/>
        <v xml:space="preserve"> Party Condition 39.4  ,F.M% 0.44 ,Greenish 4.86 ,Moisture 5.4 ,Shortage in KG= 0  ,Oil% 41.06</v>
      </c>
      <c r="BP156" s="4">
        <f t="shared" si="76"/>
        <v>6766.3449912126543</v>
      </c>
      <c r="BQ156" s="5" t="str">
        <f t="shared" si="72"/>
        <v>41.06</v>
      </c>
      <c r="BR156" s="6">
        <f t="shared" si="73"/>
        <v>6921.2491386003767</v>
      </c>
      <c r="BS156" s="5" t="s">
        <v>62</v>
      </c>
      <c r="BT156" s="5" t="s">
        <v>63</v>
      </c>
      <c r="BW156" s="92"/>
      <c r="BX156" s="27">
        <v>41.08</v>
      </c>
      <c r="BY156" s="27">
        <v>41.06</v>
      </c>
      <c r="BZ156" s="96"/>
    </row>
    <row r="157" spans="1:78" s="1" customFormat="1" ht="15.75" hidden="1" x14ac:dyDescent="0.3">
      <c r="A157" s="128" t="s">
        <v>294</v>
      </c>
      <c r="B157" s="146">
        <v>46116</v>
      </c>
      <c r="C157" s="128">
        <v>146</v>
      </c>
      <c r="D157" s="128" t="s">
        <v>333</v>
      </c>
      <c r="E157" s="130">
        <v>46119</v>
      </c>
      <c r="F157" s="128" t="s">
        <v>95</v>
      </c>
      <c r="G157" s="128" t="s">
        <v>96</v>
      </c>
      <c r="H157" s="128" t="s">
        <v>97</v>
      </c>
      <c r="I157" s="136"/>
      <c r="J157" s="128" t="s">
        <v>113</v>
      </c>
      <c r="K157" s="135">
        <v>0</v>
      </c>
      <c r="L157" s="129">
        <v>46116</v>
      </c>
      <c r="M157" s="136"/>
      <c r="N157" s="128">
        <v>33</v>
      </c>
      <c r="O157" s="130">
        <v>46118</v>
      </c>
      <c r="P157" s="135">
        <v>0</v>
      </c>
      <c r="Q157" s="135">
        <v>205</v>
      </c>
      <c r="R157" s="135">
        <v>430</v>
      </c>
      <c r="S157" s="135">
        <v>0</v>
      </c>
      <c r="T157" s="135">
        <v>635</v>
      </c>
      <c r="U157" s="135">
        <v>635</v>
      </c>
      <c r="V157" s="135">
        <v>0</v>
      </c>
      <c r="W157" s="135">
        <v>381</v>
      </c>
      <c r="X157" s="135">
        <v>386.2</v>
      </c>
      <c r="Y157" s="135">
        <v>2616827.38</v>
      </c>
      <c r="Z157" s="136"/>
      <c r="AA157" s="135">
        <v>65420.684500000003</v>
      </c>
      <c r="AB157" s="135">
        <v>65420.684500000003</v>
      </c>
      <c r="AC157" s="135">
        <v>2747668.75</v>
      </c>
      <c r="AD157" s="137">
        <f t="shared" si="74"/>
        <v>2744921.0812499998</v>
      </c>
      <c r="AE157" s="138">
        <v>39.67</v>
      </c>
      <c r="AF157" s="135">
        <v>39.729999999999997</v>
      </c>
      <c r="AG157" s="138">
        <v>39.61</v>
      </c>
      <c r="AH157" s="139">
        <v>4.1000000000000003E-3</v>
      </c>
      <c r="AI157" s="139">
        <v>6.4000000000000001E-2</v>
      </c>
      <c r="AJ157" s="139">
        <v>5.7000000000000002E-2</v>
      </c>
      <c r="AK157" s="137">
        <v>0</v>
      </c>
      <c r="AL157" s="137"/>
      <c r="AM157" s="137"/>
      <c r="AN157" s="137">
        <v>0</v>
      </c>
      <c r="AO157" s="140">
        <f t="shared" si="59"/>
        <v>0</v>
      </c>
      <c r="AP157" s="137"/>
      <c r="AQ157" s="137">
        <v>0</v>
      </c>
      <c r="AR157" s="137">
        <f t="shared" si="60"/>
        <v>0</v>
      </c>
      <c r="AS157" s="137">
        <f t="shared" si="61"/>
        <v>0</v>
      </c>
      <c r="AT157" s="137">
        <v>0</v>
      </c>
      <c r="AU157" s="141"/>
      <c r="AV157" s="141"/>
      <c r="AW157" s="137">
        <f t="shared" si="62"/>
        <v>38100</v>
      </c>
      <c r="AX157" s="137">
        <v>0</v>
      </c>
      <c r="AY157" s="137">
        <f t="shared" si="63"/>
        <v>38100</v>
      </c>
      <c r="AZ157" s="137">
        <f t="shared" si="64"/>
        <v>38620</v>
      </c>
      <c r="BA157" s="142">
        <f t="shared" si="65"/>
        <v>-520</v>
      </c>
      <c r="BB157" s="137"/>
      <c r="BC157" s="137">
        <v>0</v>
      </c>
      <c r="BD157" s="142">
        <v>0</v>
      </c>
      <c r="BE157" s="135">
        <v>386.5</v>
      </c>
      <c r="BF157" s="143">
        <f t="shared" si="66"/>
        <v>0.57974999999999999</v>
      </c>
      <c r="BG157" s="143">
        <f t="shared" si="67"/>
        <v>385.92025000000001</v>
      </c>
      <c r="BH157" s="143">
        <f t="shared" si="68"/>
        <v>386.2</v>
      </c>
      <c r="BI157" s="144">
        <f t="shared" si="69"/>
        <v>30.000000000001137</v>
      </c>
      <c r="BJ157" s="144">
        <v>0</v>
      </c>
      <c r="BK157" s="137">
        <f t="shared" si="70"/>
        <v>30.000000000001137</v>
      </c>
      <c r="BL157" s="2"/>
      <c r="BM157" s="10" t="str">
        <f t="shared" si="71"/>
        <v>Unloading no. 146 Bill No 33 ,Deduction For Oil Deduction= 0 ,Bardana=  ,F.M=  Brokerage/Rate Difference 0 ,Shortage = 0 ,Greenish=  ,Moisture= 0</v>
      </c>
      <c r="BN157" s="3"/>
      <c r="BO157" s="13" t="str">
        <f t="shared" si="75"/>
        <v xml:space="preserve"> Party Condition 39.73  ,F.M% 0.41 ,Greenish 6.4 ,Moisture 5.7 ,Shortage in KG= 0  ,Oil% 39.61</v>
      </c>
      <c r="BP157" s="4">
        <f t="shared" si="76"/>
        <v>6775.8347488348008</v>
      </c>
      <c r="BQ157" s="5" t="str">
        <f t="shared" si="72"/>
        <v>39.61</v>
      </c>
      <c r="BR157" s="6">
        <f t="shared" si="73"/>
        <v>7184.677087883405</v>
      </c>
      <c r="BS157" s="5" t="s">
        <v>62</v>
      </c>
      <c r="BT157" s="5" t="s">
        <v>63</v>
      </c>
      <c r="BW157" s="92"/>
      <c r="BX157" s="27">
        <v>39.67</v>
      </c>
      <c r="BY157" s="27">
        <v>39.61</v>
      </c>
      <c r="BZ157" s="96"/>
    </row>
    <row r="158" spans="1:78" s="1" customFormat="1" ht="15.75" hidden="1" x14ac:dyDescent="0.3">
      <c r="A158" s="128" t="s">
        <v>294</v>
      </c>
      <c r="B158" s="146">
        <v>46116</v>
      </c>
      <c r="C158" s="128">
        <v>147</v>
      </c>
      <c r="D158" s="128" t="s">
        <v>334</v>
      </c>
      <c r="E158" s="130">
        <v>46119</v>
      </c>
      <c r="F158" s="128" t="s">
        <v>95</v>
      </c>
      <c r="G158" s="128" t="s">
        <v>96</v>
      </c>
      <c r="H158" s="128" t="s">
        <v>97</v>
      </c>
      <c r="I158" s="136"/>
      <c r="J158" s="128" t="s">
        <v>113</v>
      </c>
      <c r="K158" s="135">
        <v>0</v>
      </c>
      <c r="L158" s="129">
        <v>46116</v>
      </c>
      <c r="M158" s="136"/>
      <c r="N158" s="128">
        <v>34</v>
      </c>
      <c r="O158" s="130">
        <v>46118</v>
      </c>
      <c r="P158" s="135">
        <v>0</v>
      </c>
      <c r="Q158" s="135">
        <v>300</v>
      </c>
      <c r="R158" s="135">
        <v>419</v>
      </c>
      <c r="S158" s="135">
        <v>0</v>
      </c>
      <c r="T158" s="135">
        <v>719</v>
      </c>
      <c r="U158" s="135">
        <v>719</v>
      </c>
      <c r="V158" s="135">
        <v>0</v>
      </c>
      <c r="W158" s="135">
        <v>431.4</v>
      </c>
      <c r="X158" s="135">
        <v>437.6</v>
      </c>
      <c r="Y158" s="135">
        <v>2962990.37</v>
      </c>
      <c r="Z158" s="136"/>
      <c r="AA158" s="135">
        <v>74074.759250000003</v>
      </c>
      <c r="AB158" s="135">
        <v>74074.759250000003</v>
      </c>
      <c r="AC158" s="135">
        <v>3111139.89</v>
      </c>
      <c r="AD158" s="137">
        <f t="shared" si="74"/>
        <v>3108028.7501099999</v>
      </c>
      <c r="AE158" s="138">
        <v>40.76</v>
      </c>
      <c r="AF158" s="135">
        <v>39.729999999999997</v>
      </c>
      <c r="AG158" s="138">
        <v>40.44</v>
      </c>
      <c r="AH158" s="139">
        <v>4.7999999999999996E-3</v>
      </c>
      <c r="AI158" s="139">
        <v>0.05</v>
      </c>
      <c r="AJ158" s="139">
        <v>5.7000000000000002E-2</v>
      </c>
      <c r="AK158" s="137">
        <f t="shared" si="57"/>
        <v>0</v>
      </c>
      <c r="AL158" s="137"/>
      <c r="AM158" s="137"/>
      <c r="AN158" s="137">
        <v>0</v>
      </c>
      <c r="AO158" s="140">
        <f t="shared" si="59"/>
        <v>0</v>
      </c>
      <c r="AP158" s="137"/>
      <c r="AQ158" s="137">
        <v>0</v>
      </c>
      <c r="AR158" s="137">
        <f t="shared" si="60"/>
        <v>0</v>
      </c>
      <c r="AS158" s="137">
        <f t="shared" si="61"/>
        <v>0</v>
      </c>
      <c r="AT158" s="137">
        <f t="shared" ref="AT158:AT175" si="77">BK158</f>
        <v>0</v>
      </c>
      <c r="AU158" s="141"/>
      <c r="AV158" s="141"/>
      <c r="AW158" s="137">
        <f t="shared" si="62"/>
        <v>43140</v>
      </c>
      <c r="AX158" s="137">
        <v>0</v>
      </c>
      <c r="AY158" s="137">
        <f t="shared" si="63"/>
        <v>43140</v>
      </c>
      <c r="AZ158" s="137">
        <f t="shared" si="64"/>
        <v>43760</v>
      </c>
      <c r="BA158" s="142">
        <f t="shared" si="65"/>
        <v>-620</v>
      </c>
      <c r="BB158" s="137"/>
      <c r="BC158" s="137">
        <v>0</v>
      </c>
      <c r="BD158" s="142">
        <v>0</v>
      </c>
      <c r="BE158" s="135">
        <v>437.6</v>
      </c>
      <c r="BF158" s="143">
        <f t="shared" si="66"/>
        <v>0.65639999999999998</v>
      </c>
      <c r="BG158" s="143">
        <f t="shared" si="67"/>
        <v>436.9436</v>
      </c>
      <c r="BH158" s="143">
        <f t="shared" si="68"/>
        <v>437.6</v>
      </c>
      <c r="BI158" s="144">
        <f t="shared" si="69"/>
        <v>0</v>
      </c>
      <c r="BJ158" s="144">
        <v>0</v>
      </c>
      <c r="BK158" s="137">
        <f t="shared" si="70"/>
        <v>0</v>
      </c>
      <c r="BL158" s="2"/>
      <c r="BM158" s="10" t="str">
        <f t="shared" si="71"/>
        <v>Unloading no. 147 Bill No 34 ,Deduction For Oil Deduction= 0 ,Bardana=  ,F.M=  Brokerage/Rate Difference 0 ,Shortage = 0 ,Greenish=  ,Moisture= 0</v>
      </c>
      <c r="BN158" s="3"/>
      <c r="BO158" s="13" t="str">
        <f t="shared" si="75"/>
        <v xml:space="preserve"> Party Condition 39.73  ,F.M% 0.48 ,Greenish 5 ,Moisture 5.7 ,Shortage in KG= 0  ,Oil% 40.44</v>
      </c>
      <c r="BP158" s="4">
        <f t="shared" si="76"/>
        <v>6771.0017595978061</v>
      </c>
      <c r="BQ158" s="5" t="str">
        <f t="shared" si="72"/>
        <v>40.44</v>
      </c>
      <c r="BR158" s="6">
        <f t="shared" si="73"/>
        <v>7032.1976731727955</v>
      </c>
      <c r="BS158" s="5" t="s">
        <v>62</v>
      </c>
      <c r="BT158" s="5" t="s">
        <v>63</v>
      </c>
      <c r="BW158" s="92"/>
      <c r="BX158" s="27">
        <v>40.76</v>
      </c>
      <c r="BY158" s="27">
        <v>40.44</v>
      </c>
      <c r="BZ158" s="96"/>
    </row>
    <row r="159" spans="1:78" s="1" customFormat="1" ht="15.75" hidden="1" x14ac:dyDescent="0.3">
      <c r="A159" s="128" t="s">
        <v>297</v>
      </c>
      <c r="B159" s="146">
        <v>46118</v>
      </c>
      <c r="C159" s="128">
        <v>148</v>
      </c>
      <c r="D159" s="128" t="s">
        <v>335</v>
      </c>
      <c r="E159" s="130">
        <v>46119</v>
      </c>
      <c r="F159" s="128" t="s">
        <v>95</v>
      </c>
      <c r="G159" s="128" t="s">
        <v>96</v>
      </c>
      <c r="H159" s="128" t="s">
        <v>97</v>
      </c>
      <c r="I159" s="136"/>
      <c r="J159" s="128" t="s">
        <v>113</v>
      </c>
      <c r="K159" s="135">
        <v>0</v>
      </c>
      <c r="L159" s="129">
        <v>46118</v>
      </c>
      <c r="M159" s="136"/>
      <c r="N159" s="128">
        <v>42</v>
      </c>
      <c r="O159" s="130">
        <v>46118</v>
      </c>
      <c r="P159" s="135">
        <v>0</v>
      </c>
      <c r="Q159" s="135">
        <v>308</v>
      </c>
      <c r="R159" s="135">
        <v>200</v>
      </c>
      <c r="S159" s="135">
        <v>0</v>
      </c>
      <c r="T159" s="135">
        <v>508</v>
      </c>
      <c r="U159" s="135">
        <v>508</v>
      </c>
      <c r="V159" s="135">
        <v>0</v>
      </c>
      <c r="W159" s="135">
        <v>304.8</v>
      </c>
      <c r="X159" s="135">
        <v>308</v>
      </c>
      <c r="Y159" s="135">
        <v>2055425.91</v>
      </c>
      <c r="Z159" s="136"/>
      <c r="AA159" s="135">
        <v>51385.647749999996</v>
      </c>
      <c r="AB159" s="135">
        <v>51385.647749999996</v>
      </c>
      <c r="AC159" s="135">
        <v>2158197.21</v>
      </c>
      <c r="AD159" s="137">
        <f t="shared" si="74"/>
        <v>2156039.0127900001</v>
      </c>
      <c r="AE159" s="138">
        <v>40.4</v>
      </c>
      <c r="AF159" s="135">
        <v>39.6</v>
      </c>
      <c r="AG159" s="138">
        <v>40.340000000000003</v>
      </c>
      <c r="AH159" s="139">
        <v>4.7000000000000002E-3</v>
      </c>
      <c r="AI159" s="139">
        <v>4.5999999999999999E-2</v>
      </c>
      <c r="AJ159" s="139">
        <v>5.1999999999999998E-2</v>
      </c>
      <c r="AK159" s="137">
        <f t="shared" si="57"/>
        <v>0</v>
      </c>
      <c r="AL159" s="137"/>
      <c r="AM159" s="137"/>
      <c r="AN159" s="137">
        <v>0</v>
      </c>
      <c r="AO159" s="140">
        <f t="shared" si="59"/>
        <v>3439.1968966534664</v>
      </c>
      <c r="AP159" s="137"/>
      <c r="AQ159" s="137">
        <v>0</v>
      </c>
      <c r="AR159" s="137">
        <f t="shared" si="60"/>
        <v>3439.1968966534664</v>
      </c>
      <c r="AS159" s="137">
        <f t="shared" si="61"/>
        <v>3611</v>
      </c>
      <c r="AT159" s="137">
        <f>BK159+42-61</f>
        <v>50.999999999998863</v>
      </c>
      <c r="AU159" s="141"/>
      <c r="AV159" s="141"/>
      <c r="AW159" s="137">
        <f t="shared" si="62"/>
        <v>30480</v>
      </c>
      <c r="AX159" s="137">
        <v>0</v>
      </c>
      <c r="AY159" s="137">
        <f t="shared" si="63"/>
        <v>30480</v>
      </c>
      <c r="AZ159" s="137">
        <f t="shared" si="64"/>
        <v>30800</v>
      </c>
      <c r="BA159" s="142">
        <f t="shared" si="65"/>
        <v>-320</v>
      </c>
      <c r="BB159" s="137"/>
      <c r="BC159" s="137">
        <v>0</v>
      </c>
      <c r="BD159" s="142">
        <v>0</v>
      </c>
      <c r="BE159" s="135">
        <v>308.7</v>
      </c>
      <c r="BF159" s="143">
        <f t="shared" si="66"/>
        <v>0.46305000000000002</v>
      </c>
      <c r="BG159" s="143">
        <f t="shared" si="67"/>
        <v>308.23694999999998</v>
      </c>
      <c r="BH159" s="143">
        <f t="shared" si="68"/>
        <v>308</v>
      </c>
      <c r="BI159" s="144">
        <f t="shared" si="69"/>
        <v>69.999999999998863</v>
      </c>
      <c r="BJ159" s="144">
        <v>0</v>
      </c>
      <c r="BK159" s="137">
        <f t="shared" si="70"/>
        <v>69.999999999998863</v>
      </c>
      <c r="BL159" s="2"/>
      <c r="BM159" s="10" t="str">
        <f t="shared" si="71"/>
        <v>Unloading no. 148 Bill No 42 ,Deduction For Oil Deduction= 0 ,Bardana=  ,F.M=  Brokerage/Rate Difference 0 ,Shortage = 3439.19689665347 ,Greenish=  ,Moisture= 0</v>
      </c>
      <c r="BN159" s="3"/>
      <c r="BO159" s="13" t="str">
        <f t="shared" si="75"/>
        <v xml:space="preserve"> Party Condition 39.6  ,F.M% 0.47 ,Greenish 4.6 ,Moisture 5.2 ,Shortage in KG= 50.9999999999989  ,Oil% 40.34</v>
      </c>
      <c r="BP159" s="4">
        <f t="shared" si="76"/>
        <v>6662.2945230628138</v>
      </c>
      <c r="BQ159" s="5" t="str">
        <f t="shared" si="72"/>
        <v>40.34</v>
      </c>
      <c r="BR159" s="6">
        <f t="shared" si="73"/>
        <v>6936.4494290688681</v>
      </c>
      <c r="BS159" s="5" t="s">
        <v>62</v>
      </c>
      <c r="BT159" s="5" t="s">
        <v>63</v>
      </c>
      <c r="BW159" s="92"/>
      <c r="BX159" s="27">
        <v>40.4</v>
      </c>
      <c r="BY159" s="27">
        <v>40.340000000000003</v>
      </c>
      <c r="BZ159" s="96"/>
    </row>
    <row r="160" spans="1:78" s="1" customFormat="1" ht="15.75" hidden="1" x14ac:dyDescent="0.3">
      <c r="A160" s="128" t="s">
        <v>294</v>
      </c>
      <c r="B160" s="146">
        <v>46116</v>
      </c>
      <c r="C160" s="128">
        <v>149</v>
      </c>
      <c r="D160" s="128" t="s">
        <v>336</v>
      </c>
      <c r="E160" s="130">
        <v>46119</v>
      </c>
      <c r="F160" s="128" t="s">
        <v>95</v>
      </c>
      <c r="G160" s="128" t="s">
        <v>96</v>
      </c>
      <c r="H160" s="128" t="s">
        <v>97</v>
      </c>
      <c r="I160" s="136"/>
      <c r="J160" s="128" t="s">
        <v>113</v>
      </c>
      <c r="K160" s="135">
        <v>0</v>
      </c>
      <c r="L160" s="129">
        <v>46116</v>
      </c>
      <c r="M160" s="136"/>
      <c r="N160" s="128">
        <v>41</v>
      </c>
      <c r="O160" s="130">
        <v>46118</v>
      </c>
      <c r="P160" s="135">
        <v>0</v>
      </c>
      <c r="Q160" s="135">
        <v>302</v>
      </c>
      <c r="R160" s="135">
        <v>7</v>
      </c>
      <c r="S160" s="135">
        <v>0</v>
      </c>
      <c r="T160" s="135">
        <v>309</v>
      </c>
      <c r="U160" s="135">
        <v>309</v>
      </c>
      <c r="V160" s="135">
        <v>0</v>
      </c>
      <c r="W160" s="135">
        <v>185.4</v>
      </c>
      <c r="X160" s="135">
        <f>188.03-0.77</f>
        <v>187.26</v>
      </c>
      <c r="Y160" s="135">
        <v>1278428.29</v>
      </c>
      <c r="Z160" s="136"/>
      <c r="AA160" s="135">
        <v>31960.707249999999</v>
      </c>
      <c r="AB160" s="135">
        <v>31960.707249999999</v>
      </c>
      <c r="AC160" s="135">
        <v>1342349.7</v>
      </c>
      <c r="AD160" s="137">
        <f t="shared" si="74"/>
        <v>1341007.3503</v>
      </c>
      <c r="AE160" s="138">
        <v>40.07</v>
      </c>
      <c r="AF160" s="135">
        <v>39.729999999999997</v>
      </c>
      <c r="AG160" s="138">
        <v>39.93</v>
      </c>
      <c r="AH160" s="139">
        <v>4.3E-3</v>
      </c>
      <c r="AI160" s="139">
        <v>4.8099999999999997E-2</v>
      </c>
      <c r="AJ160" s="139">
        <v>5.6000000000000001E-2</v>
      </c>
      <c r="AK160" s="137">
        <f t="shared" si="57"/>
        <v>0</v>
      </c>
      <c r="AL160" s="137"/>
      <c r="AM160" s="137"/>
      <c r="AN160" s="137">
        <v>0</v>
      </c>
      <c r="AO160" s="140">
        <f t="shared" si="59"/>
        <v>1723.87849244883</v>
      </c>
      <c r="AP160" s="137"/>
      <c r="AQ160" s="137">
        <v>0</v>
      </c>
      <c r="AR160" s="137">
        <f t="shared" si="60"/>
        <v>1723.87849244883</v>
      </c>
      <c r="AS160" s="137">
        <f t="shared" si="61"/>
        <v>1810</v>
      </c>
      <c r="AT160" s="137">
        <f>BK160-52</f>
        <v>25.000000000001023</v>
      </c>
      <c r="AU160" s="141"/>
      <c r="AV160" s="141"/>
      <c r="AW160" s="137">
        <f t="shared" si="62"/>
        <v>18540</v>
      </c>
      <c r="AX160" s="137">
        <v>0</v>
      </c>
      <c r="AY160" s="137">
        <f t="shared" si="63"/>
        <v>18540</v>
      </c>
      <c r="AZ160" s="137">
        <f t="shared" si="64"/>
        <v>18726</v>
      </c>
      <c r="BA160" s="142">
        <f t="shared" si="65"/>
        <v>-186</v>
      </c>
      <c r="BB160" s="137"/>
      <c r="BC160" s="137">
        <v>0</v>
      </c>
      <c r="BD160" s="142">
        <v>0</v>
      </c>
      <c r="BE160" s="135">
        <v>188.03</v>
      </c>
      <c r="BF160" s="143">
        <f t="shared" si="66"/>
        <v>0.28204499999999999</v>
      </c>
      <c r="BG160" s="143">
        <f t="shared" si="67"/>
        <v>187.74795499999999</v>
      </c>
      <c r="BH160" s="143">
        <f t="shared" si="68"/>
        <v>187.26</v>
      </c>
      <c r="BI160" s="144">
        <f t="shared" si="69"/>
        <v>77.000000000001023</v>
      </c>
      <c r="BJ160" s="144">
        <v>0</v>
      </c>
      <c r="BK160" s="137">
        <f t="shared" si="70"/>
        <v>77.000000000001023</v>
      </c>
      <c r="BL160" s="2"/>
      <c r="BM160" s="10" t="str">
        <f t="shared" si="71"/>
        <v>Unloading no. 149 Bill No 41 ,Deduction For Oil Deduction= 0 ,Bardana=  ,F.M=  Brokerage/Rate Difference 0 ,Shortage = 1723.87849244883 ,Greenish=  ,Moisture= 0</v>
      </c>
      <c r="BN160" s="3"/>
      <c r="BO160" s="13" t="str">
        <f t="shared" si="75"/>
        <v xml:space="preserve"> Party Condition 39.73  ,F.M% 0.43 ,Greenish 4.81 ,Moisture 5.6 ,Shortage in KG= 25.000000000001  ,Oil% 39.93</v>
      </c>
      <c r="BP160" s="4">
        <f t="shared" si="76"/>
        <v>6817.8170004675376</v>
      </c>
      <c r="BQ160" s="5" t="str">
        <f t="shared" si="72"/>
        <v>39.93</v>
      </c>
      <c r="BR160" s="6">
        <f t="shared" si="73"/>
        <v>7171.2575512055246</v>
      </c>
      <c r="BS160" s="5" t="s">
        <v>62</v>
      </c>
      <c r="BT160" s="5" t="s">
        <v>63</v>
      </c>
      <c r="BW160" s="92"/>
      <c r="BX160" s="27">
        <v>40.07</v>
      </c>
      <c r="BY160" s="27">
        <v>39.93</v>
      </c>
      <c r="BZ160" s="96"/>
    </row>
    <row r="161" spans="1:78" s="1" customFormat="1" ht="15.75" hidden="1" x14ac:dyDescent="0.3">
      <c r="A161" s="128" t="s">
        <v>297</v>
      </c>
      <c r="B161" s="146">
        <v>46118</v>
      </c>
      <c r="C161" s="128">
        <v>149</v>
      </c>
      <c r="D161" s="128" t="s">
        <v>336</v>
      </c>
      <c r="E161" s="130">
        <v>46119</v>
      </c>
      <c r="F161" s="128" t="s">
        <v>95</v>
      </c>
      <c r="G161" s="128" t="s">
        <v>96</v>
      </c>
      <c r="H161" s="128" t="s">
        <v>97</v>
      </c>
      <c r="I161" s="136"/>
      <c r="J161" s="128" t="s">
        <v>113</v>
      </c>
      <c r="K161" s="135">
        <v>0</v>
      </c>
      <c r="L161" s="129">
        <v>46118</v>
      </c>
      <c r="M161" s="136"/>
      <c r="N161" s="128">
        <v>41</v>
      </c>
      <c r="O161" s="130">
        <v>46118</v>
      </c>
      <c r="P161" s="135">
        <v>0</v>
      </c>
      <c r="Q161" s="135">
        <v>0</v>
      </c>
      <c r="R161" s="135">
        <v>123</v>
      </c>
      <c r="S161" s="135">
        <v>0</v>
      </c>
      <c r="T161" s="135">
        <v>123</v>
      </c>
      <c r="U161" s="135">
        <v>123</v>
      </c>
      <c r="V161" s="135">
        <v>0</v>
      </c>
      <c r="W161" s="135">
        <v>73.8</v>
      </c>
      <c r="X161" s="135">
        <v>74.849999999999994</v>
      </c>
      <c r="Y161" s="135">
        <v>492629.02</v>
      </c>
      <c r="Z161" s="136"/>
      <c r="AA161" s="135">
        <v>12315.7255</v>
      </c>
      <c r="AB161" s="135">
        <v>12315.7255</v>
      </c>
      <c r="AC161" s="135">
        <v>517260.47</v>
      </c>
      <c r="AD161" s="137">
        <f t="shared" si="74"/>
        <v>516743.20952999999</v>
      </c>
      <c r="AE161" s="138">
        <v>40.07</v>
      </c>
      <c r="AF161" s="135">
        <v>39.6</v>
      </c>
      <c r="AG161" s="138">
        <v>39.93</v>
      </c>
      <c r="AH161" s="139">
        <v>4.3E-3</v>
      </c>
      <c r="AI161" s="139">
        <v>4.8099999999999997E-2</v>
      </c>
      <c r="AJ161" s="139">
        <v>5.6000000000000001E-2</v>
      </c>
      <c r="AK161" s="137">
        <f t="shared" si="57"/>
        <v>0</v>
      </c>
      <c r="AL161" s="137"/>
      <c r="AM161" s="137"/>
      <c r="AN161" s="137">
        <v>0</v>
      </c>
      <c r="AO161" s="140">
        <f t="shared" si="59"/>
        <v>0</v>
      </c>
      <c r="AP161" s="137"/>
      <c r="AQ161" s="137">
        <v>0</v>
      </c>
      <c r="AR161" s="137">
        <f t="shared" si="60"/>
        <v>0</v>
      </c>
      <c r="AS161" s="137">
        <f t="shared" si="61"/>
        <v>0</v>
      </c>
      <c r="AT161" s="137">
        <f t="shared" si="77"/>
        <v>0</v>
      </c>
      <c r="AU161" s="141"/>
      <c r="AV161" s="141"/>
      <c r="AW161" s="137">
        <f t="shared" si="62"/>
        <v>7380</v>
      </c>
      <c r="AX161" s="137">
        <v>0</v>
      </c>
      <c r="AY161" s="137">
        <f t="shared" si="63"/>
        <v>7380</v>
      </c>
      <c r="AZ161" s="137">
        <f t="shared" si="64"/>
        <v>7484.9999999999991</v>
      </c>
      <c r="BA161" s="142">
        <f t="shared" si="65"/>
        <v>-104.99999999999909</v>
      </c>
      <c r="BB161" s="137"/>
      <c r="BC161" s="137">
        <v>0</v>
      </c>
      <c r="BD161" s="142">
        <v>0</v>
      </c>
      <c r="BE161" s="135">
        <v>74.849999999999994</v>
      </c>
      <c r="BF161" s="143">
        <f t="shared" si="66"/>
        <v>0.11227499999999999</v>
      </c>
      <c r="BG161" s="143">
        <f t="shared" si="67"/>
        <v>74.737724999999998</v>
      </c>
      <c r="BH161" s="143">
        <f t="shared" si="68"/>
        <v>74.849999999999994</v>
      </c>
      <c r="BI161" s="144">
        <f t="shared" si="69"/>
        <v>0</v>
      </c>
      <c r="BJ161" s="144">
        <v>0</v>
      </c>
      <c r="BK161" s="137">
        <f t="shared" si="70"/>
        <v>0</v>
      </c>
      <c r="BL161" s="2"/>
      <c r="BM161" s="10" t="str">
        <f t="shared" si="71"/>
        <v>Unloading no. 149 Bill No 41 ,Deduction For Oil Deduction= 0 ,Bardana=  ,F.M=  Brokerage/Rate Difference 0 ,Shortage = 0 ,Greenish=  ,Moisture= 0</v>
      </c>
      <c r="BN161" s="3"/>
      <c r="BO161" s="13" t="str">
        <f t="shared" si="75"/>
        <v xml:space="preserve"> Party Condition 39.6  ,F.M% 0.43 ,Greenish 4.81 ,Moisture 5.6 ,Shortage in KG= 0  ,Oil% 39.93</v>
      </c>
      <c r="BP161" s="4">
        <f t="shared" si="76"/>
        <v>6581.5500334001345</v>
      </c>
      <c r="BQ161" s="5" t="str">
        <f t="shared" si="72"/>
        <v>39.93</v>
      </c>
      <c r="BR161" s="6">
        <f t="shared" si="73"/>
        <v>6922.7423341549129</v>
      </c>
      <c r="BS161" s="5" t="s">
        <v>62</v>
      </c>
      <c r="BT161" s="5" t="s">
        <v>63</v>
      </c>
      <c r="BW161" s="92"/>
      <c r="BX161" s="27">
        <v>40.07</v>
      </c>
      <c r="BY161" s="27">
        <v>39.93</v>
      </c>
      <c r="BZ161" s="96"/>
    </row>
    <row r="162" spans="1:78" s="1" customFormat="1" ht="15.75" hidden="1" x14ac:dyDescent="0.3">
      <c r="A162" s="128" t="s">
        <v>294</v>
      </c>
      <c r="B162" s="146">
        <v>46116</v>
      </c>
      <c r="C162" s="128">
        <v>150</v>
      </c>
      <c r="D162" s="128" t="s">
        <v>337</v>
      </c>
      <c r="E162" s="130">
        <v>46119</v>
      </c>
      <c r="F162" s="128" t="s">
        <v>95</v>
      </c>
      <c r="G162" s="128" t="s">
        <v>96</v>
      </c>
      <c r="H162" s="128" t="s">
        <v>97</v>
      </c>
      <c r="I162" s="136"/>
      <c r="J162" s="128" t="s">
        <v>113</v>
      </c>
      <c r="K162" s="135">
        <v>0</v>
      </c>
      <c r="L162" s="129">
        <v>46116</v>
      </c>
      <c r="M162" s="136"/>
      <c r="N162" s="128">
        <v>36</v>
      </c>
      <c r="O162" s="130">
        <v>46118</v>
      </c>
      <c r="P162" s="135">
        <v>0</v>
      </c>
      <c r="Q162" s="135">
        <v>325</v>
      </c>
      <c r="R162" s="135">
        <v>100</v>
      </c>
      <c r="S162" s="135">
        <v>0</v>
      </c>
      <c r="T162" s="135">
        <v>425</v>
      </c>
      <c r="U162" s="135">
        <v>425</v>
      </c>
      <c r="V162" s="135">
        <v>0</v>
      </c>
      <c r="W162" s="135">
        <v>255</v>
      </c>
      <c r="X162" s="135">
        <v>258.39999999999998</v>
      </c>
      <c r="Y162" s="135">
        <v>1751419.9</v>
      </c>
      <c r="Z162" s="136"/>
      <c r="AA162" s="135">
        <v>43785.497499999998</v>
      </c>
      <c r="AB162" s="135">
        <v>43785.497499999998</v>
      </c>
      <c r="AC162" s="135">
        <v>1838990.9</v>
      </c>
      <c r="AD162" s="137">
        <f t="shared" si="74"/>
        <v>1837151.9090999998</v>
      </c>
      <c r="AE162" s="138">
        <v>39.04</v>
      </c>
      <c r="AF162" s="135">
        <v>39.729999999999997</v>
      </c>
      <c r="AG162" s="138">
        <v>39.07</v>
      </c>
      <c r="AH162" s="139">
        <v>4.7999999999999996E-3</v>
      </c>
      <c r="AI162" s="139">
        <v>4.9000000000000002E-2</v>
      </c>
      <c r="AJ162" s="139">
        <v>0.06</v>
      </c>
      <c r="AK162" s="137">
        <f t="shared" si="57"/>
        <v>30417.310118298414</v>
      </c>
      <c r="AL162" s="137"/>
      <c r="AM162" s="137"/>
      <c r="AN162" s="137">
        <v>0</v>
      </c>
      <c r="AO162" s="140">
        <f t="shared" si="59"/>
        <v>0</v>
      </c>
      <c r="AP162" s="137"/>
      <c r="AQ162" s="137">
        <v>0</v>
      </c>
      <c r="AR162" s="137">
        <f t="shared" si="60"/>
        <v>30417.310118298414</v>
      </c>
      <c r="AS162" s="137">
        <f t="shared" si="61"/>
        <v>31938</v>
      </c>
      <c r="AT162" s="137">
        <v>0</v>
      </c>
      <c r="AU162" s="141"/>
      <c r="AV162" s="141"/>
      <c r="AW162" s="137">
        <f t="shared" si="62"/>
        <v>25500</v>
      </c>
      <c r="AX162" s="137">
        <v>0</v>
      </c>
      <c r="AY162" s="137">
        <f t="shared" si="63"/>
        <v>25500</v>
      </c>
      <c r="AZ162" s="137">
        <f t="shared" si="64"/>
        <v>25839.999999999996</v>
      </c>
      <c r="BA162" s="142">
        <f t="shared" si="65"/>
        <v>-339.99999999999636</v>
      </c>
      <c r="BB162" s="137"/>
      <c r="BC162" s="137">
        <v>0</v>
      </c>
      <c r="BD162" s="142">
        <v>0</v>
      </c>
      <c r="BE162" s="135">
        <v>258.8</v>
      </c>
      <c r="BF162" s="143">
        <f t="shared" si="66"/>
        <v>0.38819999999999999</v>
      </c>
      <c r="BG162" s="143">
        <f t="shared" si="67"/>
        <v>258.41180000000003</v>
      </c>
      <c r="BH162" s="143">
        <f t="shared" si="68"/>
        <v>258.39999999999998</v>
      </c>
      <c r="BI162" s="144">
        <f t="shared" si="69"/>
        <v>40.000000000003411</v>
      </c>
      <c r="BJ162" s="144">
        <v>0</v>
      </c>
      <c r="BK162" s="137">
        <f t="shared" si="70"/>
        <v>40.000000000003411</v>
      </c>
      <c r="BL162" s="2"/>
      <c r="BM162" s="10" t="str">
        <f t="shared" si="71"/>
        <v>Unloading no. 150 Bill No 36 ,Deduction For Oil Deduction= 30417.3101182984 ,Bardana=  ,F.M=  Brokerage/Rate Difference 0 ,Shortage = 0 ,Greenish=  ,Moisture= 0</v>
      </c>
      <c r="BN162" s="3"/>
      <c r="BO162" s="13" t="str">
        <f t="shared" si="75"/>
        <v xml:space="preserve"> Party Condition 39.73  ,F.M% 0.48 ,Greenish 4.9 ,Moisture 6 ,Shortage in KG= 0  ,Oil% 39.04</v>
      </c>
      <c r="BP162" s="4">
        <f t="shared" si="76"/>
        <v>6660.2267410282566</v>
      </c>
      <c r="BQ162" s="5" t="str">
        <f t="shared" si="72"/>
        <v>39.04</v>
      </c>
      <c r="BR162" s="6">
        <f t="shared" si="73"/>
        <v>7165.2029488521202</v>
      </c>
      <c r="BS162" s="5" t="s">
        <v>62</v>
      </c>
      <c r="BT162" s="5" t="s">
        <v>63</v>
      </c>
      <c r="BW162" s="92"/>
      <c r="BX162" s="27">
        <v>39.04</v>
      </c>
      <c r="BY162" s="27">
        <v>39.07</v>
      </c>
      <c r="BZ162" s="96"/>
    </row>
    <row r="163" spans="1:78" s="1" customFormat="1" ht="15.75" hidden="1" x14ac:dyDescent="0.3">
      <c r="A163" s="128" t="s">
        <v>297</v>
      </c>
      <c r="B163" s="146">
        <v>46118</v>
      </c>
      <c r="C163" s="128">
        <v>151</v>
      </c>
      <c r="D163" s="128" t="s">
        <v>338</v>
      </c>
      <c r="E163" s="130">
        <v>46120</v>
      </c>
      <c r="F163" s="128" t="s">
        <v>95</v>
      </c>
      <c r="G163" s="128" t="s">
        <v>96</v>
      </c>
      <c r="H163" s="128" t="s">
        <v>97</v>
      </c>
      <c r="I163" s="136"/>
      <c r="J163" s="128" t="s">
        <v>113</v>
      </c>
      <c r="K163" s="135">
        <v>0</v>
      </c>
      <c r="L163" s="129">
        <v>46118</v>
      </c>
      <c r="M163" s="136"/>
      <c r="N163" s="128">
        <v>44</v>
      </c>
      <c r="O163" s="130">
        <v>46119</v>
      </c>
      <c r="P163" s="135">
        <v>0</v>
      </c>
      <c r="Q163" s="135">
        <v>400</v>
      </c>
      <c r="R163" s="135">
        <v>21</v>
      </c>
      <c r="S163" s="135">
        <v>0</v>
      </c>
      <c r="T163" s="135">
        <v>421</v>
      </c>
      <c r="U163" s="135">
        <v>421</v>
      </c>
      <c r="V163" s="135">
        <v>0</v>
      </c>
      <c r="W163" s="135">
        <v>252.6</v>
      </c>
      <c r="X163" s="135">
        <v>257</v>
      </c>
      <c r="Y163" s="135">
        <v>1703413.99</v>
      </c>
      <c r="Z163" s="136"/>
      <c r="AA163" s="135">
        <v>42585.349750000001</v>
      </c>
      <c r="AB163" s="135">
        <v>42585.349750000001</v>
      </c>
      <c r="AC163" s="135">
        <v>1788584.69</v>
      </c>
      <c r="AD163" s="137">
        <f t="shared" si="74"/>
        <v>1786796.10531</v>
      </c>
      <c r="AE163" s="138">
        <v>40.26</v>
      </c>
      <c r="AF163" s="135">
        <v>39.6</v>
      </c>
      <c r="AG163" s="138">
        <v>40.28</v>
      </c>
      <c r="AH163" s="139">
        <v>4.3E-3</v>
      </c>
      <c r="AI163" s="139">
        <v>4.2000000000000003E-2</v>
      </c>
      <c r="AJ163" s="139">
        <v>5.8000000000000003E-2</v>
      </c>
      <c r="AK163" s="137">
        <f t="shared" si="57"/>
        <v>0</v>
      </c>
      <c r="AL163" s="137"/>
      <c r="AM163" s="137"/>
      <c r="AN163" s="137">
        <v>0</v>
      </c>
      <c r="AO163" s="140">
        <f t="shared" si="59"/>
        <v>0</v>
      </c>
      <c r="AP163" s="137"/>
      <c r="AQ163" s="137">
        <v>0</v>
      </c>
      <c r="AR163" s="137">
        <f t="shared" si="60"/>
        <v>0</v>
      </c>
      <c r="AS163" s="137">
        <f t="shared" si="61"/>
        <v>0</v>
      </c>
      <c r="AT163" s="137">
        <v>0</v>
      </c>
      <c r="AU163" s="141"/>
      <c r="AV163" s="141"/>
      <c r="AW163" s="137">
        <f t="shared" si="62"/>
        <v>25260</v>
      </c>
      <c r="AX163" s="137">
        <v>0</v>
      </c>
      <c r="AY163" s="137">
        <f t="shared" si="63"/>
        <v>25260</v>
      </c>
      <c r="AZ163" s="137">
        <f t="shared" si="64"/>
        <v>25700</v>
      </c>
      <c r="BA163" s="142">
        <f t="shared" si="65"/>
        <v>-440</v>
      </c>
      <c r="BB163" s="137"/>
      <c r="BC163" s="137">
        <v>0</v>
      </c>
      <c r="BD163" s="142">
        <v>0</v>
      </c>
      <c r="BE163" s="135">
        <v>257.3</v>
      </c>
      <c r="BF163" s="143">
        <f t="shared" si="66"/>
        <v>0.38595000000000002</v>
      </c>
      <c r="BG163" s="143">
        <f t="shared" si="67"/>
        <v>256.91405000000003</v>
      </c>
      <c r="BH163" s="143">
        <f t="shared" si="68"/>
        <v>257</v>
      </c>
      <c r="BI163" s="144">
        <f t="shared" si="69"/>
        <v>30.000000000001137</v>
      </c>
      <c r="BJ163" s="144">
        <v>0</v>
      </c>
      <c r="BK163" s="137">
        <f t="shared" si="70"/>
        <v>30.000000000001137</v>
      </c>
      <c r="BL163" s="2"/>
      <c r="BM163" s="10" t="str">
        <f t="shared" si="71"/>
        <v>Unloading no. 151 Bill No 44 ,Deduction For Oil Deduction= 0 ,Bardana=  ,F.M=  Brokerage/Rate Difference 0 ,Shortage = 0 ,Greenish=  ,Moisture= 0</v>
      </c>
      <c r="BN163" s="3"/>
      <c r="BO163" s="13" t="str">
        <f t="shared" si="75"/>
        <v xml:space="preserve"> Party Condition 39.6  ,F.M% 0.43 ,Greenish 4.2 ,Moisture 5.8 ,Shortage in KG= 0  ,Oil% 40.26</v>
      </c>
      <c r="BP163" s="4">
        <f t="shared" si="76"/>
        <v>6628.07</v>
      </c>
      <c r="BQ163" s="5" t="str">
        <f t="shared" si="72"/>
        <v>40.26</v>
      </c>
      <c r="BR163" s="6">
        <f t="shared" si="73"/>
        <v>6914.5290611028322</v>
      </c>
      <c r="BS163" s="5" t="s">
        <v>62</v>
      </c>
      <c r="BT163" s="5" t="s">
        <v>63</v>
      </c>
      <c r="BW163" s="92"/>
      <c r="BX163" s="27">
        <v>40.26</v>
      </c>
      <c r="BY163" s="27">
        <v>40.28</v>
      </c>
      <c r="BZ163" s="96"/>
    </row>
    <row r="164" spans="1:78" s="1" customFormat="1" ht="15.75" hidden="1" x14ac:dyDescent="0.3">
      <c r="A164" s="128" t="s">
        <v>297</v>
      </c>
      <c r="B164" s="146">
        <v>46118</v>
      </c>
      <c r="C164" s="128">
        <v>152</v>
      </c>
      <c r="D164" s="128" t="s">
        <v>339</v>
      </c>
      <c r="E164" s="130">
        <v>46120</v>
      </c>
      <c r="F164" s="128" t="s">
        <v>95</v>
      </c>
      <c r="G164" s="128" t="s">
        <v>96</v>
      </c>
      <c r="H164" s="128" t="s">
        <v>97</v>
      </c>
      <c r="I164" s="136"/>
      <c r="J164" s="128" t="s">
        <v>113</v>
      </c>
      <c r="K164" s="135">
        <v>0</v>
      </c>
      <c r="L164" s="129">
        <v>46118</v>
      </c>
      <c r="M164" s="136"/>
      <c r="N164" s="128">
        <v>45</v>
      </c>
      <c r="O164" s="130">
        <v>46119</v>
      </c>
      <c r="P164" s="135">
        <v>0</v>
      </c>
      <c r="Q164" s="135">
        <v>220</v>
      </c>
      <c r="R164" s="135">
        <v>311</v>
      </c>
      <c r="S164" s="135">
        <v>0</v>
      </c>
      <c r="T164" s="135">
        <v>531</v>
      </c>
      <c r="U164" s="135">
        <v>531</v>
      </c>
      <c r="V164" s="135">
        <v>0</v>
      </c>
      <c r="W164" s="135">
        <v>318.60000000000002</v>
      </c>
      <c r="X164" s="135">
        <v>322.89999999999998</v>
      </c>
      <c r="Y164" s="135">
        <v>2148486.5299999998</v>
      </c>
      <c r="Z164" s="136"/>
      <c r="AA164" s="135">
        <v>53712.163249999998</v>
      </c>
      <c r="AB164" s="135">
        <v>53712.163249999998</v>
      </c>
      <c r="AC164" s="135">
        <v>2255910.86</v>
      </c>
      <c r="AD164" s="137">
        <f t="shared" si="74"/>
        <v>2253654.9491399997</v>
      </c>
      <c r="AE164" s="138">
        <v>39.14</v>
      </c>
      <c r="AF164" s="135">
        <v>39.6</v>
      </c>
      <c r="AG164" s="138">
        <v>39.119999999999997</v>
      </c>
      <c r="AH164" s="139">
        <v>4.0000000000000001E-3</v>
      </c>
      <c r="AI164" s="139">
        <v>0.04</v>
      </c>
      <c r="AJ164" s="139">
        <v>5.7000000000000002E-2</v>
      </c>
      <c r="AK164" s="137">
        <f t="shared" si="57"/>
        <v>26042.260969697185</v>
      </c>
      <c r="AL164" s="137"/>
      <c r="AM164" s="137"/>
      <c r="AN164" s="137">
        <v>0</v>
      </c>
      <c r="AO164" s="140">
        <f t="shared" si="59"/>
        <v>472.0466324544883</v>
      </c>
      <c r="AP164" s="137"/>
      <c r="AQ164" s="137">
        <v>0</v>
      </c>
      <c r="AR164" s="137">
        <f t="shared" si="60"/>
        <v>26514.307602151672</v>
      </c>
      <c r="AS164" s="137">
        <f t="shared" si="61"/>
        <v>27840</v>
      </c>
      <c r="AT164" s="137">
        <f>BK164+21-64</f>
        <v>7</v>
      </c>
      <c r="AU164" s="141"/>
      <c r="AV164" s="141"/>
      <c r="AW164" s="137">
        <f t="shared" si="62"/>
        <v>31860.000000000004</v>
      </c>
      <c r="AX164" s="137">
        <v>0</v>
      </c>
      <c r="AY164" s="137">
        <f t="shared" si="63"/>
        <v>31860.000000000004</v>
      </c>
      <c r="AZ164" s="137">
        <f t="shared" si="64"/>
        <v>32289.999999999996</v>
      </c>
      <c r="BA164" s="142">
        <f t="shared" si="65"/>
        <v>-429.99999999999272</v>
      </c>
      <c r="BB164" s="137"/>
      <c r="BC164" s="137">
        <v>0</v>
      </c>
      <c r="BD164" s="142">
        <v>0</v>
      </c>
      <c r="BE164" s="135">
        <v>323.39999999999998</v>
      </c>
      <c r="BF164" s="143">
        <f t="shared" si="66"/>
        <v>0.48509999999999998</v>
      </c>
      <c r="BG164" s="143">
        <f t="shared" si="67"/>
        <v>322.91489999999999</v>
      </c>
      <c r="BH164" s="143">
        <f t="shared" si="68"/>
        <v>322.89999999999998</v>
      </c>
      <c r="BI164" s="144">
        <f t="shared" si="69"/>
        <v>50</v>
      </c>
      <c r="BJ164" s="144">
        <v>0</v>
      </c>
      <c r="BK164" s="137">
        <f t="shared" si="70"/>
        <v>50</v>
      </c>
      <c r="BL164" s="2"/>
      <c r="BM164" s="10" t="str">
        <f t="shared" si="71"/>
        <v>Unloading no. 152 Bill No 45 ,Deduction For Oil Deduction= 26042.2609696972 ,Bardana=  ,F.M=  Brokerage/Rate Difference 0 ,Shortage = 472.046632454488 ,Greenish=  ,Moisture= 0</v>
      </c>
      <c r="BN164" s="3"/>
      <c r="BO164" s="13" t="str">
        <f t="shared" si="75"/>
        <v xml:space="preserve"> Party Condition 39.6  ,F.M% 0.4 ,Greenish 4 ,Moisture 5.7 ,Shortage in KG= 7  ,Oil% 39.12</v>
      </c>
      <c r="BP164" s="4">
        <f t="shared" si="76"/>
        <v>6571.6079975157891</v>
      </c>
      <c r="BQ164" s="5" t="str">
        <f t="shared" si="72"/>
        <v>39.12</v>
      </c>
      <c r="BR164" s="6">
        <f t="shared" si="73"/>
        <v>7055.4073592960931</v>
      </c>
      <c r="BS164" s="5" t="s">
        <v>62</v>
      </c>
      <c r="BT164" s="5" t="s">
        <v>63</v>
      </c>
      <c r="BW164" s="92"/>
      <c r="BX164" s="27">
        <v>39.14</v>
      </c>
      <c r="BY164" s="27">
        <v>39.119999999999997</v>
      </c>
      <c r="BZ164" s="96"/>
    </row>
    <row r="165" spans="1:78" s="1" customFormat="1" ht="15.75" hidden="1" x14ac:dyDescent="0.3">
      <c r="A165" s="128" t="s">
        <v>297</v>
      </c>
      <c r="B165" s="146">
        <v>46118</v>
      </c>
      <c r="C165" s="128">
        <v>153</v>
      </c>
      <c r="D165" s="128" t="s">
        <v>340</v>
      </c>
      <c r="E165" s="130">
        <v>46120</v>
      </c>
      <c r="F165" s="128" t="s">
        <v>95</v>
      </c>
      <c r="G165" s="128" t="s">
        <v>96</v>
      </c>
      <c r="H165" s="128" t="s">
        <v>97</v>
      </c>
      <c r="I165" s="136"/>
      <c r="J165" s="128" t="s">
        <v>113</v>
      </c>
      <c r="K165" s="135">
        <v>0</v>
      </c>
      <c r="L165" s="129">
        <v>46118</v>
      </c>
      <c r="M165" s="136"/>
      <c r="N165" s="128">
        <v>43</v>
      </c>
      <c r="O165" s="130">
        <v>46119</v>
      </c>
      <c r="P165" s="135">
        <v>0</v>
      </c>
      <c r="Q165" s="135">
        <v>207</v>
      </c>
      <c r="R165" s="135">
        <v>300</v>
      </c>
      <c r="S165" s="135">
        <v>0</v>
      </c>
      <c r="T165" s="135">
        <v>507</v>
      </c>
      <c r="U165" s="135">
        <v>507</v>
      </c>
      <c r="V165" s="135">
        <v>0</v>
      </c>
      <c r="W165" s="135">
        <v>304.2</v>
      </c>
      <c r="X165" s="135">
        <v>307.5</v>
      </c>
      <c r="Y165" s="135">
        <v>2051379.8</v>
      </c>
      <c r="Z165" s="136"/>
      <c r="AA165" s="135">
        <v>51284.495000000003</v>
      </c>
      <c r="AB165" s="135">
        <v>51284.495000000003</v>
      </c>
      <c r="AC165" s="135">
        <v>2153948.79</v>
      </c>
      <c r="AD165" s="137">
        <f t="shared" si="74"/>
        <v>2151794.8412100002</v>
      </c>
      <c r="AE165" s="138">
        <v>40.26</v>
      </c>
      <c r="AF165" s="135">
        <v>39.6</v>
      </c>
      <c r="AG165" s="138">
        <v>40.17</v>
      </c>
      <c r="AH165" s="139">
        <v>4.4999999999999997E-3</v>
      </c>
      <c r="AI165" s="139">
        <v>4.2999999999999997E-2</v>
      </c>
      <c r="AJ165" s="139">
        <v>5.6000000000000001E-2</v>
      </c>
      <c r="AK165" s="137">
        <f t="shared" si="57"/>
        <v>0</v>
      </c>
      <c r="AL165" s="137"/>
      <c r="AM165" s="137"/>
      <c r="AN165" s="137">
        <v>0</v>
      </c>
      <c r="AO165" s="140">
        <f t="shared" si="59"/>
        <v>2697.409335963182</v>
      </c>
      <c r="AP165" s="137"/>
      <c r="AQ165" s="137">
        <v>0</v>
      </c>
      <c r="AR165" s="137">
        <f t="shared" si="60"/>
        <v>2697.409335963182</v>
      </c>
      <c r="AS165" s="137">
        <f t="shared" si="61"/>
        <v>2832</v>
      </c>
      <c r="AT165" s="137">
        <f>BK165+51-61</f>
        <v>40</v>
      </c>
      <c r="AU165" s="141"/>
      <c r="AV165" s="141"/>
      <c r="AW165" s="137">
        <f t="shared" si="62"/>
        <v>30420</v>
      </c>
      <c r="AX165" s="137">
        <v>0</v>
      </c>
      <c r="AY165" s="137">
        <f t="shared" si="63"/>
        <v>30420</v>
      </c>
      <c r="AZ165" s="137">
        <f t="shared" si="64"/>
        <v>30750</v>
      </c>
      <c r="BA165" s="142">
        <f t="shared" si="65"/>
        <v>-330</v>
      </c>
      <c r="BB165" s="137"/>
      <c r="BC165" s="137">
        <v>0</v>
      </c>
      <c r="BD165" s="142">
        <v>0</v>
      </c>
      <c r="BE165" s="135">
        <v>308</v>
      </c>
      <c r="BF165" s="143">
        <f t="shared" si="66"/>
        <v>0.46199999999999997</v>
      </c>
      <c r="BG165" s="143">
        <f t="shared" si="67"/>
        <v>307.53800000000001</v>
      </c>
      <c r="BH165" s="143">
        <f t="shared" si="68"/>
        <v>307.5</v>
      </c>
      <c r="BI165" s="144">
        <f t="shared" si="69"/>
        <v>50</v>
      </c>
      <c r="BJ165" s="144">
        <v>0</v>
      </c>
      <c r="BK165" s="137">
        <f t="shared" si="70"/>
        <v>50</v>
      </c>
      <c r="BL165" s="2"/>
      <c r="BM165" s="10" t="str">
        <f t="shared" si="71"/>
        <v>Unloading no. 153 Bill No 43 ,Deduction For Oil Deduction= 0 ,Bardana=  ,F.M=  Brokerage/Rate Difference 0 ,Shortage = 2697.40933596318 ,Greenish=  ,Moisture= 0</v>
      </c>
      <c r="BN165" s="3"/>
      <c r="BO165" s="13" t="str">
        <f t="shared" si="75"/>
        <v xml:space="preserve"> Party Condition 39.6  ,F.M% 0.45 ,Greenish 4.3 ,Moisture 5.6 ,Shortage in KG= 40  ,Oil% 40.17</v>
      </c>
      <c r="BP165" s="4">
        <f t="shared" si="76"/>
        <v>6662.38175825703</v>
      </c>
      <c r="BQ165" s="5" t="str">
        <f t="shared" si="72"/>
        <v>40.17</v>
      </c>
      <c r="BR165" s="6">
        <f t="shared" si="73"/>
        <v>6965.8957890663496</v>
      </c>
      <c r="BS165" s="5" t="s">
        <v>62</v>
      </c>
      <c r="BT165" s="5" t="s">
        <v>63</v>
      </c>
      <c r="BW165" s="92"/>
      <c r="BX165" s="27">
        <v>40.26</v>
      </c>
      <c r="BY165" s="27">
        <v>40.17</v>
      </c>
      <c r="BZ165" s="96"/>
    </row>
    <row r="166" spans="1:78" s="1" customFormat="1" ht="15.75" hidden="1" x14ac:dyDescent="0.3">
      <c r="A166" s="128" t="s">
        <v>297</v>
      </c>
      <c r="B166" s="146">
        <v>46118</v>
      </c>
      <c r="C166" s="128">
        <v>154</v>
      </c>
      <c r="D166" s="128" t="s">
        <v>341</v>
      </c>
      <c r="E166" s="130">
        <v>46120</v>
      </c>
      <c r="F166" s="128" t="s">
        <v>95</v>
      </c>
      <c r="G166" s="128" t="s">
        <v>96</v>
      </c>
      <c r="H166" s="128" t="s">
        <v>97</v>
      </c>
      <c r="I166" s="136"/>
      <c r="J166" s="128" t="s">
        <v>113</v>
      </c>
      <c r="K166" s="135">
        <v>0</v>
      </c>
      <c r="L166" s="129">
        <v>46118</v>
      </c>
      <c r="M166" s="136"/>
      <c r="N166" s="128">
        <v>46</v>
      </c>
      <c r="O166" s="130">
        <v>46119</v>
      </c>
      <c r="P166" s="135">
        <v>0</v>
      </c>
      <c r="Q166" s="135">
        <v>280</v>
      </c>
      <c r="R166" s="135">
        <v>236</v>
      </c>
      <c r="S166" s="135">
        <v>0</v>
      </c>
      <c r="T166" s="135">
        <v>516</v>
      </c>
      <c r="U166" s="135">
        <v>516</v>
      </c>
      <c r="V166" s="135">
        <v>0</v>
      </c>
      <c r="W166" s="135">
        <v>309.60000000000002</v>
      </c>
      <c r="X166" s="135">
        <v>315.2</v>
      </c>
      <c r="Y166" s="135">
        <v>2087794.82</v>
      </c>
      <c r="Z166" s="136"/>
      <c r="AA166" s="135">
        <v>52194.870499999997</v>
      </c>
      <c r="AB166" s="135">
        <v>52194.870499999997</v>
      </c>
      <c r="AC166" s="135">
        <v>2192184.56</v>
      </c>
      <c r="AD166" s="137">
        <f t="shared" si="74"/>
        <v>2189992.3754400001</v>
      </c>
      <c r="AE166" s="138">
        <v>39.619999999999997</v>
      </c>
      <c r="AF166" s="135">
        <v>39.6</v>
      </c>
      <c r="AG166" s="138">
        <v>39.630000000000003</v>
      </c>
      <c r="AH166" s="139">
        <v>4.7999999999999996E-3</v>
      </c>
      <c r="AI166" s="139">
        <v>0.04</v>
      </c>
      <c r="AJ166" s="139">
        <v>5.8000000000000003E-2</v>
      </c>
      <c r="AK166" s="137">
        <f t="shared" si="57"/>
        <v>0</v>
      </c>
      <c r="AL166" s="137"/>
      <c r="AM166" s="155"/>
      <c r="AN166" s="155">
        <v>0</v>
      </c>
      <c r="AO166" s="156">
        <f t="shared" si="59"/>
        <v>0</v>
      </c>
      <c r="AP166" s="137"/>
      <c r="AQ166" s="137">
        <v>0</v>
      </c>
      <c r="AR166" s="137">
        <f t="shared" si="60"/>
        <v>0</v>
      </c>
      <c r="AS166" s="137">
        <f t="shared" si="61"/>
        <v>0</v>
      </c>
      <c r="AT166" s="137">
        <v>0</v>
      </c>
      <c r="AU166" s="141"/>
      <c r="AV166" s="141"/>
      <c r="AW166" s="137">
        <f t="shared" si="62"/>
        <v>30960.000000000004</v>
      </c>
      <c r="AX166" s="137">
        <v>0</v>
      </c>
      <c r="AY166" s="137">
        <f t="shared" si="63"/>
        <v>30960.000000000004</v>
      </c>
      <c r="AZ166" s="137">
        <f t="shared" si="64"/>
        <v>31520</v>
      </c>
      <c r="BA166" s="142">
        <f t="shared" si="65"/>
        <v>-559.99999999999636</v>
      </c>
      <c r="BB166" s="137"/>
      <c r="BC166" s="137">
        <v>0</v>
      </c>
      <c r="BD166" s="142">
        <v>0</v>
      </c>
      <c r="BE166" s="135">
        <v>315.3</v>
      </c>
      <c r="BF166" s="143">
        <f t="shared" si="66"/>
        <v>0.47295000000000004</v>
      </c>
      <c r="BG166" s="143">
        <f t="shared" si="67"/>
        <v>314.82704999999999</v>
      </c>
      <c r="BH166" s="143">
        <f t="shared" si="68"/>
        <v>315.2</v>
      </c>
      <c r="BI166" s="144">
        <f t="shared" si="69"/>
        <v>10.000000000002274</v>
      </c>
      <c r="BJ166" s="144">
        <v>0</v>
      </c>
      <c r="BK166" s="137">
        <f t="shared" si="70"/>
        <v>10.000000000002274</v>
      </c>
      <c r="BL166" s="2"/>
      <c r="BM166" s="10" t="str">
        <f t="shared" si="71"/>
        <v>Unloading no. 154 Bill No 46 ,Deduction For Oil Deduction= 0 ,Bardana=  ,F.M=  Brokerage/Rate Difference 0 ,Shortage = 0 ,Greenish=  ,Moisture= 0</v>
      </c>
      <c r="BN166" s="3"/>
      <c r="BO166" s="13" t="str">
        <f t="shared" si="75"/>
        <v xml:space="preserve"> Party Condition 39.6  ,F.M% 0.48 ,Greenish 4 ,Moisture 5.8 ,Shortage in KG= 0  ,Oil% 39.62</v>
      </c>
      <c r="BP166" s="4">
        <f t="shared" si="76"/>
        <v>6623.714530456853</v>
      </c>
      <c r="BQ166" s="5" t="str">
        <f t="shared" si="72"/>
        <v>39.62</v>
      </c>
      <c r="BR166" s="6">
        <f t="shared" si="73"/>
        <v>7021.6055093182185</v>
      </c>
      <c r="BS166" s="5" t="s">
        <v>62</v>
      </c>
      <c r="BT166" s="5" t="s">
        <v>63</v>
      </c>
      <c r="BW166" s="92"/>
      <c r="BX166" s="27">
        <v>39.619999999999997</v>
      </c>
      <c r="BY166" s="27">
        <v>39.630000000000003</v>
      </c>
      <c r="BZ166" s="96"/>
    </row>
    <row r="167" spans="1:78" s="1" customFormat="1" ht="15.75" hidden="1" x14ac:dyDescent="0.3">
      <c r="A167" s="128" t="s">
        <v>298</v>
      </c>
      <c r="B167" s="129">
        <v>46115</v>
      </c>
      <c r="C167" s="128">
        <v>155</v>
      </c>
      <c r="D167" s="128" t="s">
        <v>342</v>
      </c>
      <c r="E167" s="130">
        <v>46120</v>
      </c>
      <c r="F167" s="128" t="s">
        <v>98</v>
      </c>
      <c r="G167" s="128" t="s">
        <v>99</v>
      </c>
      <c r="H167" s="128" t="s">
        <v>100</v>
      </c>
      <c r="I167" s="136"/>
      <c r="J167" s="128" t="s">
        <v>113</v>
      </c>
      <c r="K167" s="135">
        <v>0</v>
      </c>
      <c r="L167" s="129">
        <v>46115</v>
      </c>
      <c r="M167" s="136"/>
      <c r="N167" s="128">
        <v>26</v>
      </c>
      <c r="O167" s="130">
        <v>46118</v>
      </c>
      <c r="P167" s="135">
        <v>0</v>
      </c>
      <c r="Q167" s="135">
        <v>200</v>
      </c>
      <c r="R167" s="135">
        <v>261</v>
      </c>
      <c r="S167" s="135">
        <v>0</v>
      </c>
      <c r="T167" s="135">
        <v>461</v>
      </c>
      <c r="U167" s="135">
        <v>461</v>
      </c>
      <c r="V167" s="135">
        <v>0</v>
      </c>
      <c r="W167" s="135">
        <v>276.60000000000002</v>
      </c>
      <c r="X167" s="135">
        <v>280.7</v>
      </c>
      <c r="Y167" s="135">
        <v>1919586.48</v>
      </c>
      <c r="Z167" s="136"/>
      <c r="AA167" s="135">
        <v>47989.661999999997</v>
      </c>
      <c r="AB167" s="135">
        <v>47989.661999999997</v>
      </c>
      <c r="AC167" s="135">
        <v>2015565.8</v>
      </c>
      <c r="AD167" s="137">
        <f t="shared" si="74"/>
        <v>2013550.2342000001</v>
      </c>
      <c r="AE167" s="138">
        <v>39.18</v>
      </c>
      <c r="AF167" s="135">
        <v>39.520000000000003</v>
      </c>
      <c r="AG167" s="138">
        <v>39.08</v>
      </c>
      <c r="AH167" s="139">
        <v>3.8E-3</v>
      </c>
      <c r="AI167" s="139">
        <v>4.1000000000000002E-2</v>
      </c>
      <c r="AJ167" s="139">
        <v>6.7000000000000004E-2</v>
      </c>
      <c r="AK167" s="137">
        <f t="shared" si="57"/>
        <v>21371.914251012378</v>
      </c>
      <c r="AL167" s="137">
        <f>T167*0.5</f>
        <v>230.5</v>
      </c>
      <c r="AM167" s="157"/>
      <c r="AN167" s="155">
        <f>W167*147</f>
        <v>40660.200000000004</v>
      </c>
      <c r="AO167" s="156">
        <f t="shared" si="59"/>
        <v>0</v>
      </c>
      <c r="AP167" s="137"/>
      <c r="AQ167" s="137">
        <v>0</v>
      </c>
      <c r="AR167" s="137">
        <f t="shared" si="60"/>
        <v>62262.614251012383</v>
      </c>
      <c r="AS167" s="137">
        <f t="shared" si="61"/>
        <v>65376</v>
      </c>
      <c r="AT167" s="137">
        <v>0</v>
      </c>
      <c r="AU167" s="141"/>
      <c r="AV167" s="141"/>
      <c r="AW167" s="137">
        <f t="shared" si="62"/>
        <v>27660.000000000004</v>
      </c>
      <c r="AX167" s="137">
        <v>0</v>
      </c>
      <c r="AY167" s="137">
        <f t="shared" si="63"/>
        <v>27660.000000000004</v>
      </c>
      <c r="AZ167" s="137">
        <f t="shared" si="64"/>
        <v>28070</v>
      </c>
      <c r="BA167" s="142">
        <f t="shared" si="65"/>
        <v>-409.99999999999636</v>
      </c>
      <c r="BB167" s="137"/>
      <c r="BC167" s="137">
        <v>0</v>
      </c>
      <c r="BD167" s="142">
        <v>0</v>
      </c>
      <c r="BE167" s="135">
        <v>281.3</v>
      </c>
      <c r="BF167" s="143">
        <f t="shared" si="66"/>
        <v>0.42194999999999999</v>
      </c>
      <c r="BG167" s="143">
        <f t="shared" si="67"/>
        <v>280.87805000000003</v>
      </c>
      <c r="BH167" s="143">
        <f t="shared" si="68"/>
        <v>280.7</v>
      </c>
      <c r="BI167" s="144">
        <f t="shared" si="69"/>
        <v>60.000000000002274</v>
      </c>
      <c r="BJ167" s="144">
        <v>0</v>
      </c>
      <c r="BK167" s="137">
        <f t="shared" si="70"/>
        <v>60.000000000002274</v>
      </c>
      <c r="BL167" s="2"/>
      <c r="BM167" s="10" t="str">
        <f t="shared" si="71"/>
        <v>Unloading no. 155 Bill No 26 ,Deduction For Oil Deduction= 21371.9142510124 ,Bardana= 230.5 ,F.M=  Brokerage/Rate Difference 40660.2 ,Shortage = 0 ,Greenish=  ,Moisture= 0</v>
      </c>
      <c r="BN167" s="3"/>
      <c r="BO167" s="13" t="str">
        <f t="shared" si="75"/>
        <v xml:space="preserve"> Party Condition 39.52  ,F.M% 0.38 ,Greenish 4.1 ,Moisture 6.7 ,Shortage in KG= 0  ,Oil% 39.08</v>
      </c>
      <c r="BP167" s="4">
        <f t="shared" si="76"/>
        <v>6616.7576264659338</v>
      </c>
      <c r="BQ167" s="5" t="str">
        <f t="shared" si="72"/>
        <v>39.08</v>
      </c>
      <c r="BR167" s="6">
        <f t="shared" si="73"/>
        <v>7111.1520038784347</v>
      </c>
      <c r="BS167" s="5" t="s">
        <v>62</v>
      </c>
      <c r="BT167" s="5" t="s">
        <v>63</v>
      </c>
      <c r="BW167" s="92"/>
      <c r="BX167" s="27">
        <v>39.18</v>
      </c>
      <c r="BY167" s="27">
        <v>39.08</v>
      </c>
      <c r="BZ167" s="96"/>
    </row>
    <row r="168" spans="1:78" s="1" customFormat="1" ht="15.75" hidden="1" x14ac:dyDescent="0.3">
      <c r="A168" s="128" t="s">
        <v>298</v>
      </c>
      <c r="B168" s="129">
        <v>46115</v>
      </c>
      <c r="C168" s="128">
        <v>156</v>
      </c>
      <c r="D168" s="128" t="s">
        <v>343</v>
      </c>
      <c r="E168" s="130">
        <v>46120</v>
      </c>
      <c r="F168" s="128" t="s">
        <v>98</v>
      </c>
      <c r="G168" s="128" t="s">
        <v>99</v>
      </c>
      <c r="H168" s="128" t="s">
        <v>100</v>
      </c>
      <c r="I168" s="136"/>
      <c r="J168" s="128" t="s">
        <v>113</v>
      </c>
      <c r="K168" s="135">
        <v>0</v>
      </c>
      <c r="L168" s="129">
        <v>46115</v>
      </c>
      <c r="M168" s="136"/>
      <c r="N168" s="128">
        <v>27</v>
      </c>
      <c r="O168" s="130">
        <v>46118</v>
      </c>
      <c r="P168" s="135">
        <v>0</v>
      </c>
      <c r="Q168" s="135">
        <v>210</v>
      </c>
      <c r="R168" s="135">
        <v>354</v>
      </c>
      <c r="S168" s="135">
        <v>0</v>
      </c>
      <c r="T168" s="135">
        <v>564</v>
      </c>
      <c r="U168" s="135">
        <v>564</v>
      </c>
      <c r="V168" s="135">
        <v>0</v>
      </c>
      <c r="W168" s="135">
        <v>338.4</v>
      </c>
      <c r="X168" s="135">
        <v>343.4</v>
      </c>
      <c r="Y168" s="135">
        <v>2348474.5699999998</v>
      </c>
      <c r="Z168" s="136"/>
      <c r="AA168" s="135">
        <v>58711.864249999999</v>
      </c>
      <c r="AB168" s="135">
        <v>58711.864249999999</v>
      </c>
      <c r="AC168" s="135">
        <v>2465898.2999999998</v>
      </c>
      <c r="AD168" s="137">
        <f t="shared" si="74"/>
        <v>2463432.4016999998</v>
      </c>
      <c r="AE168" s="138">
        <v>39.96</v>
      </c>
      <c r="AF168" s="135">
        <v>39.520000000000003</v>
      </c>
      <c r="AG168" s="138">
        <v>39.840000000000003</v>
      </c>
      <c r="AH168" s="139">
        <v>4.0000000000000001E-3</v>
      </c>
      <c r="AI168" s="139">
        <v>0.05</v>
      </c>
      <c r="AJ168" s="139">
        <v>6.6000000000000003E-2</v>
      </c>
      <c r="AK168" s="137">
        <f t="shared" si="57"/>
        <v>0</v>
      </c>
      <c r="AL168" s="137">
        <f>T168*0.5</f>
        <v>282</v>
      </c>
      <c r="AM168" s="157"/>
      <c r="AN168" s="155">
        <f>W168*147</f>
        <v>49744.799999999996</v>
      </c>
      <c r="AO168" s="156">
        <f t="shared" si="59"/>
        <v>832.79240070921969</v>
      </c>
      <c r="AP168" s="137"/>
      <c r="AQ168" s="137">
        <v>0</v>
      </c>
      <c r="AR168" s="137">
        <f t="shared" si="60"/>
        <v>50859.592400709218</v>
      </c>
      <c r="AS168" s="137">
        <f t="shared" si="61"/>
        <v>53403</v>
      </c>
      <c r="AT168" s="137">
        <v>12</v>
      </c>
      <c r="AU168" s="141"/>
      <c r="AV168" s="141"/>
      <c r="AW168" s="137">
        <f t="shared" si="62"/>
        <v>33840</v>
      </c>
      <c r="AX168" s="137">
        <v>0</v>
      </c>
      <c r="AY168" s="137">
        <f t="shared" si="63"/>
        <v>33840</v>
      </c>
      <c r="AZ168" s="137">
        <f t="shared" si="64"/>
        <v>34340</v>
      </c>
      <c r="BA168" s="142">
        <f t="shared" si="65"/>
        <v>-500</v>
      </c>
      <c r="BB168" s="137"/>
      <c r="BC168" s="137">
        <v>0</v>
      </c>
      <c r="BD168" s="142">
        <v>0</v>
      </c>
      <c r="BE168" s="135">
        <v>344.2</v>
      </c>
      <c r="BF168" s="143">
        <f t="shared" si="66"/>
        <v>0.51629999999999998</v>
      </c>
      <c r="BG168" s="143">
        <f t="shared" si="67"/>
        <v>343.68369999999999</v>
      </c>
      <c r="BH168" s="143">
        <f t="shared" si="68"/>
        <v>343.4</v>
      </c>
      <c r="BI168" s="144">
        <f t="shared" si="69"/>
        <v>80.000000000001137</v>
      </c>
      <c r="BJ168" s="144">
        <v>0</v>
      </c>
      <c r="BK168" s="137">
        <f t="shared" si="70"/>
        <v>80.000000000001137</v>
      </c>
      <c r="BL168" s="2"/>
      <c r="BM168" s="10" t="str">
        <f t="shared" si="71"/>
        <v>Unloading no. 156 Bill No 27 ,Deduction For Oil Deduction= 0 ,Bardana= 282 ,F.M=  Brokerage/Rate Difference 49744.8 ,Shortage = 832.79240070922 ,Greenish=  ,Moisture= 0</v>
      </c>
      <c r="BN168" s="3"/>
      <c r="BO168" s="13" t="str">
        <f t="shared" si="75"/>
        <v xml:space="preserve"> Party Condition 39.52  ,F.M% 0.4 ,Greenish 5 ,Moisture 6.6 ,Shortage in KG= 12  ,Oil% 39.84</v>
      </c>
      <c r="BP168" s="4">
        <f t="shared" si="76"/>
        <v>6690.7832778080692</v>
      </c>
      <c r="BQ168" s="5" t="str">
        <f t="shared" si="72"/>
        <v>39.84</v>
      </c>
      <c r="BR168" s="6">
        <f t="shared" si="73"/>
        <v>7053.5365880506743</v>
      </c>
      <c r="BS168" s="5" t="s">
        <v>62</v>
      </c>
      <c r="BT168" s="5" t="s">
        <v>63</v>
      </c>
      <c r="BW168" s="92"/>
      <c r="BX168" s="27">
        <v>39.96</v>
      </c>
      <c r="BY168" s="27">
        <v>39.840000000000003</v>
      </c>
      <c r="BZ168" s="96"/>
    </row>
    <row r="169" spans="1:78" s="1" customFormat="1" ht="15.75" hidden="1" x14ac:dyDescent="0.3">
      <c r="A169" s="128" t="s">
        <v>299</v>
      </c>
      <c r="B169" s="129">
        <v>46118</v>
      </c>
      <c r="C169" s="128">
        <v>157</v>
      </c>
      <c r="D169" s="128" t="s">
        <v>344</v>
      </c>
      <c r="E169" s="130">
        <v>46120</v>
      </c>
      <c r="F169" s="128" t="s">
        <v>104</v>
      </c>
      <c r="G169" s="128" t="s">
        <v>105</v>
      </c>
      <c r="H169" s="128" t="s">
        <v>106</v>
      </c>
      <c r="I169" s="136"/>
      <c r="J169" s="128" t="s">
        <v>113</v>
      </c>
      <c r="K169" s="135">
        <v>0</v>
      </c>
      <c r="L169" s="129">
        <v>46118</v>
      </c>
      <c r="M169" s="136"/>
      <c r="N169" s="128" t="s">
        <v>382</v>
      </c>
      <c r="O169" s="130">
        <v>46119</v>
      </c>
      <c r="P169" s="135">
        <v>0</v>
      </c>
      <c r="Q169" s="135">
        <v>400</v>
      </c>
      <c r="R169" s="135">
        <v>197</v>
      </c>
      <c r="S169" s="135">
        <v>0</v>
      </c>
      <c r="T169" s="135">
        <v>597</v>
      </c>
      <c r="U169" s="135">
        <v>597</v>
      </c>
      <c r="V169" s="135">
        <v>0</v>
      </c>
      <c r="W169" s="135">
        <v>358.2</v>
      </c>
      <c r="X169" s="135">
        <v>365.2</v>
      </c>
      <c r="Y169" s="135">
        <v>2373966.92</v>
      </c>
      <c r="Z169" s="136"/>
      <c r="AA169" s="135">
        <v>59349.173000000003</v>
      </c>
      <c r="AB169" s="135">
        <v>59349.173000000003</v>
      </c>
      <c r="AC169" s="135">
        <v>2492665.27</v>
      </c>
      <c r="AD169" s="137">
        <f t="shared" si="74"/>
        <v>2490172.6047299998</v>
      </c>
      <c r="AE169" s="138">
        <v>39.36</v>
      </c>
      <c r="AF169" s="135">
        <v>38.35</v>
      </c>
      <c r="AG169" s="138">
        <v>39.28</v>
      </c>
      <c r="AH169" s="139">
        <v>4.4999999999999997E-3</v>
      </c>
      <c r="AI169" s="139">
        <v>4.2500000000000003E-2</v>
      </c>
      <c r="AJ169" s="139">
        <v>5.3999999999999999E-2</v>
      </c>
      <c r="AK169" s="137">
        <f t="shared" si="57"/>
        <v>0</v>
      </c>
      <c r="AL169" s="137"/>
      <c r="AM169" s="157"/>
      <c r="AN169" s="155"/>
      <c r="AO169" s="156">
        <f t="shared" si="59"/>
        <v>0</v>
      </c>
      <c r="AP169" s="137"/>
      <c r="AQ169" s="137">
        <v>0</v>
      </c>
      <c r="AR169" s="137">
        <f t="shared" si="60"/>
        <v>0</v>
      </c>
      <c r="AS169" s="137">
        <f t="shared" si="61"/>
        <v>0</v>
      </c>
      <c r="AT169" s="137">
        <v>0</v>
      </c>
      <c r="AU169" s="141"/>
      <c r="AV169" s="141"/>
      <c r="AW169" s="137">
        <f t="shared" si="62"/>
        <v>35820</v>
      </c>
      <c r="AX169" s="137">
        <v>0</v>
      </c>
      <c r="AY169" s="137">
        <f t="shared" si="63"/>
        <v>35820</v>
      </c>
      <c r="AZ169" s="137">
        <f t="shared" si="64"/>
        <v>36520</v>
      </c>
      <c r="BA169" s="142">
        <f t="shared" si="65"/>
        <v>-700</v>
      </c>
      <c r="BB169" s="137"/>
      <c r="BC169" s="137">
        <v>0</v>
      </c>
      <c r="BD169" s="142">
        <v>0</v>
      </c>
      <c r="BE169" s="135">
        <v>364.6</v>
      </c>
      <c r="BF169" s="143">
        <f t="shared" si="66"/>
        <v>0.54690000000000005</v>
      </c>
      <c r="BG169" s="143">
        <f t="shared" si="67"/>
        <v>364.05310000000003</v>
      </c>
      <c r="BH169" s="143">
        <f t="shared" si="68"/>
        <v>365.2</v>
      </c>
      <c r="BI169" s="144">
        <f t="shared" si="69"/>
        <v>-59.999999999996589</v>
      </c>
      <c r="BJ169" s="144">
        <v>0</v>
      </c>
      <c r="BK169" s="137">
        <f t="shared" si="70"/>
        <v>-59.999999999996589</v>
      </c>
      <c r="BL169" s="2"/>
      <c r="BM169" s="10" t="str">
        <f t="shared" si="71"/>
        <v>Unloading no. 157 Bill No MTC/2026-27/035 ,Deduction For Oil Deduction= 0 ,Bardana=  ,F.M=  Brokerage/Rate Difference  ,Shortage = 0 ,Greenish=  ,Moisture= 0</v>
      </c>
      <c r="BN169" s="3"/>
      <c r="BO169" s="13" t="str">
        <f t="shared" si="75"/>
        <v xml:space="preserve"> Party Condition 38.35  ,F.M% 0.45 ,Greenish 4.25 ,Moisture 5.4 ,Shortage in KG= 0  ,Oil% 39.28</v>
      </c>
      <c r="BP169" s="4">
        <f t="shared" si="76"/>
        <v>6500.4570646221246</v>
      </c>
      <c r="BQ169" s="5" t="str">
        <f t="shared" si="72"/>
        <v>39.28</v>
      </c>
      <c r="BR169" s="6">
        <f t="shared" si="73"/>
        <v>6950.5905477120477</v>
      </c>
      <c r="BS169" s="5" t="s">
        <v>62</v>
      </c>
      <c r="BT169" s="5" t="s">
        <v>63</v>
      </c>
      <c r="BW169" s="92"/>
      <c r="BX169" s="27">
        <v>39.36</v>
      </c>
      <c r="BY169" s="27">
        <v>39.28</v>
      </c>
      <c r="BZ169" s="96"/>
    </row>
    <row r="170" spans="1:78" s="1" customFormat="1" ht="15.75" hidden="1" x14ac:dyDescent="0.3">
      <c r="A170" s="128" t="s">
        <v>297</v>
      </c>
      <c r="B170" s="146">
        <v>46118</v>
      </c>
      <c r="C170" s="128">
        <v>158</v>
      </c>
      <c r="D170" s="128" t="s">
        <v>345</v>
      </c>
      <c r="E170" s="130">
        <v>46120</v>
      </c>
      <c r="F170" s="128" t="s">
        <v>95</v>
      </c>
      <c r="G170" s="128" t="s">
        <v>96</v>
      </c>
      <c r="H170" s="128" t="s">
        <v>97</v>
      </c>
      <c r="I170" s="136"/>
      <c r="J170" s="128" t="s">
        <v>113</v>
      </c>
      <c r="K170" s="135">
        <v>0</v>
      </c>
      <c r="L170" s="129">
        <v>46118</v>
      </c>
      <c r="M170" s="136"/>
      <c r="N170" s="128">
        <v>49</v>
      </c>
      <c r="O170" s="130">
        <v>46119</v>
      </c>
      <c r="P170" s="135">
        <v>0</v>
      </c>
      <c r="Q170" s="135">
        <v>360</v>
      </c>
      <c r="R170" s="135">
        <v>340</v>
      </c>
      <c r="S170" s="135">
        <v>0</v>
      </c>
      <c r="T170" s="135">
        <v>700</v>
      </c>
      <c r="U170" s="135">
        <v>700</v>
      </c>
      <c r="V170" s="135">
        <v>0</v>
      </c>
      <c r="W170" s="135">
        <v>420</v>
      </c>
      <c r="X170" s="135">
        <v>426.4</v>
      </c>
      <c r="Y170" s="135">
        <v>2832279.8</v>
      </c>
      <c r="Z170" s="136"/>
      <c r="AA170" s="135">
        <v>70806.994999999995</v>
      </c>
      <c r="AB170" s="135">
        <v>70806.994999999995</v>
      </c>
      <c r="AC170" s="135">
        <v>2973893.79</v>
      </c>
      <c r="AD170" s="137">
        <f t="shared" si="74"/>
        <v>2970919.8962099999</v>
      </c>
      <c r="AE170" s="138">
        <v>39.950000000000003</v>
      </c>
      <c r="AF170" s="135">
        <v>39.6</v>
      </c>
      <c r="AG170" s="138">
        <v>40.03</v>
      </c>
      <c r="AH170" s="139">
        <v>4.7000000000000002E-3</v>
      </c>
      <c r="AI170" s="139">
        <v>4.3900000000000002E-2</v>
      </c>
      <c r="AJ170" s="139">
        <v>6.9000000000000006E-2</v>
      </c>
      <c r="AK170" s="137">
        <f t="shared" si="57"/>
        <v>0</v>
      </c>
      <c r="AL170" s="137"/>
      <c r="AM170" s="157"/>
      <c r="AN170" s="155"/>
      <c r="AO170" s="156">
        <f t="shared" si="59"/>
        <v>0</v>
      </c>
      <c r="AP170" s="137"/>
      <c r="AQ170" s="137">
        <v>0</v>
      </c>
      <c r="AR170" s="137">
        <f t="shared" si="60"/>
        <v>0</v>
      </c>
      <c r="AS170" s="137">
        <f t="shared" si="61"/>
        <v>0</v>
      </c>
      <c r="AT170" s="137">
        <v>0</v>
      </c>
      <c r="AU170" s="141"/>
      <c r="AV170" s="141"/>
      <c r="AW170" s="137">
        <f t="shared" si="62"/>
        <v>42000</v>
      </c>
      <c r="AX170" s="137">
        <v>0</v>
      </c>
      <c r="AY170" s="137">
        <f t="shared" si="63"/>
        <v>42000</v>
      </c>
      <c r="AZ170" s="137">
        <f t="shared" si="64"/>
        <v>42640</v>
      </c>
      <c r="BA170" s="142">
        <f t="shared" si="65"/>
        <v>-640</v>
      </c>
      <c r="BB170" s="137"/>
      <c r="BC170" s="137">
        <v>0</v>
      </c>
      <c r="BD170" s="142">
        <v>0</v>
      </c>
      <c r="BE170" s="135">
        <v>427</v>
      </c>
      <c r="BF170" s="143">
        <f t="shared" si="66"/>
        <v>0.64049999999999996</v>
      </c>
      <c r="BG170" s="143">
        <f t="shared" si="67"/>
        <v>426.35950000000003</v>
      </c>
      <c r="BH170" s="143">
        <f t="shared" si="68"/>
        <v>426.4</v>
      </c>
      <c r="BI170" s="144">
        <f t="shared" si="69"/>
        <v>60.000000000002274</v>
      </c>
      <c r="BJ170" s="144">
        <v>0</v>
      </c>
      <c r="BK170" s="137">
        <f t="shared" si="70"/>
        <v>60.000000000002274</v>
      </c>
      <c r="BL170" s="2"/>
      <c r="BM170" s="10" t="str">
        <f t="shared" si="71"/>
        <v>Unloading no. 158 Bill No 49 ,Deduction For Oil Deduction= 0 ,Bardana=  ,F.M=  Brokerage/Rate Difference  ,Shortage = 0 ,Greenish=  ,Moisture= 0</v>
      </c>
      <c r="BN170" s="3"/>
      <c r="BO170" s="13" t="str">
        <f t="shared" si="75"/>
        <v xml:space="preserve"> Party Condition 39.6  ,F.M% 0.47 ,Greenish 4.39 ,Moisture 6.9 ,Shortage in KG= 0  ,Oil% 39.95</v>
      </c>
      <c r="BP170" s="4">
        <f t="shared" si="76"/>
        <v>6642.30722326454</v>
      </c>
      <c r="BQ170" s="5" t="str">
        <f t="shared" si="72"/>
        <v>39.95</v>
      </c>
      <c r="BR170" s="6">
        <f t="shared" si="73"/>
        <v>6983.1515238325564</v>
      </c>
      <c r="BS170" s="5" t="s">
        <v>62</v>
      </c>
      <c r="BT170" s="5" t="s">
        <v>63</v>
      </c>
      <c r="BW170" s="92"/>
      <c r="BX170" s="27">
        <v>39.950000000000003</v>
      </c>
      <c r="BY170" s="27">
        <v>40.03</v>
      </c>
      <c r="BZ170" s="96"/>
    </row>
    <row r="171" spans="1:78" s="1" customFormat="1" ht="15.75" hidden="1" x14ac:dyDescent="0.3">
      <c r="A171" s="128" t="s">
        <v>297</v>
      </c>
      <c r="B171" s="146">
        <v>46118</v>
      </c>
      <c r="C171" s="128">
        <v>159</v>
      </c>
      <c r="D171" s="128" t="s">
        <v>346</v>
      </c>
      <c r="E171" s="130">
        <v>46120</v>
      </c>
      <c r="F171" s="128" t="s">
        <v>95</v>
      </c>
      <c r="G171" s="128" t="s">
        <v>96</v>
      </c>
      <c r="H171" s="128" t="s">
        <v>97</v>
      </c>
      <c r="I171" s="136"/>
      <c r="J171" s="128" t="s">
        <v>113</v>
      </c>
      <c r="K171" s="135">
        <v>0</v>
      </c>
      <c r="L171" s="129">
        <v>46118</v>
      </c>
      <c r="M171" s="136"/>
      <c r="N171" s="128">
        <v>47</v>
      </c>
      <c r="O171" s="130">
        <v>46119</v>
      </c>
      <c r="P171" s="135">
        <v>0</v>
      </c>
      <c r="Q171" s="135">
        <v>34</v>
      </c>
      <c r="R171" s="135">
        <v>450</v>
      </c>
      <c r="S171" s="135">
        <v>0</v>
      </c>
      <c r="T171" s="135">
        <v>484</v>
      </c>
      <c r="U171" s="135">
        <v>484</v>
      </c>
      <c r="V171" s="135">
        <v>0</v>
      </c>
      <c r="W171" s="135">
        <v>290.39999999999998</v>
      </c>
      <c r="X171" s="135">
        <v>293.89999999999998</v>
      </c>
      <c r="Y171" s="135">
        <v>1958319.18</v>
      </c>
      <c r="Z171" s="136"/>
      <c r="AA171" s="135">
        <v>48957.979500000001</v>
      </c>
      <c r="AB171" s="135">
        <v>48957.979500000001</v>
      </c>
      <c r="AC171" s="135">
        <v>2056235.14</v>
      </c>
      <c r="AD171" s="137">
        <f t="shared" si="74"/>
        <v>2054178.9048599999</v>
      </c>
      <c r="AE171" s="138">
        <v>40.4</v>
      </c>
      <c r="AF171" s="135">
        <v>39.6</v>
      </c>
      <c r="AG171" s="138">
        <v>40.270000000000003</v>
      </c>
      <c r="AH171" s="139">
        <v>4.3E-3</v>
      </c>
      <c r="AI171" s="139">
        <v>4.3299999999999998E-2</v>
      </c>
      <c r="AJ171" s="139">
        <v>6.0999999999999999E-2</v>
      </c>
      <c r="AK171" s="137">
        <f t="shared" si="57"/>
        <v>0</v>
      </c>
      <c r="AL171" s="137"/>
      <c r="AM171" s="157"/>
      <c r="AN171" s="155"/>
      <c r="AO171" s="156">
        <f t="shared" si="59"/>
        <v>0</v>
      </c>
      <c r="AP171" s="137"/>
      <c r="AQ171" s="137">
        <v>0</v>
      </c>
      <c r="AR171" s="137">
        <f t="shared" si="60"/>
        <v>0</v>
      </c>
      <c r="AS171" s="137">
        <f t="shared" si="61"/>
        <v>0</v>
      </c>
      <c r="AT171" s="137">
        <v>0</v>
      </c>
      <c r="AU171" s="141"/>
      <c r="AV171" s="141"/>
      <c r="AW171" s="137">
        <f t="shared" si="62"/>
        <v>29039.999999999996</v>
      </c>
      <c r="AX171" s="137">
        <v>0</v>
      </c>
      <c r="AY171" s="137">
        <f t="shared" si="63"/>
        <v>29039.999999999996</v>
      </c>
      <c r="AZ171" s="137">
        <f t="shared" si="64"/>
        <v>29389.999999999996</v>
      </c>
      <c r="BA171" s="142">
        <f t="shared" si="65"/>
        <v>-350</v>
      </c>
      <c r="BB171" s="137"/>
      <c r="BC171" s="137">
        <v>0</v>
      </c>
      <c r="BD171" s="142">
        <v>0</v>
      </c>
      <c r="BE171" s="135">
        <v>294.3</v>
      </c>
      <c r="BF171" s="143">
        <f t="shared" si="66"/>
        <v>0.44145000000000001</v>
      </c>
      <c r="BG171" s="143">
        <f t="shared" si="67"/>
        <v>293.85855000000004</v>
      </c>
      <c r="BH171" s="143">
        <f t="shared" si="68"/>
        <v>293.89999999999998</v>
      </c>
      <c r="BI171" s="144">
        <f t="shared" si="69"/>
        <v>40.000000000003411</v>
      </c>
      <c r="BJ171" s="144">
        <v>0</v>
      </c>
      <c r="BK171" s="137">
        <f t="shared" si="70"/>
        <v>40.000000000003411</v>
      </c>
      <c r="BL171" s="2"/>
      <c r="BM171" s="10" t="str">
        <f t="shared" si="71"/>
        <v>Unloading no. 159 Bill No 47 ,Deduction For Oil Deduction= 0 ,Bardana=  ,F.M=  Brokerage/Rate Difference  ,Shortage = 0 ,Greenish=  ,Moisture= 0</v>
      </c>
      <c r="BN171" s="3"/>
      <c r="BO171" s="13" t="str">
        <f t="shared" si="75"/>
        <v xml:space="preserve"> Party Condition 39.6  ,F.M% 0.43 ,Greenish 4.33 ,Moisture 6.1 ,Shortage in KG= 0  ,Oil% 40.27</v>
      </c>
      <c r="BP171" s="4">
        <f t="shared" si="76"/>
        <v>6663.2159918339576</v>
      </c>
      <c r="BQ171" s="5" t="str">
        <f t="shared" si="72"/>
        <v>40.27</v>
      </c>
      <c r="BR171" s="6">
        <f t="shared" si="73"/>
        <v>6949.4678832139616</v>
      </c>
      <c r="BS171" s="5" t="s">
        <v>62</v>
      </c>
      <c r="BT171" s="5" t="s">
        <v>63</v>
      </c>
      <c r="BW171" s="92"/>
      <c r="BX171" s="27">
        <v>40.4</v>
      </c>
      <c r="BY171" s="27">
        <v>40.270000000000003</v>
      </c>
      <c r="BZ171" s="96"/>
    </row>
    <row r="172" spans="1:78" s="1" customFormat="1" ht="15.75" hidden="1" x14ac:dyDescent="0.3">
      <c r="A172" s="128" t="s">
        <v>300</v>
      </c>
      <c r="B172" s="129">
        <v>46114</v>
      </c>
      <c r="C172" s="128">
        <v>160</v>
      </c>
      <c r="D172" s="128" t="s">
        <v>347</v>
      </c>
      <c r="E172" s="130">
        <v>46120</v>
      </c>
      <c r="F172" s="128" t="s">
        <v>104</v>
      </c>
      <c r="G172" s="128" t="s">
        <v>105</v>
      </c>
      <c r="H172" s="128" t="s">
        <v>106</v>
      </c>
      <c r="I172" s="136"/>
      <c r="J172" s="128" t="s">
        <v>113</v>
      </c>
      <c r="K172" s="135">
        <v>0</v>
      </c>
      <c r="L172" s="129">
        <v>46114</v>
      </c>
      <c r="M172" s="136"/>
      <c r="N172" s="128" t="s">
        <v>383</v>
      </c>
      <c r="O172" s="130">
        <v>46117</v>
      </c>
      <c r="P172" s="135">
        <v>0</v>
      </c>
      <c r="Q172" s="135">
        <v>450</v>
      </c>
      <c r="R172" s="135">
        <v>92</v>
      </c>
      <c r="S172" s="135">
        <v>0</v>
      </c>
      <c r="T172" s="135">
        <v>542</v>
      </c>
      <c r="U172" s="135">
        <v>542</v>
      </c>
      <c r="V172" s="135">
        <v>0</v>
      </c>
      <c r="W172" s="135">
        <v>325.2</v>
      </c>
      <c r="X172" s="135">
        <v>329.9</v>
      </c>
      <c r="Y172" s="135">
        <v>2254227.86</v>
      </c>
      <c r="Z172" s="136"/>
      <c r="AA172" s="135">
        <v>56355.696499999998</v>
      </c>
      <c r="AB172" s="135">
        <v>56355.696499999998</v>
      </c>
      <c r="AC172" s="135">
        <v>2366939.25</v>
      </c>
      <c r="AD172" s="137">
        <f t="shared" si="74"/>
        <v>2364572.3107500002</v>
      </c>
      <c r="AE172" s="138">
        <v>39.31</v>
      </c>
      <c r="AF172" s="135">
        <v>39.049999999999997</v>
      </c>
      <c r="AG172" s="138">
        <v>39.24</v>
      </c>
      <c r="AH172" s="139">
        <v>3.8E-3</v>
      </c>
      <c r="AI172" s="139">
        <v>4.1799999999999997E-2</v>
      </c>
      <c r="AJ172" s="139">
        <v>0.05</v>
      </c>
      <c r="AK172" s="137">
        <f t="shared" si="57"/>
        <v>0</v>
      </c>
      <c r="AL172" s="137"/>
      <c r="AM172" s="157"/>
      <c r="AN172" s="155">
        <f>W172*199</f>
        <v>64714.799999999996</v>
      </c>
      <c r="AO172" s="156">
        <f t="shared" si="59"/>
        <v>0</v>
      </c>
      <c r="AP172" s="137"/>
      <c r="AQ172" s="137">
        <v>0</v>
      </c>
      <c r="AR172" s="137">
        <f t="shared" si="60"/>
        <v>64714.799999999996</v>
      </c>
      <c r="AS172" s="137">
        <f t="shared" si="61"/>
        <v>67951</v>
      </c>
      <c r="AT172" s="137">
        <v>0</v>
      </c>
      <c r="AU172" s="141"/>
      <c r="AV172" s="141"/>
      <c r="AW172" s="137">
        <f t="shared" si="62"/>
        <v>32520</v>
      </c>
      <c r="AX172" s="137">
        <v>0</v>
      </c>
      <c r="AY172" s="137">
        <f t="shared" si="63"/>
        <v>32520</v>
      </c>
      <c r="AZ172" s="137">
        <f t="shared" si="64"/>
        <v>32990</v>
      </c>
      <c r="BA172" s="142">
        <f t="shared" si="65"/>
        <v>-470</v>
      </c>
      <c r="BB172" s="137"/>
      <c r="BC172" s="137">
        <v>0</v>
      </c>
      <c r="BD172" s="142">
        <v>0</v>
      </c>
      <c r="BE172" s="135">
        <v>329.65</v>
      </c>
      <c r="BF172" s="143">
        <f t="shared" si="66"/>
        <v>0.494475</v>
      </c>
      <c r="BG172" s="143">
        <f t="shared" si="67"/>
        <v>329.15552499999995</v>
      </c>
      <c r="BH172" s="143">
        <f t="shared" si="68"/>
        <v>329.9</v>
      </c>
      <c r="BI172" s="144">
        <f t="shared" si="69"/>
        <v>-25</v>
      </c>
      <c r="BJ172" s="144">
        <v>0</v>
      </c>
      <c r="BK172" s="137">
        <f t="shared" si="70"/>
        <v>-25</v>
      </c>
      <c r="BL172" s="2"/>
      <c r="BM172" s="10" t="str">
        <f t="shared" si="71"/>
        <v>Unloading no. 160 Bill No MTC/2026-27/024 ,Deduction For Oil Deduction= 0 ,Bardana=  ,F.M=  Brokerage/Rate Difference 64714.8 ,Shortage = 0 ,Greenish=  ,Moisture= 0</v>
      </c>
      <c r="BN172" s="3"/>
      <c r="BO172" s="13" t="str">
        <f t="shared" si="75"/>
        <v xml:space="preserve"> Party Condition 39.05  ,F.M% 0.38 ,Greenish 4.18 ,Moisture 5 ,Shortage in KG= 0  ,Oil% 39.24</v>
      </c>
      <c r="BP172" s="4">
        <f t="shared" si="76"/>
        <v>6636.899242194605</v>
      </c>
      <c r="BQ172" s="5" t="str">
        <f t="shared" si="72"/>
        <v>39.24</v>
      </c>
      <c r="BR172" s="6">
        <f t="shared" si="73"/>
        <v>7103.714785223583</v>
      </c>
      <c r="BS172" s="5" t="s">
        <v>62</v>
      </c>
      <c r="BT172" s="5" t="s">
        <v>63</v>
      </c>
      <c r="BW172" s="92"/>
      <c r="BX172" s="27">
        <v>39.31</v>
      </c>
      <c r="BY172" s="27">
        <v>39.24</v>
      </c>
      <c r="BZ172" s="96"/>
    </row>
    <row r="173" spans="1:78" s="1" customFormat="1" ht="15.75" hidden="1" x14ac:dyDescent="0.3">
      <c r="A173" s="128" t="s">
        <v>300</v>
      </c>
      <c r="B173" s="129">
        <v>46114</v>
      </c>
      <c r="C173" s="128">
        <v>161</v>
      </c>
      <c r="D173" s="128" t="s">
        <v>348</v>
      </c>
      <c r="E173" s="130">
        <v>46120</v>
      </c>
      <c r="F173" s="128" t="s">
        <v>104</v>
      </c>
      <c r="G173" s="128" t="s">
        <v>105</v>
      </c>
      <c r="H173" s="128" t="s">
        <v>106</v>
      </c>
      <c r="I173" s="136"/>
      <c r="J173" s="128" t="s">
        <v>113</v>
      </c>
      <c r="K173" s="135">
        <v>0</v>
      </c>
      <c r="L173" s="129">
        <v>46114</v>
      </c>
      <c r="M173" s="136"/>
      <c r="N173" s="128" t="s">
        <v>384</v>
      </c>
      <c r="O173" s="130">
        <v>46117</v>
      </c>
      <c r="P173" s="135">
        <v>0</v>
      </c>
      <c r="Q173" s="135">
        <v>200</v>
      </c>
      <c r="R173" s="135">
        <v>310</v>
      </c>
      <c r="S173" s="135">
        <v>0</v>
      </c>
      <c r="T173" s="135">
        <v>510</v>
      </c>
      <c r="U173" s="135">
        <v>510</v>
      </c>
      <c r="V173" s="135">
        <v>0</v>
      </c>
      <c r="W173" s="135">
        <v>306</v>
      </c>
      <c r="X173" s="135">
        <v>310.8</v>
      </c>
      <c r="Y173" s="135">
        <v>2121136.92</v>
      </c>
      <c r="Z173" s="136"/>
      <c r="AA173" s="135">
        <v>53028.423000000003</v>
      </c>
      <c r="AB173" s="135">
        <v>53028.423000000003</v>
      </c>
      <c r="AC173" s="135">
        <v>2227193.77</v>
      </c>
      <c r="AD173" s="137">
        <f t="shared" si="74"/>
        <v>2224966.5762300002</v>
      </c>
      <c r="AE173" s="138">
        <v>40.39</v>
      </c>
      <c r="AF173" s="135">
        <v>39.049999999999997</v>
      </c>
      <c r="AG173" s="138">
        <v>40.200000000000003</v>
      </c>
      <c r="AH173" s="139">
        <v>4.0000000000000001E-3</v>
      </c>
      <c r="AI173" s="139">
        <v>0.04</v>
      </c>
      <c r="AJ173" s="139">
        <v>5.3999999999999999E-2</v>
      </c>
      <c r="AK173" s="137">
        <f t="shared" si="57"/>
        <v>0</v>
      </c>
      <c r="AL173" s="137"/>
      <c r="AM173" s="157"/>
      <c r="AN173" s="155">
        <f>W173*199</f>
        <v>60894</v>
      </c>
      <c r="AO173" s="156">
        <f t="shared" si="59"/>
        <v>0</v>
      </c>
      <c r="AP173" s="137"/>
      <c r="AQ173" s="137">
        <v>0</v>
      </c>
      <c r="AR173" s="137">
        <f t="shared" si="60"/>
        <v>60894</v>
      </c>
      <c r="AS173" s="137">
        <f t="shared" si="61"/>
        <v>63939</v>
      </c>
      <c r="AT173" s="137">
        <v>0</v>
      </c>
      <c r="AU173" s="141"/>
      <c r="AV173" s="141"/>
      <c r="AW173" s="137">
        <f t="shared" si="62"/>
        <v>30600</v>
      </c>
      <c r="AX173" s="137">
        <v>0</v>
      </c>
      <c r="AY173" s="137">
        <f t="shared" si="63"/>
        <v>30600</v>
      </c>
      <c r="AZ173" s="137">
        <f t="shared" si="64"/>
        <v>31080</v>
      </c>
      <c r="BA173" s="142">
        <f t="shared" si="65"/>
        <v>-480</v>
      </c>
      <c r="BB173" s="137"/>
      <c r="BC173" s="137">
        <v>0</v>
      </c>
      <c r="BD173" s="142">
        <v>0</v>
      </c>
      <c r="BE173" s="135">
        <v>310.60000000000002</v>
      </c>
      <c r="BF173" s="143">
        <f t="shared" si="66"/>
        <v>0.46590000000000004</v>
      </c>
      <c r="BG173" s="143">
        <f t="shared" si="67"/>
        <v>310.13410000000005</v>
      </c>
      <c r="BH173" s="143">
        <f t="shared" si="68"/>
        <v>310.8</v>
      </c>
      <c r="BI173" s="144">
        <f t="shared" si="69"/>
        <v>-19.999999999998863</v>
      </c>
      <c r="BJ173" s="144">
        <v>0</v>
      </c>
      <c r="BK173" s="137">
        <f t="shared" si="70"/>
        <v>-19.999999999998863</v>
      </c>
      <c r="BL173" s="2"/>
      <c r="BM173" s="10" t="str">
        <f t="shared" si="71"/>
        <v>Unloading no. 161 Bill No MTC/2026-27/025 ,Deduction For Oil Deduction= 0 ,Bardana=  ,F.M=  Brokerage/Rate Difference 60894 ,Shortage = 0 ,Greenish=  ,Moisture= 0</v>
      </c>
      <c r="BN173" s="3"/>
      <c r="BO173" s="13" t="str">
        <f t="shared" si="75"/>
        <v xml:space="preserve"> Party Condition 39.05  ,F.M% 0.4 ,Greenish 4 ,Moisture 5.4 ,Shortage in KG= 0  ,Oil% 40.2</v>
      </c>
      <c r="BP173" s="4">
        <f t="shared" si="76"/>
        <v>6628.8382239382236</v>
      </c>
      <c r="BQ173" s="5" t="str">
        <f t="shared" si="72"/>
        <v xml:space="preserve"> 40.2</v>
      </c>
      <c r="BR173" s="6">
        <f t="shared" si="73"/>
        <v>6925.6518757563517</v>
      </c>
      <c r="BS173" s="5" t="s">
        <v>62</v>
      </c>
      <c r="BT173" s="5" t="s">
        <v>63</v>
      </c>
      <c r="BW173" s="92"/>
      <c r="BX173" s="27">
        <v>40.39</v>
      </c>
      <c r="BY173" s="27">
        <v>40.200000000000003</v>
      </c>
      <c r="BZ173" s="96"/>
    </row>
    <row r="174" spans="1:78" s="1" customFormat="1" ht="27" hidden="1" x14ac:dyDescent="0.3">
      <c r="A174" s="128" t="s">
        <v>300</v>
      </c>
      <c r="B174" s="129">
        <v>46114</v>
      </c>
      <c r="C174" s="128">
        <v>162</v>
      </c>
      <c r="D174" s="128" t="s">
        <v>349</v>
      </c>
      <c r="E174" s="130">
        <v>46120</v>
      </c>
      <c r="F174" s="128" t="s">
        <v>104</v>
      </c>
      <c r="G174" s="128" t="s">
        <v>105</v>
      </c>
      <c r="H174" s="128" t="s">
        <v>106</v>
      </c>
      <c r="I174" s="136"/>
      <c r="J174" s="128" t="s">
        <v>113</v>
      </c>
      <c r="K174" s="135">
        <v>0</v>
      </c>
      <c r="L174" s="129">
        <v>46114</v>
      </c>
      <c r="M174" s="136"/>
      <c r="N174" s="128" t="s">
        <v>385</v>
      </c>
      <c r="O174" s="130">
        <v>46117</v>
      </c>
      <c r="P174" s="135">
        <v>0</v>
      </c>
      <c r="Q174" s="135">
        <v>382</v>
      </c>
      <c r="R174" s="135">
        <v>0</v>
      </c>
      <c r="S174" s="135">
        <v>0</v>
      </c>
      <c r="T174" s="135">
        <v>382</v>
      </c>
      <c r="U174" s="135">
        <v>300</v>
      </c>
      <c r="V174" s="135">
        <v>0</v>
      </c>
      <c r="W174" s="135">
        <v>229.2</v>
      </c>
      <c r="X174" s="135">
        <v>232.45</v>
      </c>
      <c r="Y174" s="135">
        <v>1588773.14</v>
      </c>
      <c r="Z174" s="136"/>
      <c r="AA174" s="135">
        <v>39719.328500000003</v>
      </c>
      <c r="AB174" s="135">
        <v>39719.328500000003</v>
      </c>
      <c r="AC174" s="135">
        <v>1668211.8</v>
      </c>
      <c r="AD174" s="137">
        <f t="shared" si="74"/>
        <v>1666543.5882000001</v>
      </c>
      <c r="AE174" s="138">
        <v>38.909999999999997</v>
      </c>
      <c r="AF174" s="135">
        <v>39.049999999999997</v>
      </c>
      <c r="AG174" s="138">
        <v>38.950000000000003</v>
      </c>
      <c r="AH174" s="139">
        <v>4.7000000000000002E-3</v>
      </c>
      <c r="AI174" s="139">
        <v>0.05</v>
      </c>
      <c r="AJ174" s="139">
        <v>5.3999999999999999E-2</v>
      </c>
      <c r="AK174" s="137">
        <v>0</v>
      </c>
      <c r="AL174" s="136"/>
      <c r="AM174" s="155"/>
      <c r="AN174" s="155">
        <f>W174*199</f>
        <v>45610.799999999996</v>
      </c>
      <c r="AO174" s="156">
        <f t="shared" si="59"/>
        <v>0</v>
      </c>
      <c r="AP174" s="137"/>
      <c r="AQ174" s="137">
        <v>0</v>
      </c>
      <c r="AR174" s="137">
        <f t="shared" si="60"/>
        <v>45610.799999999996</v>
      </c>
      <c r="AS174" s="137">
        <f t="shared" si="61"/>
        <v>47891</v>
      </c>
      <c r="AT174" s="137">
        <f t="shared" si="77"/>
        <v>0</v>
      </c>
      <c r="AU174" s="141"/>
      <c r="AV174" s="141"/>
      <c r="AW174" s="137">
        <f t="shared" si="62"/>
        <v>22920</v>
      </c>
      <c r="AX174" s="137">
        <v>0</v>
      </c>
      <c r="AY174" s="137">
        <f t="shared" si="63"/>
        <v>22920</v>
      </c>
      <c r="AZ174" s="137">
        <f t="shared" si="64"/>
        <v>23245</v>
      </c>
      <c r="BA174" s="142">
        <f t="shared" si="65"/>
        <v>-325</v>
      </c>
      <c r="BB174" s="137"/>
      <c r="BC174" s="137">
        <v>0</v>
      </c>
      <c r="BD174" s="142">
        <v>0</v>
      </c>
      <c r="BE174" s="135">
        <v>232.45</v>
      </c>
      <c r="BF174" s="143">
        <f t="shared" si="66"/>
        <v>0.34867500000000001</v>
      </c>
      <c r="BG174" s="143">
        <f t="shared" si="67"/>
        <v>232.101325</v>
      </c>
      <c r="BH174" s="143">
        <f t="shared" si="68"/>
        <v>232.45</v>
      </c>
      <c r="BI174" s="144">
        <f t="shared" si="69"/>
        <v>0</v>
      </c>
      <c r="BJ174" s="144">
        <v>0</v>
      </c>
      <c r="BK174" s="137">
        <f t="shared" si="70"/>
        <v>0</v>
      </c>
      <c r="BL174" s="2"/>
      <c r="BM174" s="10" t="str">
        <f t="shared" si="71"/>
        <v>Unloading no. 162 Bill No MTC/2026-27/023/22 ,Deduction For Oil Deduction= 0 ,Bardana=  ,F.M=  Brokerage/Rate Difference 45610.8 ,Shortage = 0 ,Greenish=  ,Moisture= 0</v>
      </c>
      <c r="BN174" s="3"/>
      <c r="BO174" s="13" t="str">
        <f t="shared" si="75"/>
        <v xml:space="preserve"> Party Condition 39.05  ,F.M% 0.47 ,Greenish 5 ,Moisture 5.4 ,Shortage in KG= 0  ,Oil% 38.91</v>
      </c>
      <c r="BP174" s="4">
        <f t="shared" si="76"/>
        <v>6638.6850505485045</v>
      </c>
      <c r="BQ174" s="5" t="str">
        <f t="shared" si="72"/>
        <v>38.91</v>
      </c>
      <c r="BR174" s="6">
        <f t="shared" si="73"/>
        <v>7165.8898001294583</v>
      </c>
      <c r="BS174" s="5" t="s">
        <v>62</v>
      </c>
      <c r="BT174" s="5" t="s">
        <v>63</v>
      </c>
      <c r="BW174" s="92"/>
      <c r="BX174" s="27">
        <v>38.909999999999997</v>
      </c>
      <c r="BY174" s="27">
        <v>38.950000000000003</v>
      </c>
      <c r="BZ174" s="96"/>
    </row>
    <row r="175" spans="1:78" s="1" customFormat="1" ht="27" hidden="1" x14ac:dyDescent="0.3">
      <c r="A175" s="128" t="s">
        <v>128</v>
      </c>
      <c r="B175" s="129">
        <v>46109</v>
      </c>
      <c r="C175" s="128">
        <v>162</v>
      </c>
      <c r="D175" s="128" t="s">
        <v>349</v>
      </c>
      <c r="E175" s="130">
        <v>46120</v>
      </c>
      <c r="F175" s="128" t="s">
        <v>104</v>
      </c>
      <c r="G175" s="128" t="s">
        <v>105</v>
      </c>
      <c r="H175" s="128" t="s">
        <v>106</v>
      </c>
      <c r="I175" s="136"/>
      <c r="J175" s="128" t="s">
        <v>113</v>
      </c>
      <c r="K175" s="135">
        <v>0</v>
      </c>
      <c r="L175" s="129">
        <v>46109</v>
      </c>
      <c r="M175" s="136"/>
      <c r="N175" s="128" t="s">
        <v>385</v>
      </c>
      <c r="O175" s="130">
        <v>46117</v>
      </c>
      <c r="P175" s="135">
        <v>0</v>
      </c>
      <c r="Q175" s="135">
        <v>0</v>
      </c>
      <c r="R175" s="135">
        <v>300</v>
      </c>
      <c r="S175" s="135">
        <v>0</v>
      </c>
      <c r="T175" s="135">
        <v>300</v>
      </c>
      <c r="U175" s="135">
        <v>300</v>
      </c>
      <c r="V175" s="135">
        <v>0</v>
      </c>
      <c r="W175" s="135">
        <v>180</v>
      </c>
      <c r="X175" s="135">
        <v>182.55</v>
      </c>
      <c r="Y175" s="135">
        <v>1207310.3999999999</v>
      </c>
      <c r="Z175" s="136"/>
      <c r="AA175" s="135">
        <v>30182.76</v>
      </c>
      <c r="AB175" s="135">
        <v>30182.76</v>
      </c>
      <c r="AC175" s="135">
        <v>1267675.92</v>
      </c>
      <c r="AD175" s="137">
        <f t="shared" si="74"/>
        <v>1266408.2440799999</v>
      </c>
      <c r="AE175" s="138">
        <v>38.909999999999997</v>
      </c>
      <c r="AF175" s="135">
        <v>38.5</v>
      </c>
      <c r="AG175" s="138">
        <v>38.950000000000003</v>
      </c>
      <c r="AH175" s="139">
        <v>4.7000000000000002E-3</v>
      </c>
      <c r="AI175" s="139">
        <v>0.05</v>
      </c>
      <c r="AJ175" s="139">
        <v>5.3999999999999999E-2</v>
      </c>
      <c r="AK175" s="137">
        <f t="shared" si="57"/>
        <v>0</v>
      </c>
      <c r="AL175" s="136"/>
      <c r="AM175" s="155"/>
      <c r="AN175" s="155">
        <f>W175*59</f>
        <v>10620</v>
      </c>
      <c r="AO175" s="156">
        <f t="shared" si="59"/>
        <v>0</v>
      </c>
      <c r="AP175" s="137"/>
      <c r="AQ175" s="137">
        <v>0</v>
      </c>
      <c r="AR175" s="137">
        <f t="shared" si="60"/>
        <v>10620</v>
      </c>
      <c r="AS175" s="137">
        <f t="shared" si="61"/>
        <v>11151</v>
      </c>
      <c r="AT175" s="137">
        <f t="shared" si="77"/>
        <v>0</v>
      </c>
      <c r="AU175" s="141"/>
      <c r="AV175" s="141"/>
      <c r="AW175" s="137">
        <f t="shared" si="62"/>
        <v>18000</v>
      </c>
      <c r="AX175" s="137">
        <v>0</v>
      </c>
      <c r="AY175" s="137">
        <f t="shared" si="63"/>
        <v>18000</v>
      </c>
      <c r="AZ175" s="137">
        <f t="shared" si="64"/>
        <v>18255</v>
      </c>
      <c r="BA175" s="142">
        <f t="shared" si="65"/>
        <v>-255</v>
      </c>
      <c r="BB175" s="137"/>
      <c r="BC175" s="137">
        <v>0</v>
      </c>
      <c r="BD175" s="142">
        <v>0</v>
      </c>
      <c r="BE175" s="135">
        <v>182.55</v>
      </c>
      <c r="BF175" s="143">
        <f t="shared" si="66"/>
        <v>0.27382499999999999</v>
      </c>
      <c r="BG175" s="143">
        <f t="shared" si="67"/>
        <v>182.27617500000002</v>
      </c>
      <c r="BH175" s="143">
        <f t="shared" si="68"/>
        <v>182.55</v>
      </c>
      <c r="BI175" s="144">
        <f t="shared" si="69"/>
        <v>0</v>
      </c>
      <c r="BJ175" s="144">
        <v>0</v>
      </c>
      <c r="BK175" s="137">
        <f t="shared" si="70"/>
        <v>0</v>
      </c>
      <c r="BL175" s="2"/>
      <c r="BM175" s="10" t="str">
        <f t="shared" si="71"/>
        <v>Unloading no. 162 Bill No MTC/2026-27/023/22 ,Deduction For Oil Deduction= 0 ,Bardana=  ,F.M=  Brokerage/Rate Difference 10620 ,Shortage = 0 ,Greenish=  ,Moisture= 0</v>
      </c>
      <c r="BN175" s="3"/>
      <c r="BO175" s="13" t="str">
        <f t="shared" si="75"/>
        <v xml:space="preserve"> Party Condition 38.5  ,F.M% 0.47 ,Greenish 5 ,Moisture 5.4 ,Shortage in KG= 0  ,Oil% 38.91</v>
      </c>
      <c r="BP175" s="4">
        <f t="shared" si="76"/>
        <v>6555.411668036154</v>
      </c>
      <c r="BQ175" s="5" t="str">
        <f t="shared" si="72"/>
        <v>38.91</v>
      </c>
      <c r="BR175" s="6">
        <f t="shared" si="73"/>
        <v>7076.003342521678</v>
      </c>
      <c r="BS175" s="5" t="s">
        <v>62</v>
      </c>
      <c r="BT175" s="5" t="s">
        <v>63</v>
      </c>
      <c r="BW175" s="92"/>
      <c r="BX175" s="27">
        <v>38.909999999999997</v>
      </c>
      <c r="BY175" s="27">
        <v>38.950000000000003</v>
      </c>
      <c r="BZ175" s="96"/>
    </row>
    <row r="176" spans="1:78" s="1" customFormat="1" ht="15.75" hidden="1" x14ac:dyDescent="0.3">
      <c r="A176" s="128" t="s">
        <v>296</v>
      </c>
      <c r="B176" s="146">
        <v>46116</v>
      </c>
      <c r="C176" s="128">
        <v>163</v>
      </c>
      <c r="D176" s="128" t="s">
        <v>350</v>
      </c>
      <c r="E176" s="130">
        <v>46120</v>
      </c>
      <c r="F176" s="128" t="s">
        <v>98</v>
      </c>
      <c r="G176" s="128" t="s">
        <v>99</v>
      </c>
      <c r="H176" s="128" t="s">
        <v>100</v>
      </c>
      <c r="I176" s="136"/>
      <c r="J176" s="128" t="s">
        <v>113</v>
      </c>
      <c r="K176" s="135">
        <v>0</v>
      </c>
      <c r="L176" s="129">
        <v>46116</v>
      </c>
      <c r="M176" s="136"/>
      <c r="N176" s="128">
        <v>31</v>
      </c>
      <c r="O176" s="130">
        <v>46119</v>
      </c>
      <c r="P176" s="135">
        <v>0</v>
      </c>
      <c r="Q176" s="135">
        <v>475</v>
      </c>
      <c r="R176" s="135">
        <v>36</v>
      </c>
      <c r="S176" s="135">
        <v>0</v>
      </c>
      <c r="T176" s="135">
        <v>511</v>
      </c>
      <c r="U176" s="135">
        <v>511</v>
      </c>
      <c r="V176" s="135">
        <v>0</v>
      </c>
      <c r="W176" s="135">
        <v>306.60000000000002</v>
      </c>
      <c r="X176" s="135">
        <v>310.89999999999998</v>
      </c>
      <c r="Y176" s="135">
        <v>2103357.7599999998</v>
      </c>
      <c r="Z176" s="136"/>
      <c r="AA176" s="135">
        <v>52583.944000000003</v>
      </c>
      <c r="AB176" s="135">
        <v>52583.944000000003</v>
      </c>
      <c r="AC176" s="135">
        <v>2208525.65</v>
      </c>
      <c r="AD176" s="137">
        <f t="shared" si="74"/>
        <v>2206317.1243499997</v>
      </c>
      <c r="AE176" s="138">
        <v>39.049999999999997</v>
      </c>
      <c r="AF176" s="135">
        <v>39.47</v>
      </c>
      <c r="AG176" s="138">
        <v>38.869999999999997</v>
      </c>
      <c r="AH176" s="139">
        <v>4.7000000000000002E-3</v>
      </c>
      <c r="AI176" s="139">
        <v>4.1000000000000002E-2</v>
      </c>
      <c r="AJ176" s="139">
        <v>5.8000000000000003E-2</v>
      </c>
      <c r="AK176" s="137">
        <f t="shared" si="57"/>
        <v>31974.02219407152</v>
      </c>
      <c r="AL176" s="137">
        <f>T176*0.5</f>
        <v>255.5</v>
      </c>
      <c r="AM176" s="155"/>
      <c r="AN176" s="155">
        <v>0</v>
      </c>
      <c r="AO176" s="156">
        <f t="shared" si="59"/>
        <v>0</v>
      </c>
      <c r="AP176" s="137"/>
      <c r="AQ176" s="137">
        <v>0</v>
      </c>
      <c r="AR176" s="137">
        <f t="shared" si="60"/>
        <v>32229.52219407152</v>
      </c>
      <c r="AS176" s="137">
        <f t="shared" si="61"/>
        <v>33841</v>
      </c>
      <c r="AT176" s="137">
        <v>0</v>
      </c>
      <c r="AU176" s="141"/>
      <c r="AV176" s="141"/>
      <c r="AW176" s="137">
        <f t="shared" si="62"/>
        <v>30660.000000000004</v>
      </c>
      <c r="AX176" s="137">
        <v>0</v>
      </c>
      <c r="AY176" s="137">
        <f t="shared" si="63"/>
        <v>30660.000000000004</v>
      </c>
      <c r="AZ176" s="137">
        <f t="shared" si="64"/>
        <v>31089.999999999996</v>
      </c>
      <c r="BA176" s="142">
        <f t="shared" si="65"/>
        <v>-429.99999999999272</v>
      </c>
      <c r="BB176" s="137"/>
      <c r="BC176" s="137">
        <v>0</v>
      </c>
      <c r="BD176" s="142">
        <v>0</v>
      </c>
      <c r="BE176" s="135">
        <v>311</v>
      </c>
      <c r="BF176" s="143">
        <f t="shared" si="66"/>
        <v>0.46649999999999997</v>
      </c>
      <c r="BG176" s="143">
        <f t="shared" si="67"/>
        <v>310.5335</v>
      </c>
      <c r="BH176" s="143">
        <f t="shared" si="68"/>
        <v>310.89999999999998</v>
      </c>
      <c r="BI176" s="144">
        <f t="shared" si="69"/>
        <v>10.000000000002274</v>
      </c>
      <c r="BJ176" s="144">
        <v>0</v>
      </c>
      <c r="BK176" s="137">
        <f t="shared" si="70"/>
        <v>10.000000000002274</v>
      </c>
      <c r="BL176" s="2"/>
      <c r="BM176" s="10" t="str">
        <f t="shared" si="71"/>
        <v>Unloading no. 163 Bill No 31 ,Deduction For Oil Deduction= 31974.0221940715 ,Bardana= 255.5 ,F.M=  Brokerage/Rate Difference 0 ,Shortage = 0 ,Greenish=  ,Moisture= 0</v>
      </c>
      <c r="BN176" s="3"/>
      <c r="BO176" s="13" t="str">
        <f t="shared" si="75"/>
        <v xml:space="preserve"> Party Condition 39.47  ,F.M% 0.47 ,Greenish 4.1 ,Moisture 5.8 ,Shortage in KG= 0  ,Oil% 38.87</v>
      </c>
      <c r="BP176" s="4">
        <f t="shared" si="76"/>
        <v>6661.7183589769329</v>
      </c>
      <c r="BQ176" s="5" t="str">
        <f t="shared" si="72"/>
        <v>38.87</v>
      </c>
      <c r="BR176" s="6">
        <f t="shared" si="73"/>
        <v>7198.152072987682</v>
      </c>
      <c r="BS176" s="5" t="s">
        <v>62</v>
      </c>
      <c r="BT176" s="5" t="s">
        <v>63</v>
      </c>
      <c r="BW176" s="92"/>
      <c r="BX176" s="27">
        <v>39.049999999999997</v>
      </c>
      <c r="BY176" s="27">
        <v>38.869999999999997</v>
      </c>
      <c r="BZ176" s="96"/>
    </row>
    <row r="177" spans="1:78" s="1" customFormat="1" ht="15.75" hidden="1" x14ac:dyDescent="0.3">
      <c r="A177" s="128" t="s">
        <v>299</v>
      </c>
      <c r="B177" s="129">
        <v>46118</v>
      </c>
      <c r="C177" s="128">
        <v>164</v>
      </c>
      <c r="D177" s="128" t="s">
        <v>351</v>
      </c>
      <c r="E177" s="130">
        <v>46120</v>
      </c>
      <c r="F177" s="128" t="s">
        <v>104</v>
      </c>
      <c r="G177" s="128" t="s">
        <v>105</v>
      </c>
      <c r="H177" s="128" t="s">
        <v>106</v>
      </c>
      <c r="I177" s="136"/>
      <c r="J177" s="128" t="s">
        <v>113</v>
      </c>
      <c r="K177" s="135">
        <v>0</v>
      </c>
      <c r="L177" s="129">
        <v>46118</v>
      </c>
      <c r="M177" s="136"/>
      <c r="N177" s="128" t="s">
        <v>386</v>
      </c>
      <c r="O177" s="130">
        <v>46119</v>
      </c>
      <c r="P177" s="135">
        <v>0</v>
      </c>
      <c r="Q177" s="135">
        <v>285</v>
      </c>
      <c r="R177" s="135">
        <v>300</v>
      </c>
      <c r="S177" s="135">
        <v>0</v>
      </c>
      <c r="T177" s="135">
        <v>585</v>
      </c>
      <c r="U177" s="135">
        <v>585</v>
      </c>
      <c r="V177" s="135">
        <v>0</v>
      </c>
      <c r="W177" s="135">
        <v>351</v>
      </c>
      <c r="X177" s="135">
        <v>356.1</v>
      </c>
      <c r="Y177" s="135">
        <v>2326248.9900000002</v>
      </c>
      <c r="Z177" s="136"/>
      <c r="AA177" s="135">
        <v>58156.224750000001</v>
      </c>
      <c r="AB177" s="135">
        <v>58156.224750000001</v>
      </c>
      <c r="AC177" s="135">
        <v>2442561.44</v>
      </c>
      <c r="AD177" s="137">
        <f t="shared" si="74"/>
        <v>2440118.8785600001</v>
      </c>
      <c r="AE177" s="138">
        <v>40.18</v>
      </c>
      <c r="AF177" s="135">
        <v>38.35</v>
      </c>
      <c r="AG177" s="138">
        <v>40.11</v>
      </c>
      <c r="AH177" s="139">
        <v>4.4000000000000003E-3</v>
      </c>
      <c r="AI177" s="139">
        <v>4.2999999999999997E-2</v>
      </c>
      <c r="AJ177" s="139">
        <v>5.3999999999999999E-2</v>
      </c>
      <c r="AK177" s="137">
        <f t="shared" si="57"/>
        <v>0</v>
      </c>
      <c r="AL177" s="137"/>
      <c r="AM177" s="155"/>
      <c r="AN177" s="155">
        <v>0</v>
      </c>
      <c r="AO177" s="156">
        <f t="shared" si="59"/>
        <v>0</v>
      </c>
      <c r="AP177" s="137"/>
      <c r="AQ177" s="137">
        <v>0</v>
      </c>
      <c r="AR177" s="137">
        <f t="shared" si="60"/>
        <v>0</v>
      </c>
      <c r="AS177" s="137">
        <f t="shared" si="61"/>
        <v>0</v>
      </c>
      <c r="AT177" s="137">
        <v>0</v>
      </c>
      <c r="AU177" s="141"/>
      <c r="AV177" s="141"/>
      <c r="AW177" s="137">
        <f t="shared" si="62"/>
        <v>35100</v>
      </c>
      <c r="AX177" s="137">
        <v>0</v>
      </c>
      <c r="AY177" s="137">
        <f t="shared" si="63"/>
        <v>35100</v>
      </c>
      <c r="AZ177" s="137">
        <f t="shared" si="64"/>
        <v>35610</v>
      </c>
      <c r="BA177" s="142">
        <f t="shared" si="65"/>
        <v>-510</v>
      </c>
      <c r="BB177" s="137"/>
      <c r="BC177" s="137">
        <v>0</v>
      </c>
      <c r="BD177" s="142">
        <v>0</v>
      </c>
      <c r="BE177" s="135">
        <v>356.2</v>
      </c>
      <c r="BF177" s="143">
        <f t="shared" si="66"/>
        <v>0.5343</v>
      </c>
      <c r="BG177" s="143">
        <f t="shared" si="67"/>
        <v>355.66570000000002</v>
      </c>
      <c r="BH177" s="143">
        <f t="shared" si="68"/>
        <v>356.1</v>
      </c>
      <c r="BI177" s="144">
        <f t="shared" si="69"/>
        <v>9.9999999999965894</v>
      </c>
      <c r="BJ177" s="144">
        <v>0</v>
      </c>
      <c r="BK177" s="137">
        <f t="shared" si="70"/>
        <v>9.9999999999965894</v>
      </c>
      <c r="BL177" s="2"/>
      <c r="BM177" s="10" t="str">
        <f t="shared" si="71"/>
        <v>Unloading no. 164 Bill No MTC/2026-27/034 ,Deduction For Oil Deduction= 0 ,Bardana=  ,F.M=  Brokerage/Rate Difference 0 ,Shortage = 0 ,Greenish=  ,Moisture= 0</v>
      </c>
      <c r="BN177" s="3"/>
      <c r="BO177" s="13" t="str">
        <f t="shared" si="75"/>
        <v xml:space="preserve"> Party Condition 38.35  ,F.M% 0.44 ,Greenish 4.3 ,Moisture 5.4 ,Shortage in KG= 0  ,Oil% 40.11</v>
      </c>
      <c r="BP177" s="4">
        <f t="shared" si="76"/>
        <v>6532.5722830665545</v>
      </c>
      <c r="BQ177" s="5" t="str">
        <f t="shared" si="72"/>
        <v>40.11</v>
      </c>
      <c r="BR177" s="6">
        <f t="shared" si="73"/>
        <v>6840.3898252005802</v>
      </c>
      <c r="BS177" s="5" t="s">
        <v>62</v>
      </c>
      <c r="BT177" s="5" t="s">
        <v>63</v>
      </c>
      <c r="BW177" s="92"/>
      <c r="BX177" s="27">
        <v>40.18</v>
      </c>
      <c r="BY177" s="27">
        <v>40.11</v>
      </c>
      <c r="BZ177" s="96"/>
    </row>
    <row r="178" spans="1:78" s="1" customFormat="1" ht="15.75" hidden="1" x14ac:dyDescent="0.3">
      <c r="A178" s="158" t="s">
        <v>301</v>
      </c>
      <c r="B178" s="129">
        <v>46118</v>
      </c>
      <c r="C178" s="128">
        <v>165</v>
      </c>
      <c r="D178" s="128" t="s">
        <v>352</v>
      </c>
      <c r="E178" s="129">
        <v>46121</v>
      </c>
      <c r="F178" s="128" t="s">
        <v>98</v>
      </c>
      <c r="G178" s="128" t="s">
        <v>99</v>
      </c>
      <c r="H178" s="128" t="s">
        <v>199</v>
      </c>
      <c r="I178" s="136"/>
      <c r="J178" s="128" t="s">
        <v>113</v>
      </c>
      <c r="K178" s="135">
        <v>0</v>
      </c>
      <c r="L178" s="129">
        <v>46118</v>
      </c>
      <c r="M178" s="136"/>
      <c r="N178" s="128">
        <v>37</v>
      </c>
      <c r="O178" s="130">
        <v>46120</v>
      </c>
      <c r="P178" s="135">
        <v>0</v>
      </c>
      <c r="Q178" s="135">
        <v>60</v>
      </c>
      <c r="R178" s="135">
        <v>405</v>
      </c>
      <c r="S178" s="135">
        <v>0</v>
      </c>
      <c r="T178" s="135">
        <v>465</v>
      </c>
      <c r="U178" s="135">
        <v>465</v>
      </c>
      <c r="V178" s="135">
        <v>0</v>
      </c>
      <c r="W178" s="148">
        <v>279</v>
      </c>
      <c r="X178" s="148">
        <v>283.10000000000002</v>
      </c>
      <c r="Y178" s="135">
        <v>1904879.94</v>
      </c>
      <c r="Z178" s="136"/>
      <c r="AA178" s="135">
        <v>47621.998500000002</v>
      </c>
      <c r="AB178" s="135">
        <v>47621.998500000002</v>
      </c>
      <c r="AC178" s="135">
        <v>2000123.94</v>
      </c>
      <c r="AD178" s="137">
        <f t="shared" si="74"/>
        <v>1998123.8160599999</v>
      </c>
      <c r="AE178" s="147">
        <v>39.82</v>
      </c>
      <c r="AF178" s="148">
        <v>39.67</v>
      </c>
      <c r="AG178" s="147">
        <v>39.57</v>
      </c>
      <c r="AH178" s="139">
        <v>4.4999999999999997E-3</v>
      </c>
      <c r="AI178" s="139">
        <v>0.04</v>
      </c>
      <c r="AJ178" s="139">
        <v>5.6000000000000001E-2</v>
      </c>
      <c r="AK178" s="137">
        <v>0</v>
      </c>
      <c r="AL178" s="137">
        <f>465*0.5</f>
        <v>232.5</v>
      </c>
      <c r="AM178" s="137"/>
      <c r="AN178" s="137">
        <v>64.17</v>
      </c>
      <c r="AO178" s="140">
        <f t="shared" si="59"/>
        <v>0</v>
      </c>
      <c r="AP178" s="137"/>
      <c r="AQ178" s="137">
        <v>0</v>
      </c>
      <c r="AR178" s="155">
        <f t="shared" si="60"/>
        <v>296.67</v>
      </c>
      <c r="AS178" s="137">
        <f t="shared" si="61"/>
        <v>312</v>
      </c>
      <c r="AT178" s="137">
        <v>0</v>
      </c>
      <c r="AU178" s="141"/>
      <c r="AV178" s="141"/>
      <c r="AW178" s="137">
        <f t="shared" si="62"/>
        <v>27900</v>
      </c>
      <c r="AX178" s="137">
        <v>0</v>
      </c>
      <c r="AY178" s="137">
        <f t="shared" si="63"/>
        <v>27900</v>
      </c>
      <c r="AZ178" s="137">
        <f t="shared" si="64"/>
        <v>28310.000000000004</v>
      </c>
      <c r="BA178" s="142">
        <f t="shared" si="65"/>
        <v>-410.00000000000364</v>
      </c>
      <c r="BB178" s="137"/>
      <c r="BC178" s="137">
        <v>0</v>
      </c>
      <c r="BD178" s="142">
        <v>0</v>
      </c>
      <c r="BE178" s="135">
        <v>283.60000000000002</v>
      </c>
      <c r="BF178" s="143">
        <f t="shared" si="66"/>
        <v>0.4254</v>
      </c>
      <c r="BG178" s="143">
        <f t="shared" si="67"/>
        <v>283.1746</v>
      </c>
      <c r="BH178" s="143">
        <f t="shared" si="68"/>
        <v>283.10000000000002</v>
      </c>
      <c r="BI178" s="144">
        <f t="shared" si="69"/>
        <v>50</v>
      </c>
      <c r="BJ178" s="144">
        <v>0</v>
      </c>
      <c r="BK178" s="137">
        <f t="shared" si="70"/>
        <v>50</v>
      </c>
      <c r="BL178" s="2"/>
      <c r="BM178" s="10" t="str">
        <f t="shared" si="71"/>
        <v>Unloading no. 165 Bill No 37 ,Deduction For Oil Deduction= 0 ,Bardana= 232.5 ,F.M=  Brokerage/Rate Difference 64.17 ,Shortage = 0 ,Greenish=  ,Moisture= 0</v>
      </c>
      <c r="BN178" s="3"/>
      <c r="BO178" s="13" t="str">
        <f t="shared" si="75"/>
        <v xml:space="preserve"> Party Condition 39.67  ,F.M% 0.45 ,Greenish 4 ,Moisture 5.6 ,Shortage in KG= 0  ,Oil% 39.57</v>
      </c>
      <c r="BP178" s="4">
        <f t="shared" si="76"/>
        <v>6727.5989756269864</v>
      </c>
      <c r="BQ178" s="5" t="str">
        <f t="shared" si="72"/>
        <v>39.57</v>
      </c>
      <c r="BR178" s="6">
        <f t="shared" si="73"/>
        <v>7140.7418998315243</v>
      </c>
      <c r="BS178" s="5" t="s">
        <v>62</v>
      </c>
      <c r="BT178" s="5" t="s">
        <v>63</v>
      </c>
      <c r="BW178" s="92"/>
      <c r="BX178" s="27">
        <v>39.82</v>
      </c>
      <c r="BY178" s="27">
        <v>39.57</v>
      </c>
      <c r="BZ178" s="96"/>
    </row>
    <row r="179" spans="1:78" s="1" customFormat="1" ht="15.75" hidden="1" x14ac:dyDescent="0.3">
      <c r="A179" s="158" t="s">
        <v>301</v>
      </c>
      <c r="B179" s="129">
        <v>46118</v>
      </c>
      <c r="C179" s="128">
        <v>166</v>
      </c>
      <c r="D179" s="128" t="s">
        <v>353</v>
      </c>
      <c r="E179" s="129">
        <v>46121</v>
      </c>
      <c r="F179" s="128" t="s">
        <v>98</v>
      </c>
      <c r="G179" s="128" t="s">
        <v>99</v>
      </c>
      <c r="H179" s="128" t="s">
        <v>199</v>
      </c>
      <c r="I179" s="136"/>
      <c r="J179" s="128" t="s">
        <v>113</v>
      </c>
      <c r="K179" s="135">
        <v>0</v>
      </c>
      <c r="L179" s="129">
        <v>46118</v>
      </c>
      <c r="M179" s="136"/>
      <c r="N179" s="128">
        <v>36</v>
      </c>
      <c r="O179" s="130">
        <v>46120</v>
      </c>
      <c r="P179" s="135">
        <v>0</v>
      </c>
      <c r="Q179" s="135">
        <v>297</v>
      </c>
      <c r="R179" s="135">
        <v>185</v>
      </c>
      <c r="S179" s="135">
        <v>0</v>
      </c>
      <c r="T179" s="135">
        <v>482</v>
      </c>
      <c r="U179" s="135">
        <v>482</v>
      </c>
      <c r="V179" s="135">
        <v>0</v>
      </c>
      <c r="W179" s="148">
        <v>289.2</v>
      </c>
      <c r="X179" s="148">
        <v>293.89999999999998</v>
      </c>
      <c r="Y179" s="135">
        <v>1974520.71</v>
      </c>
      <c r="Z179" s="136"/>
      <c r="AA179" s="135">
        <v>49363.017749999999</v>
      </c>
      <c r="AB179" s="135">
        <v>49363.017749999999</v>
      </c>
      <c r="AC179" s="135">
        <v>2073246.75</v>
      </c>
      <c r="AD179" s="137">
        <f t="shared" si="74"/>
        <v>2071173.5032500001</v>
      </c>
      <c r="AE179" s="147">
        <v>39.799999999999997</v>
      </c>
      <c r="AF179" s="148">
        <v>39.67</v>
      </c>
      <c r="AG179" s="147">
        <v>39.630000000000003</v>
      </c>
      <c r="AH179" s="139">
        <v>4.7000000000000002E-3</v>
      </c>
      <c r="AI179" s="139">
        <v>4.1799999999999997E-2</v>
      </c>
      <c r="AJ179" s="139">
        <v>5.8000000000000003E-2</v>
      </c>
      <c r="AK179" s="137">
        <v>0</v>
      </c>
      <c r="AL179" s="137">
        <f>482*0.5</f>
        <v>241</v>
      </c>
      <c r="AM179" s="137"/>
      <c r="AN179" s="137">
        <v>66.510000000000005</v>
      </c>
      <c r="AO179" s="140">
        <f t="shared" si="59"/>
        <v>0</v>
      </c>
      <c r="AP179" s="137"/>
      <c r="AQ179" s="137">
        <v>0</v>
      </c>
      <c r="AR179" s="155">
        <f t="shared" si="60"/>
        <v>307.51</v>
      </c>
      <c r="AS179" s="155">
        <f t="shared" si="61"/>
        <v>323</v>
      </c>
      <c r="AT179" s="137">
        <v>0</v>
      </c>
      <c r="AU179" s="141"/>
      <c r="AV179" s="141"/>
      <c r="AW179" s="137">
        <f t="shared" si="62"/>
        <v>28920</v>
      </c>
      <c r="AX179" s="137">
        <v>0</v>
      </c>
      <c r="AY179" s="137">
        <f t="shared" si="63"/>
        <v>28920</v>
      </c>
      <c r="AZ179" s="137">
        <f t="shared" si="64"/>
        <v>29389.999999999996</v>
      </c>
      <c r="BA179" s="142">
        <f t="shared" si="65"/>
        <v>-469.99999999999636</v>
      </c>
      <c r="BB179" s="137"/>
      <c r="BC179" s="137">
        <v>0</v>
      </c>
      <c r="BD179" s="142">
        <v>0</v>
      </c>
      <c r="BE179" s="135">
        <v>294.14999999999998</v>
      </c>
      <c r="BF179" s="143">
        <f t="shared" si="66"/>
        <v>0.44122499999999998</v>
      </c>
      <c r="BG179" s="143">
        <f t="shared" si="67"/>
        <v>293.708775</v>
      </c>
      <c r="BH179" s="143">
        <f t="shared" si="68"/>
        <v>293.89999999999998</v>
      </c>
      <c r="BI179" s="144">
        <f t="shared" si="69"/>
        <v>25</v>
      </c>
      <c r="BJ179" s="144">
        <v>0</v>
      </c>
      <c r="BK179" s="137">
        <f t="shared" si="70"/>
        <v>25</v>
      </c>
      <c r="BL179" s="2"/>
      <c r="BM179" s="10" t="str">
        <f t="shared" si="71"/>
        <v>Unloading no. 166 Bill No 36 ,Deduction For Oil Deduction= 0 ,Bardana= 241 ,F.M=  Brokerage/Rate Difference 66.51 ,Shortage = 0 ,Greenish=  ,Moisture= 0</v>
      </c>
      <c r="BN179" s="3"/>
      <c r="BO179" s="13" t="str">
        <f t="shared" si="75"/>
        <v xml:space="preserve"> Party Condition 39.67  ,F.M% 0.47 ,Greenish 4.18 ,Moisture 5.8 ,Shortage in KG= 0  ,Oil% 39.63</v>
      </c>
      <c r="BP179" s="4">
        <f t="shared" si="76"/>
        <v>6717.2956788023139</v>
      </c>
      <c r="BQ179" s="5" t="str">
        <f t="shared" si="72"/>
        <v>39.63</v>
      </c>
      <c r="BR179" s="6">
        <f t="shared" si="73"/>
        <v>7119.0113174286444</v>
      </c>
      <c r="BS179" s="5" t="s">
        <v>62</v>
      </c>
      <c r="BT179" s="5" t="s">
        <v>63</v>
      </c>
      <c r="BW179" s="92"/>
      <c r="BX179" s="27">
        <v>39.799999999999997</v>
      </c>
      <c r="BY179" s="27">
        <v>39.630000000000003</v>
      </c>
      <c r="BZ179" s="96"/>
    </row>
    <row r="180" spans="1:78" s="1" customFormat="1" ht="15.75" hidden="1" x14ac:dyDescent="0.3">
      <c r="A180" s="158" t="s">
        <v>301</v>
      </c>
      <c r="B180" s="129">
        <v>46118</v>
      </c>
      <c r="C180" s="159">
        <v>167</v>
      </c>
      <c r="D180" s="128" t="s">
        <v>354</v>
      </c>
      <c r="E180" s="129">
        <v>46121</v>
      </c>
      <c r="F180" s="128" t="s">
        <v>98</v>
      </c>
      <c r="G180" s="128" t="s">
        <v>99</v>
      </c>
      <c r="H180" s="128" t="s">
        <v>199</v>
      </c>
      <c r="I180" s="136"/>
      <c r="J180" s="128" t="s">
        <v>113</v>
      </c>
      <c r="K180" s="135">
        <v>0</v>
      </c>
      <c r="L180" s="129">
        <v>46118</v>
      </c>
      <c r="M180" s="136"/>
      <c r="N180" s="159">
        <v>38</v>
      </c>
      <c r="O180" s="130">
        <v>46120</v>
      </c>
      <c r="P180" s="135">
        <v>0</v>
      </c>
      <c r="Q180" s="135">
        <v>224</v>
      </c>
      <c r="R180" s="135">
        <v>0</v>
      </c>
      <c r="S180" s="135">
        <v>0</v>
      </c>
      <c r="T180" s="135">
        <v>224</v>
      </c>
      <c r="U180" s="135">
        <v>224</v>
      </c>
      <c r="V180" s="135">
        <v>0</v>
      </c>
      <c r="W180" s="148">
        <v>134.4</v>
      </c>
      <c r="X180" s="148">
        <v>0</v>
      </c>
      <c r="Y180" s="135">
        <v>908323.58</v>
      </c>
      <c r="Z180" s="136"/>
      <c r="AA180" s="135">
        <v>22708.089499999998</v>
      </c>
      <c r="AB180" s="135">
        <v>22708.089499999998</v>
      </c>
      <c r="AC180" s="135">
        <v>953739.76</v>
      </c>
      <c r="AD180" s="137">
        <f t="shared" si="74"/>
        <v>952786.02023999998</v>
      </c>
      <c r="AE180" s="147">
        <v>39.79</v>
      </c>
      <c r="AF180" s="148">
        <v>39.67</v>
      </c>
      <c r="AG180" s="147">
        <v>39.6</v>
      </c>
      <c r="AH180" s="139">
        <v>4.7999999999999996E-3</v>
      </c>
      <c r="AI180" s="139">
        <v>3.7999999999999999E-2</v>
      </c>
      <c r="AJ180" s="139">
        <v>5.8999999999999997E-2</v>
      </c>
      <c r="AK180" s="137">
        <v>0</v>
      </c>
      <c r="AL180" s="137">
        <f>224*0.5</f>
        <v>112</v>
      </c>
      <c r="AM180" s="137"/>
      <c r="AN180" s="137">
        <v>30.91</v>
      </c>
      <c r="AO180" s="140">
        <f t="shared" si="59"/>
        <v>5609.438775297619</v>
      </c>
      <c r="AP180" s="137"/>
      <c r="AQ180" s="137">
        <v>0</v>
      </c>
      <c r="AR180" s="155">
        <f t="shared" si="60"/>
        <v>5752.3487752976189</v>
      </c>
      <c r="AS180" s="137">
        <f t="shared" si="61"/>
        <v>6040</v>
      </c>
      <c r="AT180" s="137">
        <v>83</v>
      </c>
      <c r="AU180" s="141"/>
      <c r="AV180" s="141"/>
      <c r="AW180" s="137">
        <f t="shared" si="62"/>
        <v>13440</v>
      </c>
      <c r="AX180" s="137">
        <v>0</v>
      </c>
      <c r="AY180" s="137">
        <f t="shared" si="63"/>
        <v>13440</v>
      </c>
      <c r="AZ180" s="137">
        <f t="shared" si="64"/>
        <v>0</v>
      </c>
      <c r="BA180" s="142">
        <f t="shared" si="65"/>
        <v>13440</v>
      </c>
      <c r="BB180" s="137"/>
      <c r="BC180" s="137">
        <v>0</v>
      </c>
      <c r="BD180" s="142">
        <v>0</v>
      </c>
      <c r="BE180" s="135">
        <v>0</v>
      </c>
      <c r="BF180" s="143">
        <f t="shared" si="66"/>
        <v>0</v>
      </c>
      <c r="BG180" s="143">
        <f t="shared" si="67"/>
        <v>0</v>
      </c>
      <c r="BH180" s="143">
        <f t="shared" si="68"/>
        <v>0</v>
      </c>
      <c r="BI180" s="144">
        <f t="shared" si="69"/>
        <v>0</v>
      </c>
      <c r="BJ180" s="144">
        <v>0</v>
      </c>
      <c r="BK180" s="137">
        <f t="shared" si="70"/>
        <v>0</v>
      </c>
      <c r="BL180" s="2"/>
      <c r="BM180" s="10" t="str">
        <f t="shared" si="71"/>
        <v>Unloading no. 167 Bill No 38 ,Deduction For Oil Deduction= 0 ,Bardana= 112 ,F.M=  Brokerage/Rate Difference 30.91 ,Shortage = 5609.43877529762 ,Greenish=  ,Moisture= 0</v>
      </c>
      <c r="BN180" s="3"/>
      <c r="BO180" s="13" t="str">
        <f t="shared" si="75"/>
        <v xml:space="preserve"> Party Condition 39.67  ,F.M% 0.48 ,Greenish 3.8 ,Moisture 5.9 ,Shortage in KG= 83  ,Oil% 39.6</v>
      </c>
      <c r="BP180" s="4" t="e">
        <f t="shared" si="76"/>
        <v>#DIV/0!</v>
      </c>
      <c r="BQ180" s="5" t="str">
        <f t="shared" si="72"/>
        <v xml:space="preserve"> 39.6</v>
      </c>
      <c r="BR180" s="6" t="e">
        <f t="shared" si="73"/>
        <v>#DIV/0!</v>
      </c>
      <c r="BS180" s="5" t="s">
        <v>62</v>
      </c>
      <c r="BT180" s="5" t="s">
        <v>63</v>
      </c>
      <c r="BW180" s="92"/>
      <c r="BX180" s="27">
        <v>39.79</v>
      </c>
      <c r="BY180" s="27">
        <v>39.6</v>
      </c>
      <c r="BZ180" s="96"/>
    </row>
    <row r="181" spans="1:78" s="1" customFormat="1" ht="15.75" hidden="1" x14ac:dyDescent="0.3">
      <c r="A181" s="158" t="s">
        <v>302</v>
      </c>
      <c r="B181" s="129">
        <v>46120</v>
      </c>
      <c r="C181" s="159">
        <v>167</v>
      </c>
      <c r="D181" s="128" t="s">
        <v>354</v>
      </c>
      <c r="E181" s="129">
        <v>46121</v>
      </c>
      <c r="F181" s="128" t="s">
        <v>98</v>
      </c>
      <c r="G181" s="128" t="s">
        <v>99</v>
      </c>
      <c r="H181" s="128" t="s">
        <v>199</v>
      </c>
      <c r="I181" s="136"/>
      <c r="J181" s="128" t="s">
        <v>113</v>
      </c>
      <c r="K181" s="135">
        <v>0</v>
      </c>
      <c r="L181" s="129">
        <v>46120</v>
      </c>
      <c r="M181" s="136"/>
      <c r="N181" s="159">
        <v>38</v>
      </c>
      <c r="O181" s="130">
        <v>46120</v>
      </c>
      <c r="P181" s="135">
        <v>0</v>
      </c>
      <c r="Q181" s="135">
        <v>156</v>
      </c>
      <c r="R181" s="135">
        <v>89</v>
      </c>
      <c r="S181" s="135">
        <v>0</v>
      </c>
      <c r="T181" s="135">
        <v>245</v>
      </c>
      <c r="U181" s="135">
        <v>245</v>
      </c>
      <c r="V181" s="135">
        <v>0</v>
      </c>
      <c r="W181" s="148">
        <v>147</v>
      </c>
      <c r="X181" s="148">
        <v>284</v>
      </c>
      <c r="Y181" s="135">
        <v>998360.02</v>
      </c>
      <c r="Z181" s="136"/>
      <c r="AA181" s="135">
        <v>24959.000499999998</v>
      </c>
      <c r="AB181" s="135">
        <v>24959.000499999998</v>
      </c>
      <c r="AC181" s="135">
        <v>1048278.02</v>
      </c>
      <c r="AD181" s="137">
        <f t="shared" si="74"/>
        <v>1047229.74198</v>
      </c>
      <c r="AE181" s="147">
        <v>39.79</v>
      </c>
      <c r="AF181" s="148">
        <v>39.58</v>
      </c>
      <c r="AG181" s="147">
        <v>39.6</v>
      </c>
      <c r="AH181" s="139">
        <v>4.7999999999999996E-3</v>
      </c>
      <c r="AI181" s="139">
        <v>3.7999999999999999E-2</v>
      </c>
      <c r="AJ181" s="139">
        <v>5.8999999999999997E-2</v>
      </c>
      <c r="AK181" s="137">
        <f t="shared" si="57"/>
        <v>0</v>
      </c>
      <c r="AL181" s="137">
        <f>245*0.5</f>
        <v>122.5</v>
      </c>
      <c r="AM181" s="137"/>
      <c r="AN181" s="137">
        <v>107.31</v>
      </c>
      <c r="AO181" s="140">
        <f t="shared" si="59"/>
        <v>0</v>
      </c>
      <c r="AP181" s="137"/>
      <c r="AQ181" s="137">
        <v>0</v>
      </c>
      <c r="AR181" s="155">
        <f t="shared" si="60"/>
        <v>229.81</v>
      </c>
      <c r="AS181" s="137">
        <f t="shared" si="61"/>
        <v>241</v>
      </c>
      <c r="AT181" s="137">
        <v>0</v>
      </c>
      <c r="AU181" s="141"/>
      <c r="AV181" s="141"/>
      <c r="AW181" s="137">
        <f t="shared" si="62"/>
        <v>14700</v>
      </c>
      <c r="AX181" s="137">
        <v>0</v>
      </c>
      <c r="AY181" s="137">
        <f t="shared" si="63"/>
        <v>14700</v>
      </c>
      <c r="AZ181" s="137">
        <f t="shared" si="64"/>
        <v>28400</v>
      </c>
      <c r="BA181" s="142">
        <f t="shared" si="65"/>
        <v>-13700</v>
      </c>
      <c r="BB181" s="137"/>
      <c r="BC181" s="137">
        <v>0</v>
      </c>
      <c r="BD181" s="142">
        <v>0</v>
      </c>
      <c r="BE181" s="135">
        <v>284.89999999999998</v>
      </c>
      <c r="BF181" s="143">
        <f t="shared" si="66"/>
        <v>0.4273499999999999</v>
      </c>
      <c r="BG181" s="143">
        <f t="shared" si="67"/>
        <v>284.47264999999999</v>
      </c>
      <c r="BH181" s="143">
        <f t="shared" si="68"/>
        <v>284</v>
      </c>
      <c r="BI181" s="144">
        <f t="shared" si="69"/>
        <v>89.999999999997726</v>
      </c>
      <c r="BJ181" s="144">
        <v>0</v>
      </c>
      <c r="BK181" s="137">
        <f t="shared" si="70"/>
        <v>89.999999999997726</v>
      </c>
      <c r="BL181" s="2"/>
      <c r="BM181" s="10" t="str">
        <f t="shared" si="71"/>
        <v>Unloading no. 167 Bill No 38 ,Deduction For Oil Deduction= 0 ,Bardana= 122.5 ,F.M=  Brokerage/Rate Difference 107.31 ,Shortage = 0 ,Greenish=  ,Moisture= 0</v>
      </c>
      <c r="BN181" s="3"/>
      <c r="BO181" s="13" t="str">
        <f t="shared" si="75"/>
        <v xml:space="preserve"> Party Condition 39.58  ,F.M% 0.48 ,Greenish 3.8 ,Moisture 5.9 ,Shortage in KG= 0  ,Oil% 39.6</v>
      </c>
      <c r="BP181" s="4">
        <f t="shared" si="76"/>
        <v>3514.5429929577463</v>
      </c>
      <c r="BQ181" s="5" t="str">
        <f t="shared" si="72"/>
        <v xml:space="preserve"> 39.6</v>
      </c>
      <c r="BR181" s="6">
        <f t="shared" si="73"/>
        <v>3727.5455985915492</v>
      </c>
      <c r="BS181" s="5" t="s">
        <v>62</v>
      </c>
      <c r="BT181" s="5" t="s">
        <v>63</v>
      </c>
      <c r="BW181" s="92"/>
      <c r="BX181" s="27">
        <v>39.79</v>
      </c>
      <c r="BY181" s="27">
        <v>39.6</v>
      </c>
      <c r="BZ181" s="96"/>
    </row>
    <row r="182" spans="1:78" s="1" customFormat="1" ht="15.75" hidden="1" x14ac:dyDescent="0.3">
      <c r="A182" s="158" t="s">
        <v>296</v>
      </c>
      <c r="B182" s="129">
        <v>46116</v>
      </c>
      <c r="C182" s="128">
        <v>168</v>
      </c>
      <c r="D182" s="128" t="s">
        <v>355</v>
      </c>
      <c r="E182" s="129">
        <v>46121</v>
      </c>
      <c r="F182" s="128" t="s">
        <v>98</v>
      </c>
      <c r="G182" s="160" t="s">
        <v>99</v>
      </c>
      <c r="H182" s="128" t="s">
        <v>199</v>
      </c>
      <c r="I182" s="136"/>
      <c r="J182" s="128" t="s">
        <v>113</v>
      </c>
      <c r="K182" s="135">
        <v>0</v>
      </c>
      <c r="L182" s="129">
        <v>46116</v>
      </c>
      <c r="M182" s="136"/>
      <c r="N182" s="128">
        <v>30</v>
      </c>
      <c r="O182" s="130">
        <v>46119</v>
      </c>
      <c r="P182" s="135">
        <v>0</v>
      </c>
      <c r="Q182" s="135">
        <v>300</v>
      </c>
      <c r="R182" s="135">
        <v>401</v>
      </c>
      <c r="S182" s="135">
        <v>0</v>
      </c>
      <c r="T182" s="135">
        <v>701</v>
      </c>
      <c r="U182" s="135">
        <v>701</v>
      </c>
      <c r="V182" s="135">
        <v>0</v>
      </c>
      <c r="W182" s="148">
        <v>420.6</v>
      </c>
      <c r="X182" s="148">
        <v>427.1</v>
      </c>
      <c r="Y182" s="135">
        <v>2885428.16</v>
      </c>
      <c r="Z182" s="136"/>
      <c r="AA182" s="135">
        <v>72135.703999999998</v>
      </c>
      <c r="AB182" s="135">
        <v>72135.703999999998</v>
      </c>
      <c r="AC182" s="135">
        <v>3029699.57</v>
      </c>
      <c r="AD182" s="137">
        <f t="shared" si="74"/>
        <v>3026669.8704299997</v>
      </c>
      <c r="AE182" s="147">
        <v>39.14</v>
      </c>
      <c r="AF182" s="148">
        <v>39.47</v>
      </c>
      <c r="AG182" s="147">
        <v>38.96</v>
      </c>
      <c r="AH182" s="139">
        <v>4.5999999999999999E-3</v>
      </c>
      <c r="AI182" s="139">
        <v>4.1500000000000002E-2</v>
      </c>
      <c r="AJ182" s="139">
        <v>5.3999999999999999E-2</v>
      </c>
      <c r="AK182" s="137">
        <f t="shared" si="57"/>
        <v>37283.211593615262</v>
      </c>
      <c r="AL182" s="137">
        <f>701*0.5</f>
        <v>350.5</v>
      </c>
      <c r="AM182" s="137"/>
      <c r="AN182" s="137">
        <f>28180.2+25.24</f>
        <v>28205.440000000002</v>
      </c>
      <c r="AO182" s="140">
        <f t="shared" si="59"/>
        <v>0</v>
      </c>
      <c r="AP182" s="137"/>
      <c r="AQ182" s="137">
        <v>0</v>
      </c>
      <c r="AR182" s="155">
        <f t="shared" si="60"/>
        <v>65839.151593615272</v>
      </c>
      <c r="AS182" s="137">
        <f t="shared" si="61"/>
        <v>69131</v>
      </c>
      <c r="AT182" s="137">
        <v>0</v>
      </c>
      <c r="AU182" s="141"/>
      <c r="AV182" s="141"/>
      <c r="AW182" s="137">
        <f t="shared" si="62"/>
        <v>42060</v>
      </c>
      <c r="AX182" s="137">
        <v>0</v>
      </c>
      <c r="AY182" s="137">
        <f t="shared" si="63"/>
        <v>42060</v>
      </c>
      <c r="AZ182" s="137">
        <f t="shared" si="64"/>
        <v>42710</v>
      </c>
      <c r="BA182" s="142">
        <f t="shared" si="65"/>
        <v>-650</v>
      </c>
      <c r="BB182" s="137"/>
      <c r="BC182" s="137">
        <v>0</v>
      </c>
      <c r="BD182" s="142">
        <v>0</v>
      </c>
      <c r="BE182" s="135">
        <v>427</v>
      </c>
      <c r="BF182" s="143">
        <f t="shared" si="66"/>
        <v>0.64049999999999996</v>
      </c>
      <c r="BG182" s="143">
        <f t="shared" si="67"/>
        <v>426.35950000000003</v>
      </c>
      <c r="BH182" s="143">
        <f t="shared" si="68"/>
        <v>427.1</v>
      </c>
      <c r="BI182" s="144">
        <f t="shared" si="69"/>
        <v>-10.000000000002274</v>
      </c>
      <c r="BJ182" s="144">
        <v>0</v>
      </c>
      <c r="BK182" s="137">
        <f t="shared" si="70"/>
        <v>-10.000000000002274</v>
      </c>
      <c r="BL182" s="2"/>
      <c r="BM182" s="10" t="str">
        <f t="shared" si="71"/>
        <v>Unloading no. 168 Bill No 30 ,Deduction For Oil Deduction= 37283.2115936153 ,Bardana= 350.5 ,F.M=  Brokerage/Rate Difference 28205.44 ,Shortage = 0 ,Greenish=  ,Moisture= 0</v>
      </c>
      <c r="BN182" s="3"/>
      <c r="BO182" s="13" t="str">
        <f t="shared" si="75"/>
        <v xml:space="preserve"> Party Condition 39.47  ,F.M% 0.46 ,Greenish 4.15 ,Moisture 5.4 ,Shortage in KG= 0  ,Oil% 38.96</v>
      </c>
      <c r="BP182" s="4">
        <f t="shared" si="76"/>
        <v>6601.7068799025628</v>
      </c>
      <c r="BQ182" s="5" t="str">
        <f t="shared" si="72"/>
        <v>38.96</v>
      </c>
      <c r="BR182" s="6">
        <f t="shared" si="73"/>
        <v>7116.8297986629268</v>
      </c>
      <c r="BS182" s="5" t="s">
        <v>62</v>
      </c>
      <c r="BT182" s="5" t="s">
        <v>63</v>
      </c>
      <c r="BW182" s="92"/>
      <c r="BX182" s="27">
        <v>39.14</v>
      </c>
      <c r="BY182" s="27">
        <v>38.96</v>
      </c>
      <c r="BZ182" s="96"/>
    </row>
    <row r="183" spans="1:78" s="1" customFormat="1" ht="15.75" hidden="1" x14ac:dyDescent="0.3">
      <c r="A183" s="158" t="s">
        <v>296</v>
      </c>
      <c r="B183" s="129">
        <v>46116</v>
      </c>
      <c r="C183" s="128">
        <v>169</v>
      </c>
      <c r="D183" s="128" t="s">
        <v>356</v>
      </c>
      <c r="E183" s="129">
        <v>46121</v>
      </c>
      <c r="F183" s="128" t="s">
        <v>98</v>
      </c>
      <c r="G183" s="160" t="s">
        <v>99</v>
      </c>
      <c r="H183" s="128" t="s">
        <v>199</v>
      </c>
      <c r="I183" s="136"/>
      <c r="J183" s="128" t="s">
        <v>113</v>
      </c>
      <c r="K183" s="135">
        <v>0</v>
      </c>
      <c r="L183" s="129">
        <v>46116</v>
      </c>
      <c r="M183" s="136"/>
      <c r="N183" s="128">
        <v>32</v>
      </c>
      <c r="O183" s="130">
        <v>46119</v>
      </c>
      <c r="P183" s="135">
        <v>0</v>
      </c>
      <c r="Q183" s="135">
        <v>200</v>
      </c>
      <c r="R183" s="135">
        <v>250</v>
      </c>
      <c r="S183" s="135">
        <v>0</v>
      </c>
      <c r="T183" s="135">
        <v>450</v>
      </c>
      <c r="U183" s="135">
        <v>450</v>
      </c>
      <c r="V183" s="135">
        <v>0</v>
      </c>
      <c r="W183" s="148">
        <v>270</v>
      </c>
      <c r="X183" s="148">
        <v>273.60000000000002</v>
      </c>
      <c r="Y183" s="135">
        <v>1852272</v>
      </c>
      <c r="Z183" s="136"/>
      <c r="AA183" s="135">
        <v>46306.8</v>
      </c>
      <c r="AB183" s="135">
        <v>46306.8</v>
      </c>
      <c r="AC183" s="135">
        <v>1944885.6</v>
      </c>
      <c r="AD183" s="137">
        <f t="shared" si="74"/>
        <v>1942940.7144000002</v>
      </c>
      <c r="AE183" s="147">
        <v>39.049999999999997</v>
      </c>
      <c r="AF183" s="148">
        <v>39.47</v>
      </c>
      <c r="AG183" s="147">
        <v>39.020000000000003</v>
      </c>
      <c r="AH183" s="139">
        <v>4.1000000000000003E-3</v>
      </c>
      <c r="AI183" s="139">
        <v>4.2900000000000001E-2</v>
      </c>
      <c r="AJ183" s="139">
        <v>5.7000000000000002E-2</v>
      </c>
      <c r="AK183" s="137">
        <f t="shared" si="57"/>
        <v>21117.871801367928</v>
      </c>
      <c r="AL183" s="137">
        <f>450*0.5</f>
        <v>225</v>
      </c>
      <c r="AM183" s="137"/>
      <c r="AN183" s="137">
        <f>18090+16.2</f>
        <v>18106.2</v>
      </c>
      <c r="AO183" s="140">
        <f t="shared" si="59"/>
        <v>0</v>
      </c>
      <c r="AP183" s="137"/>
      <c r="AQ183" s="137">
        <v>0</v>
      </c>
      <c r="AR183" s="155">
        <f t="shared" si="60"/>
        <v>39449.071801367929</v>
      </c>
      <c r="AS183" s="137">
        <f t="shared" si="61"/>
        <v>41422</v>
      </c>
      <c r="AT183" s="137">
        <v>0</v>
      </c>
      <c r="AU183" s="141"/>
      <c r="AV183" s="141"/>
      <c r="AW183" s="137">
        <f t="shared" si="62"/>
        <v>27000</v>
      </c>
      <c r="AX183" s="137">
        <v>0</v>
      </c>
      <c r="AY183" s="137">
        <f t="shared" si="63"/>
        <v>27000</v>
      </c>
      <c r="AZ183" s="137">
        <f t="shared" si="64"/>
        <v>27360.000000000004</v>
      </c>
      <c r="BA183" s="142">
        <f t="shared" si="65"/>
        <v>-360.00000000000364</v>
      </c>
      <c r="BB183" s="137"/>
      <c r="BC183" s="137">
        <v>0</v>
      </c>
      <c r="BD183" s="142">
        <v>0</v>
      </c>
      <c r="BE183" s="135">
        <v>273.95</v>
      </c>
      <c r="BF183" s="143">
        <f t="shared" si="66"/>
        <v>0.41092499999999993</v>
      </c>
      <c r="BG183" s="143">
        <f t="shared" si="67"/>
        <v>273.53907499999997</v>
      </c>
      <c r="BH183" s="143">
        <f t="shared" si="68"/>
        <v>273.60000000000002</v>
      </c>
      <c r="BI183" s="144">
        <f t="shared" si="69"/>
        <v>34.999999999996589</v>
      </c>
      <c r="BJ183" s="144">
        <v>0</v>
      </c>
      <c r="BK183" s="137">
        <f t="shared" si="70"/>
        <v>34.999999999996589</v>
      </c>
      <c r="BL183" s="2"/>
      <c r="BM183" s="10" t="str">
        <f t="shared" si="71"/>
        <v>Unloading no. 169 Bill No 32 ,Deduction For Oil Deduction= 21117.8718013679 ,Bardana= 225 ,F.M=  Brokerage/Rate Difference 18106.2 ,Shortage = 0 ,Greenish=  ,Moisture= 0</v>
      </c>
      <c r="BN183" s="3"/>
      <c r="BO183" s="13" t="str">
        <f t="shared" si="75"/>
        <v xml:space="preserve"> Party Condition 39.47  ,F.M% 0.41 ,Greenish 4.29 ,Moisture 5.7 ,Shortage in KG= 0  ,Oil% 39.02</v>
      </c>
      <c r="BP183" s="4">
        <f t="shared" si="76"/>
        <v>6625.8147960476317</v>
      </c>
      <c r="BQ183" s="5" t="str">
        <f t="shared" si="72"/>
        <v>39.02</v>
      </c>
      <c r="BR183" s="6">
        <f t="shared" si="73"/>
        <v>7131.8355057406588</v>
      </c>
      <c r="BS183" s="5" t="s">
        <v>62</v>
      </c>
      <c r="BT183" s="5" t="s">
        <v>63</v>
      </c>
      <c r="BW183" s="92"/>
      <c r="BX183" s="27">
        <v>39.049999999999997</v>
      </c>
      <c r="BY183" s="27">
        <v>39.020000000000003</v>
      </c>
      <c r="BZ183" s="96"/>
    </row>
    <row r="184" spans="1:78" s="1" customFormat="1" ht="15.75" hidden="1" x14ac:dyDescent="0.3">
      <c r="A184" s="158" t="s">
        <v>301</v>
      </c>
      <c r="B184" s="129">
        <v>46118</v>
      </c>
      <c r="C184" s="159">
        <v>170</v>
      </c>
      <c r="D184" s="128" t="s">
        <v>357</v>
      </c>
      <c r="E184" s="129">
        <v>46121</v>
      </c>
      <c r="F184" s="128" t="s">
        <v>98</v>
      </c>
      <c r="G184" s="128" t="s">
        <v>99</v>
      </c>
      <c r="H184" s="128" t="s">
        <v>199</v>
      </c>
      <c r="I184" s="136"/>
      <c r="J184" s="128" t="s">
        <v>113</v>
      </c>
      <c r="K184" s="135">
        <v>0</v>
      </c>
      <c r="L184" s="129">
        <v>46118</v>
      </c>
      <c r="M184" s="136"/>
      <c r="N184" s="159">
        <v>33</v>
      </c>
      <c r="O184" s="130">
        <v>46119</v>
      </c>
      <c r="P184" s="135">
        <v>0</v>
      </c>
      <c r="Q184" s="135">
        <v>5</v>
      </c>
      <c r="R184" s="135">
        <v>169</v>
      </c>
      <c r="S184" s="135">
        <v>0</v>
      </c>
      <c r="T184" s="135">
        <v>174</v>
      </c>
      <c r="U184" s="135">
        <v>174</v>
      </c>
      <c r="V184" s="135">
        <v>0</v>
      </c>
      <c r="W184" s="148">
        <v>104.4</v>
      </c>
      <c r="X184" s="148">
        <v>0</v>
      </c>
      <c r="Y184" s="135">
        <f>724621.28-11827.5</f>
        <v>712793.78</v>
      </c>
      <c r="Z184" s="136"/>
      <c r="AA184" s="135">
        <v>18115.531999999999</v>
      </c>
      <c r="AB184" s="135">
        <v>18115.531999999999</v>
      </c>
      <c r="AC184" s="135">
        <v>760852.34</v>
      </c>
      <c r="AD184" s="137">
        <f t="shared" si="74"/>
        <v>760091.48765999998</v>
      </c>
      <c r="AE184" s="147">
        <v>39.19</v>
      </c>
      <c r="AF184" s="148">
        <v>39.67</v>
      </c>
      <c r="AG184" s="147">
        <v>38.979999999999997</v>
      </c>
      <c r="AH184" s="139">
        <v>4.1999999999999997E-3</v>
      </c>
      <c r="AI184" s="139">
        <v>4.1500000000000002E-2</v>
      </c>
      <c r="AJ184" s="139">
        <v>5.8000000000000003E-2</v>
      </c>
      <c r="AK184" s="137">
        <f t="shared" si="57"/>
        <v>12397.976007058316</v>
      </c>
      <c r="AL184" s="137">
        <f>174*0.5</f>
        <v>87</v>
      </c>
      <c r="AM184" s="137"/>
      <c r="AN184" s="137">
        <f>W184*0.23</f>
        <v>24.012000000000004</v>
      </c>
      <c r="AO184" s="140">
        <f t="shared" si="59"/>
        <v>0</v>
      </c>
      <c r="AP184" s="137"/>
      <c r="AQ184" s="137">
        <v>0</v>
      </c>
      <c r="AR184" s="155">
        <f t="shared" si="60"/>
        <v>12508.988007058317</v>
      </c>
      <c r="AS184" s="137">
        <f t="shared" si="61"/>
        <v>13134</v>
      </c>
      <c r="AT184" s="137">
        <v>0</v>
      </c>
      <c r="AU184" s="141"/>
      <c r="AV184" s="141"/>
      <c r="AW184" s="137">
        <f t="shared" si="62"/>
        <v>10440</v>
      </c>
      <c r="AX184" s="137">
        <v>0</v>
      </c>
      <c r="AY184" s="137">
        <f t="shared" si="63"/>
        <v>10440</v>
      </c>
      <c r="AZ184" s="137">
        <f t="shared" si="64"/>
        <v>0</v>
      </c>
      <c r="BA184" s="142">
        <f t="shared" si="65"/>
        <v>10440</v>
      </c>
      <c r="BB184" s="137"/>
      <c r="BC184" s="137">
        <v>0</v>
      </c>
      <c r="BD184" s="142">
        <v>0</v>
      </c>
      <c r="BE184" s="135">
        <v>0</v>
      </c>
      <c r="BF184" s="143">
        <f t="shared" si="66"/>
        <v>0</v>
      </c>
      <c r="BG184" s="143">
        <f t="shared" si="67"/>
        <v>0</v>
      </c>
      <c r="BH184" s="143">
        <f t="shared" si="68"/>
        <v>0</v>
      </c>
      <c r="BI184" s="144">
        <f t="shared" si="69"/>
        <v>0</v>
      </c>
      <c r="BJ184" s="144">
        <v>0</v>
      </c>
      <c r="BK184" s="137">
        <f t="shared" si="70"/>
        <v>0</v>
      </c>
      <c r="BL184" s="2"/>
      <c r="BM184" s="10" t="str">
        <f t="shared" si="71"/>
        <v>Unloading no. 170 Bill No 33 ,Deduction For Oil Deduction= 12397.9760070583 ,Bardana= 87 ,F.M=  Brokerage/Rate Difference 24.012 ,Shortage = 0 ,Greenish=  ,Moisture= 0</v>
      </c>
      <c r="BN184" s="3"/>
      <c r="BO184" s="13" t="str">
        <f t="shared" si="75"/>
        <v xml:space="preserve"> Party Condition 39.67  ,F.M% 0.42 ,Greenish 4.15 ,Moisture 5.8 ,Shortage in KG= 0  ,Oil% 38.98</v>
      </c>
      <c r="BP184" s="4" t="e">
        <f t="shared" si="76"/>
        <v>#DIV/0!</v>
      </c>
      <c r="BQ184" s="5" t="str">
        <f t="shared" si="72"/>
        <v>38.98</v>
      </c>
      <c r="BR184" s="6" t="e">
        <f t="shared" si="73"/>
        <v>#DIV/0!</v>
      </c>
      <c r="BS184" s="5" t="s">
        <v>62</v>
      </c>
      <c r="BT184" s="5" t="s">
        <v>63</v>
      </c>
      <c r="BW184" s="92"/>
      <c r="BX184" s="27">
        <v>39.19</v>
      </c>
      <c r="BY184" s="27">
        <v>38.979999999999997</v>
      </c>
      <c r="BZ184" s="96"/>
    </row>
    <row r="185" spans="1:78" s="1" customFormat="1" ht="15.75" hidden="1" x14ac:dyDescent="0.3">
      <c r="A185" s="158" t="s">
        <v>296</v>
      </c>
      <c r="B185" s="129">
        <v>46116</v>
      </c>
      <c r="C185" s="159">
        <v>170</v>
      </c>
      <c r="D185" s="128" t="s">
        <v>357</v>
      </c>
      <c r="E185" s="129">
        <v>46121</v>
      </c>
      <c r="F185" s="128" t="s">
        <v>98</v>
      </c>
      <c r="G185" s="160" t="s">
        <v>99</v>
      </c>
      <c r="H185" s="128" t="s">
        <v>199</v>
      </c>
      <c r="I185" s="136"/>
      <c r="J185" s="128" t="s">
        <v>113</v>
      </c>
      <c r="K185" s="135">
        <v>0</v>
      </c>
      <c r="L185" s="129">
        <v>46116</v>
      </c>
      <c r="M185" s="136"/>
      <c r="N185" s="159">
        <v>33</v>
      </c>
      <c r="O185" s="130">
        <v>46119</v>
      </c>
      <c r="P185" s="135">
        <v>0</v>
      </c>
      <c r="Q185" s="135">
        <v>285</v>
      </c>
      <c r="R185" s="135">
        <v>0</v>
      </c>
      <c r="S185" s="135">
        <v>0</v>
      </c>
      <c r="T185" s="135">
        <v>285</v>
      </c>
      <c r="U185" s="135">
        <v>285</v>
      </c>
      <c r="V185" s="135">
        <v>0</v>
      </c>
      <c r="W185" s="148">
        <v>171</v>
      </c>
      <c r="X185" s="148">
        <v>279.3</v>
      </c>
      <c r="Y185" s="135">
        <f>1161278.1+11827.5</f>
        <v>1173105.6000000001</v>
      </c>
      <c r="Z185" s="136"/>
      <c r="AA185" s="135">
        <v>29031.952499999999</v>
      </c>
      <c r="AB185" s="135">
        <v>29031.952499999999</v>
      </c>
      <c r="AC185" s="135">
        <v>1219342.01</v>
      </c>
      <c r="AD185" s="137">
        <f t="shared" si="74"/>
        <v>1218122.66799</v>
      </c>
      <c r="AE185" s="147">
        <v>39.19</v>
      </c>
      <c r="AF185" s="148">
        <v>39.47</v>
      </c>
      <c r="AG185" s="147">
        <v>38.979999999999997</v>
      </c>
      <c r="AH185" s="139">
        <v>4.1999999999999997E-3</v>
      </c>
      <c r="AI185" s="139">
        <v>4.1500000000000002E-2</v>
      </c>
      <c r="AJ185" s="139">
        <v>5.8000000000000003E-2</v>
      </c>
      <c r="AK185" s="137">
        <f t="shared" si="57"/>
        <v>14563.510108943563</v>
      </c>
      <c r="AL185" s="137">
        <f>285*0.5</f>
        <v>142.5</v>
      </c>
      <c r="AM185" s="137"/>
      <c r="AN185" s="137">
        <f>W185*0.06+11457</f>
        <v>11467.26</v>
      </c>
      <c r="AO185" s="140">
        <f t="shared" si="59"/>
        <v>0</v>
      </c>
      <c r="AP185" s="137"/>
      <c r="AQ185" s="137">
        <v>0</v>
      </c>
      <c r="AR185" s="155">
        <f t="shared" si="60"/>
        <v>26173.270108943565</v>
      </c>
      <c r="AS185" s="137">
        <f t="shared" si="61"/>
        <v>27482</v>
      </c>
      <c r="AT185" s="137">
        <v>0</v>
      </c>
      <c r="AU185" s="141"/>
      <c r="AV185" s="141"/>
      <c r="AW185" s="137">
        <f t="shared" si="62"/>
        <v>17100</v>
      </c>
      <c r="AX185" s="137">
        <v>0</v>
      </c>
      <c r="AY185" s="137">
        <f t="shared" si="63"/>
        <v>17100</v>
      </c>
      <c r="AZ185" s="137">
        <f t="shared" si="64"/>
        <v>27930</v>
      </c>
      <c r="BA185" s="142">
        <f t="shared" si="65"/>
        <v>-10830</v>
      </c>
      <c r="BB185" s="137"/>
      <c r="BC185" s="137">
        <v>0</v>
      </c>
      <c r="BD185" s="142">
        <v>0</v>
      </c>
      <c r="BE185" s="135">
        <v>279.60000000000002</v>
      </c>
      <c r="BF185" s="143">
        <f t="shared" si="66"/>
        <v>0.41940000000000005</v>
      </c>
      <c r="BG185" s="143">
        <f t="shared" si="67"/>
        <v>279.18060000000003</v>
      </c>
      <c r="BH185" s="143">
        <f t="shared" si="68"/>
        <v>279.3</v>
      </c>
      <c r="BI185" s="144">
        <f t="shared" si="69"/>
        <v>30.000000000001137</v>
      </c>
      <c r="BJ185" s="144">
        <v>0</v>
      </c>
      <c r="BK185" s="137">
        <f t="shared" si="70"/>
        <v>30.000000000001137</v>
      </c>
      <c r="BL185" s="2"/>
      <c r="BM185" s="10" t="str">
        <f t="shared" si="71"/>
        <v>Unloading no. 170 Bill No 33 ,Deduction For Oil Deduction= 14563.5101089435 ,Bardana= 142.5 ,F.M=  Brokerage/Rate Difference 11467.26 ,Shortage = 0 ,Greenish=  ,Moisture= 0</v>
      </c>
      <c r="BN185" s="3"/>
      <c r="BO185" s="13" t="str">
        <f t="shared" si="75"/>
        <v xml:space="preserve"> Party Condition 39.47  ,F.M% 0.42 ,Greenish 4.15 ,Moisture 5.8 ,Shortage in KG= 0  ,Oil% 38.98</v>
      </c>
      <c r="BP185" s="4">
        <f t="shared" si="76"/>
        <v>4106.4530250306352</v>
      </c>
      <c r="BQ185" s="5" t="str">
        <f t="shared" si="72"/>
        <v>38.98</v>
      </c>
      <c r="BR185" s="6">
        <f t="shared" si="73"/>
        <v>4424.6030541633327</v>
      </c>
      <c r="BS185" s="5" t="s">
        <v>62</v>
      </c>
      <c r="BT185" s="5" t="s">
        <v>63</v>
      </c>
      <c r="BW185" s="92"/>
      <c r="BX185" s="27">
        <v>39.19</v>
      </c>
      <c r="BY185" s="27">
        <v>38.979999999999997</v>
      </c>
      <c r="BZ185" s="96"/>
    </row>
    <row r="186" spans="1:78" s="1" customFormat="1" ht="15.75" hidden="1" x14ac:dyDescent="0.3">
      <c r="A186" s="158" t="s">
        <v>303</v>
      </c>
      <c r="B186" s="129">
        <v>46120</v>
      </c>
      <c r="C186" s="128">
        <v>171</v>
      </c>
      <c r="D186" s="128" t="s">
        <v>358</v>
      </c>
      <c r="E186" s="129">
        <v>46121</v>
      </c>
      <c r="F186" s="128" t="s">
        <v>200</v>
      </c>
      <c r="G186" s="128" t="s">
        <v>201</v>
      </c>
      <c r="H186" s="128" t="s">
        <v>202</v>
      </c>
      <c r="I186" s="136"/>
      <c r="J186" s="128" t="s">
        <v>113</v>
      </c>
      <c r="K186" s="135">
        <v>0</v>
      </c>
      <c r="L186" s="129">
        <v>46120</v>
      </c>
      <c r="M186" s="136"/>
      <c r="N186" s="128">
        <v>26</v>
      </c>
      <c r="O186" s="130">
        <v>46120</v>
      </c>
      <c r="P186" s="135">
        <v>0</v>
      </c>
      <c r="Q186" s="135">
        <v>202</v>
      </c>
      <c r="R186" s="135">
        <v>300</v>
      </c>
      <c r="S186" s="135">
        <v>0</v>
      </c>
      <c r="T186" s="135">
        <v>502</v>
      </c>
      <c r="U186" s="135">
        <v>502</v>
      </c>
      <c r="V186" s="135">
        <v>0</v>
      </c>
      <c r="W186" s="148">
        <v>301.2</v>
      </c>
      <c r="X186" s="148">
        <v>306</v>
      </c>
      <c r="Y186" s="135">
        <v>2021206.62</v>
      </c>
      <c r="Z186" s="136"/>
      <c r="AA186" s="135">
        <v>50530.165500000003</v>
      </c>
      <c r="AB186" s="135">
        <v>50530.165500000003</v>
      </c>
      <c r="AC186" s="135">
        <v>2122266.9500000002</v>
      </c>
      <c r="AD186" s="137">
        <f t="shared" si="74"/>
        <v>2120144.6830500001</v>
      </c>
      <c r="AE186" s="147">
        <v>39.729999999999997</v>
      </c>
      <c r="AF186" s="148">
        <v>39.299999999999997</v>
      </c>
      <c r="AG186" s="147">
        <v>39.76</v>
      </c>
      <c r="AH186" s="139">
        <v>4.4000000000000003E-3</v>
      </c>
      <c r="AI186" s="139">
        <v>4.1000000000000002E-2</v>
      </c>
      <c r="AJ186" s="139">
        <v>5.8999999999999997E-2</v>
      </c>
      <c r="AK186" s="137">
        <f t="shared" si="57"/>
        <v>0</v>
      </c>
      <c r="AL186" s="137">
        <f>502*6</f>
        <v>3012</v>
      </c>
      <c r="AM186" s="137"/>
      <c r="AN186" s="137">
        <v>0</v>
      </c>
      <c r="AO186" s="140">
        <f t="shared" si="59"/>
        <v>0</v>
      </c>
      <c r="AP186" s="137"/>
      <c r="AQ186" s="137">
        <v>0</v>
      </c>
      <c r="AR186" s="155">
        <f t="shared" si="60"/>
        <v>3012</v>
      </c>
      <c r="AS186" s="137">
        <f t="shared" si="61"/>
        <v>3163</v>
      </c>
      <c r="AT186" s="137">
        <v>0</v>
      </c>
      <c r="AU186" s="141"/>
      <c r="AV186" s="141"/>
      <c r="AW186" s="137">
        <f t="shared" si="62"/>
        <v>30120</v>
      </c>
      <c r="AX186" s="137">
        <v>0</v>
      </c>
      <c r="AY186" s="137">
        <f t="shared" si="63"/>
        <v>30120</v>
      </c>
      <c r="AZ186" s="137">
        <f t="shared" si="64"/>
        <v>30600</v>
      </c>
      <c r="BA186" s="142">
        <f t="shared" si="65"/>
        <v>-480</v>
      </c>
      <c r="BB186" s="137"/>
      <c r="BC186" s="137">
        <v>0</v>
      </c>
      <c r="BD186" s="142">
        <v>0</v>
      </c>
      <c r="BE186" s="135">
        <v>305.60000000000002</v>
      </c>
      <c r="BF186" s="143">
        <f t="shared" si="66"/>
        <v>0.45840000000000003</v>
      </c>
      <c r="BG186" s="143">
        <f t="shared" si="67"/>
        <v>305.14160000000004</v>
      </c>
      <c r="BH186" s="143">
        <f t="shared" si="68"/>
        <v>306</v>
      </c>
      <c r="BI186" s="144">
        <f t="shared" si="69"/>
        <v>-39.999999999997726</v>
      </c>
      <c r="BJ186" s="144">
        <v>0</v>
      </c>
      <c r="BK186" s="137">
        <f t="shared" si="70"/>
        <v>-39.999999999997726</v>
      </c>
      <c r="BL186" s="2"/>
      <c r="BM186" s="10" t="str">
        <f t="shared" si="71"/>
        <v>Unloading no. 171 Bill No 26 ,Deduction For Oil Deduction= 0 ,Bardana= 3012 ,F.M=  Brokerage/Rate Difference 0 ,Shortage = 0 ,Greenish=  ,Moisture= 0</v>
      </c>
      <c r="BN186" s="3"/>
      <c r="BO186" s="13" t="str">
        <f t="shared" si="75"/>
        <v xml:space="preserve"> Party Condition 39.3  ,F.M% 0.44 ,Greenish 4.1 ,Moisture 5.9 ,Shortage in KG= 0  ,Oil% 39.73</v>
      </c>
      <c r="BP186" s="4">
        <f t="shared" si="76"/>
        <v>6595.4072549019611</v>
      </c>
      <c r="BQ186" s="5" t="str">
        <f t="shared" si="72"/>
        <v>39.73</v>
      </c>
      <c r="BR186" s="6">
        <f t="shared" si="73"/>
        <v>6972.2402392620788</v>
      </c>
      <c r="BS186" s="5" t="s">
        <v>62</v>
      </c>
      <c r="BT186" s="5" t="s">
        <v>63</v>
      </c>
      <c r="BW186" s="92"/>
      <c r="BX186" s="27">
        <v>39.729999999999997</v>
      </c>
      <c r="BY186" s="27">
        <v>39.76</v>
      </c>
      <c r="BZ186" s="96"/>
    </row>
    <row r="187" spans="1:78" s="1" customFormat="1" ht="15.75" hidden="1" x14ac:dyDescent="0.3">
      <c r="A187" s="158" t="s">
        <v>304</v>
      </c>
      <c r="B187" s="129">
        <v>46120</v>
      </c>
      <c r="C187" s="128">
        <v>172</v>
      </c>
      <c r="D187" s="128" t="s">
        <v>359</v>
      </c>
      <c r="E187" s="129">
        <v>46121</v>
      </c>
      <c r="F187" s="128" t="s">
        <v>95</v>
      </c>
      <c r="G187" s="128" t="s">
        <v>96</v>
      </c>
      <c r="H187" s="128" t="s">
        <v>97</v>
      </c>
      <c r="I187" s="136"/>
      <c r="J187" s="128" t="s">
        <v>113</v>
      </c>
      <c r="K187" s="135">
        <v>0</v>
      </c>
      <c r="L187" s="129">
        <v>46120</v>
      </c>
      <c r="M187" s="136"/>
      <c r="N187" s="161">
        <v>61</v>
      </c>
      <c r="O187" s="130">
        <v>46121</v>
      </c>
      <c r="P187" s="135">
        <v>0</v>
      </c>
      <c r="Q187" s="135">
        <v>255</v>
      </c>
      <c r="R187" s="135">
        <v>200</v>
      </c>
      <c r="S187" s="135">
        <v>0</v>
      </c>
      <c r="T187" s="135">
        <v>455</v>
      </c>
      <c r="U187" s="135">
        <v>455</v>
      </c>
      <c r="V187" s="135">
        <v>0</v>
      </c>
      <c r="W187" s="148">
        <v>273</v>
      </c>
      <c r="X187" s="148">
        <v>277.8</v>
      </c>
      <c r="Y187" s="135">
        <v>1847310.01</v>
      </c>
      <c r="Z187" s="136"/>
      <c r="AA187" s="135">
        <v>46182.750249999997</v>
      </c>
      <c r="AB187" s="135">
        <v>46182.750249999997</v>
      </c>
      <c r="AC187" s="135">
        <v>1939675.51</v>
      </c>
      <c r="AD187" s="137">
        <f t="shared" si="74"/>
        <v>1937735.83449</v>
      </c>
      <c r="AE187" s="147">
        <v>39.6</v>
      </c>
      <c r="AF187" s="148">
        <v>39.630000000000003</v>
      </c>
      <c r="AG187" s="147">
        <v>39.36</v>
      </c>
      <c r="AH187" s="139">
        <v>4.3E-3</v>
      </c>
      <c r="AI187" s="139">
        <v>0.04</v>
      </c>
      <c r="AJ187" s="139">
        <v>5.8000000000000003E-2</v>
      </c>
      <c r="AK187" s="137">
        <v>0</v>
      </c>
      <c r="AL187" s="137"/>
      <c r="AM187" s="137"/>
      <c r="AN187" s="137">
        <v>0</v>
      </c>
      <c r="AO187" s="140">
        <f t="shared" si="59"/>
        <v>0</v>
      </c>
      <c r="AP187" s="137"/>
      <c r="AQ187" s="137">
        <v>0</v>
      </c>
      <c r="AR187" s="155">
        <f t="shared" si="60"/>
        <v>0</v>
      </c>
      <c r="AS187" s="137">
        <f t="shared" si="61"/>
        <v>0</v>
      </c>
      <c r="AT187" s="137">
        <v>0</v>
      </c>
      <c r="AU187" s="141"/>
      <c r="AV187" s="141"/>
      <c r="AW187" s="137">
        <f t="shared" si="62"/>
        <v>27300</v>
      </c>
      <c r="AX187" s="137">
        <v>0</v>
      </c>
      <c r="AY187" s="137">
        <f t="shared" si="63"/>
        <v>27300</v>
      </c>
      <c r="AZ187" s="137">
        <f t="shared" si="64"/>
        <v>27780</v>
      </c>
      <c r="BA187" s="142">
        <f t="shared" si="65"/>
        <v>-480</v>
      </c>
      <c r="BB187" s="137"/>
      <c r="BC187" s="137">
        <v>0</v>
      </c>
      <c r="BD187" s="142">
        <v>0</v>
      </c>
      <c r="BE187" s="135">
        <v>277.89999999999998</v>
      </c>
      <c r="BF187" s="143">
        <f t="shared" si="66"/>
        <v>0.41684999999999994</v>
      </c>
      <c r="BG187" s="143">
        <f t="shared" si="67"/>
        <v>277.48314999999997</v>
      </c>
      <c r="BH187" s="143">
        <f t="shared" si="68"/>
        <v>277.8</v>
      </c>
      <c r="BI187" s="144">
        <f t="shared" si="69"/>
        <v>9.9999999999965894</v>
      </c>
      <c r="BJ187" s="144">
        <v>0</v>
      </c>
      <c r="BK187" s="137">
        <f t="shared" si="70"/>
        <v>9.9999999999965894</v>
      </c>
      <c r="BL187" s="2"/>
      <c r="BM187" s="10" t="str">
        <f t="shared" si="71"/>
        <v>Unloading no. 172 Bill No 61 ,Deduction For Oil Deduction= 0 ,Bardana=  ,F.M=  Brokerage/Rate Difference 0 ,Shortage = 0 ,Greenish=  ,Moisture= 0</v>
      </c>
      <c r="BN187" s="3"/>
      <c r="BO187" s="13" t="str">
        <f t="shared" si="75"/>
        <v xml:space="preserve"> Party Condition 39.63  ,F.M% 0.43 ,Greenish 4 ,Moisture 5.8 ,Shortage in KG= 0  ,Oil% 39.36</v>
      </c>
      <c r="BP187" s="4">
        <f t="shared" si="76"/>
        <v>6649.7840532757373</v>
      </c>
      <c r="BQ187" s="5" t="str">
        <f t="shared" si="72"/>
        <v>39.36</v>
      </c>
      <c r="BR187" s="6">
        <f t="shared" si="73"/>
        <v>7095.8061544100856</v>
      </c>
      <c r="BS187" s="5" t="s">
        <v>62</v>
      </c>
      <c r="BT187" s="5" t="s">
        <v>63</v>
      </c>
      <c r="BW187" s="92"/>
      <c r="BX187" s="27">
        <v>39.6</v>
      </c>
      <c r="BY187" s="27">
        <v>39.36</v>
      </c>
      <c r="BZ187" s="96"/>
    </row>
    <row r="188" spans="1:78" s="1" customFormat="1" ht="15.75" hidden="1" x14ac:dyDescent="0.3">
      <c r="A188" s="158" t="s">
        <v>302</v>
      </c>
      <c r="B188" s="129">
        <v>46120</v>
      </c>
      <c r="C188" s="128">
        <v>173</v>
      </c>
      <c r="D188" s="128" t="s">
        <v>360</v>
      </c>
      <c r="E188" s="129">
        <v>46121</v>
      </c>
      <c r="F188" s="128" t="s">
        <v>98</v>
      </c>
      <c r="G188" s="128" t="s">
        <v>99</v>
      </c>
      <c r="H188" s="128" t="s">
        <v>199</v>
      </c>
      <c r="I188" s="136"/>
      <c r="J188" s="128" t="s">
        <v>113</v>
      </c>
      <c r="K188" s="135">
        <v>0</v>
      </c>
      <c r="L188" s="129">
        <v>46120</v>
      </c>
      <c r="M188" s="136"/>
      <c r="N188" s="128">
        <v>40</v>
      </c>
      <c r="O188" s="130">
        <v>46121</v>
      </c>
      <c r="P188" s="135">
        <v>0</v>
      </c>
      <c r="Q188" s="135">
        <v>390</v>
      </c>
      <c r="R188" s="135">
        <v>90</v>
      </c>
      <c r="S188" s="135">
        <v>0</v>
      </c>
      <c r="T188" s="135">
        <v>480</v>
      </c>
      <c r="U188" s="135">
        <v>478</v>
      </c>
      <c r="V188" s="135">
        <v>2</v>
      </c>
      <c r="W188" s="148">
        <v>288</v>
      </c>
      <c r="X188" s="148">
        <v>291.8</v>
      </c>
      <c r="Y188" s="135">
        <v>1937758.08</v>
      </c>
      <c r="Z188" s="136"/>
      <c r="AA188" s="135">
        <v>48443.951999999997</v>
      </c>
      <c r="AB188" s="135">
        <v>48443.951999999997</v>
      </c>
      <c r="AC188" s="135">
        <v>2034645.98</v>
      </c>
      <c r="AD188" s="137">
        <f t="shared" si="74"/>
        <v>2032611.33402</v>
      </c>
      <c r="AE188" s="147">
        <v>39.15</v>
      </c>
      <c r="AF188" s="148">
        <v>39.58</v>
      </c>
      <c r="AG188" s="147">
        <v>39.1</v>
      </c>
      <c r="AH188" s="139">
        <v>4.4000000000000003E-3</v>
      </c>
      <c r="AI188" s="139">
        <v>3.6999999999999998E-2</v>
      </c>
      <c r="AJ188" s="139">
        <v>5.1999999999999998E-2</v>
      </c>
      <c r="AK188" s="137">
        <f t="shared" si="57"/>
        <v>23499.845336028146</v>
      </c>
      <c r="AL188" s="137">
        <f>480*0.5</f>
        <v>240</v>
      </c>
      <c r="AM188" s="137"/>
      <c r="AN188" s="137">
        <f>W188*0.73</f>
        <v>210.24</v>
      </c>
      <c r="AO188" s="140">
        <f t="shared" si="59"/>
        <v>0</v>
      </c>
      <c r="AP188" s="137"/>
      <c r="AQ188" s="137">
        <v>0</v>
      </c>
      <c r="AR188" s="155">
        <f t="shared" si="60"/>
        <v>23950.085336028147</v>
      </c>
      <c r="AS188" s="137">
        <f t="shared" si="61"/>
        <v>25148</v>
      </c>
      <c r="AT188" s="137">
        <v>0</v>
      </c>
      <c r="AU188" s="141"/>
      <c r="AV188" s="141"/>
      <c r="AW188" s="137">
        <f t="shared" si="62"/>
        <v>28800</v>
      </c>
      <c r="AX188" s="137">
        <v>0</v>
      </c>
      <c r="AY188" s="137">
        <f t="shared" si="63"/>
        <v>28800</v>
      </c>
      <c r="AZ188" s="137">
        <f t="shared" si="64"/>
        <v>29180</v>
      </c>
      <c r="BA188" s="142">
        <f t="shared" si="65"/>
        <v>-380</v>
      </c>
      <c r="BB188" s="137"/>
      <c r="BC188" s="137">
        <v>0</v>
      </c>
      <c r="BD188" s="142">
        <v>0</v>
      </c>
      <c r="BE188" s="135">
        <v>292.2</v>
      </c>
      <c r="BF188" s="143">
        <f t="shared" si="66"/>
        <v>0.43829999999999997</v>
      </c>
      <c r="BG188" s="143">
        <f t="shared" si="67"/>
        <v>291.76169999999996</v>
      </c>
      <c r="BH188" s="143">
        <f t="shared" si="68"/>
        <v>291.8</v>
      </c>
      <c r="BI188" s="144">
        <f t="shared" si="69"/>
        <v>39.999999999997726</v>
      </c>
      <c r="BJ188" s="144">
        <v>0</v>
      </c>
      <c r="BK188" s="137">
        <f t="shared" si="70"/>
        <v>39.999999999997726</v>
      </c>
      <c r="BL188" s="2"/>
      <c r="BM188" s="10" t="str">
        <f t="shared" si="71"/>
        <v>Unloading no. 173 Bill No 40 ,Deduction For Oil Deduction= 23499.8453360281 ,Bardana= 240 ,F.M=  Brokerage/Rate Difference 210.24 ,Shortage = 0 ,Greenish=  ,Moisture= 0</v>
      </c>
      <c r="BN188" s="3"/>
      <c r="BO188" s="13" t="str">
        <f t="shared" si="75"/>
        <v xml:space="preserve"> Party Condition 39.58  ,F.M% 0.44 ,Greenish 3.7 ,Moisture 5.2 ,Shortage in KG= 0  ,Oil% 39.1</v>
      </c>
      <c r="BP188" s="4">
        <f t="shared" si="76"/>
        <v>6558.6291797942831</v>
      </c>
      <c r="BQ188" s="5" t="str">
        <f t="shared" si="72"/>
        <v xml:space="preserve"> 39.1</v>
      </c>
      <c r="BR188" s="6">
        <f t="shared" si="73"/>
        <v>7045.074822285419</v>
      </c>
      <c r="BS188" s="5" t="s">
        <v>62</v>
      </c>
      <c r="BT188" s="5" t="s">
        <v>63</v>
      </c>
      <c r="BW188" s="92"/>
      <c r="BX188" s="27">
        <v>39.15</v>
      </c>
      <c r="BY188" s="27">
        <v>39.1</v>
      </c>
      <c r="BZ188" s="96"/>
    </row>
    <row r="189" spans="1:78" s="1" customFormat="1" ht="15.75" hidden="1" x14ac:dyDescent="0.3">
      <c r="A189" s="161" t="s">
        <v>305</v>
      </c>
      <c r="B189" s="162">
        <v>46120</v>
      </c>
      <c r="C189" s="163">
        <v>174</v>
      </c>
      <c r="D189" s="163" t="s">
        <v>361</v>
      </c>
      <c r="E189" s="162">
        <v>46122</v>
      </c>
      <c r="F189" s="163" t="s">
        <v>101</v>
      </c>
      <c r="G189" s="163" t="s">
        <v>102</v>
      </c>
      <c r="H189" s="163" t="s">
        <v>103</v>
      </c>
      <c r="I189" s="157"/>
      <c r="J189" s="163" t="s">
        <v>113</v>
      </c>
      <c r="K189" s="164">
        <v>0</v>
      </c>
      <c r="L189" s="162">
        <v>46120</v>
      </c>
      <c r="M189" s="157"/>
      <c r="N189" s="163" t="s">
        <v>387</v>
      </c>
      <c r="O189" s="130">
        <v>46121</v>
      </c>
      <c r="P189" s="135">
        <v>0</v>
      </c>
      <c r="Q189" s="135">
        <v>450</v>
      </c>
      <c r="R189" s="135">
        <v>52</v>
      </c>
      <c r="S189" s="135">
        <v>0</v>
      </c>
      <c r="T189" s="135">
        <v>502</v>
      </c>
      <c r="U189" s="135">
        <v>502</v>
      </c>
      <c r="V189" s="135">
        <v>0</v>
      </c>
      <c r="W189" s="148">
        <v>301.2</v>
      </c>
      <c r="X189" s="148">
        <v>305.10000000000002</v>
      </c>
      <c r="Y189" s="135">
        <v>2027998.68</v>
      </c>
      <c r="Z189" s="136"/>
      <c r="AA189" s="135">
        <v>50699.966999999997</v>
      </c>
      <c r="AB189" s="135">
        <v>50699.966999999997</v>
      </c>
      <c r="AC189" s="135">
        <v>2129398.61</v>
      </c>
      <c r="AD189" s="137">
        <f t="shared" si="74"/>
        <v>2127269.2113899998</v>
      </c>
      <c r="AE189" s="165">
        <v>39.4</v>
      </c>
      <c r="AF189" s="148">
        <v>39.35</v>
      </c>
      <c r="AG189" s="147">
        <v>39.53</v>
      </c>
      <c r="AH189" s="139">
        <v>4.1999999999999997E-3</v>
      </c>
      <c r="AI189" s="139">
        <v>3.5999999999999997E-2</v>
      </c>
      <c r="AJ189" s="139">
        <v>0.05</v>
      </c>
      <c r="AK189" s="137">
        <f t="shared" si="57"/>
        <v>0</v>
      </c>
      <c r="AL189" s="137"/>
      <c r="AM189" s="137"/>
      <c r="AN189" s="137">
        <v>0</v>
      </c>
      <c r="AO189" s="140">
        <f t="shared" si="59"/>
        <v>0</v>
      </c>
      <c r="AP189" s="137"/>
      <c r="AQ189" s="137">
        <v>0</v>
      </c>
      <c r="AR189" s="137">
        <f t="shared" si="60"/>
        <v>0</v>
      </c>
      <c r="AS189" s="137">
        <f t="shared" si="61"/>
        <v>0</v>
      </c>
      <c r="AT189" s="137">
        <v>0</v>
      </c>
      <c r="AU189" s="141"/>
      <c r="AV189" s="141"/>
      <c r="AW189" s="137">
        <f t="shared" si="62"/>
        <v>30120</v>
      </c>
      <c r="AX189" s="137">
        <v>0</v>
      </c>
      <c r="AY189" s="137">
        <f t="shared" si="63"/>
        <v>30120</v>
      </c>
      <c r="AZ189" s="137">
        <f t="shared" si="64"/>
        <v>30510.000000000004</v>
      </c>
      <c r="BA189" s="142">
        <f t="shared" si="65"/>
        <v>-390.00000000000364</v>
      </c>
      <c r="BB189" s="137"/>
      <c r="BC189" s="137">
        <v>0</v>
      </c>
      <c r="BD189" s="142">
        <v>0</v>
      </c>
      <c r="BE189" s="135">
        <v>305</v>
      </c>
      <c r="BF189" s="143">
        <f t="shared" si="66"/>
        <v>0.45750000000000002</v>
      </c>
      <c r="BG189" s="143">
        <f t="shared" si="67"/>
        <v>304.54250000000002</v>
      </c>
      <c r="BH189" s="143">
        <f t="shared" si="68"/>
        <v>305.10000000000002</v>
      </c>
      <c r="BI189" s="144">
        <f t="shared" si="69"/>
        <v>-10.000000000002274</v>
      </c>
      <c r="BJ189" s="144">
        <v>0</v>
      </c>
      <c r="BK189" s="137">
        <f t="shared" si="70"/>
        <v>-10.000000000002274</v>
      </c>
      <c r="BL189" s="2"/>
      <c r="BM189" s="10" t="str">
        <f t="shared" si="71"/>
        <v>Unloading no. 174 Bill No L/PB/26-27/23 ,Deduction For Oil Deduction= 0 ,Bardana=  ,F.M=  Brokerage/Rate Difference 0 ,Shortage = 0 ,Greenish=  ,Moisture= 0</v>
      </c>
      <c r="BN189" s="3"/>
      <c r="BO189" s="13" t="str">
        <f t="shared" si="75"/>
        <v xml:space="preserve"> Party Condition 39.35  ,F.M% 0.42 ,Greenish 3.6 ,Moisture 5 ,Shortage in KG= 0  ,Oil% 39.4</v>
      </c>
      <c r="BP189" s="4">
        <f t="shared" si="76"/>
        <v>6646.9966568338241</v>
      </c>
      <c r="BQ189" s="5" t="str">
        <f t="shared" si="72"/>
        <v xml:space="preserve"> 39.4</v>
      </c>
      <c r="BR189" s="6">
        <f t="shared" si="73"/>
        <v>7085.6309539852946</v>
      </c>
      <c r="BS189" s="5" t="s">
        <v>62</v>
      </c>
      <c r="BT189" s="5" t="s">
        <v>63</v>
      </c>
      <c r="BW189" s="92"/>
      <c r="BX189" s="27">
        <v>39.4</v>
      </c>
      <c r="BY189" s="27">
        <v>39.53</v>
      </c>
      <c r="BZ189" s="96"/>
    </row>
    <row r="190" spans="1:78" s="1" customFormat="1" ht="15.75" hidden="1" x14ac:dyDescent="0.3">
      <c r="A190" s="158" t="s">
        <v>305</v>
      </c>
      <c r="B190" s="129">
        <v>46120</v>
      </c>
      <c r="C190" s="128">
        <v>175</v>
      </c>
      <c r="D190" s="128" t="s">
        <v>362</v>
      </c>
      <c r="E190" s="129">
        <v>46122</v>
      </c>
      <c r="F190" s="128" t="s">
        <v>101</v>
      </c>
      <c r="G190" s="128" t="s">
        <v>102</v>
      </c>
      <c r="H190" s="128" t="s">
        <v>103</v>
      </c>
      <c r="I190" s="136"/>
      <c r="J190" s="128" t="s">
        <v>113</v>
      </c>
      <c r="K190" s="135">
        <v>0</v>
      </c>
      <c r="L190" s="129">
        <v>46120</v>
      </c>
      <c r="M190" s="136"/>
      <c r="N190" s="128" t="s">
        <v>388</v>
      </c>
      <c r="O190" s="130">
        <v>46121</v>
      </c>
      <c r="P190" s="135">
        <v>0</v>
      </c>
      <c r="Q190" s="135">
        <v>480</v>
      </c>
      <c r="R190" s="135">
        <v>17</v>
      </c>
      <c r="S190" s="135">
        <v>0</v>
      </c>
      <c r="T190" s="135">
        <v>497</v>
      </c>
      <c r="U190" s="135">
        <v>497</v>
      </c>
      <c r="V190" s="135">
        <v>0</v>
      </c>
      <c r="W190" s="148">
        <v>298.2</v>
      </c>
      <c r="X190" s="148">
        <v>302</v>
      </c>
      <c r="Y190" s="135">
        <v>2007799.49</v>
      </c>
      <c r="Z190" s="136"/>
      <c r="AA190" s="135">
        <v>50194.987249999998</v>
      </c>
      <c r="AB190" s="135">
        <v>50194.987249999998</v>
      </c>
      <c r="AC190" s="135">
        <v>2108189.46</v>
      </c>
      <c r="AD190" s="137">
        <f t="shared" si="74"/>
        <v>2106081.2705399999</v>
      </c>
      <c r="AE190" s="165">
        <v>39.909999999999997</v>
      </c>
      <c r="AF190" s="148">
        <v>39.35</v>
      </c>
      <c r="AG190" s="147">
        <v>40.090000000000003</v>
      </c>
      <c r="AH190" s="139">
        <v>4.3E-3</v>
      </c>
      <c r="AI190" s="139">
        <v>4.2000000000000003E-2</v>
      </c>
      <c r="AJ190" s="139">
        <v>5.6000000000000001E-2</v>
      </c>
      <c r="AK190" s="137">
        <f t="shared" si="57"/>
        <v>0</v>
      </c>
      <c r="AL190" s="137"/>
      <c r="AM190" s="137"/>
      <c r="AN190" s="137">
        <v>0</v>
      </c>
      <c r="AO190" s="140">
        <f t="shared" si="59"/>
        <v>0</v>
      </c>
      <c r="AP190" s="137"/>
      <c r="AQ190" s="137">
        <v>0</v>
      </c>
      <c r="AR190" s="137">
        <f t="shared" si="60"/>
        <v>0</v>
      </c>
      <c r="AS190" s="137">
        <f t="shared" si="61"/>
        <v>0</v>
      </c>
      <c r="AT190" s="137">
        <v>0</v>
      </c>
      <c r="AU190" s="141"/>
      <c r="AV190" s="141"/>
      <c r="AW190" s="137">
        <f t="shared" si="62"/>
        <v>29820</v>
      </c>
      <c r="AX190" s="137">
        <v>0</v>
      </c>
      <c r="AY190" s="137">
        <f t="shared" si="63"/>
        <v>29820</v>
      </c>
      <c r="AZ190" s="137">
        <f t="shared" si="64"/>
        <v>30200</v>
      </c>
      <c r="BA190" s="142">
        <f t="shared" si="65"/>
        <v>-380</v>
      </c>
      <c r="BB190" s="137"/>
      <c r="BC190" s="137">
        <v>0</v>
      </c>
      <c r="BD190" s="142">
        <v>0</v>
      </c>
      <c r="BE190" s="135">
        <v>301.89999999999998</v>
      </c>
      <c r="BF190" s="143">
        <f t="shared" si="66"/>
        <v>0.45284999999999997</v>
      </c>
      <c r="BG190" s="143">
        <f t="shared" si="67"/>
        <v>301.44714999999997</v>
      </c>
      <c r="BH190" s="143">
        <f t="shared" si="68"/>
        <v>302</v>
      </c>
      <c r="BI190" s="144">
        <f t="shared" si="69"/>
        <v>-10.000000000002274</v>
      </c>
      <c r="BJ190" s="144">
        <v>0</v>
      </c>
      <c r="BK190" s="137">
        <f t="shared" si="70"/>
        <v>-10.000000000002274</v>
      </c>
      <c r="BL190" s="2"/>
      <c r="BM190" s="10" t="str">
        <f t="shared" si="71"/>
        <v>Unloading no. 175 Bill No L/PB/26-27/25 ,Deduction For Oil Deduction= 0 ,Bardana=  ,F.M=  Brokerage/Rate Difference 0 ,Shortage = 0 ,Greenish=  ,Moisture= 0</v>
      </c>
      <c r="BN190" s="3"/>
      <c r="BO190" s="13" t="str">
        <f t="shared" si="75"/>
        <v xml:space="preserve"> Party Condition 39.35  ,F.M% 0.43 ,Greenish 4.2 ,Moisture 5.6 ,Shortage in KG= 0  ,Oil% 39.91</v>
      </c>
      <c r="BP190" s="4">
        <f t="shared" si="76"/>
        <v>6648.3426821192052</v>
      </c>
      <c r="BQ190" s="5" t="str">
        <f t="shared" si="72"/>
        <v>39.91</v>
      </c>
      <c r="BR190" s="6">
        <f t="shared" si="73"/>
        <v>6996.5019456027721</v>
      </c>
      <c r="BS190" s="5" t="s">
        <v>62</v>
      </c>
      <c r="BT190" s="5" t="s">
        <v>63</v>
      </c>
      <c r="BW190" s="92"/>
      <c r="BX190" s="27">
        <v>39.909999999999997</v>
      </c>
      <c r="BY190" s="27">
        <v>40.090000000000003</v>
      </c>
      <c r="BZ190" s="96"/>
    </row>
    <row r="191" spans="1:78" s="1" customFormat="1" ht="15.75" hidden="1" x14ac:dyDescent="0.3">
      <c r="A191" s="158" t="s">
        <v>305</v>
      </c>
      <c r="B191" s="129">
        <v>46120</v>
      </c>
      <c r="C191" s="128">
        <v>176</v>
      </c>
      <c r="D191" s="128" t="s">
        <v>363</v>
      </c>
      <c r="E191" s="129">
        <v>46122</v>
      </c>
      <c r="F191" s="128" t="s">
        <v>101</v>
      </c>
      <c r="G191" s="128" t="s">
        <v>102</v>
      </c>
      <c r="H191" s="128" t="s">
        <v>103</v>
      </c>
      <c r="I191" s="136"/>
      <c r="J191" s="128" t="s">
        <v>113</v>
      </c>
      <c r="K191" s="135">
        <v>0</v>
      </c>
      <c r="L191" s="129">
        <v>46120</v>
      </c>
      <c r="M191" s="136"/>
      <c r="N191" s="128" t="s">
        <v>389</v>
      </c>
      <c r="O191" s="130">
        <v>46121</v>
      </c>
      <c r="P191" s="135">
        <v>0</v>
      </c>
      <c r="Q191" s="135">
        <v>416</v>
      </c>
      <c r="R191" s="135">
        <v>210</v>
      </c>
      <c r="S191" s="135">
        <v>0</v>
      </c>
      <c r="T191" s="135">
        <v>626</v>
      </c>
      <c r="U191" s="135">
        <v>626</v>
      </c>
      <c r="V191" s="135">
        <v>0</v>
      </c>
      <c r="W191" s="148">
        <v>375.6</v>
      </c>
      <c r="X191" s="148">
        <v>380.4</v>
      </c>
      <c r="Y191" s="135">
        <v>2528938.59</v>
      </c>
      <c r="Z191" s="136"/>
      <c r="AA191" s="135">
        <v>63223.464749999999</v>
      </c>
      <c r="AB191" s="135">
        <v>63223.464749999999</v>
      </c>
      <c r="AC191" s="135">
        <v>2655385.52</v>
      </c>
      <c r="AD191" s="137">
        <f t="shared" si="74"/>
        <v>2652730.13448</v>
      </c>
      <c r="AE191" s="165">
        <v>39.82</v>
      </c>
      <c r="AF191" s="148">
        <v>39.35</v>
      </c>
      <c r="AG191" s="147">
        <v>39.729999999999997</v>
      </c>
      <c r="AH191" s="139">
        <v>4.7000000000000002E-3</v>
      </c>
      <c r="AI191" s="139">
        <v>3.9E-2</v>
      </c>
      <c r="AJ191" s="139">
        <v>5.5E-2</v>
      </c>
      <c r="AK191" s="137">
        <f t="shared" si="57"/>
        <v>0</v>
      </c>
      <c r="AL191" s="137"/>
      <c r="AM191" s="137"/>
      <c r="AN191" s="137">
        <v>0</v>
      </c>
      <c r="AO191" s="140">
        <f t="shared" si="59"/>
        <v>0</v>
      </c>
      <c r="AP191" s="137"/>
      <c r="AQ191" s="137">
        <v>0</v>
      </c>
      <c r="AR191" s="137">
        <f t="shared" si="60"/>
        <v>0</v>
      </c>
      <c r="AS191" s="137">
        <f t="shared" si="61"/>
        <v>0</v>
      </c>
      <c r="AT191" s="137">
        <v>0</v>
      </c>
      <c r="AU191" s="141"/>
      <c r="AV191" s="141"/>
      <c r="AW191" s="137">
        <f t="shared" si="62"/>
        <v>37560</v>
      </c>
      <c r="AX191" s="137">
        <v>0</v>
      </c>
      <c r="AY191" s="137">
        <f t="shared" si="63"/>
        <v>37560</v>
      </c>
      <c r="AZ191" s="137">
        <f t="shared" si="64"/>
        <v>38040</v>
      </c>
      <c r="BA191" s="142">
        <f t="shared" si="65"/>
        <v>-480</v>
      </c>
      <c r="BB191" s="137"/>
      <c r="BC191" s="137">
        <v>0</v>
      </c>
      <c r="BD191" s="142">
        <v>0</v>
      </c>
      <c r="BE191" s="135">
        <v>380.7</v>
      </c>
      <c r="BF191" s="143">
        <f t="shared" si="66"/>
        <v>0.57104999999999995</v>
      </c>
      <c r="BG191" s="143">
        <f t="shared" si="67"/>
        <v>380.12894999999997</v>
      </c>
      <c r="BH191" s="143">
        <f t="shared" si="68"/>
        <v>380.4</v>
      </c>
      <c r="BI191" s="144">
        <f t="shared" si="69"/>
        <v>30.000000000001137</v>
      </c>
      <c r="BJ191" s="144">
        <v>0</v>
      </c>
      <c r="BK191" s="137">
        <f t="shared" si="70"/>
        <v>30.000000000001137</v>
      </c>
      <c r="BL191" s="2"/>
      <c r="BM191" s="10" t="str">
        <f t="shared" si="71"/>
        <v>Unloading no. 176 Bill No L/PB/26-27/26 ,Deduction For Oil Deduction= 0 ,Bardana=  ,F.M=  Brokerage/Rate Difference 0 ,Shortage = 0 ,Greenish=  ,Moisture= 0</v>
      </c>
      <c r="BN191" s="3"/>
      <c r="BO191" s="13" t="str">
        <f t="shared" si="75"/>
        <v xml:space="preserve"> Party Condition 39.35  ,F.M% 0.47 ,Greenish 3.9 ,Moisture 5.5 ,Shortage in KG= 0  ,Oil% 39.73</v>
      </c>
      <c r="BP191" s="4">
        <f t="shared" si="76"/>
        <v>6648.1035488958987</v>
      </c>
      <c r="BQ191" s="5" t="str">
        <f t="shared" si="72"/>
        <v>39.73</v>
      </c>
      <c r="BR191" s="6">
        <f t="shared" si="73"/>
        <v>7027.9473710955899</v>
      </c>
      <c r="BS191" s="5" t="s">
        <v>62</v>
      </c>
      <c r="BT191" s="5" t="s">
        <v>63</v>
      </c>
      <c r="BW191" s="92"/>
      <c r="BX191" s="27">
        <v>39.82</v>
      </c>
      <c r="BY191" s="27">
        <v>39.729999999999997</v>
      </c>
      <c r="BZ191" s="96"/>
    </row>
    <row r="192" spans="1:78" s="1" customFormat="1" ht="15.75" hidden="1" x14ac:dyDescent="0.3">
      <c r="A192" s="128" t="s">
        <v>304</v>
      </c>
      <c r="B192" s="129">
        <v>46120</v>
      </c>
      <c r="C192" s="128">
        <v>177</v>
      </c>
      <c r="D192" s="128" t="s">
        <v>364</v>
      </c>
      <c r="E192" s="129">
        <v>46122</v>
      </c>
      <c r="F192" s="128" t="s">
        <v>95</v>
      </c>
      <c r="G192" s="128" t="s">
        <v>96</v>
      </c>
      <c r="H192" s="128" t="s">
        <v>97</v>
      </c>
      <c r="I192" s="136"/>
      <c r="J192" s="128" t="s">
        <v>113</v>
      </c>
      <c r="K192" s="135">
        <v>0</v>
      </c>
      <c r="L192" s="129">
        <v>46120</v>
      </c>
      <c r="M192" s="136"/>
      <c r="N192" s="128">
        <v>66</v>
      </c>
      <c r="O192" s="130">
        <v>46121</v>
      </c>
      <c r="P192" s="135">
        <v>0</v>
      </c>
      <c r="Q192" s="135">
        <v>370</v>
      </c>
      <c r="R192" s="135">
        <v>228</v>
      </c>
      <c r="S192" s="135">
        <v>0</v>
      </c>
      <c r="T192" s="135">
        <v>598</v>
      </c>
      <c r="U192" s="135">
        <v>598</v>
      </c>
      <c r="V192" s="135">
        <v>0</v>
      </c>
      <c r="W192" s="148">
        <v>358.8</v>
      </c>
      <c r="X192" s="148">
        <v>364.4</v>
      </c>
      <c r="Y192" s="135">
        <v>2427893.16</v>
      </c>
      <c r="Z192" s="136"/>
      <c r="AA192" s="135">
        <v>60697.328999999998</v>
      </c>
      <c r="AB192" s="135">
        <v>60697.328999999998</v>
      </c>
      <c r="AC192" s="135">
        <v>2549287.8199999998</v>
      </c>
      <c r="AD192" s="137">
        <f t="shared" si="74"/>
        <v>2546738.5321799996</v>
      </c>
      <c r="AE192" s="165">
        <v>39.31</v>
      </c>
      <c r="AF192" s="148">
        <v>39.630000000000003</v>
      </c>
      <c r="AG192" s="147">
        <v>39.299999999999997</v>
      </c>
      <c r="AH192" s="139">
        <v>4.4000000000000003E-3</v>
      </c>
      <c r="AI192" s="139">
        <v>3.9E-2</v>
      </c>
      <c r="AJ192" s="139">
        <v>5.8000000000000003E-2</v>
      </c>
      <c r="AK192" s="137">
        <f t="shared" si="57"/>
        <v>20217.126994701317</v>
      </c>
      <c r="AL192" s="137"/>
      <c r="AM192" s="137"/>
      <c r="AN192" s="137">
        <v>0</v>
      </c>
      <c r="AO192" s="140">
        <f t="shared" si="59"/>
        <v>0</v>
      </c>
      <c r="AP192" s="137"/>
      <c r="AQ192" s="137">
        <v>0</v>
      </c>
      <c r="AR192" s="155">
        <f t="shared" si="60"/>
        <v>20217.126994701317</v>
      </c>
      <c r="AS192" s="137">
        <f t="shared" si="61"/>
        <v>21228</v>
      </c>
      <c r="AT192" s="137">
        <v>0</v>
      </c>
      <c r="AU192" s="141"/>
      <c r="AV192" s="141"/>
      <c r="AW192" s="137">
        <f t="shared" si="62"/>
        <v>35880</v>
      </c>
      <c r="AX192" s="137">
        <v>0</v>
      </c>
      <c r="AY192" s="137">
        <f t="shared" si="63"/>
        <v>35880</v>
      </c>
      <c r="AZ192" s="137">
        <f t="shared" si="64"/>
        <v>36440</v>
      </c>
      <c r="BA192" s="142">
        <f t="shared" si="65"/>
        <v>-560</v>
      </c>
      <c r="BB192" s="137"/>
      <c r="BC192" s="137">
        <v>0</v>
      </c>
      <c r="BD192" s="142">
        <v>0</v>
      </c>
      <c r="BE192" s="135">
        <v>364.1</v>
      </c>
      <c r="BF192" s="143">
        <f t="shared" si="66"/>
        <v>0.54615000000000002</v>
      </c>
      <c r="BG192" s="143">
        <f t="shared" si="67"/>
        <v>363.55385000000001</v>
      </c>
      <c r="BH192" s="143">
        <f t="shared" si="68"/>
        <v>364.4</v>
      </c>
      <c r="BI192" s="144">
        <f t="shared" si="69"/>
        <v>-29.999999999995453</v>
      </c>
      <c r="BJ192" s="144">
        <v>0</v>
      </c>
      <c r="BK192" s="137">
        <f t="shared" si="70"/>
        <v>-29.999999999995453</v>
      </c>
      <c r="BL192" s="2"/>
      <c r="BM192" s="10" t="str">
        <f t="shared" si="71"/>
        <v>Unloading no. 177 Bill No 66 ,Deduction For Oil Deduction= 20217.1269947013 ,Bardana=  ,F.M=  Brokerage/Rate Difference 0 ,Shortage = 0 ,Greenish=  ,Moisture= 0</v>
      </c>
      <c r="BN192" s="3"/>
      <c r="BO192" s="13" t="str">
        <f t="shared" si="75"/>
        <v xml:space="preserve"> Party Condition 39.63  ,F.M% 0.44 ,Greenish 3.9 ,Moisture 5.8 ,Shortage in KG= 0  ,Oil% 39.3</v>
      </c>
      <c r="BP192" s="4">
        <f t="shared" si="76"/>
        <v>6607.2338995754644</v>
      </c>
      <c r="BQ192" s="5" t="str">
        <f t="shared" si="72"/>
        <v xml:space="preserve"> 39.3</v>
      </c>
      <c r="BR192" s="6">
        <f t="shared" si="73"/>
        <v>7061.1659995462978</v>
      </c>
      <c r="BS192" s="5" t="s">
        <v>62</v>
      </c>
      <c r="BT192" s="5" t="s">
        <v>63</v>
      </c>
      <c r="BW192" s="92"/>
      <c r="BX192" s="27">
        <v>39.31</v>
      </c>
      <c r="BY192" s="27">
        <v>39.299999999999997</v>
      </c>
      <c r="BZ192" s="96"/>
    </row>
    <row r="193" spans="1:78" s="1" customFormat="1" ht="15.75" hidden="1" x14ac:dyDescent="0.3">
      <c r="A193" s="128" t="s">
        <v>305</v>
      </c>
      <c r="B193" s="129">
        <v>46120</v>
      </c>
      <c r="C193" s="128">
        <v>178</v>
      </c>
      <c r="D193" s="128" t="s">
        <v>365</v>
      </c>
      <c r="E193" s="129">
        <v>46122</v>
      </c>
      <c r="F193" s="128" t="s">
        <v>101</v>
      </c>
      <c r="G193" s="128" t="s">
        <v>102</v>
      </c>
      <c r="H193" s="128" t="s">
        <v>103</v>
      </c>
      <c r="I193" s="136"/>
      <c r="J193" s="128" t="s">
        <v>113</v>
      </c>
      <c r="K193" s="135">
        <v>0</v>
      </c>
      <c r="L193" s="129">
        <v>46120</v>
      </c>
      <c r="M193" s="136"/>
      <c r="N193" s="128" t="s">
        <v>390</v>
      </c>
      <c r="O193" s="130">
        <v>46121</v>
      </c>
      <c r="P193" s="135">
        <v>0</v>
      </c>
      <c r="Q193" s="135">
        <v>300</v>
      </c>
      <c r="R193" s="135">
        <v>291</v>
      </c>
      <c r="S193" s="135">
        <v>0</v>
      </c>
      <c r="T193" s="135">
        <v>591</v>
      </c>
      <c r="U193" s="135">
        <v>591</v>
      </c>
      <c r="V193" s="135">
        <v>0</v>
      </c>
      <c r="W193" s="148">
        <v>354.6</v>
      </c>
      <c r="X193" s="148">
        <v>358.6</v>
      </c>
      <c r="Y193" s="135">
        <v>2387544.2599999998</v>
      </c>
      <c r="Z193" s="136"/>
      <c r="AA193" s="135">
        <v>59688.606500000002</v>
      </c>
      <c r="AB193" s="135">
        <v>59688.606500000002</v>
      </c>
      <c r="AC193" s="135">
        <v>2506921.4700000002</v>
      </c>
      <c r="AD193" s="137">
        <f t="shared" si="74"/>
        <v>2504414.5485300003</v>
      </c>
      <c r="AE193" s="165">
        <v>39.96</v>
      </c>
      <c r="AF193" s="148">
        <v>39.35</v>
      </c>
      <c r="AG193" s="147">
        <v>39.909999999999997</v>
      </c>
      <c r="AH193" s="139">
        <v>4.1000000000000003E-3</v>
      </c>
      <c r="AI193" s="139">
        <v>3.9E-2</v>
      </c>
      <c r="AJ193" s="139">
        <v>0.05</v>
      </c>
      <c r="AK193" s="137">
        <f t="shared" si="57"/>
        <v>0</v>
      </c>
      <c r="AL193" s="137"/>
      <c r="AM193" s="137"/>
      <c r="AN193" s="137">
        <v>0</v>
      </c>
      <c r="AO193" s="140">
        <f t="shared" si="59"/>
        <v>2087.2496350817819</v>
      </c>
      <c r="AP193" s="137"/>
      <c r="AQ193" s="137">
        <v>0</v>
      </c>
      <c r="AR193" s="155">
        <f t="shared" si="60"/>
        <v>2087.2496350817819</v>
      </c>
      <c r="AS193" s="137">
        <f t="shared" si="61"/>
        <v>2192</v>
      </c>
      <c r="AT193" s="137">
        <v>31</v>
      </c>
      <c r="AU193" s="141"/>
      <c r="AV193" s="141"/>
      <c r="AW193" s="137">
        <f t="shared" si="62"/>
        <v>35460</v>
      </c>
      <c r="AX193" s="137">
        <v>0</v>
      </c>
      <c r="AY193" s="137">
        <f t="shared" si="63"/>
        <v>35460</v>
      </c>
      <c r="AZ193" s="137">
        <f t="shared" si="64"/>
        <v>35860</v>
      </c>
      <c r="BA193" s="142">
        <f t="shared" si="65"/>
        <v>-400</v>
      </c>
      <c r="BB193" s="137"/>
      <c r="BC193" s="137">
        <v>0</v>
      </c>
      <c r="BD193" s="142">
        <v>0</v>
      </c>
      <c r="BE193" s="135">
        <v>358.9</v>
      </c>
      <c r="BF193" s="143">
        <f t="shared" si="66"/>
        <v>0.53834999999999988</v>
      </c>
      <c r="BG193" s="143">
        <f t="shared" si="67"/>
        <v>358.36165</v>
      </c>
      <c r="BH193" s="143">
        <f t="shared" si="68"/>
        <v>358.6</v>
      </c>
      <c r="BI193" s="144">
        <f t="shared" si="69"/>
        <v>29.999999999995453</v>
      </c>
      <c r="BJ193" s="144">
        <v>0</v>
      </c>
      <c r="BK193" s="137">
        <f t="shared" si="70"/>
        <v>29.999999999995453</v>
      </c>
      <c r="BL193" s="2"/>
      <c r="BM193" s="10" t="str">
        <f t="shared" si="71"/>
        <v>Unloading no. 178 Bill No L/PB/26-27/24 ,Deduction For Oil Deduction= 0 ,Bardana=  ,F.M=  Brokerage/Rate Difference 0 ,Shortage = 2087.24963508178 ,Greenish=  ,Moisture= 0</v>
      </c>
      <c r="BN193" s="3"/>
      <c r="BO193" s="13" t="str">
        <f t="shared" si="75"/>
        <v xml:space="preserve"> Party Condition 39.35  ,F.M% 0.41 ,Greenish 3.9 ,Moisture 5 ,Shortage in KG= 31  ,Oil% 39.91</v>
      </c>
      <c r="BP193" s="4">
        <f t="shared" si="76"/>
        <v>6652.1389023003849</v>
      </c>
      <c r="BQ193" s="5" t="str">
        <f t="shared" si="72"/>
        <v>39.91</v>
      </c>
      <c r="BR193" s="6">
        <f t="shared" si="73"/>
        <v>7000.4969655879777</v>
      </c>
      <c r="BS193" s="5" t="s">
        <v>62</v>
      </c>
      <c r="BT193" s="5" t="s">
        <v>63</v>
      </c>
      <c r="BW193" s="92"/>
      <c r="BX193" s="27">
        <v>39.96</v>
      </c>
      <c r="BY193" s="27">
        <v>39.909999999999997</v>
      </c>
      <c r="BZ193" s="96"/>
    </row>
    <row r="194" spans="1:78" s="1" customFormat="1" ht="15.75" hidden="1" x14ac:dyDescent="0.3">
      <c r="A194" s="128" t="s">
        <v>304</v>
      </c>
      <c r="B194" s="129">
        <v>46120</v>
      </c>
      <c r="C194" s="128">
        <v>179</v>
      </c>
      <c r="D194" s="128" t="s">
        <v>366</v>
      </c>
      <c r="E194" s="129">
        <v>46122</v>
      </c>
      <c r="F194" s="128" t="s">
        <v>95</v>
      </c>
      <c r="G194" s="128" t="s">
        <v>96</v>
      </c>
      <c r="H194" s="128" t="s">
        <v>97</v>
      </c>
      <c r="I194" s="136"/>
      <c r="J194" s="128" t="s">
        <v>113</v>
      </c>
      <c r="K194" s="135">
        <v>0</v>
      </c>
      <c r="L194" s="129">
        <v>46120</v>
      </c>
      <c r="M194" s="136"/>
      <c r="N194" s="128">
        <v>64</v>
      </c>
      <c r="O194" s="130">
        <v>46121</v>
      </c>
      <c r="P194" s="135">
        <v>0</v>
      </c>
      <c r="Q194" s="135">
        <v>200</v>
      </c>
      <c r="R194" s="135">
        <v>231</v>
      </c>
      <c r="S194" s="135">
        <v>0</v>
      </c>
      <c r="T194" s="135">
        <v>431</v>
      </c>
      <c r="U194" s="135">
        <v>431</v>
      </c>
      <c r="V194" s="135">
        <v>0</v>
      </c>
      <c r="W194" s="148">
        <v>258.60000000000002</v>
      </c>
      <c r="X194" s="148">
        <v>262.7</v>
      </c>
      <c r="Y194" s="135">
        <v>1749869.48</v>
      </c>
      <c r="Z194" s="136"/>
      <c r="AA194" s="135">
        <v>43746.737000000001</v>
      </c>
      <c r="AB194" s="135">
        <v>43746.737000000001</v>
      </c>
      <c r="AC194" s="135">
        <v>1837362.95</v>
      </c>
      <c r="AD194" s="137">
        <f t="shared" si="74"/>
        <v>1835525.58705</v>
      </c>
      <c r="AE194" s="165">
        <v>39.28</v>
      </c>
      <c r="AF194" s="148">
        <v>39.630000000000003</v>
      </c>
      <c r="AG194" s="147">
        <v>39.380000000000003</v>
      </c>
      <c r="AH194" s="139">
        <v>4.1999999999999997E-3</v>
      </c>
      <c r="AI194" s="139">
        <v>0.04</v>
      </c>
      <c r="AJ194" s="139">
        <v>5.1999999999999998E-2</v>
      </c>
      <c r="AK194" s="137">
        <f t="shared" ref="AK194:AK237" si="78">+IF(AF194=42,IF(MIN(AE194,AG194)&lt;AF194,Y194*((AF194-MIN(AE194,AG194))/AF194)),IF(MIN(AE194,AG194)&lt;AF194,Y194*((AF194-MIN(AE194,AG194))/AF194),0))</f>
        <v>15454.310320464358</v>
      </c>
      <c r="AL194" s="137"/>
      <c r="AM194" s="137"/>
      <c r="AN194" s="137">
        <v>0</v>
      </c>
      <c r="AO194" s="140">
        <f t="shared" ref="AO194:AO203" si="79">AT194*Y194/AW194</f>
        <v>0</v>
      </c>
      <c r="AP194" s="137"/>
      <c r="AQ194" s="137">
        <v>0</v>
      </c>
      <c r="AR194" s="155">
        <f t="shared" ref="AR194" si="80">SUM(AK194:AQ194)</f>
        <v>15454.310320464358</v>
      </c>
      <c r="AS194" s="137">
        <f t="shared" ref="AS194" si="81">ROUND(AR194*1.05,0)</f>
        <v>16227</v>
      </c>
      <c r="AT194" s="137">
        <v>0</v>
      </c>
      <c r="AU194" s="141"/>
      <c r="AV194" s="141"/>
      <c r="AW194" s="137">
        <f t="shared" ref="AW194:AW222" si="82">W194*100</f>
        <v>25860.000000000004</v>
      </c>
      <c r="AX194" s="137">
        <v>0</v>
      </c>
      <c r="AY194" s="137">
        <f t="shared" ref="AY194" si="83">+AW194+AX194</f>
        <v>25860.000000000004</v>
      </c>
      <c r="AZ194" s="137">
        <f t="shared" ref="AZ194" si="84">X194*100</f>
        <v>26270</v>
      </c>
      <c r="BA194" s="142">
        <f t="shared" ref="BA194" si="85">AY194-AZ194</f>
        <v>-409.99999999999636</v>
      </c>
      <c r="BB194" s="137"/>
      <c r="BC194" s="137">
        <v>0</v>
      </c>
      <c r="BD194" s="142">
        <v>0</v>
      </c>
      <c r="BE194" s="135">
        <v>262.60000000000002</v>
      </c>
      <c r="BF194" s="143">
        <f t="shared" ref="BF194:BF195" si="86">+BE194*0.15/100</f>
        <v>0.39390000000000003</v>
      </c>
      <c r="BG194" s="143">
        <f t="shared" ref="BG194:BG195" si="87">BE194-BF194</f>
        <v>262.20610000000005</v>
      </c>
      <c r="BH194" s="143">
        <f t="shared" ref="BH194:BH195" si="88">X194</f>
        <v>262.7</v>
      </c>
      <c r="BI194" s="144">
        <f t="shared" ref="BI194:BI195" si="89">(BE194-BH194)*100</f>
        <v>-9.9999999999965894</v>
      </c>
      <c r="BJ194" s="144">
        <v>0</v>
      </c>
      <c r="BK194" s="137">
        <f t="shared" ref="BK194:BK195" si="90">BI194</f>
        <v>-9.9999999999965894</v>
      </c>
      <c r="BL194" s="2"/>
      <c r="BM194" s="10" t="str">
        <f t="shared" ref="BM194:BM222" si="91">+$C$1&amp;" "&amp;C194 &amp;" "&amp;$N$1&amp;" "&amp;N194&amp;" "&amp;$BM$1&amp;" "&amp;$AK$1&amp;" "&amp;AK194&amp;" "&amp;$AL$1&amp;" "&amp;AL194&amp;" "&amp;$AM$1&amp;" "&amp;AM194&amp;" "&amp;$AN$1&amp;" "&amp;AN194&amp;" "&amp;$AO$1&amp;" "&amp;AO194&amp;" "&amp;$AP$1&amp;" "&amp;AP194&amp;" "&amp;$AQ$1&amp;" "&amp;AQ194</f>
        <v>Unloading no. 179 Bill No 64 ,Deduction For Oil Deduction= 15454.3103204644 ,Bardana=  ,F.M=  Brokerage/Rate Difference 0 ,Shortage = 0 ,Greenish=  ,Moisture= 0</v>
      </c>
      <c r="BN194" s="3"/>
      <c r="BO194" s="13" t="str">
        <f t="shared" si="75"/>
        <v xml:space="preserve"> Party Condition 39.63  ,F.M% 0.42 ,Greenish 4 ,Moisture 5.2 ,Shortage in KG= 0  ,Oil% 39.28</v>
      </c>
      <c r="BP194" s="4">
        <f t="shared" si="76"/>
        <v>6602.265586903447</v>
      </c>
      <c r="BQ194" s="5" t="str">
        <f t="shared" ref="BQ194:BQ195" si="92">RIGHT(BO194,5)</f>
        <v>39.28</v>
      </c>
      <c r="BR194" s="6">
        <f t="shared" ref="BR194:BR195" si="93">BP194*42/BQ194</f>
        <v>7059.4489473000203</v>
      </c>
      <c r="BS194" s="5" t="s">
        <v>62</v>
      </c>
      <c r="BT194" s="5" t="s">
        <v>63</v>
      </c>
      <c r="BW194" s="92"/>
      <c r="BX194" s="27">
        <v>39.28</v>
      </c>
      <c r="BY194" s="27">
        <v>39.380000000000003</v>
      </c>
      <c r="BZ194" s="96"/>
    </row>
    <row r="195" spans="1:78" customFormat="1" ht="15.75" hidden="1" x14ac:dyDescent="0.3">
      <c r="A195" s="128" t="s">
        <v>391</v>
      </c>
      <c r="B195" s="129">
        <v>46121</v>
      </c>
      <c r="C195" s="128">
        <v>180</v>
      </c>
      <c r="D195" s="128" t="s">
        <v>408</v>
      </c>
      <c r="E195" s="130">
        <v>46123</v>
      </c>
      <c r="F195" s="128" t="s">
        <v>104</v>
      </c>
      <c r="G195" s="128" t="s">
        <v>105</v>
      </c>
      <c r="H195" s="128" t="s">
        <v>106</v>
      </c>
      <c r="I195" s="136"/>
      <c r="J195" s="128" t="s">
        <v>113</v>
      </c>
      <c r="K195" s="135">
        <v>0</v>
      </c>
      <c r="L195" s="129">
        <v>46121</v>
      </c>
      <c r="M195" s="136"/>
      <c r="N195" s="128" t="s">
        <v>439</v>
      </c>
      <c r="O195" s="130">
        <v>46122</v>
      </c>
      <c r="P195" s="135">
        <v>0</v>
      </c>
      <c r="Q195" s="135">
        <v>400</v>
      </c>
      <c r="R195" s="135">
        <v>115</v>
      </c>
      <c r="S195" s="135">
        <v>0</v>
      </c>
      <c r="T195" s="135">
        <v>515</v>
      </c>
      <c r="U195" s="135">
        <v>515</v>
      </c>
      <c r="V195" s="135">
        <v>0</v>
      </c>
      <c r="W195" s="148">
        <v>309</v>
      </c>
      <c r="X195" s="148">
        <v>313.89999999999998</v>
      </c>
      <c r="Y195" s="135">
        <v>2116292.59</v>
      </c>
      <c r="Z195" s="136"/>
      <c r="AA195" s="135">
        <v>52907.314749999998</v>
      </c>
      <c r="AB195" s="135">
        <v>52907.314749999998</v>
      </c>
      <c r="AC195" s="135">
        <v>2222107.2200000002</v>
      </c>
      <c r="AD195" s="137">
        <f t="shared" si="74"/>
        <v>2219885.1127800001</v>
      </c>
      <c r="AE195" s="147">
        <v>40.72</v>
      </c>
      <c r="AF195" s="148">
        <v>40.299999999999997</v>
      </c>
      <c r="AG195" s="147">
        <v>40.799999999999997</v>
      </c>
      <c r="AH195" s="139">
        <v>4.5999999999999999E-3</v>
      </c>
      <c r="AI195" s="139">
        <v>4.1500000000000002E-2</v>
      </c>
      <c r="AJ195" s="139">
        <v>5.0999999999999997E-2</v>
      </c>
      <c r="AK195" s="137">
        <f t="shared" si="78"/>
        <v>0</v>
      </c>
      <c r="AL195" s="136">
        <f>515*3</f>
        <v>1545</v>
      </c>
      <c r="AM195" s="136"/>
      <c r="AN195" s="136"/>
      <c r="AO195" s="140">
        <f t="shared" si="79"/>
        <v>0</v>
      </c>
      <c r="AP195" s="136"/>
      <c r="AQ195" s="137">
        <v>0</v>
      </c>
      <c r="AR195" s="155">
        <f t="shared" ref="AR195:AR203" si="94">SUM(AK195:AQ195)</f>
        <v>1545</v>
      </c>
      <c r="AS195" s="155">
        <f t="shared" ref="AS195:AS203" si="95">ROUND(AR195*1.05,0)</f>
        <v>1622</v>
      </c>
      <c r="AT195" s="137">
        <v>0</v>
      </c>
      <c r="AU195" s="141"/>
      <c r="AV195" s="141"/>
      <c r="AW195" s="137">
        <f t="shared" si="82"/>
        <v>30900</v>
      </c>
      <c r="AX195" s="136"/>
      <c r="AY195" s="137">
        <f t="shared" ref="AY195:AY203" si="96">+AW195+AX195</f>
        <v>30900</v>
      </c>
      <c r="AZ195" s="137">
        <f t="shared" ref="AZ195:AZ203" si="97">X195*100</f>
        <v>31389.999999999996</v>
      </c>
      <c r="BA195" s="142">
        <f t="shared" ref="BA195:BA203" si="98">AY195-AZ195</f>
        <v>-489.99999999999636</v>
      </c>
      <c r="BB195" s="137"/>
      <c r="BC195" s="137">
        <v>0</v>
      </c>
      <c r="BD195" s="142">
        <v>0</v>
      </c>
      <c r="BE195" s="135">
        <v>313.3</v>
      </c>
      <c r="BF195" s="143">
        <f t="shared" si="86"/>
        <v>0.46994999999999998</v>
      </c>
      <c r="BG195" s="143">
        <f t="shared" si="87"/>
        <v>312.83005000000003</v>
      </c>
      <c r="BH195" s="143">
        <f t="shared" si="88"/>
        <v>313.89999999999998</v>
      </c>
      <c r="BI195" s="144">
        <f t="shared" si="89"/>
        <v>-59.999999999996589</v>
      </c>
      <c r="BJ195" s="144">
        <v>0</v>
      </c>
      <c r="BK195" s="137">
        <f t="shared" si="90"/>
        <v>-59.999999999996589</v>
      </c>
      <c r="BL195" s="2"/>
      <c r="BM195" s="10" t="str">
        <f t="shared" si="91"/>
        <v>Unloading no. 180 Bill No MTC/2026-27/047 ,Deduction For Oil Deduction= 0 ,Bardana= 1545 ,F.M=  Brokerage/Rate Difference  ,Shortage = 0 ,Greenish=  ,Moisture= 0</v>
      </c>
      <c r="BN195" s="3"/>
      <c r="BO195" s="13" t="str">
        <f t="shared" ref="BO195:BO258" si="99">+" "&amp;$AF$1&amp;" "&amp;AF195&amp;" "&amp;" "&amp;$AH$1&amp;" "&amp;AH195*100&amp;" "&amp;$AI$1&amp;" "&amp;AI195*100&amp;" "&amp;$AJ$1&amp;" "&amp;AJ195*100&amp;" ,"&amp;$AT$1&amp;" "&amp;AT195&amp;" "&amp;IF(AE195&gt;AG195," ,Oil%"&amp;" "&amp;AG195," ,Oil%"&amp;" "&amp;AE195)</f>
        <v xml:space="preserve"> Party Condition 40.3  ,F.M% 0.46 ,Greenish 4.15 ,Moisture 5.1 ,Shortage in KG= 0  ,Oil% 40.72</v>
      </c>
      <c r="BP195" s="4">
        <f t="shared" ref="BP195:BP222" si="100">(Y195-AR195)/X195</f>
        <v>6737.0104810449184</v>
      </c>
      <c r="BQ195" s="7" t="str">
        <f t="shared" si="92"/>
        <v>40.72</v>
      </c>
      <c r="BR195" s="8">
        <f t="shared" si="93"/>
        <v>6948.7829126691213</v>
      </c>
      <c r="BS195" s="7" t="s">
        <v>62</v>
      </c>
      <c r="BT195" s="7" t="s">
        <v>63</v>
      </c>
      <c r="BX195" s="27">
        <v>40.72</v>
      </c>
      <c r="BY195" s="27">
        <v>40.799999999999997</v>
      </c>
    </row>
    <row r="196" spans="1:78" customFormat="1" ht="15.75" hidden="1" x14ac:dyDescent="0.3">
      <c r="A196" s="128" t="s">
        <v>392</v>
      </c>
      <c r="B196" s="129">
        <v>46122</v>
      </c>
      <c r="C196" s="128">
        <v>181</v>
      </c>
      <c r="D196" s="128" t="s">
        <v>409</v>
      </c>
      <c r="E196" s="130">
        <v>46123</v>
      </c>
      <c r="F196" s="128" t="s">
        <v>200</v>
      </c>
      <c r="G196" s="128" t="s">
        <v>201</v>
      </c>
      <c r="H196" s="128" t="s">
        <v>202</v>
      </c>
      <c r="I196" s="136"/>
      <c r="J196" s="128" t="s">
        <v>113</v>
      </c>
      <c r="K196" s="135">
        <v>0</v>
      </c>
      <c r="L196" s="129">
        <v>46122</v>
      </c>
      <c r="M196" s="136"/>
      <c r="N196" s="128">
        <v>28</v>
      </c>
      <c r="O196" s="130">
        <v>46122</v>
      </c>
      <c r="P196" s="135">
        <v>0</v>
      </c>
      <c r="Q196" s="135">
        <v>24</v>
      </c>
      <c r="R196" s="135">
        <v>435</v>
      </c>
      <c r="S196" s="135">
        <v>0</v>
      </c>
      <c r="T196" s="135">
        <v>459</v>
      </c>
      <c r="U196" s="135">
        <v>459</v>
      </c>
      <c r="V196" s="135">
        <v>0</v>
      </c>
      <c r="W196" s="148">
        <v>275.39999999999998</v>
      </c>
      <c r="X196" s="148">
        <v>279.7</v>
      </c>
      <c r="Y196" s="135">
        <v>1895267.92</v>
      </c>
      <c r="Z196" s="136"/>
      <c r="AA196" s="135">
        <v>47381.697999999997</v>
      </c>
      <c r="AB196" s="135">
        <v>47381.697999999997</v>
      </c>
      <c r="AC196" s="135">
        <v>1990031.32</v>
      </c>
      <c r="AD196" s="137">
        <f t="shared" ref="AD196:AD259" si="101">SUM(AC196-AC196*0.1%)</f>
        <v>1988041.28868</v>
      </c>
      <c r="AE196" s="147">
        <v>39.090000000000003</v>
      </c>
      <c r="AF196" s="148">
        <v>39.200000000000003</v>
      </c>
      <c r="AG196" s="147">
        <v>39.18</v>
      </c>
      <c r="AH196" s="139">
        <v>4.3E-3</v>
      </c>
      <c r="AI196" s="139">
        <v>3.7999999999999999E-2</v>
      </c>
      <c r="AJ196" s="139">
        <v>5.7000000000000002E-2</v>
      </c>
      <c r="AK196" s="137">
        <v>0</v>
      </c>
      <c r="AL196" s="136">
        <f>459*6</f>
        <v>2754</v>
      </c>
      <c r="AM196" s="136"/>
      <c r="AN196" s="136"/>
      <c r="AO196" s="140">
        <f t="shared" si="79"/>
        <v>0</v>
      </c>
      <c r="AP196" s="136"/>
      <c r="AQ196" s="137">
        <v>0</v>
      </c>
      <c r="AR196" s="155">
        <f t="shared" si="94"/>
        <v>2754</v>
      </c>
      <c r="AS196" s="155">
        <f t="shared" si="95"/>
        <v>2892</v>
      </c>
      <c r="AT196" s="137">
        <v>0</v>
      </c>
      <c r="AU196" s="141"/>
      <c r="AV196" s="141"/>
      <c r="AW196" s="137">
        <f t="shared" si="82"/>
        <v>27539.999999999996</v>
      </c>
      <c r="AX196" s="136"/>
      <c r="AY196" s="137">
        <f t="shared" si="96"/>
        <v>27539.999999999996</v>
      </c>
      <c r="AZ196" s="137">
        <f t="shared" si="97"/>
        <v>27970</v>
      </c>
      <c r="BA196" s="142">
        <f t="shared" si="98"/>
        <v>-430.00000000000364</v>
      </c>
      <c r="BB196" s="137"/>
      <c r="BC196" s="137">
        <v>0</v>
      </c>
      <c r="BD196" s="142">
        <v>0</v>
      </c>
      <c r="BE196" s="135">
        <v>280.3</v>
      </c>
      <c r="BF196" s="143">
        <f t="shared" ref="BF196:BF203" si="102">+BE196*0.15/100</f>
        <v>0.42044999999999999</v>
      </c>
      <c r="BG196" s="143">
        <f t="shared" ref="BG196:BG203" si="103">BE196-BF196</f>
        <v>279.87954999999999</v>
      </c>
      <c r="BH196" s="143">
        <f t="shared" ref="BH196:BH203" si="104">X196</f>
        <v>279.7</v>
      </c>
      <c r="BI196" s="144">
        <f t="shared" ref="BI196:BI203" si="105">(BE196-BH196)*100</f>
        <v>60.000000000002274</v>
      </c>
      <c r="BJ196" s="144">
        <v>0</v>
      </c>
      <c r="BK196" s="137">
        <f t="shared" ref="BK196:BK203" si="106">BI196</f>
        <v>60.000000000002274</v>
      </c>
      <c r="BL196" s="9"/>
      <c r="BM196" s="10" t="str">
        <f t="shared" si="91"/>
        <v>Unloading no. 181 Bill No 28 ,Deduction For Oil Deduction= 0 ,Bardana= 2754 ,F.M=  Brokerage/Rate Difference  ,Shortage = 0 ,Greenish=  ,Moisture= 0</v>
      </c>
      <c r="BN196" s="9"/>
      <c r="BO196" s="13" t="str">
        <f t="shared" si="99"/>
        <v xml:space="preserve"> Party Condition 39.2  ,F.M% 0.43 ,Greenish 3.8 ,Moisture 5.7 ,Shortage in KG= 0  ,Oil% 39.09</v>
      </c>
      <c r="BP196" s="4">
        <f t="shared" si="100"/>
        <v>6766.227815516625</v>
      </c>
      <c r="BQ196" s="7" t="str">
        <f t="shared" ref="BQ196:BQ203" si="107">RIGHT(BO196,5)</f>
        <v>39.09</v>
      </c>
      <c r="BR196" s="8">
        <f t="shared" ref="BR196:BR203" si="108">BP196*42/BQ196</f>
        <v>7269.9301164415001</v>
      </c>
      <c r="BS196" s="7" t="s">
        <v>62</v>
      </c>
      <c r="BT196" s="7" t="s">
        <v>63</v>
      </c>
      <c r="BX196" s="27">
        <v>39.090000000000003</v>
      </c>
      <c r="BY196" s="27">
        <v>39.18</v>
      </c>
    </row>
    <row r="197" spans="1:78" customFormat="1" ht="15.75" hidden="1" x14ac:dyDescent="0.3">
      <c r="A197" s="128" t="s">
        <v>393</v>
      </c>
      <c r="B197" s="129">
        <v>46122</v>
      </c>
      <c r="C197" s="128">
        <v>182</v>
      </c>
      <c r="D197" s="128" t="s">
        <v>410</v>
      </c>
      <c r="E197" s="130">
        <v>46123</v>
      </c>
      <c r="F197" s="128" t="s">
        <v>98</v>
      </c>
      <c r="G197" s="128" t="s">
        <v>99</v>
      </c>
      <c r="H197" s="128" t="s">
        <v>100</v>
      </c>
      <c r="I197" s="136"/>
      <c r="J197" s="128" t="s">
        <v>113</v>
      </c>
      <c r="K197" s="135">
        <v>0</v>
      </c>
      <c r="L197" s="129">
        <v>46122</v>
      </c>
      <c r="M197" s="136"/>
      <c r="N197" s="128">
        <v>44</v>
      </c>
      <c r="O197" s="130">
        <v>46122</v>
      </c>
      <c r="P197" s="135">
        <v>0</v>
      </c>
      <c r="Q197" s="135">
        <v>450</v>
      </c>
      <c r="R197" s="135">
        <v>60</v>
      </c>
      <c r="S197" s="135">
        <v>0</v>
      </c>
      <c r="T197" s="135">
        <v>510</v>
      </c>
      <c r="U197" s="135">
        <v>510</v>
      </c>
      <c r="V197" s="135">
        <v>0</v>
      </c>
      <c r="W197" s="148">
        <v>306</v>
      </c>
      <c r="X197" s="148">
        <v>309.60000000000002</v>
      </c>
      <c r="Y197" s="135">
        <v>2113394.1</v>
      </c>
      <c r="Z197" s="136"/>
      <c r="AA197" s="135">
        <v>52834.852500000001</v>
      </c>
      <c r="AB197" s="135">
        <v>52834.852500000001</v>
      </c>
      <c r="AC197" s="135">
        <v>2219063.81</v>
      </c>
      <c r="AD197" s="137">
        <f t="shared" si="101"/>
        <v>2216844.7461899999</v>
      </c>
      <c r="AE197" s="147">
        <v>39.799999999999997</v>
      </c>
      <c r="AF197" s="148">
        <v>39.56</v>
      </c>
      <c r="AG197" s="147">
        <v>39.729999999999997</v>
      </c>
      <c r="AH197" s="139">
        <v>4.0000000000000001E-3</v>
      </c>
      <c r="AI197" s="139">
        <v>3.9E-2</v>
      </c>
      <c r="AJ197" s="139">
        <v>5.5E-2</v>
      </c>
      <c r="AK197" s="137">
        <f t="shared" si="78"/>
        <v>0</v>
      </c>
      <c r="AL197" s="136">
        <f>510*0.5</f>
        <v>255</v>
      </c>
      <c r="AM197" s="136"/>
      <c r="AN197" s="136"/>
      <c r="AO197" s="140">
        <f t="shared" si="79"/>
        <v>897.84716666666668</v>
      </c>
      <c r="AP197" s="136"/>
      <c r="AQ197" s="137">
        <v>0</v>
      </c>
      <c r="AR197" s="155">
        <f t="shared" si="94"/>
        <v>1152.8471666666667</v>
      </c>
      <c r="AS197" s="155">
        <f t="shared" si="95"/>
        <v>1210</v>
      </c>
      <c r="AT197" s="137">
        <v>13</v>
      </c>
      <c r="AU197" s="141"/>
      <c r="AV197" s="141"/>
      <c r="AW197" s="137">
        <f t="shared" si="82"/>
        <v>30600</v>
      </c>
      <c r="AX197" s="136"/>
      <c r="AY197" s="137">
        <f t="shared" si="96"/>
        <v>30600</v>
      </c>
      <c r="AZ197" s="137">
        <f t="shared" si="97"/>
        <v>30960.000000000004</v>
      </c>
      <c r="BA197" s="142">
        <f t="shared" si="98"/>
        <v>-360.00000000000364</v>
      </c>
      <c r="BB197" s="137"/>
      <c r="BC197" s="137">
        <v>0</v>
      </c>
      <c r="BD197" s="142">
        <v>0</v>
      </c>
      <c r="BE197" s="135">
        <v>310</v>
      </c>
      <c r="BF197" s="143">
        <f t="shared" si="102"/>
        <v>0.46500000000000002</v>
      </c>
      <c r="BG197" s="143">
        <f t="shared" si="103"/>
        <v>309.53500000000003</v>
      </c>
      <c r="BH197" s="143">
        <f t="shared" si="104"/>
        <v>309.60000000000002</v>
      </c>
      <c r="BI197" s="144">
        <f t="shared" si="105"/>
        <v>39.999999999997726</v>
      </c>
      <c r="BJ197" s="144">
        <v>0</v>
      </c>
      <c r="BK197" s="137">
        <f t="shared" si="106"/>
        <v>39.999999999997726</v>
      </c>
      <c r="BL197" s="9"/>
      <c r="BM197" s="10" t="str">
        <f t="shared" si="91"/>
        <v>Unloading no. 182 Bill No 44 ,Deduction For Oil Deduction= 0 ,Bardana= 255 ,F.M=  Brokerage/Rate Difference  ,Shortage = 897.847166666667 ,Greenish=  ,Moisture= 0</v>
      </c>
      <c r="BN197" s="9"/>
      <c r="BO197" s="13" t="str">
        <f t="shared" si="99"/>
        <v xml:space="preserve"> Party Condition 39.56  ,F.M% 0.4 ,Greenish 3.9 ,Moisture 5.5 ,Shortage in KG= 13  ,Oil% 39.73</v>
      </c>
      <c r="BP197" s="4">
        <f t="shared" si="100"/>
        <v>6822.4846667743323</v>
      </c>
      <c r="BQ197" s="7" t="str">
        <f t="shared" si="107"/>
        <v>39.73</v>
      </c>
      <c r="BR197" s="8">
        <f t="shared" si="108"/>
        <v>7212.2918702371499</v>
      </c>
      <c r="BS197" s="7" t="s">
        <v>62</v>
      </c>
      <c r="BT197" s="7" t="s">
        <v>63</v>
      </c>
      <c r="BX197" s="27">
        <v>39.799999999999997</v>
      </c>
      <c r="BY197" s="27">
        <v>39.729999999999997</v>
      </c>
    </row>
    <row r="198" spans="1:78" customFormat="1" ht="15.75" hidden="1" x14ac:dyDescent="0.3">
      <c r="A198" s="128" t="s">
        <v>392</v>
      </c>
      <c r="B198" s="129">
        <v>46122</v>
      </c>
      <c r="C198" s="128">
        <v>183</v>
      </c>
      <c r="D198" s="128" t="s">
        <v>411</v>
      </c>
      <c r="E198" s="130">
        <v>46123</v>
      </c>
      <c r="F198" s="128" t="s">
        <v>200</v>
      </c>
      <c r="G198" s="128" t="s">
        <v>201</v>
      </c>
      <c r="H198" s="128" t="s">
        <v>202</v>
      </c>
      <c r="I198" s="136"/>
      <c r="J198" s="128" t="s">
        <v>113</v>
      </c>
      <c r="K198" s="135">
        <v>0</v>
      </c>
      <c r="L198" s="129">
        <v>46122</v>
      </c>
      <c r="M198" s="136"/>
      <c r="N198" s="128">
        <v>27</v>
      </c>
      <c r="O198" s="130">
        <v>46122</v>
      </c>
      <c r="P198" s="135">
        <v>0</v>
      </c>
      <c r="Q198" s="135">
        <v>0</v>
      </c>
      <c r="R198" s="135">
        <v>466</v>
      </c>
      <c r="S198" s="135">
        <v>0</v>
      </c>
      <c r="T198" s="135">
        <v>466</v>
      </c>
      <c r="U198" s="135">
        <v>466</v>
      </c>
      <c r="V198" s="135">
        <v>0</v>
      </c>
      <c r="W198" s="148">
        <v>279.60000000000002</v>
      </c>
      <c r="X198" s="148">
        <v>283.7</v>
      </c>
      <c r="Y198" s="135">
        <v>1924171.78</v>
      </c>
      <c r="Z198" s="136"/>
      <c r="AA198" s="135">
        <v>48104.294500000004</v>
      </c>
      <c r="AB198" s="135">
        <v>48104.294500000004</v>
      </c>
      <c r="AC198" s="135">
        <v>2020380.37</v>
      </c>
      <c r="AD198" s="137">
        <f t="shared" si="101"/>
        <v>2018359.9896300002</v>
      </c>
      <c r="AE198" s="147">
        <v>39.03</v>
      </c>
      <c r="AF198" s="148">
        <v>39.200000000000003</v>
      </c>
      <c r="AG198" s="147">
        <v>39.08</v>
      </c>
      <c r="AH198" s="139">
        <v>4.8999999999999998E-3</v>
      </c>
      <c r="AI198" s="139">
        <v>0.04</v>
      </c>
      <c r="AJ198" s="139">
        <v>5.7000000000000002E-2</v>
      </c>
      <c r="AK198" s="137">
        <v>0</v>
      </c>
      <c r="AL198" s="136">
        <f>466*6</f>
        <v>2796</v>
      </c>
      <c r="AM198" s="136"/>
      <c r="AN198" s="136"/>
      <c r="AO198" s="140">
        <f t="shared" si="79"/>
        <v>0</v>
      </c>
      <c r="AP198" s="136"/>
      <c r="AQ198" s="137">
        <v>0</v>
      </c>
      <c r="AR198" s="155">
        <f t="shared" si="94"/>
        <v>2796</v>
      </c>
      <c r="AS198" s="155">
        <f t="shared" si="95"/>
        <v>2936</v>
      </c>
      <c r="AT198" s="137">
        <v>0</v>
      </c>
      <c r="AU198" s="141"/>
      <c r="AV198" s="141"/>
      <c r="AW198" s="137">
        <f t="shared" si="82"/>
        <v>27960.000000000004</v>
      </c>
      <c r="AX198" s="136"/>
      <c r="AY198" s="137">
        <f t="shared" si="96"/>
        <v>27960.000000000004</v>
      </c>
      <c r="AZ198" s="137">
        <f t="shared" si="97"/>
        <v>28370</v>
      </c>
      <c r="BA198" s="142">
        <f t="shared" si="98"/>
        <v>-409.99999999999636</v>
      </c>
      <c r="BB198" s="137"/>
      <c r="BC198" s="137">
        <v>0</v>
      </c>
      <c r="BD198" s="142">
        <v>0</v>
      </c>
      <c r="BE198" s="135">
        <v>284.25</v>
      </c>
      <c r="BF198" s="143">
        <f t="shared" si="102"/>
        <v>0.42637499999999995</v>
      </c>
      <c r="BG198" s="143">
        <f t="shared" si="103"/>
        <v>283.82362499999999</v>
      </c>
      <c r="BH198" s="143">
        <f t="shared" si="104"/>
        <v>283.7</v>
      </c>
      <c r="BI198" s="144">
        <f t="shared" si="105"/>
        <v>55.000000000001137</v>
      </c>
      <c r="BJ198" s="144">
        <v>0</v>
      </c>
      <c r="BK198" s="137">
        <f t="shared" si="106"/>
        <v>55.000000000001137</v>
      </c>
      <c r="BL198" s="9"/>
      <c r="BM198" s="10" t="str">
        <f t="shared" si="91"/>
        <v>Unloading no. 183 Bill No 27 ,Deduction For Oil Deduction= 0 ,Bardana= 2796 ,F.M=  Brokerage/Rate Difference  ,Shortage = 0 ,Greenish=  ,Moisture= 0</v>
      </c>
      <c r="BN198" s="9"/>
      <c r="BO198" s="13" t="str">
        <f t="shared" si="99"/>
        <v xml:space="preserve"> Party Condition 39.2  ,F.M% 0.49 ,Greenish 4 ,Moisture 5.7 ,Shortage in KG= 0  ,Oil% 39.03</v>
      </c>
      <c r="BP198" s="4">
        <f t="shared" si="100"/>
        <v>6772.5617906238986</v>
      </c>
      <c r="BQ198" s="7" t="str">
        <f t="shared" si="107"/>
        <v>39.03</v>
      </c>
      <c r="BR198" s="8">
        <f t="shared" si="108"/>
        <v>7287.9219883731421</v>
      </c>
      <c r="BS198" s="7" t="s">
        <v>62</v>
      </c>
      <c r="BT198" s="7" t="s">
        <v>63</v>
      </c>
      <c r="BX198" s="27">
        <v>39.03</v>
      </c>
      <c r="BY198" s="27">
        <v>39.08</v>
      </c>
    </row>
    <row r="199" spans="1:78" customFormat="1" ht="15.75" hidden="1" x14ac:dyDescent="0.3">
      <c r="A199" s="128" t="s">
        <v>394</v>
      </c>
      <c r="B199" s="129">
        <v>46122</v>
      </c>
      <c r="C199" s="128">
        <v>184</v>
      </c>
      <c r="D199" s="128" t="s">
        <v>412</v>
      </c>
      <c r="E199" s="130">
        <v>46123</v>
      </c>
      <c r="F199" s="128" t="s">
        <v>95</v>
      </c>
      <c r="G199" s="128" t="s">
        <v>96</v>
      </c>
      <c r="H199" s="128" t="s">
        <v>97</v>
      </c>
      <c r="I199" s="136"/>
      <c r="J199" s="128" t="s">
        <v>113</v>
      </c>
      <c r="K199" s="135">
        <v>0</v>
      </c>
      <c r="L199" s="129">
        <v>46122</v>
      </c>
      <c r="M199" s="136"/>
      <c r="N199" s="128">
        <v>70</v>
      </c>
      <c r="O199" s="130">
        <v>46122</v>
      </c>
      <c r="P199" s="135">
        <v>0</v>
      </c>
      <c r="Q199" s="135">
        <v>370</v>
      </c>
      <c r="R199" s="135">
        <v>66</v>
      </c>
      <c r="S199" s="135">
        <v>0</v>
      </c>
      <c r="T199" s="135">
        <v>436</v>
      </c>
      <c r="U199" s="135">
        <v>436</v>
      </c>
      <c r="V199" s="135">
        <v>0</v>
      </c>
      <c r="W199" s="148">
        <v>261.60000000000002</v>
      </c>
      <c r="X199" s="148">
        <v>265</v>
      </c>
      <c r="Y199" s="135">
        <v>1801880.74</v>
      </c>
      <c r="Z199" s="136"/>
      <c r="AA199" s="135">
        <v>45047.018499999998</v>
      </c>
      <c r="AB199" s="135">
        <v>45047.018499999998</v>
      </c>
      <c r="AC199" s="135">
        <v>1891974.78</v>
      </c>
      <c r="AD199" s="137">
        <f t="shared" si="101"/>
        <v>1890082.80522</v>
      </c>
      <c r="AE199" s="147">
        <v>39.5</v>
      </c>
      <c r="AF199" s="148">
        <v>39.39</v>
      </c>
      <c r="AG199" s="147">
        <v>39.68</v>
      </c>
      <c r="AH199" s="139">
        <v>4.7000000000000002E-3</v>
      </c>
      <c r="AI199" s="139">
        <v>4.1000000000000002E-2</v>
      </c>
      <c r="AJ199" s="139">
        <v>5.8999999999999997E-2</v>
      </c>
      <c r="AK199" s="137">
        <f t="shared" si="78"/>
        <v>0</v>
      </c>
      <c r="AL199" s="136"/>
      <c r="AM199" s="136"/>
      <c r="AN199" s="136"/>
      <c r="AO199" s="140">
        <f t="shared" si="79"/>
        <v>0</v>
      </c>
      <c r="AP199" s="136"/>
      <c r="AQ199" s="137">
        <v>0</v>
      </c>
      <c r="AR199" s="155">
        <f t="shared" si="94"/>
        <v>0</v>
      </c>
      <c r="AS199" s="137">
        <f t="shared" si="95"/>
        <v>0</v>
      </c>
      <c r="AT199" s="137">
        <v>0</v>
      </c>
      <c r="AU199" s="141"/>
      <c r="AV199" s="141"/>
      <c r="AW199" s="137">
        <f t="shared" si="82"/>
        <v>26160.000000000004</v>
      </c>
      <c r="AX199" s="136"/>
      <c r="AY199" s="137">
        <f t="shared" si="96"/>
        <v>26160.000000000004</v>
      </c>
      <c r="AZ199" s="137">
        <f t="shared" si="97"/>
        <v>26500</v>
      </c>
      <c r="BA199" s="142">
        <f t="shared" si="98"/>
        <v>-339.99999999999636</v>
      </c>
      <c r="BB199" s="137"/>
      <c r="BC199" s="137">
        <v>0</v>
      </c>
      <c r="BD199" s="142">
        <v>0</v>
      </c>
      <c r="BE199" s="135">
        <v>265.2</v>
      </c>
      <c r="BF199" s="143">
        <f t="shared" si="102"/>
        <v>0.39779999999999993</v>
      </c>
      <c r="BG199" s="143">
        <f t="shared" si="103"/>
        <v>264.80219999999997</v>
      </c>
      <c r="BH199" s="143">
        <f t="shared" si="104"/>
        <v>265</v>
      </c>
      <c r="BI199" s="144">
        <f t="shared" si="105"/>
        <v>19.999999999998863</v>
      </c>
      <c r="BJ199" s="144">
        <v>0</v>
      </c>
      <c r="BK199" s="137">
        <f t="shared" si="106"/>
        <v>19.999999999998863</v>
      </c>
      <c r="BL199" s="9"/>
      <c r="BM199" s="10" t="str">
        <f t="shared" si="91"/>
        <v>Unloading no. 184 Bill No 70 ,Deduction For Oil Deduction= 0 ,Bardana=  ,F.M=  Brokerage/Rate Difference  ,Shortage = 0 ,Greenish=  ,Moisture= 0</v>
      </c>
      <c r="BN199" s="9"/>
      <c r="BO199" s="13" t="str">
        <f t="shared" si="99"/>
        <v xml:space="preserve"> Party Condition 39.39  ,F.M% 0.47 ,Greenish 4.1 ,Moisture 5.9 ,Shortage in KG= 0  ,Oil% 39.5</v>
      </c>
      <c r="BP199" s="4">
        <f t="shared" si="100"/>
        <v>6799.549962264151</v>
      </c>
      <c r="BQ199" s="7" t="str">
        <f t="shared" si="107"/>
        <v xml:space="preserve"> 39.5</v>
      </c>
      <c r="BR199" s="8">
        <f t="shared" si="108"/>
        <v>7229.9012256985898</v>
      </c>
      <c r="BS199" s="7" t="s">
        <v>62</v>
      </c>
      <c r="BT199" s="7" t="s">
        <v>63</v>
      </c>
      <c r="BX199" s="27">
        <v>39.5</v>
      </c>
      <c r="BY199" s="27">
        <v>39.68</v>
      </c>
    </row>
    <row r="200" spans="1:78" customFormat="1" ht="15.75" hidden="1" x14ac:dyDescent="0.3">
      <c r="A200" s="128" t="s">
        <v>394</v>
      </c>
      <c r="B200" s="129">
        <v>46122</v>
      </c>
      <c r="C200" s="128">
        <v>185</v>
      </c>
      <c r="D200" s="128" t="s">
        <v>413</v>
      </c>
      <c r="E200" s="130">
        <v>46123</v>
      </c>
      <c r="F200" s="128" t="s">
        <v>95</v>
      </c>
      <c r="G200" s="128" t="s">
        <v>96</v>
      </c>
      <c r="H200" s="128" t="s">
        <v>97</v>
      </c>
      <c r="I200" s="136"/>
      <c r="J200" s="128" t="s">
        <v>113</v>
      </c>
      <c r="K200" s="135">
        <v>0</v>
      </c>
      <c r="L200" s="129">
        <v>46122</v>
      </c>
      <c r="M200" s="136"/>
      <c r="N200" s="128">
        <v>71</v>
      </c>
      <c r="O200" s="130">
        <v>46122</v>
      </c>
      <c r="P200" s="135">
        <v>0</v>
      </c>
      <c r="Q200" s="135">
        <v>90</v>
      </c>
      <c r="R200" s="135">
        <v>350</v>
      </c>
      <c r="S200" s="135">
        <v>0</v>
      </c>
      <c r="T200" s="135">
        <v>440</v>
      </c>
      <c r="U200" s="135">
        <v>440</v>
      </c>
      <c r="V200" s="135">
        <v>0</v>
      </c>
      <c r="W200" s="148">
        <v>264</v>
      </c>
      <c r="X200" s="148">
        <v>267.8</v>
      </c>
      <c r="Y200" s="135">
        <v>1818411.76</v>
      </c>
      <c r="Z200" s="136"/>
      <c r="AA200" s="135">
        <v>45460.294000000002</v>
      </c>
      <c r="AB200" s="135">
        <v>45460.294000000002</v>
      </c>
      <c r="AC200" s="135">
        <v>1909332.35</v>
      </c>
      <c r="AD200" s="137">
        <f t="shared" si="101"/>
        <v>1907423.0176500001</v>
      </c>
      <c r="AE200" s="147">
        <v>38.97</v>
      </c>
      <c r="AF200" s="148">
        <v>39.39</v>
      </c>
      <c r="AG200" s="147">
        <v>38.979999999999997</v>
      </c>
      <c r="AH200" s="139">
        <v>4.1000000000000003E-3</v>
      </c>
      <c r="AI200" s="139">
        <v>0.04</v>
      </c>
      <c r="AJ200" s="139">
        <v>5.6000000000000001E-2</v>
      </c>
      <c r="AK200" s="137">
        <f t="shared" si="78"/>
        <v>19389.005818735797</v>
      </c>
      <c r="AL200" s="136"/>
      <c r="AM200" s="136"/>
      <c r="AN200" s="136"/>
      <c r="AO200" s="140">
        <f t="shared" si="79"/>
        <v>0</v>
      </c>
      <c r="AP200" s="136"/>
      <c r="AQ200" s="137">
        <v>0</v>
      </c>
      <c r="AR200" s="155">
        <f t="shared" si="94"/>
        <v>19389.005818735797</v>
      </c>
      <c r="AS200" s="155">
        <f t="shared" si="95"/>
        <v>20358</v>
      </c>
      <c r="AT200" s="137">
        <v>0</v>
      </c>
      <c r="AU200" s="141"/>
      <c r="AV200" s="141"/>
      <c r="AW200" s="137">
        <f t="shared" si="82"/>
        <v>26400</v>
      </c>
      <c r="AX200" s="136"/>
      <c r="AY200" s="137">
        <f t="shared" si="96"/>
        <v>26400</v>
      </c>
      <c r="AZ200" s="137">
        <f t="shared" si="97"/>
        <v>26780</v>
      </c>
      <c r="BA200" s="142">
        <f t="shared" si="98"/>
        <v>-380</v>
      </c>
      <c r="BB200" s="137"/>
      <c r="BC200" s="137">
        <v>0</v>
      </c>
      <c r="BD200" s="142">
        <v>0</v>
      </c>
      <c r="BE200" s="135">
        <v>268</v>
      </c>
      <c r="BF200" s="143">
        <f t="shared" si="102"/>
        <v>0.40199999999999997</v>
      </c>
      <c r="BG200" s="143">
        <f t="shared" si="103"/>
        <v>267.59800000000001</v>
      </c>
      <c r="BH200" s="143">
        <f t="shared" si="104"/>
        <v>267.8</v>
      </c>
      <c r="BI200" s="144">
        <f t="shared" si="105"/>
        <v>19.999999999998863</v>
      </c>
      <c r="BJ200" s="144">
        <v>0</v>
      </c>
      <c r="BK200" s="137">
        <f t="shared" si="106"/>
        <v>19.999999999998863</v>
      </c>
      <c r="BL200" s="9"/>
      <c r="BM200" s="10" t="str">
        <f t="shared" si="91"/>
        <v>Unloading no. 185 Bill No 71 ,Deduction For Oil Deduction= 19389.0058187358 ,Bardana=  ,F.M=  Brokerage/Rate Difference  ,Shortage = 0 ,Greenish=  ,Moisture= 0</v>
      </c>
      <c r="BN200" s="9"/>
      <c r="BO200" s="13" t="str">
        <f t="shared" si="99"/>
        <v xml:space="preserve"> Party Condition 39.39  ,F.M% 0.41 ,Greenish 4 ,Moisture 5.6 ,Shortage in KG= 0  ,Oil% 38.97</v>
      </c>
      <c r="BP200" s="4">
        <f t="shared" si="100"/>
        <v>6717.7847430218972</v>
      </c>
      <c r="BQ200" s="7" t="str">
        <f t="shared" si="107"/>
        <v>38.97</v>
      </c>
      <c r="BR200" s="8">
        <f t="shared" si="108"/>
        <v>7240.1067284300652</v>
      </c>
      <c r="BS200" s="7" t="s">
        <v>62</v>
      </c>
      <c r="BT200" s="7" t="s">
        <v>63</v>
      </c>
      <c r="BX200" s="27">
        <v>38.97</v>
      </c>
      <c r="BY200" s="27">
        <v>38.979999999999997</v>
      </c>
    </row>
    <row r="201" spans="1:78" customFormat="1" ht="15.75" hidden="1" x14ac:dyDescent="0.3">
      <c r="A201" s="128" t="s">
        <v>394</v>
      </c>
      <c r="B201" s="129">
        <v>46122</v>
      </c>
      <c r="C201" s="128">
        <v>186</v>
      </c>
      <c r="D201" s="128" t="s">
        <v>414</v>
      </c>
      <c r="E201" s="130">
        <v>46123</v>
      </c>
      <c r="F201" s="128" t="s">
        <v>95</v>
      </c>
      <c r="G201" s="128" t="s">
        <v>96</v>
      </c>
      <c r="H201" s="128" t="s">
        <v>97</v>
      </c>
      <c r="I201" s="136"/>
      <c r="J201" s="128" t="s">
        <v>113</v>
      </c>
      <c r="K201" s="135">
        <v>0</v>
      </c>
      <c r="L201" s="129">
        <v>46122</v>
      </c>
      <c r="M201" s="136"/>
      <c r="N201" s="128">
        <v>72</v>
      </c>
      <c r="O201" s="130">
        <v>46123</v>
      </c>
      <c r="P201" s="135">
        <v>0</v>
      </c>
      <c r="Q201" s="135">
        <v>30</v>
      </c>
      <c r="R201" s="135">
        <v>410</v>
      </c>
      <c r="S201" s="135">
        <v>0</v>
      </c>
      <c r="T201" s="135">
        <v>440</v>
      </c>
      <c r="U201" s="135">
        <v>440</v>
      </c>
      <c r="V201" s="135">
        <v>0</v>
      </c>
      <c r="W201" s="148">
        <v>264</v>
      </c>
      <c r="X201" s="148">
        <v>267.60000000000002</v>
      </c>
      <c r="Y201" s="135">
        <v>1818411.76</v>
      </c>
      <c r="Z201" s="136"/>
      <c r="AA201" s="135">
        <v>45460.294000000002</v>
      </c>
      <c r="AB201" s="135">
        <v>45460.294000000002</v>
      </c>
      <c r="AC201" s="135">
        <v>1909332.35</v>
      </c>
      <c r="AD201" s="137">
        <f t="shared" si="101"/>
        <v>1907423.0176500001</v>
      </c>
      <c r="AE201" s="147">
        <v>39.4</v>
      </c>
      <c r="AF201" s="148">
        <v>39.39</v>
      </c>
      <c r="AG201" s="147">
        <v>39.29</v>
      </c>
      <c r="AH201" s="139">
        <v>4.0000000000000001E-3</v>
      </c>
      <c r="AI201" s="139">
        <v>4.1000000000000002E-2</v>
      </c>
      <c r="AJ201" s="139">
        <v>5.0999999999999997E-2</v>
      </c>
      <c r="AK201" s="137">
        <v>0</v>
      </c>
      <c r="AL201" s="136"/>
      <c r="AM201" s="136"/>
      <c r="AN201" s="136"/>
      <c r="AO201" s="140">
        <f t="shared" si="79"/>
        <v>0</v>
      </c>
      <c r="AP201" s="136"/>
      <c r="AQ201" s="137">
        <v>0</v>
      </c>
      <c r="AR201" s="155">
        <f t="shared" si="94"/>
        <v>0</v>
      </c>
      <c r="AS201" s="137">
        <f t="shared" si="95"/>
        <v>0</v>
      </c>
      <c r="AT201" s="137">
        <v>0</v>
      </c>
      <c r="AU201" s="141"/>
      <c r="AV201" s="141"/>
      <c r="AW201" s="137">
        <f t="shared" si="82"/>
        <v>26400</v>
      </c>
      <c r="AX201" s="136"/>
      <c r="AY201" s="137">
        <f t="shared" si="96"/>
        <v>26400</v>
      </c>
      <c r="AZ201" s="137">
        <f t="shared" si="97"/>
        <v>26760.000000000004</v>
      </c>
      <c r="BA201" s="142">
        <f t="shared" si="98"/>
        <v>-360.00000000000364</v>
      </c>
      <c r="BB201" s="137"/>
      <c r="BC201" s="137">
        <v>0</v>
      </c>
      <c r="BD201" s="142">
        <v>0</v>
      </c>
      <c r="BE201" s="135">
        <v>267.60000000000002</v>
      </c>
      <c r="BF201" s="143">
        <f t="shared" si="102"/>
        <v>0.40139999999999998</v>
      </c>
      <c r="BG201" s="143">
        <f t="shared" si="103"/>
        <v>267.1986</v>
      </c>
      <c r="BH201" s="143">
        <f t="shared" si="104"/>
        <v>267.60000000000002</v>
      </c>
      <c r="BI201" s="144">
        <f t="shared" si="105"/>
        <v>0</v>
      </c>
      <c r="BJ201" s="144">
        <v>0</v>
      </c>
      <c r="BK201" s="137">
        <f t="shared" si="106"/>
        <v>0</v>
      </c>
      <c r="BL201" s="9"/>
      <c r="BM201" s="10" t="str">
        <f t="shared" si="91"/>
        <v>Unloading no. 186 Bill No 72 ,Deduction For Oil Deduction= 0 ,Bardana=  ,F.M=  Brokerage/Rate Difference  ,Shortage = 0 ,Greenish=  ,Moisture= 0</v>
      </c>
      <c r="BN201" s="9"/>
      <c r="BO201" s="13" t="str">
        <f t="shared" si="99"/>
        <v xml:space="preserve"> Party Condition 39.39  ,F.M% 0.4 ,Greenish 4.1 ,Moisture 5.1 ,Shortage in KG= 0  ,Oil% 39.29</v>
      </c>
      <c r="BP201" s="4">
        <f t="shared" si="100"/>
        <v>6795.2606875934225</v>
      </c>
      <c r="BQ201" s="7" t="str">
        <f t="shared" si="107"/>
        <v>39.29</v>
      </c>
      <c r="BR201" s="8">
        <f t="shared" si="108"/>
        <v>7263.9589941187005</v>
      </c>
      <c r="BS201" s="7" t="s">
        <v>62</v>
      </c>
      <c r="BT201" s="7" t="s">
        <v>63</v>
      </c>
      <c r="BX201" s="27">
        <v>39.4</v>
      </c>
      <c r="BY201" s="27">
        <v>39.29</v>
      </c>
    </row>
    <row r="202" spans="1:78" customFormat="1" ht="15.75" hidden="1" x14ac:dyDescent="0.3">
      <c r="A202" s="128" t="s">
        <v>395</v>
      </c>
      <c r="B202" s="129">
        <v>46122</v>
      </c>
      <c r="C202" s="128">
        <v>187</v>
      </c>
      <c r="D202" s="128" t="s">
        <v>415</v>
      </c>
      <c r="E202" s="130">
        <v>46123</v>
      </c>
      <c r="F202" s="128" t="s">
        <v>436</v>
      </c>
      <c r="G202" s="128" t="s">
        <v>437</v>
      </c>
      <c r="H202" s="128" t="s">
        <v>438</v>
      </c>
      <c r="I202" s="136"/>
      <c r="J202" s="128" t="s">
        <v>113</v>
      </c>
      <c r="K202" s="135">
        <v>0</v>
      </c>
      <c r="L202" s="129">
        <v>46122</v>
      </c>
      <c r="M202" s="136"/>
      <c r="N202" s="128">
        <v>30</v>
      </c>
      <c r="O202" s="130">
        <v>46122</v>
      </c>
      <c r="P202" s="135">
        <v>0</v>
      </c>
      <c r="Q202" s="135">
        <v>350</v>
      </c>
      <c r="R202" s="135">
        <v>330</v>
      </c>
      <c r="S202" s="135">
        <v>0</v>
      </c>
      <c r="T202" s="135">
        <v>680</v>
      </c>
      <c r="U202" s="135">
        <v>680</v>
      </c>
      <c r="V202" s="135">
        <v>0</v>
      </c>
      <c r="W202" s="148">
        <v>408</v>
      </c>
      <c r="X202" s="148">
        <v>414.9</v>
      </c>
      <c r="Y202" s="135">
        <v>2753276.48</v>
      </c>
      <c r="Z202" s="136"/>
      <c r="AA202" s="135">
        <v>68831.911999999997</v>
      </c>
      <c r="AB202" s="135">
        <v>68831.911999999997</v>
      </c>
      <c r="AC202" s="135">
        <v>2890940.3</v>
      </c>
      <c r="AD202" s="137">
        <f t="shared" si="101"/>
        <v>2888049.3596999999</v>
      </c>
      <c r="AE202" s="147">
        <v>39.72</v>
      </c>
      <c r="AF202" s="148">
        <v>39</v>
      </c>
      <c r="AG202" s="147">
        <v>39.9</v>
      </c>
      <c r="AH202" s="139">
        <v>4.4000000000000003E-3</v>
      </c>
      <c r="AI202" s="139">
        <v>4.1000000000000002E-2</v>
      </c>
      <c r="AJ202" s="139">
        <v>5.1999999999999998E-2</v>
      </c>
      <c r="AK202" s="137">
        <f t="shared" si="78"/>
        <v>0</v>
      </c>
      <c r="AL202" s="136"/>
      <c r="AM202" s="136"/>
      <c r="AN202" s="136">
        <v>715.14</v>
      </c>
      <c r="AO202" s="140">
        <f t="shared" si="79"/>
        <v>0</v>
      </c>
      <c r="AP202" s="136"/>
      <c r="AQ202" s="137">
        <v>0</v>
      </c>
      <c r="AR202" s="155">
        <f t="shared" si="94"/>
        <v>715.14</v>
      </c>
      <c r="AS202" s="155">
        <f t="shared" si="95"/>
        <v>751</v>
      </c>
      <c r="AT202" s="137">
        <v>0</v>
      </c>
      <c r="AU202" s="141"/>
      <c r="AV202" s="141"/>
      <c r="AW202" s="137">
        <f t="shared" si="82"/>
        <v>40800</v>
      </c>
      <c r="AX202" s="136"/>
      <c r="AY202" s="137">
        <f t="shared" si="96"/>
        <v>40800</v>
      </c>
      <c r="AZ202" s="137">
        <f t="shared" si="97"/>
        <v>41490</v>
      </c>
      <c r="BA202" s="142">
        <f t="shared" si="98"/>
        <v>-690</v>
      </c>
      <c r="BB202" s="137"/>
      <c r="BC202" s="137">
        <v>0</v>
      </c>
      <c r="BD202" s="142">
        <v>0</v>
      </c>
      <c r="BE202" s="135">
        <v>414.7</v>
      </c>
      <c r="BF202" s="143">
        <f t="shared" si="102"/>
        <v>0.62204999999999999</v>
      </c>
      <c r="BG202" s="143">
        <f t="shared" si="103"/>
        <v>414.07794999999999</v>
      </c>
      <c r="BH202" s="143">
        <f t="shared" si="104"/>
        <v>414.9</v>
      </c>
      <c r="BI202" s="144">
        <f t="shared" si="105"/>
        <v>-19.999999999998863</v>
      </c>
      <c r="BJ202" s="144">
        <v>0</v>
      </c>
      <c r="BK202" s="137">
        <f t="shared" si="106"/>
        <v>-19.999999999998863</v>
      </c>
      <c r="BL202" s="9"/>
      <c r="BM202" s="10" t="str">
        <f t="shared" si="91"/>
        <v>Unloading no. 187 Bill No 30 ,Deduction For Oil Deduction= 0 ,Bardana=  ,F.M=  Brokerage/Rate Difference 715.14 ,Shortage = 0 ,Greenish=  ,Moisture= 0</v>
      </c>
      <c r="BN202" s="9"/>
      <c r="BO202" s="13" t="str">
        <f t="shared" si="99"/>
        <v xml:space="preserve"> Party Condition 39  ,F.M% 0.44 ,Greenish 4.1 ,Moisture 5.2 ,Shortage in KG= 0  ,Oil% 39.72</v>
      </c>
      <c r="BP202" s="4">
        <f t="shared" si="100"/>
        <v>6634.2765485659193</v>
      </c>
      <c r="BQ202" s="7" t="str">
        <f t="shared" si="107"/>
        <v>39.72</v>
      </c>
      <c r="BR202" s="8">
        <f t="shared" si="108"/>
        <v>7015.0960483325434</v>
      </c>
      <c r="BS202" s="7" t="s">
        <v>62</v>
      </c>
      <c r="BT202" s="7" t="s">
        <v>63</v>
      </c>
      <c r="BX202" s="27">
        <v>39.72</v>
      </c>
      <c r="BY202" s="27">
        <v>39.9</v>
      </c>
    </row>
    <row r="203" spans="1:78" customFormat="1" ht="15.75" hidden="1" x14ac:dyDescent="0.3">
      <c r="A203" s="128" t="s">
        <v>396</v>
      </c>
      <c r="B203" s="129">
        <v>46122</v>
      </c>
      <c r="C203" s="128">
        <v>188</v>
      </c>
      <c r="D203" s="128" t="s">
        <v>416</v>
      </c>
      <c r="E203" s="130">
        <v>46123</v>
      </c>
      <c r="F203" s="128" t="s">
        <v>98</v>
      </c>
      <c r="G203" s="128" t="s">
        <v>99</v>
      </c>
      <c r="H203" s="128" t="s">
        <v>100</v>
      </c>
      <c r="I203" s="136"/>
      <c r="J203" s="128" t="s">
        <v>113</v>
      </c>
      <c r="K203" s="135">
        <v>0</v>
      </c>
      <c r="L203" s="129">
        <v>46122</v>
      </c>
      <c r="M203" s="136"/>
      <c r="N203" s="128">
        <v>45</v>
      </c>
      <c r="O203" s="130">
        <v>46123</v>
      </c>
      <c r="P203" s="135">
        <v>0</v>
      </c>
      <c r="Q203" s="135">
        <v>459</v>
      </c>
      <c r="R203" s="135">
        <v>0</v>
      </c>
      <c r="S203" s="135">
        <v>0</v>
      </c>
      <c r="T203" s="135">
        <v>459</v>
      </c>
      <c r="U203" s="135">
        <v>459</v>
      </c>
      <c r="V203" s="135">
        <v>0</v>
      </c>
      <c r="W203" s="148">
        <v>275.39999999999998</v>
      </c>
      <c r="X203" s="148">
        <v>278.89999999999998</v>
      </c>
      <c r="Y203" s="135">
        <v>1881967.01</v>
      </c>
      <c r="Z203" s="136"/>
      <c r="AA203" s="135">
        <v>47049.17525</v>
      </c>
      <c r="AB203" s="135">
        <v>47049.17525</v>
      </c>
      <c r="AC203" s="135">
        <v>1976065.36</v>
      </c>
      <c r="AD203" s="137">
        <f t="shared" si="101"/>
        <v>1974089.2946400002</v>
      </c>
      <c r="AE203" s="147">
        <v>39.619999999999997</v>
      </c>
      <c r="AF203" s="148">
        <v>39.119999999999997</v>
      </c>
      <c r="AG203" s="147">
        <v>39.58</v>
      </c>
      <c r="AH203" s="139">
        <v>4.3E-3</v>
      </c>
      <c r="AI203" s="139">
        <v>4.41E-2</v>
      </c>
      <c r="AJ203" s="139">
        <v>5.8999999999999997E-2</v>
      </c>
      <c r="AK203" s="137">
        <f t="shared" si="78"/>
        <v>0</v>
      </c>
      <c r="AL203" s="136">
        <f>459*0.5</f>
        <v>229.5</v>
      </c>
      <c r="AM203" s="136"/>
      <c r="AN203" s="136"/>
      <c r="AO203" s="140">
        <f t="shared" si="79"/>
        <v>0</v>
      </c>
      <c r="AP203" s="136"/>
      <c r="AQ203" s="137">
        <v>0</v>
      </c>
      <c r="AR203" s="155">
        <f t="shared" si="94"/>
        <v>229.5</v>
      </c>
      <c r="AS203" s="155">
        <f t="shared" si="95"/>
        <v>241</v>
      </c>
      <c r="AT203" s="137">
        <v>0</v>
      </c>
      <c r="AU203" s="141"/>
      <c r="AV203" s="141"/>
      <c r="AW203" s="137">
        <f t="shared" si="82"/>
        <v>27539.999999999996</v>
      </c>
      <c r="AX203" s="136"/>
      <c r="AY203" s="137">
        <f t="shared" si="96"/>
        <v>27539.999999999996</v>
      </c>
      <c r="AZ203" s="137">
        <f t="shared" si="97"/>
        <v>27889.999999999996</v>
      </c>
      <c r="BA203" s="142">
        <f t="shared" si="98"/>
        <v>-350</v>
      </c>
      <c r="BB203" s="137"/>
      <c r="BC203" s="137">
        <v>0</v>
      </c>
      <c r="BD203" s="142">
        <v>0</v>
      </c>
      <c r="BE203" s="135">
        <v>279.10000000000002</v>
      </c>
      <c r="BF203" s="143">
        <f t="shared" si="102"/>
        <v>0.41865000000000002</v>
      </c>
      <c r="BG203" s="143">
        <f t="shared" si="103"/>
        <v>278.68135000000001</v>
      </c>
      <c r="BH203" s="143">
        <f t="shared" si="104"/>
        <v>278.89999999999998</v>
      </c>
      <c r="BI203" s="144">
        <f t="shared" si="105"/>
        <v>20.000000000004547</v>
      </c>
      <c r="BJ203" s="144">
        <v>0</v>
      </c>
      <c r="BK203" s="137">
        <f t="shared" si="106"/>
        <v>20.000000000004547</v>
      </c>
      <c r="BL203" s="9"/>
      <c r="BM203" s="10" t="str">
        <f t="shared" si="91"/>
        <v>Unloading no. 188 Bill No 45 ,Deduction For Oil Deduction= 0 ,Bardana= 229.5 ,F.M=  Brokerage/Rate Difference  ,Shortage = 0 ,Greenish=  ,Moisture= 0</v>
      </c>
      <c r="BN203" s="9"/>
      <c r="BO203" s="13" t="str">
        <f t="shared" si="99"/>
        <v xml:space="preserve"> Party Condition 39.12  ,F.M% 0.43 ,Greenish 4.41 ,Moisture 5.9 ,Shortage in KG= 0  ,Oil% 39.58</v>
      </c>
      <c r="BP203" s="4">
        <f t="shared" si="100"/>
        <v>6746.9971674435292</v>
      </c>
      <c r="BQ203" s="7" t="str">
        <f t="shared" si="107"/>
        <v>39.58</v>
      </c>
      <c r="BR203" s="8">
        <f t="shared" si="108"/>
        <v>7159.5220068880308</v>
      </c>
      <c r="BS203" s="7" t="s">
        <v>62</v>
      </c>
      <c r="BT203" s="7" t="s">
        <v>63</v>
      </c>
      <c r="BX203" s="27">
        <v>39.619999999999997</v>
      </c>
      <c r="BY203" s="27">
        <v>39.58</v>
      </c>
    </row>
    <row r="204" spans="1:78" customFormat="1" ht="15.75" hidden="1" x14ac:dyDescent="0.3">
      <c r="A204" s="128" t="s">
        <v>397</v>
      </c>
      <c r="B204" s="129">
        <v>46122</v>
      </c>
      <c r="C204" s="128">
        <v>189</v>
      </c>
      <c r="D204" s="128" t="s">
        <v>417</v>
      </c>
      <c r="E204" s="130">
        <v>46124</v>
      </c>
      <c r="F204" s="128" t="s">
        <v>110</v>
      </c>
      <c r="G204" s="128" t="s">
        <v>111</v>
      </c>
      <c r="H204" s="128" t="s">
        <v>112</v>
      </c>
      <c r="I204" s="136"/>
      <c r="J204" s="128" t="s">
        <v>113</v>
      </c>
      <c r="K204" s="135">
        <v>0</v>
      </c>
      <c r="L204" s="129">
        <v>46122</v>
      </c>
      <c r="M204" s="136"/>
      <c r="N204" s="128" t="s">
        <v>440</v>
      </c>
      <c r="O204" s="130">
        <v>46122</v>
      </c>
      <c r="P204" s="135">
        <v>0</v>
      </c>
      <c r="Q204" s="135">
        <v>600</v>
      </c>
      <c r="R204" s="135">
        <v>198</v>
      </c>
      <c r="S204" s="135">
        <v>0</v>
      </c>
      <c r="T204" s="135">
        <v>798</v>
      </c>
      <c r="U204" s="135">
        <v>798</v>
      </c>
      <c r="V204" s="135">
        <v>0</v>
      </c>
      <c r="W204" s="135">
        <v>478.197</v>
      </c>
      <c r="X204" s="135">
        <v>487.1</v>
      </c>
      <c r="Y204" s="135">
        <v>3303400.8</v>
      </c>
      <c r="Z204" s="136"/>
      <c r="AA204" s="135">
        <v>82585.02</v>
      </c>
      <c r="AB204" s="135">
        <v>82585.02</v>
      </c>
      <c r="AC204" s="135">
        <v>3468570.84</v>
      </c>
      <c r="AD204" s="137">
        <f t="shared" si="101"/>
        <v>3465102.2691599997</v>
      </c>
      <c r="AE204" s="147">
        <v>41.05</v>
      </c>
      <c r="AF204" s="148">
        <v>39.74</v>
      </c>
      <c r="AG204" s="147">
        <v>41.29</v>
      </c>
      <c r="AH204" s="139">
        <v>5.0000000000000001E-3</v>
      </c>
      <c r="AI204" s="139">
        <v>4.1200000000000001E-2</v>
      </c>
      <c r="AJ204" s="139">
        <v>5.5E-2</v>
      </c>
      <c r="AK204" s="137">
        <f t="shared" si="78"/>
        <v>0</v>
      </c>
      <c r="AL204" s="136"/>
      <c r="AM204" s="136"/>
      <c r="AN204" s="136"/>
      <c r="AO204" s="140">
        <f t="shared" ref="AO204:AO222" si="109">AT204*Y204/AW204</f>
        <v>0</v>
      </c>
      <c r="AP204" s="136"/>
      <c r="AQ204" s="137">
        <v>0</v>
      </c>
      <c r="AR204" s="155">
        <f t="shared" ref="AR204:AR222" si="110">SUM(AK204:AQ204)</f>
        <v>0</v>
      </c>
      <c r="AS204" s="137">
        <f t="shared" ref="AS204:AS222" si="111">ROUND(AR204*1.05,0)</f>
        <v>0</v>
      </c>
      <c r="AT204" s="137">
        <v>0</v>
      </c>
      <c r="AU204" s="141"/>
      <c r="AV204" s="141"/>
      <c r="AW204" s="137">
        <f t="shared" si="82"/>
        <v>47819.7</v>
      </c>
      <c r="AX204" s="136"/>
      <c r="AY204" s="137">
        <f t="shared" ref="AY204:AY222" si="112">+AW204+AX204</f>
        <v>47819.7</v>
      </c>
      <c r="AZ204" s="137">
        <f t="shared" ref="AZ204:AZ222" si="113">X204*100</f>
        <v>48710</v>
      </c>
      <c r="BA204" s="142">
        <f t="shared" ref="BA204:BA222" si="114">AY204-AZ204</f>
        <v>-890.30000000000291</v>
      </c>
      <c r="BB204" s="137"/>
      <c r="BC204" s="137">
        <v>0</v>
      </c>
      <c r="BD204" s="142">
        <v>0</v>
      </c>
      <c r="BE204" s="135">
        <v>487.1</v>
      </c>
      <c r="BF204" s="143">
        <f t="shared" ref="BF204:BF222" si="115">+BE204*0.15/100</f>
        <v>0.73065000000000002</v>
      </c>
      <c r="BG204" s="143">
        <f t="shared" ref="BG204:BG222" si="116">BE204-BF204</f>
        <v>486.36935</v>
      </c>
      <c r="BH204" s="143">
        <f t="shared" ref="BH204:BH222" si="117">X204</f>
        <v>487.1</v>
      </c>
      <c r="BI204" s="144">
        <f t="shared" ref="BI204:BI222" si="118">(BE204-BH204)*100</f>
        <v>0</v>
      </c>
      <c r="BJ204" s="144">
        <v>0</v>
      </c>
      <c r="BK204" s="137">
        <f t="shared" ref="BK204:BK222" si="119">BI204</f>
        <v>0</v>
      </c>
      <c r="BL204" s="9"/>
      <c r="BM204" s="10" t="str">
        <f t="shared" si="91"/>
        <v>Unloading no. 189 Bill No G1646 ,Deduction For Oil Deduction= 0 ,Bardana=  ,F.M=  Brokerage/Rate Difference  ,Shortage = 0 ,Greenish=  ,Moisture= 0</v>
      </c>
      <c r="BN204" s="9"/>
      <c r="BO204" s="13" t="str">
        <f t="shared" si="99"/>
        <v xml:space="preserve"> Party Condition 39.74  ,F.M% 0.5 ,Greenish 4.12 ,Moisture 5.5 ,Shortage in KG= 0  ,Oil% 41.05</v>
      </c>
      <c r="BP204" s="4">
        <f t="shared" si="100"/>
        <v>6781.7712995278171</v>
      </c>
      <c r="BX204" s="27">
        <v>41.05</v>
      </c>
      <c r="BY204" s="27">
        <v>41.29</v>
      </c>
    </row>
    <row r="205" spans="1:78" customFormat="1" ht="15.75" hidden="1" x14ac:dyDescent="0.3">
      <c r="A205" s="128" t="s">
        <v>398</v>
      </c>
      <c r="B205" s="129">
        <v>46122</v>
      </c>
      <c r="C205" s="128">
        <v>190</v>
      </c>
      <c r="D205" s="128" t="s">
        <v>418</v>
      </c>
      <c r="E205" s="130">
        <v>46124</v>
      </c>
      <c r="F205" s="128" t="s">
        <v>98</v>
      </c>
      <c r="G205" s="128" t="s">
        <v>99</v>
      </c>
      <c r="H205" s="128" t="s">
        <v>100</v>
      </c>
      <c r="I205" s="136"/>
      <c r="J205" s="128" t="s">
        <v>113</v>
      </c>
      <c r="K205" s="135">
        <v>0</v>
      </c>
      <c r="L205" s="129">
        <v>46122</v>
      </c>
      <c r="M205" s="136"/>
      <c r="N205" s="128">
        <v>46</v>
      </c>
      <c r="O205" s="130">
        <v>46123</v>
      </c>
      <c r="P205" s="135">
        <v>0</v>
      </c>
      <c r="Q205" s="135">
        <v>400</v>
      </c>
      <c r="R205" s="135">
        <v>94</v>
      </c>
      <c r="S205" s="135">
        <v>0</v>
      </c>
      <c r="T205" s="135">
        <v>494</v>
      </c>
      <c r="U205" s="135">
        <v>494</v>
      </c>
      <c r="V205" s="135">
        <v>0</v>
      </c>
      <c r="W205" s="135">
        <v>296.39999999999998</v>
      </c>
      <c r="X205" s="135">
        <v>299.8</v>
      </c>
      <c r="Y205" s="135">
        <v>2033077.75</v>
      </c>
      <c r="Z205" s="136"/>
      <c r="AA205" s="135">
        <v>50826.943749999999</v>
      </c>
      <c r="AB205" s="135">
        <v>50826.943749999999</v>
      </c>
      <c r="AC205" s="135">
        <v>2134731.64</v>
      </c>
      <c r="AD205" s="137">
        <f t="shared" si="101"/>
        <v>2132596.9083600002</v>
      </c>
      <c r="AE205" s="147">
        <v>39.57</v>
      </c>
      <c r="AF205" s="148">
        <v>39.04</v>
      </c>
      <c r="AG205" s="147">
        <v>39.85</v>
      </c>
      <c r="AH205" s="139">
        <v>4.5999999999999999E-3</v>
      </c>
      <c r="AI205" s="139">
        <v>0.05</v>
      </c>
      <c r="AJ205" s="139">
        <v>6.0999999999999999E-2</v>
      </c>
      <c r="AK205" s="137">
        <f t="shared" si="78"/>
        <v>0</v>
      </c>
      <c r="AL205" s="136">
        <f>494*0.5</f>
        <v>247</v>
      </c>
      <c r="AM205" s="136"/>
      <c r="AN205" s="136"/>
      <c r="AO205" s="140">
        <f t="shared" si="109"/>
        <v>1440.4397014170042</v>
      </c>
      <c r="AP205" s="136"/>
      <c r="AQ205" s="137">
        <v>0</v>
      </c>
      <c r="AR205" s="155">
        <f t="shared" si="110"/>
        <v>1687.4397014170042</v>
      </c>
      <c r="AS205" s="155">
        <f t="shared" si="111"/>
        <v>1772</v>
      </c>
      <c r="AT205" s="137">
        <v>21</v>
      </c>
      <c r="AU205" s="141"/>
      <c r="AV205" s="141"/>
      <c r="AW205" s="137">
        <f t="shared" si="82"/>
        <v>29639.999999999996</v>
      </c>
      <c r="AX205" s="136"/>
      <c r="AY205" s="137">
        <f t="shared" si="112"/>
        <v>29639.999999999996</v>
      </c>
      <c r="AZ205" s="137">
        <f t="shared" si="113"/>
        <v>29980</v>
      </c>
      <c r="BA205" s="142">
        <f t="shared" si="114"/>
        <v>-340.00000000000364</v>
      </c>
      <c r="BB205" s="137"/>
      <c r="BC205" s="137">
        <v>0</v>
      </c>
      <c r="BD205" s="142">
        <v>0</v>
      </c>
      <c r="BE205" s="135">
        <v>300.10000000000002</v>
      </c>
      <c r="BF205" s="143">
        <f t="shared" si="115"/>
        <v>0.45014999999999999</v>
      </c>
      <c r="BG205" s="143">
        <f t="shared" si="116"/>
        <v>299.64985000000001</v>
      </c>
      <c r="BH205" s="143">
        <f t="shared" si="117"/>
        <v>299.8</v>
      </c>
      <c r="BI205" s="144">
        <f t="shared" si="118"/>
        <v>30.000000000001137</v>
      </c>
      <c r="BJ205" s="144">
        <v>0</v>
      </c>
      <c r="BK205" s="137">
        <f t="shared" si="119"/>
        <v>30.000000000001137</v>
      </c>
      <c r="BL205" s="9"/>
      <c r="BM205" s="10" t="str">
        <f t="shared" si="91"/>
        <v>Unloading no. 190 Bill No 46 ,Deduction For Oil Deduction= 0 ,Bardana= 247 ,F.M=  Brokerage/Rate Difference  ,Shortage = 1440.439701417 ,Greenish=  ,Moisture= 0</v>
      </c>
      <c r="BN205" s="9"/>
      <c r="BO205" s="13" t="str">
        <f t="shared" si="99"/>
        <v xml:space="preserve"> Party Condition 39.04  ,F.M% 0.46 ,Greenish 5 ,Moisture 6.1 ,Shortage in KG= 21  ,Oil% 39.57</v>
      </c>
      <c r="BP205" s="4">
        <f t="shared" si="100"/>
        <v>6775.8182464929387</v>
      </c>
      <c r="BX205" s="27">
        <v>39.57</v>
      </c>
      <c r="BY205" s="27">
        <v>39.85</v>
      </c>
    </row>
    <row r="206" spans="1:78" customFormat="1" ht="15.75" hidden="1" x14ac:dyDescent="0.3">
      <c r="A206" s="128" t="s">
        <v>399</v>
      </c>
      <c r="B206" s="129">
        <v>46122</v>
      </c>
      <c r="C206" s="128">
        <v>191</v>
      </c>
      <c r="D206" s="128" t="s">
        <v>419</v>
      </c>
      <c r="E206" s="130">
        <v>46124</v>
      </c>
      <c r="F206" s="128" t="s">
        <v>200</v>
      </c>
      <c r="G206" s="128" t="s">
        <v>201</v>
      </c>
      <c r="H206" s="128" t="s">
        <v>202</v>
      </c>
      <c r="I206" s="136"/>
      <c r="J206" s="128" t="s">
        <v>113</v>
      </c>
      <c r="K206" s="135">
        <v>0</v>
      </c>
      <c r="L206" s="129">
        <v>46122</v>
      </c>
      <c r="M206" s="136"/>
      <c r="N206" s="128">
        <v>30</v>
      </c>
      <c r="O206" s="130">
        <v>46122</v>
      </c>
      <c r="P206" s="135">
        <v>0</v>
      </c>
      <c r="Q206" s="135">
        <v>34</v>
      </c>
      <c r="R206" s="135">
        <v>440</v>
      </c>
      <c r="S206" s="135">
        <v>0</v>
      </c>
      <c r="T206" s="135">
        <v>474</v>
      </c>
      <c r="U206" s="135">
        <v>474</v>
      </c>
      <c r="V206" s="135">
        <v>0</v>
      </c>
      <c r="W206" s="135">
        <v>284.39999999999998</v>
      </c>
      <c r="X206" s="135">
        <v>288.7</v>
      </c>
      <c r="Y206" s="135">
        <v>1956607.54</v>
      </c>
      <c r="Z206" s="136"/>
      <c r="AA206" s="135">
        <v>48915.188499999997</v>
      </c>
      <c r="AB206" s="135">
        <v>48915.188499999997</v>
      </c>
      <c r="AC206" s="135">
        <v>2054437.92</v>
      </c>
      <c r="AD206" s="137">
        <f t="shared" si="101"/>
        <v>2052383.48208</v>
      </c>
      <c r="AE206" s="147">
        <v>40.22</v>
      </c>
      <c r="AF206" s="148">
        <v>39.299999999999997</v>
      </c>
      <c r="AG206" s="147">
        <v>40.4</v>
      </c>
      <c r="AH206" s="139">
        <v>3.8E-3</v>
      </c>
      <c r="AI206" s="139">
        <v>0.04</v>
      </c>
      <c r="AJ206" s="139">
        <v>5.3999999999999999E-2</v>
      </c>
      <c r="AK206" s="137">
        <f t="shared" si="78"/>
        <v>0</v>
      </c>
      <c r="AL206" s="136"/>
      <c r="AM206" s="136"/>
      <c r="AN206" s="136"/>
      <c r="AO206" s="140">
        <f t="shared" si="109"/>
        <v>0</v>
      </c>
      <c r="AP206" s="136"/>
      <c r="AQ206" s="137">
        <v>0</v>
      </c>
      <c r="AR206" s="155">
        <f t="shared" si="110"/>
        <v>0</v>
      </c>
      <c r="AS206" s="137">
        <f t="shared" si="111"/>
        <v>0</v>
      </c>
      <c r="AT206" s="137">
        <v>0</v>
      </c>
      <c r="AU206" s="141"/>
      <c r="AV206" s="141"/>
      <c r="AW206" s="137">
        <f t="shared" si="82"/>
        <v>28439.999999999996</v>
      </c>
      <c r="AX206" s="136"/>
      <c r="AY206" s="137">
        <f t="shared" si="112"/>
        <v>28439.999999999996</v>
      </c>
      <c r="AZ206" s="137">
        <f t="shared" si="113"/>
        <v>28870</v>
      </c>
      <c r="BA206" s="142">
        <f t="shared" si="114"/>
        <v>-430.00000000000364</v>
      </c>
      <c r="BB206" s="137"/>
      <c r="BC206" s="137">
        <v>0</v>
      </c>
      <c r="BD206" s="142">
        <v>0</v>
      </c>
      <c r="BE206" s="135">
        <v>289.35000000000002</v>
      </c>
      <c r="BF206" s="143">
        <f t="shared" si="115"/>
        <v>0.43402500000000005</v>
      </c>
      <c r="BG206" s="143">
        <f t="shared" si="116"/>
        <v>288.915975</v>
      </c>
      <c r="BH206" s="143">
        <f t="shared" si="117"/>
        <v>288.7</v>
      </c>
      <c r="BI206" s="144">
        <f t="shared" si="118"/>
        <v>65.000000000003411</v>
      </c>
      <c r="BJ206" s="144">
        <v>0</v>
      </c>
      <c r="BK206" s="137">
        <f t="shared" si="119"/>
        <v>65.000000000003411</v>
      </c>
      <c r="BL206" s="9"/>
      <c r="BM206" s="10" t="str">
        <f t="shared" si="91"/>
        <v>Unloading no. 191 Bill No 30 ,Deduction For Oil Deduction= 0 ,Bardana=  ,F.M=  Brokerage/Rate Difference  ,Shortage = 0 ,Greenish=  ,Moisture= 0</v>
      </c>
      <c r="BN206" s="9"/>
      <c r="BO206" s="13" t="str">
        <f t="shared" si="99"/>
        <v xml:space="preserve"> Party Condition 39.3  ,F.M% 0.38 ,Greenish 4 ,Moisture 5.4 ,Shortage in KG= 0  ,Oil% 40.22</v>
      </c>
      <c r="BP206" s="4">
        <f t="shared" si="100"/>
        <v>6777.3035677173539</v>
      </c>
      <c r="BX206" s="27">
        <v>40.22</v>
      </c>
      <c r="BY206" s="27">
        <v>40.4</v>
      </c>
    </row>
    <row r="207" spans="1:78" customFormat="1" ht="15.75" hidden="1" x14ac:dyDescent="0.3">
      <c r="A207" s="128" t="s">
        <v>399</v>
      </c>
      <c r="B207" s="129">
        <v>46122</v>
      </c>
      <c r="C207" s="128">
        <v>192</v>
      </c>
      <c r="D207" s="128" t="s">
        <v>420</v>
      </c>
      <c r="E207" s="130">
        <v>46124</v>
      </c>
      <c r="F207" s="128" t="s">
        <v>200</v>
      </c>
      <c r="G207" s="128" t="s">
        <v>201</v>
      </c>
      <c r="H207" s="128" t="s">
        <v>202</v>
      </c>
      <c r="I207" s="136"/>
      <c r="J207" s="128" t="s">
        <v>113</v>
      </c>
      <c r="K207" s="135">
        <v>0</v>
      </c>
      <c r="L207" s="129">
        <v>46122</v>
      </c>
      <c r="M207" s="136"/>
      <c r="N207" s="128">
        <v>29</v>
      </c>
      <c r="O207" s="130">
        <v>46122</v>
      </c>
      <c r="P207" s="135">
        <v>0</v>
      </c>
      <c r="Q207" s="135">
        <v>90</v>
      </c>
      <c r="R207" s="135">
        <v>393</v>
      </c>
      <c r="S207" s="135">
        <v>0</v>
      </c>
      <c r="T207" s="135">
        <v>483</v>
      </c>
      <c r="U207" s="135">
        <v>483</v>
      </c>
      <c r="V207" s="135">
        <v>0</v>
      </c>
      <c r="W207" s="135">
        <v>289.8</v>
      </c>
      <c r="X207" s="135">
        <v>294.39999999999998</v>
      </c>
      <c r="Y207" s="135">
        <v>1993758.31</v>
      </c>
      <c r="Z207" s="136"/>
      <c r="AA207" s="135">
        <v>49843.957750000001</v>
      </c>
      <c r="AB207" s="135">
        <v>49843.957750000001</v>
      </c>
      <c r="AC207" s="135">
        <v>2093446.23</v>
      </c>
      <c r="AD207" s="137">
        <f t="shared" si="101"/>
        <v>2091352.7837700001</v>
      </c>
      <c r="AE207" s="147">
        <v>39.700000000000003</v>
      </c>
      <c r="AF207" s="148">
        <v>39.299999999999997</v>
      </c>
      <c r="AG207" s="147">
        <v>39.950000000000003</v>
      </c>
      <c r="AH207" s="139">
        <v>3.8E-3</v>
      </c>
      <c r="AI207" s="139">
        <v>3.5000000000000003E-2</v>
      </c>
      <c r="AJ207" s="139">
        <v>5.5E-2</v>
      </c>
      <c r="AK207" s="137">
        <f t="shared" si="78"/>
        <v>0</v>
      </c>
      <c r="AL207" s="136"/>
      <c r="AM207" s="136"/>
      <c r="AN207" s="136"/>
      <c r="AO207" s="140">
        <f t="shared" si="109"/>
        <v>0</v>
      </c>
      <c r="AP207" s="136"/>
      <c r="AQ207" s="137">
        <v>0</v>
      </c>
      <c r="AR207" s="155">
        <f t="shared" si="110"/>
        <v>0</v>
      </c>
      <c r="AS207" s="137">
        <f t="shared" si="111"/>
        <v>0</v>
      </c>
      <c r="AT207" s="137">
        <v>0</v>
      </c>
      <c r="AU207" s="141"/>
      <c r="AV207" s="141"/>
      <c r="AW207" s="137">
        <f t="shared" si="82"/>
        <v>28980</v>
      </c>
      <c r="AX207" s="136"/>
      <c r="AY207" s="137">
        <f t="shared" si="112"/>
        <v>28980</v>
      </c>
      <c r="AZ207" s="137">
        <f t="shared" si="113"/>
        <v>29439.999999999996</v>
      </c>
      <c r="BA207" s="142">
        <f t="shared" si="114"/>
        <v>-459.99999999999636</v>
      </c>
      <c r="BB207" s="137"/>
      <c r="BC207" s="137">
        <v>0</v>
      </c>
      <c r="BD207" s="142">
        <v>0</v>
      </c>
      <c r="BE207" s="135">
        <v>295</v>
      </c>
      <c r="BF207" s="143">
        <f t="shared" si="115"/>
        <v>0.4425</v>
      </c>
      <c r="BG207" s="143">
        <f t="shared" si="116"/>
        <v>294.5575</v>
      </c>
      <c r="BH207" s="143">
        <f t="shared" si="117"/>
        <v>294.39999999999998</v>
      </c>
      <c r="BI207" s="144">
        <f t="shared" si="118"/>
        <v>60.000000000002274</v>
      </c>
      <c r="BJ207" s="144">
        <v>0</v>
      </c>
      <c r="BK207" s="137">
        <f t="shared" si="119"/>
        <v>60.000000000002274</v>
      </c>
      <c r="BL207" s="9"/>
      <c r="BM207" s="10" t="str">
        <f t="shared" si="91"/>
        <v>Unloading no. 192 Bill No 29 ,Deduction For Oil Deduction= 0 ,Bardana=  ,F.M=  Brokerage/Rate Difference  ,Shortage = 0 ,Greenish=  ,Moisture= 0</v>
      </c>
      <c r="BN207" s="9"/>
      <c r="BO207" s="13" t="str">
        <f t="shared" si="99"/>
        <v xml:space="preserve"> Party Condition 39.3  ,F.M% 0.38 ,Greenish 3.5 ,Moisture 5.5 ,Shortage in KG= 0  ,Oil% 39.7</v>
      </c>
      <c r="BP207" s="4">
        <f t="shared" si="100"/>
        <v>6772.2768682065225</v>
      </c>
      <c r="BX207" s="27">
        <v>39.700000000000003</v>
      </c>
      <c r="BY207" s="27">
        <v>39.950000000000003</v>
      </c>
    </row>
    <row r="208" spans="1:78" customFormat="1" ht="15.75" hidden="1" x14ac:dyDescent="0.3">
      <c r="A208" s="128" t="s">
        <v>400</v>
      </c>
      <c r="B208" s="129">
        <v>46122</v>
      </c>
      <c r="C208" s="128">
        <v>193</v>
      </c>
      <c r="D208" s="128" t="s">
        <v>421</v>
      </c>
      <c r="E208" s="130">
        <v>46124</v>
      </c>
      <c r="F208" s="128" t="s">
        <v>101</v>
      </c>
      <c r="G208" s="128" t="s">
        <v>102</v>
      </c>
      <c r="H208" s="128" t="s">
        <v>103</v>
      </c>
      <c r="I208" s="136"/>
      <c r="J208" s="128" t="s">
        <v>113</v>
      </c>
      <c r="K208" s="135">
        <v>0</v>
      </c>
      <c r="L208" s="129">
        <v>46122</v>
      </c>
      <c r="M208" s="136"/>
      <c r="N208" s="128" t="s">
        <v>441</v>
      </c>
      <c r="O208" s="130">
        <v>46123</v>
      </c>
      <c r="P208" s="135">
        <v>0</v>
      </c>
      <c r="Q208" s="135">
        <v>600</v>
      </c>
      <c r="R208" s="135">
        <v>198</v>
      </c>
      <c r="S208" s="135">
        <v>0</v>
      </c>
      <c r="T208" s="135">
        <v>798</v>
      </c>
      <c r="U208" s="135">
        <v>798</v>
      </c>
      <c r="V208" s="135">
        <v>0</v>
      </c>
      <c r="W208" s="135">
        <v>478.8</v>
      </c>
      <c r="X208" s="135">
        <v>485.3</v>
      </c>
      <c r="Y208" s="135">
        <v>3300887.1</v>
      </c>
      <c r="Z208" s="136"/>
      <c r="AA208" s="135">
        <v>82522.177500000005</v>
      </c>
      <c r="AB208" s="135">
        <v>82522.177500000005</v>
      </c>
      <c r="AC208" s="135">
        <v>3465931.46</v>
      </c>
      <c r="AD208" s="137">
        <f t="shared" si="101"/>
        <v>3462465.5285399999</v>
      </c>
      <c r="AE208" s="147">
        <v>39.549999999999997</v>
      </c>
      <c r="AF208" s="148">
        <v>39.4</v>
      </c>
      <c r="AG208" s="147">
        <v>39.81</v>
      </c>
      <c r="AH208" s="139">
        <v>4.7000000000000002E-3</v>
      </c>
      <c r="AI208" s="139">
        <v>3.9E-2</v>
      </c>
      <c r="AJ208" s="139">
        <v>5.8000000000000003E-2</v>
      </c>
      <c r="AK208" s="137">
        <f t="shared" si="78"/>
        <v>0</v>
      </c>
      <c r="AL208" s="136"/>
      <c r="AM208" s="136"/>
      <c r="AN208" s="136"/>
      <c r="AO208" s="140">
        <f t="shared" si="109"/>
        <v>0</v>
      </c>
      <c r="AP208" s="136"/>
      <c r="AQ208" s="137">
        <v>0</v>
      </c>
      <c r="AR208" s="155">
        <f t="shared" si="110"/>
        <v>0</v>
      </c>
      <c r="AS208" s="137">
        <f t="shared" si="111"/>
        <v>0</v>
      </c>
      <c r="AT208" s="137">
        <v>0</v>
      </c>
      <c r="AU208" s="141"/>
      <c r="AV208" s="141"/>
      <c r="AW208" s="137">
        <f t="shared" si="82"/>
        <v>47880</v>
      </c>
      <c r="AX208" s="136"/>
      <c r="AY208" s="137">
        <f t="shared" si="112"/>
        <v>47880</v>
      </c>
      <c r="AZ208" s="137">
        <f t="shared" si="113"/>
        <v>48530</v>
      </c>
      <c r="BA208" s="142">
        <f t="shared" si="114"/>
        <v>-650</v>
      </c>
      <c r="BB208" s="137"/>
      <c r="BC208" s="137">
        <v>0</v>
      </c>
      <c r="BD208" s="142">
        <v>0</v>
      </c>
      <c r="BE208" s="135">
        <v>485.6</v>
      </c>
      <c r="BF208" s="143">
        <f t="shared" si="115"/>
        <v>0.72840000000000005</v>
      </c>
      <c r="BG208" s="143">
        <f t="shared" si="116"/>
        <v>484.8716</v>
      </c>
      <c r="BH208" s="143">
        <f t="shared" si="117"/>
        <v>485.3</v>
      </c>
      <c r="BI208" s="144">
        <f t="shared" si="118"/>
        <v>30.000000000001137</v>
      </c>
      <c r="BJ208" s="144">
        <v>0</v>
      </c>
      <c r="BK208" s="137">
        <f t="shared" si="119"/>
        <v>30.000000000001137</v>
      </c>
      <c r="BL208" s="9"/>
      <c r="BM208" s="10" t="str">
        <f t="shared" si="91"/>
        <v>Unloading no. 193 Bill No L/PB/26-27/28 ,Deduction For Oil Deduction= 0 ,Bardana=  ,F.M=  Brokerage/Rate Difference  ,Shortage = 0 ,Greenish=  ,Moisture= 0</v>
      </c>
      <c r="BN208" s="9"/>
      <c r="BO208" s="13" t="str">
        <f t="shared" si="99"/>
        <v xml:space="preserve"> Party Condition 39.4  ,F.M% 0.47 ,Greenish 3.9 ,Moisture 5.8 ,Shortage in KG= 0  ,Oil% 39.55</v>
      </c>
      <c r="BP208" s="4">
        <f t="shared" si="100"/>
        <v>6801.7455182361427</v>
      </c>
      <c r="BX208" s="27">
        <v>39.549999999999997</v>
      </c>
      <c r="BY208" s="27">
        <v>39.81</v>
      </c>
    </row>
    <row r="209" spans="1:77" customFormat="1" ht="15.75" hidden="1" x14ac:dyDescent="0.3">
      <c r="A209" s="163" t="s">
        <v>400</v>
      </c>
      <c r="B209" s="162">
        <v>46122</v>
      </c>
      <c r="C209" s="163">
        <v>194</v>
      </c>
      <c r="D209" s="163" t="s">
        <v>422</v>
      </c>
      <c r="E209" s="166">
        <v>46124</v>
      </c>
      <c r="F209" s="163" t="s">
        <v>101</v>
      </c>
      <c r="G209" s="163" t="s">
        <v>102</v>
      </c>
      <c r="H209" s="163" t="s">
        <v>103</v>
      </c>
      <c r="I209" s="157"/>
      <c r="J209" s="163" t="s">
        <v>113</v>
      </c>
      <c r="K209" s="164">
        <v>0</v>
      </c>
      <c r="L209" s="162">
        <v>46122</v>
      </c>
      <c r="M209" s="157"/>
      <c r="N209" s="163" t="s">
        <v>442</v>
      </c>
      <c r="O209" s="166">
        <v>46123</v>
      </c>
      <c r="P209" s="164">
        <v>0</v>
      </c>
      <c r="Q209" s="164">
        <v>390</v>
      </c>
      <c r="R209" s="164">
        <v>109</v>
      </c>
      <c r="S209" s="164">
        <v>0</v>
      </c>
      <c r="T209" s="164">
        <v>499</v>
      </c>
      <c r="U209" s="164">
        <v>499</v>
      </c>
      <c r="V209" s="164">
        <v>0</v>
      </c>
      <c r="W209" s="164">
        <v>299.39999999999998</v>
      </c>
      <c r="X209" s="135">
        <v>303.39999999999998</v>
      </c>
      <c r="Y209" s="135">
        <v>2064088.55</v>
      </c>
      <c r="Z209" s="136"/>
      <c r="AA209" s="135">
        <v>51602.213750000003</v>
      </c>
      <c r="AB209" s="135">
        <v>51602.213750000003</v>
      </c>
      <c r="AC209" s="135">
        <v>2167292.98</v>
      </c>
      <c r="AD209" s="137">
        <f t="shared" si="101"/>
        <v>2165125.6870200001</v>
      </c>
      <c r="AE209" s="147">
        <v>39.979999999999997</v>
      </c>
      <c r="AF209" s="148">
        <v>39.4</v>
      </c>
      <c r="AG209" s="147">
        <v>40.25</v>
      </c>
      <c r="AH209" s="139">
        <v>4.1000000000000003E-3</v>
      </c>
      <c r="AI209" s="139">
        <v>3.9199999999999999E-2</v>
      </c>
      <c r="AJ209" s="139">
        <v>5.5E-2</v>
      </c>
      <c r="AK209" s="137">
        <f t="shared" si="78"/>
        <v>0</v>
      </c>
      <c r="AL209" s="136"/>
      <c r="AM209" s="136"/>
      <c r="AN209" s="136"/>
      <c r="AO209" s="140">
        <f t="shared" si="109"/>
        <v>0</v>
      </c>
      <c r="AP209" s="136"/>
      <c r="AQ209" s="137">
        <v>0</v>
      </c>
      <c r="AR209" s="155">
        <f t="shared" si="110"/>
        <v>0</v>
      </c>
      <c r="AS209" s="137">
        <f t="shared" si="111"/>
        <v>0</v>
      </c>
      <c r="AT209" s="137">
        <v>0</v>
      </c>
      <c r="AU209" s="141"/>
      <c r="AV209" s="141"/>
      <c r="AW209" s="137">
        <f t="shared" si="82"/>
        <v>29939.999999999996</v>
      </c>
      <c r="AX209" s="136"/>
      <c r="AY209" s="137">
        <f t="shared" si="112"/>
        <v>29939.999999999996</v>
      </c>
      <c r="AZ209" s="137">
        <f t="shared" si="113"/>
        <v>30339.999999999996</v>
      </c>
      <c r="BA209" s="142">
        <f t="shared" si="114"/>
        <v>-400</v>
      </c>
      <c r="BB209" s="137"/>
      <c r="BC209" s="137">
        <v>0</v>
      </c>
      <c r="BD209" s="142">
        <v>0</v>
      </c>
      <c r="BE209" s="135">
        <v>303.3</v>
      </c>
      <c r="BF209" s="143">
        <f t="shared" si="115"/>
        <v>0.45494999999999997</v>
      </c>
      <c r="BG209" s="143">
        <f t="shared" si="116"/>
        <v>302.84505000000001</v>
      </c>
      <c r="BH209" s="143">
        <f t="shared" si="117"/>
        <v>303.39999999999998</v>
      </c>
      <c r="BI209" s="144">
        <f t="shared" si="118"/>
        <v>-9.9999999999965894</v>
      </c>
      <c r="BJ209" s="144">
        <v>0</v>
      </c>
      <c r="BK209" s="137">
        <f t="shared" si="119"/>
        <v>-9.9999999999965894</v>
      </c>
      <c r="BL209" s="9"/>
      <c r="BM209" s="10" t="str">
        <f t="shared" si="91"/>
        <v>Unloading no. 194 Bill No L/PB/26/27/27 ,Deduction For Oil Deduction= 0 ,Bardana=  ,F.M=  Brokerage/Rate Difference  ,Shortage = 0 ,Greenish=  ,Moisture= 0</v>
      </c>
      <c r="BN209" s="9"/>
      <c r="BO209" s="13" t="str">
        <f t="shared" si="99"/>
        <v xml:space="preserve"> Party Condition 39.4  ,F.M% 0.41 ,Greenish 3.92 ,Moisture 5.5 ,Shortage in KG= 0  ,Oil% 39.98</v>
      </c>
      <c r="BP209" s="4">
        <f t="shared" si="100"/>
        <v>6803.1923203691504</v>
      </c>
      <c r="BX209" s="27">
        <v>39.979999999999997</v>
      </c>
      <c r="BY209" s="27">
        <v>40.25</v>
      </c>
    </row>
    <row r="210" spans="1:77" customFormat="1" ht="15.75" hidden="1" x14ac:dyDescent="0.3">
      <c r="A210" s="163" t="s">
        <v>401</v>
      </c>
      <c r="B210" s="162">
        <v>46122</v>
      </c>
      <c r="C210" s="163">
        <v>195</v>
      </c>
      <c r="D210" s="163" t="s">
        <v>423</v>
      </c>
      <c r="E210" s="166">
        <v>46124</v>
      </c>
      <c r="F210" s="163" t="s">
        <v>98</v>
      </c>
      <c r="G210" s="163" t="s">
        <v>99</v>
      </c>
      <c r="H210" s="163" t="s">
        <v>100</v>
      </c>
      <c r="I210" s="157"/>
      <c r="J210" s="163" t="s">
        <v>113</v>
      </c>
      <c r="K210" s="164">
        <v>0</v>
      </c>
      <c r="L210" s="162">
        <v>46122</v>
      </c>
      <c r="M210" s="157"/>
      <c r="N210" s="163">
        <v>47</v>
      </c>
      <c r="O210" s="166">
        <v>46123</v>
      </c>
      <c r="P210" s="164">
        <v>0</v>
      </c>
      <c r="Q210" s="164">
        <v>455</v>
      </c>
      <c r="R210" s="164">
        <v>8</v>
      </c>
      <c r="S210" s="164">
        <v>0</v>
      </c>
      <c r="T210" s="164">
        <v>463</v>
      </c>
      <c r="U210" s="164">
        <v>463</v>
      </c>
      <c r="V210" s="164">
        <v>0</v>
      </c>
      <c r="W210" s="164">
        <v>277.8</v>
      </c>
      <c r="X210" s="135">
        <v>281.5</v>
      </c>
      <c r="Y210" s="135">
        <v>1905540.39</v>
      </c>
      <c r="Z210" s="136"/>
      <c r="AA210" s="135">
        <v>47638.509749999997</v>
      </c>
      <c r="AB210" s="135">
        <v>47638.509749999997</v>
      </c>
      <c r="AC210" s="135">
        <v>2000817.41</v>
      </c>
      <c r="AD210" s="137">
        <f t="shared" si="101"/>
        <v>1998816.59259</v>
      </c>
      <c r="AE210" s="147">
        <v>39.54</v>
      </c>
      <c r="AF210" s="148">
        <v>39.03</v>
      </c>
      <c r="AG210" s="147">
        <v>39.840000000000003</v>
      </c>
      <c r="AH210" s="139">
        <v>4.1999999999999997E-3</v>
      </c>
      <c r="AI210" s="139">
        <v>4.1200000000000001E-2</v>
      </c>
      <c r="AJ210" s="139">
        <v>5.6000000000000001E-2</v>
      </c>
      <c r="AK210" s="137">
        <f t="shared" si="78"/>
        <v>0</v>
      </c>
      <c r="AL210" s="136">
        <f>463*0.5</f>
        <v>231.5</v>
      </c>
      <c r="AM210" s="136"/>
      <c r="AN210" s="136"/>
      <c r="AO210" s="140">
        <f t="shared" si="109"/>
        <v>0</v>
      </c>
      <c r="AP210" s="136"/>
      <c r="AQ210" s="137">
        <v>0</v>
      </c>
      <c r="AR210" s="155">
        <f t="shared" si="110"/>
        <v>231.5</v>
      </c>
      <c r="AS210" s="155">
        <f t="shared" si="111"/>
        <v>243</v>
      </c>
      <c r="AT210" s="137">
        <v>0</v>
      </c>
      <c r="AU210" s="141"/>
      <c r="AV210" s="141"/>
      <c r="AW210" s="137">
        <f t="shared" si="82"/>
        <v>27780</v>
      </c>
      <c r="AX210" s="136"/>
      <c r="AY210" s="137">
        <f t="shared" si="112"/>
        <v>27780</v>
      </c>
      <c r="AZ210" s="137">
        <f t="shared" si="113"/>
        <v>28150</v>
      </c>
      <c r="BA210" s="142">
        <f t="shared" si="114"/>
        <v>-370</v>
      </c>
      <c r="BB210" s="137"/>
      <c r="BC210" s="137">
        <v>0</v>
      </c>
      <c r="BD210" s="142">
        <v>0</v>
      </c>
      <c r="BE210" s="135">
        <v>281.95</v>
      </c>
      <c r="BF210" s="143">
        <f t="shared" si="115"/>
        <v>0.422925</v>
      </c>
      <c r="BG210" s="143">
        <f t="shared" si="116"/>
        <v>281.52707499999997</v>
      </c>
      <c r="BH210" s="143">
        <f t="shared" si="117"/>
        <v>281.5</v>
      </c>
      <c r="BI210" s="144">
        <f t="shared" si="118"/>
        <v>44.999999999998863</v>
      </c>
      <c r="BJ210" s="144">
        <v>0</v>
      </c>
      <c r="BK210" s="137">
        <f t="shared" si="119"/>
        <v>44.999999999998863</v>
      </c>
      <c r="BL210" s="9"/>
      <c r="BM210" s="10" t="str">
        <f t="shared" si="91"/>
        <v>Unloading no. 195 Bill No 47 ,Deduction For Oil Deduction= 0 ,Bardana= 231.5 ,F.M=  Brokerage/Rate Difference  ,Shortage = 0 ,Greenish=  ,Moisture= 0</v>
      </c>
      <c r="BN210" s="9"/>
      <c r="BO210" s="13" t="str">
        <f t="shared" si="99"/>
        <v xml:space="preserve"> Party Condition 39.03  ,F.M% 0.42 ,Greenish 4.12 ,Moisture 5.6 ,Shortage in KG= 0  ,Oil% 39.54</v>
      </c>
      <c r="BP210" s="4">
        <f t="shared" si="100"/>
        <v>6768.4152397868556</v>
      </c>
      <c r="BX210" s="27">
        <v>39.54</v>
      </c>
      <c r="BY210" s="27">
        <v>39.840000000000003</v>
      </c>
    </row>
    <row r="211" spans="1:77" customFormat="1" ht="15.75" hidden="1" x14ac:dyDescent="0.3">
      <c r="A211" s="163" t="s">
        <v>402</v>
      </c>
      <c r="B211" s="162">
        <v>46122</v>
      </c>
      <c r="C211" s="163">
        <v>196</v>
      </c>
      <c r="D211" s="163" t="s">
        <v>424</v>
      </c>
      <c r="E211" s="166">
        <v>46124</v>
      </c>
      <c r="F211" s="163" t="s">
        <v>110</v>
      </c>
      <c r="G211" s="163" t="s">
        <v>111</v>
      </c>
      <c r="H211" s="163" t="s">
        <v>112</v>
      </c>
      <c r="I211" s="157"/>
      <c r="J211" s="163" t="s">
        <v>113</v>
      </c>
      <c r="K211" s="164">
        <v>0</v>
      </c>
      <c r="L211" s="162">
        <v>46122</v>
      </c>
      <c r="M211" s="157"/>
      <c r="N211" s="163" t="s">
        <v>443</v>
      </c>
      <c r="O211" s="166">
        <v>46123</v>
      </c>
      <c r="P211" s="164">
        <v>0</v>
      </c>
      <c r="Q211" s="164">
        <v>270</v>
      </c>
      <c r="R211" s="164">
        <v>27</v>
      </c>
      <c r="S211" s="164">
        <v>0</v>
      </c>
      <c r="T211" s="164">
        <v>297</v>
      </c>
      <c r="U211" s="164">
        <v>297</v>
      </c>
      <c r="V211" s="164">
        <v>0</v>
      </c>
      <c r="W211" s="164">
        <v>178.2</v>
      </c>
      <c r="X211" s="135">
        <v>180.8</v>
      </c>
      <c r="Y211" s="135">
        <v>1234272.6000000001</v>
      </c>
      <c r="Z211" s="136"/>
      <c r="AA211" s="135">
        <v>30856.814999999999</v>
      </c>
      <c r="AB211" s="135">
        <v>30856.814999999999</v>
      </c>
      <c r="AC211" s="135">
        <v>1295986.23</v>
      </c>
      <c r="AD211" s="137">
        <f t="shared" si="101"/>
        <v>1294690.2437700001</v>
      </c>
      <c r="AE211" s="147">
        <v>40.69</v>
      </c>
      <c r="AF211" s="148">
        <v>40.01</v>
      </c>
      <c r="AG211" s="147">
        <v>40.9</v>
      </c>
      <c r="AH211" s="139">
        <v>4.5999999999999999E-3</v>
      </c>
      <c r="AI211" s="139">
        <v>3.7999999999999999E-2</v>
      </c>
      <c r="AJ211" s="139">
        <v>5.6000000000000001E-2</v>
      </c>
      <c r="AK211" s="137">
        <f t="shared" si="78"/>
        <v>0</v>
      </c>
      <c r="AL211" s="136"/>
      <c r="AM211" s="136"/>
      <c r="AN211" s="136"/>
      <c r="AO211" s="140">
        <f t="shared" si="109"/>
        <v>0</v>
      </c>
      <c r="AP211" s="136"/>
      <c r="AQ211" s="137">
        <v>0</v>
      </c>
      <c r="AR211" s="155">
        <f t="shared" si="110"/>
        <v>0</v>
      </c>
      <c r="AS211" s="137">
        <f t="shared" si="111"/>
        <v>0</v>
      </c>
      <c r="AT211" s="137">
        <v>0</v>
      </c>
      <c r="AU211" s="141"/>
      <c r="AV211" s="141"/>
      <c r="AW211" s="137">
        <f t="shared" si="82"/>
        <v>17820</v>
      </c>
      <c r="AX211" s="136"/>
      <c r="AY211" s="137">
        <f t="shared" si="112"/>
        <v>17820</v>
      </c>
      <c r="AZ211" s="137">
        <f t="shared" si="113"/>
        <v>18080</v>
      </c>
      <c r="BA211" s="142">
        <f t="shared" si="114"/>
        <v>-260</v>
      </c>
      <c r="BB211" s="137"/>
      <c r="BC211" s="137">
        <v>0</v>
      </c>
      <c r="BD211" s="142">
        <v>0</v>
      </c>
      <c r="BE211" s="135">
        <v>180.9</v>
      </c>
      <c r="BF211" s="143">
        <f t="shared" si="115"/>
        <v>0.27135000000000004</v>
      </c>
      <c r="BG211" s="143">
        <f t="shared" si="116"/>
        <v>180.62864999999999</v>
      </c>
      <c r="BH211" s="143">
        <f t="shared" si="117"/>
        <v>180.8</v>
      </c>
      <c r="BI211" s="144">
        <f t="shared" si="118"/>
        <v>9.9999999999994316</v>
      </c>
      <c r="BJ211" s="144">
        <v>0</v>
      </c>
      <c r="BK211" s="137">
        <f t="shared" si="119"/>
        <v>9.9999999999994316</v>
      </c>
      <c r="BL211" s="9"/>
      <c r="BM211" s="10" t="str">
        <f t="shared" si="91"/>
        <v>Unloading no. 196 Bill No G1647 ,Deduction For Oil Deduction= 0 ,Bardana=  ,F.M=  Brokerage/Rate Difference  ,Shortage = 0 ,Greenish=  ,Moisture= 0</v>
      </c>
      <c r="BN211" s="9"/>
      <c r="BO211" s="13" t="str">
        <f t="shared" si="99"/>
        <v xml:space="preserve"> Party Condition 40.01  ,F.M% 0.46 ,Greenish 3.8 ,Moisture 5.6 ,Shortage in KG= 0  ,Oil% 40.69</v>
      </c>
      <c r="BP211" s="4">
        <f t="shared" si="100"/>
        <v>6826.728982300885</v>
      </c>
      <c r="BX211" s="27">
        <v>40.69</v>
      </c>
      <c r="BY211" s="27">
        <v>40.9</v>
      </c>
    </row>
    <row r="212" spans="1:77" customFormat="1" ht="15.75" hidden="1" x14ac:dyDescent="0.3">
      <c r="A212" s="163" t="s">
        <v>403</v>
      </c>
      <c r="B212" s="162">
        <v>46122</v>
      </c>
      <c r="C212" s="163">
        <v>197</v>
      </c>
      <c r="D212" s="163" t="s">
        <v>425</v>
      </c>
      <c r="E212" s="166">
        <v>46124</v>
      </c>
      <c r="F212" s="163" t="s">
        <v>98</v>
      </c>
      <c r="G212" s="163" t="s">
        <v>99</v>
      </c>
      <c r="H212" s="163" t="s">
        <v>100</v>
      </c>
      <c r="I212" s="157"/>
      <c r="J212" s="163" t="s">
        <v>113</v>
      </c>
      <c r="K212" s="164">
        <v>0</v>
      </c>
      <c r="L212" s="162">
        <v>46122</v>
      </c>
      <c r="M212" s="157"/>
      <c r="N212" s="163">
        <v>48</v>
      </c>
      <c r="O212" s="166">
        <v>46123</v>
      </c>
      <c r="P212" s="164">
        <v>0</v>
      </c>
      <c r="Q212" s="164">
        <v>400</v>
      </c>
      <c r="R212" s="164">
        <v>72</v>
      </c>
      <c r="S212" s="164">
        <v>0</v>
      </c>
      <c r="T212" s="164">
        <v>472</v>
      </c>
      <c r="U212" s="164">
        <v>472</v>
      </c>
      <c r="V212" s="164">
        <v>0</v>
      </c>
      <c r="W212" s="164">
        <v>283.2</v>
      </c>
      <c r="X212" s="135">
        <v>286.7</v>
      </c>
      <c r="Y212" s="135">
        <v>1925402.22</v>
      </c>
      <c r="Z212" s="136"/>
      <c r="AA212" s="135">
        <v>48135.055500000002</v>
      </c>
      <c r="AB212" s="135">
        <v>48135.055500000002</v>
      </c>
      <c r="AC212" s="135">
        <v>2021672.33</v>
      </c>
      <c r="AD212" s="137">
        <f t="shared" si="101"/>
        <v>2019650.6576700001</v>
      </c>
      <c r="AE212" s="147">
        <v>39.549999999999997</v>
      </c>
      <c r="AF212" s="148">
        <v>38.909999999999997</v>
      </c>
      <c r="AG212" s="147">
        <v>39.79</v>
      </c>
      <c r="AH212" s="139">
        <v>4.3E-3</v>
      </c>
      <c r="AI212" s="139">
        <v>4.1799999999999997E-2</v>
      </c>
      <c r="AJ212" s="139">
        <v>5.7000000000000002E-2</v>
      </c>
      <c r="AK212" s="137">
        <f t="shared" si="78"/>
        <v>0</v>
      </c>
      <c r="AL212" s="136">
        <f>472*0.5</f>
        <v>236</v>
      </c>
      <c r="AM212" s="136"/>
      <c r="AN212" s="136">
        <f>W212*0.38</f>
        <v>107.616</v>
      </c>
      <c r="AO212" s="140">
        <f t="shared" si="109"/>
        <v>0</v>
      </c>
      <c r="AP212" s="136"/>
      <c r="AQ212" s="137">
        <v>0</v>
      </c>
      <c r="AR212" s="155">
        <f t="shared" si="110"/>
        <v>343.61599999999999</v>
      </c>
      <c r="AS212" s="155">
        <f t="shared" si="111"/>
        <v>361</v>
      </c>
      <c r="AT212" s="137">
        <v>0</v>
      </c>
      <c r="AU212" s="141"/>
      <c r="AV212" s="141"/>
      <c r="AW212" s="137">
        <f t="shared" si="82"/>
        <v>28320</v>
      </c>
      <c r="AX212" s="136"/>
      <c r="AY212" s="137">
        <f t="shared" si="112"/>
        <v>28320</v>
      </c>
      <c r="AZ212" s="137">
        <f t="shared" si="113"/>
        <v>28670</v>
      </c>
      <c r="BA212" s="142">
        <f t="shared" si="114"/>
        <v>-350</v>
      </c>
      <c r="BB212" s="137"/>
      <c r="BC212" s="137">
        <v>0</v>
      </c>
      <c r="BD212" s="142">
        <v>0</v>
      </c>
      <c r="BE212" s="135">
        <v>286.89999999999998</v>
      </c>
      <c r="BF212" s="143">
        <f t="shared" si="115"/>
        <v>0.43034999999999995</v>
      </c>
      <c r="BG212" s="143">
        <f t="shared" si="116"/>
        <v>286.46965</v>
      </c>
      <c r="BH212" s="143">
        <f t="shared" si="117"/>
        <v>286.7</v>
      </c>
      <c r="BI212" s="144">
        <f t="shared" si="118"/>
        <v>19.999999999998863</v>
      </c>
      <c r="BJ212" s="144">
        <v>0</v>
      </c>
      <c r="BK212" s="137">
        <f t="shared" si="119"/>
        <v>19.999999999998863</v>
      </c>
      <c r="BL212" s="9"/>
      <c r="BM212" s="10" t="str">
        <f t="shared" si="91"/>
        <v>Unloading no. 197 Bill No 48 ,Deduction For Oil Deduction= 0 ,Bardana= 236 ,F.M=  Brokerage/Rate Difference 107.616 ,Shortage = 0 ,Greenish=  ,Moisture= 0</v>
      </c>
      <c r="BN212" s="9"/>
      <c r="BO212" s="13" t="str">
        <f t="shared" si="99"/>
        <v xml:space="preserve"> Party Condition 38.91  ,F.M% 0.43 ,Greenish 4.18 ,Moisture 5.7 ,Shortage in KG= 0  ,Oil% 39.55</v>
      </c>
      <c r="BP212" s="4">
        <f t="shared" si="100"/>
        <v>6714.5399511684691</v>
      </c>
      <c r="BX212" s="27">
        <v>39.549999999999997</v>
      </c>
      <c r="BY212" s="27">
        <v>39.79</v>
      </c>
    </row>
    <row r="213" spans="1:77" customFormat="1" ht="15.75" hidden="1" x14ac:dyDescent="0.3">
      <c r="A213" s="163" t="s">
        <v>394</v>
      </c>
      <c r="B213" s="162">
        <v>46122</v>
      </c>
      <c r="C213" s="163">
        <v>198</v>
      </c>
      <c r="D213" s="163" t="s">
        <v>426</v>
      </c>
      <c r="E213" s="166">
        <v>46124</v>
      </c>
      <c r="F213" s="163" t="s">
        <v>95</v>
      </c>
      <c r="G213" s="163" t="s">
        <v>96</v>
      </c>
      <c r="H213" s="163" t="s">
        <v>97</v>
      </c>
      <c r="I213" s="157"/>
      <c r="J213" s="163" t="s">
        <v>113</v>
      </c>
      <c r="K213" s="164">
        <v>0</v>
      </c>
      <c r="L213" s="162">
        <v>46122</v>
      </c>
      <c r="M213" s="157"/>
      <c r="N213" s="163">
        <v>73</v>
      </c>
      <c r="O213" s="166">
        <v>46123</v>
      </c>
      <c r="P213" s="164">
        <v>0</v>
      </c>
      <c r="Q213" s="164">
        <v>416</v>
      </c>
      <c r="R213" s="164">
        <v>22</v>
      </c>
      <c r="S213" s="164">
        <v>0</v>
      </c>
      <c r="T213" s="164">
        <v>438</v>
      </c>
      <c r="U213" s="164">
        <v>438</v>
      </c>
      <c r="V213" s="164">
        <v>0</v>
      </c>
      <c r="W213" s="164">
        <v>262.8</v>
      </c>
      <c r="X213" s="135">
        <v>265.2</v>
      </c>
      <c r="Y213" s="135">
        <v>1810146.25</v>
      </c>
      <c r="Z213" s="136"/>
      <c r="AA213" s="135">
        <v>45253.65625</v>
      </c>
      <c r="AB213" s="135">
        <v>45253.65625</v>
      </c>
      <c r="AC213" s="135">
        <v>1900653.56</v>
      </c>
      <c r="AD213" s="137">
        <f t="shared" si="101"/>
        <v>1898752.90644</v>
      </c>
      <c r="AE213" s="147">
        <v>39.5</v>
      </c>
      <c r="AF213" s="148">
        <v>39.39</v>
      </c>
      <c r="AG213" s="147">
        <v>39.78</v>
      </c>
      <c r="AH213" s="139">
        <v>4.4999999999999997E-3</v>
      </c>
      <c r="AI213" s="139">
        <v>0.04</v>
      </c>
      <c r="AJ213" s="139">
        <v>5.3999999999999999E-2</v>
      </c>
      <c r="AK213" s="137">
        <f t="shared" si="78"/>
        <v>0</v>
      </c>
      <c r="AL213" s="136"/>
      <c r="AM213" s="136"/>
      <c r="AN213" s="136"/>
      <c r="AO213" s="140">
        <f t="shared" si="109"/>
        <v>5441.4594273211569</v>
      </c>
      <c r="AP213" s="136"/>
      <c r="AQ213" s="137">
        <v>0</v>
      </c>
      <c r="AR213" s="155">
        <f t="shared" si="110"/>
        <v>5441.4594273211569</v>
      </c>
      <c r="AS213" s="155">
        <f t="shared" si="111"/>
        <v>5714</v>
      </c>
      <c r="AT213" s="137">
        <v>79</v>
      </c>
      <c r="AU213" s="141"/>
      <c r="AV213" s="141"/>
      <c r="AW213" s="137">
        <f t="shared" si="82"/>
        <v>26280</v>
      </c>
      <c r="AX213" s="136"/>
      <c r="AY213" s="137">
        <f t="shared" si="112"/>
        <v>26280</v>
      </c>
      <c r="AZ213" s="137">
        <f t="shared" si="113"/>
        <v>26520</v>
      </c>
      <c r="BA213" s="142">
        <f t="shared" si="114"/>
        <v>-240</v>
      </c>
      <c r="BB213" s="137"/>
      <c r="BC213" s="137">
        <v>0</v>
      </c>
      <c r="BD213" s="142">
        <v>0</v>
      </c>
      <c r="BE213" s="135">
        <v>266.10000000000002</v>
      </c>
      <c r="BF213" s="143">
        <f t="shared" si="115"/>
        <v>0.39915</v>
      </c>
      <c r="BG213" s="143">
        <f t="shared" si="116"/>
        <v>265.70085</v>
      </c>
      <c r="BH213" s="143">
        <f t="shared" si="117"/>
        <v>265.2</v>
      </c>
      <c r="BI213" s="144">
        <f t="shared" si="118"/>
        <v>90.000000000003411</v>
      </c>
      <c r="BJ213" s="144">
        <v>0</v>
      </c>
      <c r="BK213" s="137">
        <f t="shared" si="119"/>
        <v>90.000000000003411</v>
      </c>
      <c r="BL213" s="9"/>
      <c r="BM213" s="10" t="str">
        <f t="shared" si="91"/>
        <v>Unloading no. 198 Bill No 73 ,Deduction For Oil Deduction= 0 ,Bardana=  ,F.M=  Brokerage/Rate Difference  ,Shortage = 5441.45942732116 ,Greenish=  ,Moisture= 0</v>
      </c>
      <c r="BN213" s="9"/>
      <c r="BO213" s="13" t="str">
        <f t="shared" si="99"/>
        <v xml:space="preserve"> Party Condition 39.39  ,F.M% 0.45 ,Greenish 4 ,Moisture 5.4 ,Shortage in KG= 79  ,Oil% 39.5</v>
      </c>
      <c r="BP213" s="4">
        <f t="shared" si="100"/>
        <v>6805.0708543464516</v>
      </c>
      <c r="BX213" s="27">
        <v>39.5</v>
      </c>
      <c r="BY213" s="27">
        <v>39.78</v>
      </c>
    </row>
    <row r="214" spans="1:77" customFormat="1" ht="15.75" hidden="1" x14ac:dyDescent="0.3">
      <c r="A214" s="163" t="s">
        <v>394</v>
      </c>
      <c r="B214" s="162">
        <v>46122</v>
      </c>
      <c r="C214" s="163">
        <v>199</v>
      </c>
      <c r="D214" s="163" t="s">
        <v>427</v>
      </c>
      <c r="E214" s="166">
        <v>46124</v>
      </c>
      <c r="F214" s="163" t="s">
        <v>95</v>
      </c>
      <c r="G214" s="163" t="s">
        <v>96</v>
      </c>
      <c r="H214" s="163" t="s">
        <v>97</v>
      </c>
      <c r="I214" s="157"/>
      <c r="J214" s="163" t="s">
        <v>113</v>
      </c>
      <c r="K214" s="164">
        <v>0</v>
      </c>
      <c r="L214" s="162">
        <v>46122</v>
      </c>
      <c r="M214" s="157"/>
      <c r="N214" s="163">
        <v>77</v>
      </c>
      <c r="O214" s="166">
        <v>46123</v>
      </c>
      <c r="P214" s="164">
        <v>0</v>
      </c>
      <c r="Q214" s="164">
        <v>410</v>
      </c>
      <c r="R214" s="164">
        <v>190</v>
      </c>
      <c r="S214" s="164">
        <v>0</v>
      </c>
      <c r="T214" s="164">
        <v>600</v>
      </c>
      <c r="U214" s="164">
        <v>600</v>
      </c>
      <c r="V214" s="164">
        <v>0</v>
      </c>
      <c r="W214" s="164">
        <v>360</v>
      </c>
      <c r="X214" s="135">
        <v>364.4</v>
      </c>
      <c r="Y214" s="135">
        <v>2479652.4</v>
      </c>
      <c r="Z214" s="136"/>
      <c r="AA214" s="135">
        <v>61991.31</v>
      </c>
      <c r="AB214" s="135">
        <v>61991.31</v>
      </c>
      <c r="AC214" s="135">
        <v>2603635.02</v>
      </c>
      <c r="AD214" s="137">
        <f t="shared" si="101"/>
        <v>2601031.3849800001</v>
      </c>
      <c r="AE214" s="147">
        <v>40.159999999999997</v>
      </c>
      <c r="AF214" s="148">
        <v>39.39</v>
      </c>
      <c r="AG214" s="147">
        <v>40.11</v>
      </c>
      <c r="AH214" s="139">
        <v>4.4000000000000003E-3</v>
      </c>
      <c r="AI214" s="139">
        <v>3.9E-2</v>
      </c>
      <c r="AJ214" s="139">
        <v>5.5E-2</v>
      </c>
      <c r="AK214" s="137">
        <f t="shared" si="78"/>
        <v>0</v>
      </c>
      <c r="AL214" s="136"/>
      <c r="AM214" s="136"/>
      <c r="AN214" s="136"/>
      <c r="AO214" s="140">
        <f t="shared" si="109"/>
        <v>0</v>
      </c>
      <c r="AP214" s="136"/>
      <c r="AQ214" s="137">
        <v>0</v>
      </c>
      <c r="AR214" s="155">
        <f t="shared" si="110"/>
        <v>0</v>
      </c>
      <c r="AS214" s="137">
        <f t="shared" si="111"/>
        <v>0</v>
      </c>
      <c r="AT214" s="137">
        <v>0</v>
      </c>
      <c r="AU214" s="141"/>
      <c r="AV214" s="141"/>
      <c r="AW214" s="137">
        <f t="shared" si="82"/>
        <v>36000</v>
      </c>
      <c r="AX214" s="136"/>
      <c r="AY214" s="137">
        <f t="shared" si="112"/>
        <v>36000</v>
      </c>
      <c r="AZ214" s="137">
        <f t="shared" si="113"/>
        <v>36440</v>
      </c>
      <c r="BA214" s="142">
        <f t="shared" si="114"/>
        <v>-440</v>
      </c>
      <c r="BB214" s="137"/>
      <c r="BC214" s="137">
        <v>0</v>
      </c>
      <c r="BD214" s="142">
        <v>0</v>
      </c>
      <c r="BE214" s="135">
        <v>364.8</v>
      </c>
      <c r="BF214" s="143">
        <f t="shared" si="115"/>
        <v>0.54720000000000002</v>
      </c>
      <c r="BG214" s="143">
        <f t="shared" si="116"/>
        <v>364.25280000000004</v>
      </c>
      <c r="BH214" s="143">
        <f t="shared" si="117"/>
        <v>364.4</v>
      </c>
      <c r="BI214" s="144">
        <f t="shared" si="118"/>
        <v>40.000000000003411</v>
      </c>
      <c r="BJ214" s="144">
        <v>0</v>
      </c>
      <c r="BK214" s="137">
        <f t="shared" si="119"/>
        <v>40.000000000003411</v>
      </c>
      <c r="BL214" s="9"/>
      <c r="BM214" s="10" t="str">
        <f t="shared" si="91"/>
        <v>Unloading no. 199 Bill No 77 ,Deduction For Oil Deduction= 0 ,Bardana=  ,F.M=  Brokerage/Rate Difference  ,Shortage = 0 ,Greenish=  ,Moisture= 0</v>
      </c>
      <c r="BN214" s="9"/>
      <c r="BO214" s="13" t="str">
        <f t="shared" si="99"/>
        <v xml:space="preserve"> Party Condition 39.39  ,F.M% 0.44 ,Greenish 3.9 ,Moisture 5.5 ,Shortage in KG= 0  ,Oil% 40.11</v>
      </c>
      <c r="BP214" s="4">
        <f t="shared" si="100"/>
        <v>6804.7541163556534</v>
      </c>
      <c r="BX214" s="27">
        <v>40.159999999999997</v>
      </c>
      <c r="BY214" s="27">
        <v>40.11</v>
      </c>
    </row>
    <row r="215" spans="1:77" customFormat="1" ht="15.75" hidden="1" x14ac:dyDescent="0.3">
      <c r="A215" s="163" t="s">
        <v>394</v>
      </c>
      <c r="B215" s="162">
        <v>46122</v>
      </c>
      <c r="C215" s="163">
        <v>200</v>
      </c>
      <c r="D215" s="163" t="s">
        <v>428</v>
      </c>
      <c r="E215" s="166">
        <v>46124</v>
      </c>
      <c r="F215" s="163" t="s">
        <v>95</v>
      </c>
      <c r="G215" s="163" t="s">
        <v>96</v>
      </c>
      <c r="H215" s="163" t="s">
        <v>97</v>
      </c>
      <c r="I215" s="157"/>
      <c r="J215" s="163" t="s">
        <v>113</v>
      </c>
      <c r="K215" s="164">
        <v>0</v>
      </c>
      <c r="L215" s="162">
        <v>46122</v>
      </c>
      <c r="M215" s="157"/>
      <c r="N215" s="163">
        <v>75</v>
      </c>
      <c r="O215" s="166">
        <v>46123</v>
      </c>
      <c r="P215" s="164">
        <v>0</v>
      </c>
      <c r="Q215" s="164">
        <v>400</v>
      </c>
      <c r="R215" s="164">
        <v>42</v>
      </c>
      <c r="S215" s="164">
        <v>0</v>
      </c>
      <c r="T215" s="164">
        <v>442</v>
      </c>
      <c r="U215" s="164">
        <v>442</v>
      </c>
      <c r="V215" s="164">
        <v>0</v>
      </c>
      <c r="W215" s="164">
        <v>265.2</v>
      </c>
      <c r="X215" s="135">
        <v>268.8</v>
      </c>
      <c r="Y215" s="135">
        <v>1826677.27</v>
      </c>
      <c r="Z215" s="136"/>
      <c r="AA215" s="135">
        <v>45666.931750000003</v>
      </c>
      <c r="AB215" s="135">
        <v>45666.931750000003</v>
      </c>
      <c r="AC215" s="135">
        <v>1918011.13</v>
      </c>
      <c r="AD215" s="137">
        <f t="shared" si="101"/>
        <v>1916093.1188699999</v>
      </c>
      <c r="AE215" s="147">
        <v>40.700000000000003</v>
      </c>
      <c r="AF215" s="148">
        <v>39.39</v>
      </c>
      <c r="AG215" s="147">
        <v>40.58</v>
      </c>
      <c r="AH215" s="139">
        <v>4.1000000000000003E-3</v>
      </c>
      <c r="AI215" s="139">
        <v>4.2000000000000003E-2</v>
      </c>
      <c r="AJ215" s="139">
        <v>5.7000000000000002E-2</v>
      </c>
      <c r="AK215" s="137">
        <f t="shared" si="78"/>
        <v>0</v>
      </c>
      <c r="AL215" s="136"/>
      <c r="AM215" s="136"/>
      <c r="AN215" s="136"/>
      <c r="AO215" s="140">
        <f t="shared" si="109"/>
        <v>0</v>
      </c>
      <c r="AP215" s="136"/>
      <c r="AQ215" s="137">
        <v>0</v>
      </c>
      <c r="AR215" s="155">
        <f t="shared" si="110"/>
        <v>0</v>
      </c>
      <c r="AS215" s="137">
        <f t="shared" si="111"/>
        <v>0</v>
      </c>
      <c r="AT215" s="137">
        <v>0</v>
      </c>
      <c r="AU215" s="141"/>
      <c r="AV215" s="141"/>
      <c r="AW215" s="137">
        <f t="shared" si="82"/>
        <v>26520</v>
      </c>
      <c r="AX215" s="136"/>
      <c r="AY215" s="137">
        <f t="shared" si="112"/>
        <v>26520</v>
      </c>
      <c r="AZ215" s="137">
        <f t="shared" si="113"/>
        <v>26880</v>
      </c>
      <c r="BA215" s="142">
        <f t="shared" si="114"/>
        <v>-360</v>
      </c>
      <c r="BB215" s="137"/>
      <c r="BC215" s="137">
        <v>0</v>
      </c>
      <c r="BD215" s="142">
        <v>0</v>
      </c>
      <c r="BE215" s="135">
        <v>269</v>
      </c>
      <c r="BF215" s="143">
        <f t="shared" si="115"/>
        <v>0.40350000000000003</v>
      </c>
      <c r="BG215" s="143">
        <f t="shared" si="116"/>
        <v>268.59649999999999</v>
      </c>
      <c r="BH215" s="143">
        <f t="shared" si="117"/>
        <v>268.8</v>
      </c>
      <c r="BI215" s="144">
        <f t="shared" si="118"/>
        <v>19.999999999998863</v>
      </c>
      <c r="BJ215" s="144">
        <v>0</v>
      </c>
      <c r="BK215" s="137">
        <f t="shared" si="119"/>
        <v>19.999999999998863</v>
      </c>
      <c r="BL215" s="9"/>
      <c r="BM215" s="10" t="str">
        <f t="shared" si="91"/>
        <v>Unloading no. 200 Bill No 75 ,Deduction For Oil Deduction= 0 ,Bardana=  ,F.M=  Brokerage/Rate Difference  ,Shortage = 0 ,Greenish=  ,Moisture= 0</v>
      </c>
      <c r="BN215" s="9"/>
      <c r="BO215" s="13" t="str">
        <f t="shared" si="99"/>
        <v xml:space="preserve"> Party Condition 39.39  ,F.M% 0.41 ,Greenish 4.2 ,Moisture 5.7 ,Shortage in KG= 0  ,Oil% 40.58</v>
      </c>
      <c r="BP215" s="4">
        <f t="shared" si="100"/>
        <v>6795.6743675595235</v>
      </c>
      <c r="BX215" s="27">
        <v>40.700000000000003</v>
      </c>
      <c r="BY215" s="27">
        <v>40.58</v>
      </c>
    </row>
    <row r="216" spans="1:77" customFormat="1" ht="15.75" hidden="1" x14ac:dyDescent="0.3">
      <c r="A216" s="163" t="s">
        <v>394</v>
      </c>
      <c r="B216" s="162">
        <v>46122</v>
      </c>
      <c r="C216" s="163">
        <v>201</v>
      </c>
      <c r="D216" s="163" t="s">
        <v>429</v>
      </c>
      <c r="E216" s="166">
        <v>46124</v>
      </c>
      <c r="F216" s="163" t="s">
        <v>95</v>
      </c>
      <c r="G216" s="163" t="s">
        <v>96</v>
      </c>
      <c r="H216" s="163" t="s">
        <v>97</v>
      </c>
      <c r="I216" s="157"/>
      <c r="J216" s="163" t="s">
        <v>113</v>
      </c>
      <c r="K216" s="164">
        <v>0</v>
      </c>
      <c r="L216" s="162">
        <v>46122</v>
      </c>
      <c r="M216" s="157"/>
      <c r="N216" s="163">
        <v>76</v>
      </c>
      <c r="O216" s="166">
        <v>46123</v>
      </c>
      <c r="P216" s="164">
        <v>0</v>
      </c>
      <c r="Q216" s="164">
        <v>554</v>
      </c>
      <c r="R216" s="164">
        <v>57</v>
      </c>
      <c r="S216" s="164">
        <v>0</v>
      </c>
      <c r="T216" s="164">
        <v>611</v>
      </c>
      <c r="U216" s="164">
        <v>611</v>
      </c>
      <c r="V216" s="164">
        <v>0</v>
      </c>
      <c r="W216" s="164">
        <v>366.6</v>
      </c>
      <c r="X216" s="135">
        <v>371</v>
      </c>
      <c r="Y216" s="135">
        <v>2525112.69</v>
      </c>
      <c r="Z216" s="136"/>
      <c r="AA216" s="135">
        <v>63127.81725</v>
      </c>
      <c r="AB216" s="135">
        <v>63127.81725</v>
      </c>
      <c r="AC216" s="135">
        <v>2651368.3199999998</v>
      </c>
      <c r="AD216" s="137">
        <f t="shared" si="101"/>
        <v>2648716.9516799999</v>
      </c>
      <c r="AE216" s="147">
        <v>40.369999999999997</v>
      </c>
      <c r="AF216" s="148">
        <v>39.39</v>
      </c>
      <c r="AG216" s="147">
        <v>40.340000000000003</v>
      </c>
      <c r="AH216" s="139">
        <v>4.5999999999999999E-3</v>
      </c>
      <c r="AI216" s="139">
        <v>4.1099999999999998E-2</v>
      </c>
      <c r="AJ216" s="139">
        <v>5.8999999999999997E-2</v>
      </c>
      <c r="AK216" s="137">
        <f t="shared" si="78"/>
        <v>0</v>
      </c>
      <c r="AL216" s="136"/>
      <c r="AM216" s="136"/>
      <c r="AN216" s="136"/>
      <c r="AO216" s="140">
        <f t="shared" si="109"/>
        <v>413.27539934533553</v>
      </c>
      <c r="AP216" s="136"/>
      <c r="AQ216" s="137">
        <v>0</v>
      </c>
      <c r="AR216" s="155">
        <f t="shared" si="110"/>
        <v>413.27539934533553</v>
      </c>
      <c r="AS216" s="155">
        <f t="shared" si="111"/>
        <v>434</v>
      </c>
      <c r="AT216" s="137">
        <v>6</v>
      </c>
      <c r="AU216" s="141"/>
      <c r="AV216" s="141"/>
      <c r="AW216" s="137">
        <f t="shared" si="82"/>
        <v>36660</v>
      </c>
      <c r="AX216" s="136"/>
      <c r="AY216" s="137">
        <f t="shared" si="112"/>
        <v>36660</v>
      </c>
      <c r="AZ216" s="137">
        <f t="shared" si="113"/>
        <v>37100</v>
      </c>
      <c r="BA216" s="142">
        <f t="shared" si="114"/>
        <v>-440</v>
      </c>
      <c r="BB216" s="137"/>
      <c r="BC216" s="137">
        <v>0</v>
      </c>
      <c r="BD216" s="142">
        <v>0</v>
      </c>
      <c r="BE216" s="135">
        <v>370.9</v>
      </c>
      <c r="BF216" s="143">
        <f t="shared" si="115"/>
        <v>0.55635000000000001</v>
      </c>
      <c r="BG216" s="143">
        <f t="shared" si="116"/>
        <v>370.34364999999997</v>
      </c>
      <c r="BH216" s="143">
        <f t="shared" si="117"/>
        <v>371</v>
      </c>
      <c r="BI216" s="144">
        <f t="shared" si="118"/>
        <v>-10.000000000002274</v>
      </c>
      <c r="BJ216" s="144">
        <v>0</v>
      </c>
      <c r="BK216" s="137">
        <f t="shared" si="119"/>
        <v>-10.000000000002274</v>
      </c>
      <c r="BL216" s="9"/>
      <c r="BM216" s="10" t="str">
        <f t="shared" si="91"/>
        <v>Unloading no. 201 Bill No 76 ,Deduction For Oil Deduction= 0 ,Bardana=  ,F.M=  Brokerage/Rate Difference  ,Shortage = 413.275399345336 ,Greenish=  ,Moisture= 0</v>
      </c>
      <c r="BN216" s="9"/>
      <c r="BO216" s="13" t="str">
        <f t="shared" si="99"/>
        <v xml:space="preserve"> Party Condition 39.39  ,F.M% 0.46 ,Greenish 4.11 ,Moisture 5.9 ,Shortage in KG= 6  ,Oil% 40.34</v>
      </c>
      <c r="BP216" s="4">
        <f t="shared" si="100"/>
        <v>6805.1197159047288</v>
      </c>
      <c r="BX216" s="27">
        <v>40.369999999999997</v>
      </c>
      <c r="BY216" s="27">
        <v>40.340000000000003</v>
      </c>
    </row>
    <row r="217" spans="1:77" customFormat="1" ht="15.75" hidden="1" x14ac:dyDescent="0.3">
      <c r="A217" s="163" t="s">
        <v>394</v>
      </c>
      <c r="B217" s="162">
        <v>46122</v>
      </c>
      <c r="C217" s="163">
        <v>202</v>
      </c>
      <c r="D217" s="163" t="s">
        <v>430</v>
      </c>
      <c r="E217" s="166">
        <v>46124</v>
      </c>
      <c r="F217" s="163" t="s">
        <v>95</v>
      </c>
      <c r="G217" s="163" t="s">
        <v>96</v>
      </c>
      <c r="H217" s="163" t="s">
        <v>97</v>
      </c>
      <c r="I217" s="157"/>
      <c r="J217" s="163" t="s">
        <v>113</v>
      </c>
      <c r="K217" s="164">
        <v>0</v>
      </c>
      <c r="L217" s="162">
        <v>46122</v>
      </c>
      <c r="M217" s="157"/>
      <c r="N217" s="163">
        <v>78</v>
      </c>
      <c r="O217" s="166">
        <v>46123</v>
      </c>
      <c r="P217" s="164">
        <v>0</v>
      </c>
      <c r="Q217" s="164">
        <v>420</v>
      </c>
      <c r="R217" s="164">
        <v>130</v>
      </c>
      <c r="S217" s="164">
        <v>0</v>
      </c>
      <c r="T217" s="164">
        <v>550</v>
      </c>
      <c r="U217" s="164">
        <v>550</v>
      </c>
      <c r="V217" s="164">
        <v>0</v>
      </c>
      <c r="W217" s="164">
        <v>330</v>
      </c>
      <c r="X217" s="135">
        <v>334.5</v>
      </c>
      <c r="Y217" s="135">
        <v>2273014.7000000002</v>
      </c>
      <c r="Z217" s="136"/>
      <c r="AA217" s="135">
        <v>56825.3675</v>
      </c>
      <c r="AB217" s="135">
        <v>56825.3675</v>
      </c>
      <c r="AC217" s="135">
        <v>2386665.44</v>
      </c>
      <c r="AD217" s="137">
        <f t="shared" si="101"/>
        <v>2384278.7745599998</v>
      </c>
      <c r="AE217" s="147">
        <v>40.35</v>
      </c>
      <c r="AF217" s="148">
        <v>39.39</v>
      </c>
      <c r="AG217" s="147">
        <v>40.270000000000003</v>
      </c>
      <c r="AH217" s="139">
        <v>4.1999999999999997E-3</v>
      </c>
      <c r="AI217" s="139">
        <v>3.9699999999999999E-2</v>
      </c>
      <c r="AJ217" s="139">
        <v>5.7000000000000002E-2</v>
      </c>
      <c r="AK217" s="137">
        <f t="shared" si="78"/>
        <v>0</v>
      </c>
      <c r="AL217" s="136"/>
      <c r="AM217" s="136"/>
      <c r="AN217" s="136"/>
      <c r="AO217" s="140">
        <f t="shared" si="109"/>
        <v>0</v>
      </c>
      <c r="AP217" s="136"/>
      <c r="AQ217" s="137">
        <v>0</v>
      </c>
      <c r="AR217" s="155">
        <f t="shared" si="110"/>
        <v>0</v>
      </c>
      <c r="AS217" s="137">
        <f t="shared" si="111"/>
        <v>0</v>
      </c>
      <c r="AT217" s="137">
        <v>0</v>
      </c>
      <c r="AU217" s="141"/>
      <c r="AV217" s="141"/>
      <c r="AW217" s="137">
        <f t="shared" si="82"/>
        <v>33000</v>
      </c>
      <c r="AX217" s="136"/>
      <c r="AY217" s="137">
        <f t="shared" si="112"/>
        <v>33000</v>
      </c>
      <c r="AZ217" s="137">
        <f t="shared" si="113"/>
        <v>33450</v>
      </c>
      <c r="BA217" s="142">
        <f t="shared" si="114"/>
        <v>-450</v>
      </c>
      <c r="BB217" s="137"/>
      <c r="BC217" s="137">
        <v>0</v>
      </c>
      <c r="BD217" s="142">
        <v>0</v>
      </c>
      <c r="BE217" s="135">
        <v>334.5</v>
      </c>
      <c r="BF217" s="143">
        <f t="shared" si="115"/>
        <v>0.50174999999999992</v>
      </c>
      <c r="BG217" s="143">
        <f t="shared" si="116"/>
        <v>333.99824999999998</v>
      </c>
      <c r="BH217" s="143">
        <f t="shared" si="117"/>
        <v>334.5</v>
      </c>
      <c r="BI217" s="144">
        <f t="shared" si="118"/>
        <v>0</v>
      </c>
      <c r="BJ217" s="144">
        <v>0</v>
      </c>
      <c r="BK217" s="137">
        <f t="shared" si="119"/>
        <v>0</v>
      </c>
      <c r="BL217" s="9"/>
      <c r="BM217" s="10" t="str">
        <f t="shared" si="91"/>
        <v>Unloading no. 202 Bill No 78 ,Deduction For Oil Deduction= 0 ,Bardana=  ,F.M=  Brokerage/Rate Difference  ,Shortage = 0 ,Greenish=  ,Moisture= 0</v>
      </c>
      <c r="BN217" s="9"/>
      <c r="BO217" s="13" t="str">
        <f t="shared" si="99"/>
        <v xml:space="preserve"> Party Condition 39.39  ,F.M% 0.42 ,Greenish 3.97 ,Moisture 5.7 ,Shortage in KG= 0  ,Oil% 40.27</v>
      </c>
      <c r="BP217" s="4">
        <f t="shared" si="100"/>
        <v>6795.2606875934234</v>
      </c>
      <c r="BX217" s="27">
        <v>40.35</v>
      </c>
      <c r="BY217" s="27">
        <v>40.270000000000003</v>
      </c>
    </row>
    <row r="218" spans="1:77" customFormat="1" ht="15.75" hidden="1" x14ac:dyDescent="0.3">
      <c r="A218" s="163" t="s">
        <v>404</v>
      </c>
      <c r="B218" s="162">
        <v>46122</v>
      </c>
      <c r="C218" s="163">
        <v>203</v>
      </c>
      <c r="D218" s="163" t="s">
        <v>431</v>
      </c>
      <c r="E218" s="166">
        <v>46124</v>
      </c>
      <c r="F218" s="163" t="s">
        <v>98</v>
      </c>
      <c r="G218" s="163" t="s">
        <v>99</v>
      </c>
      <c r="H218" s="163" t="s">
        <v>100</v>
      </c>
      <c r="I218" s="157"/>
      <c r="J218" s="163" t="s">
        <v>113</v>
      </c>
      <c r="K218" s="164">
        <v>0</v>
      </c>
      <c r="L218" s="162">
        <v>46122</v>
      </c>
      <c r="M218" s="157"/>
      <c r="N218" s="163">
        <v>49</v>
      </c>
      <c r="O218" s="166">
        <v>46123</v>
      </c>
      <c r="P218" s="164">
        <v>0</v>
      </c>
      <c r="Q218" s="164">
        <v>474</v>
      </c>
      <c r="R218" s="164">
        <v>13</v>
      </c>
      <c r="S218" s="164">
        <v>0</v>
      </c>
      <c r="T218" s="164">
        <v>487</v>
      </c>
      <c r="U218" s="164">
        <v>487</v>
      </c>
      <c r="V218" s="164">
        <v>0</v>
      </c>
      <c r="W218" s="164">
        <v>292.2</v>
      </c>
      <c r="X218" s="135">
        <v>295.89999999999998</v>
      </c>
      <c r="Y218" s="135">
        <v>1995193.22</v>
      </c>
      <c r="Z218" s="136"/>
      <c r="AA218" s="135">
        <v>49879.830499999996</v>
      </c>
      <c r="AB218" s="135">
        <v>49879.830499999996</v>
      </c>
      <c r="AC218" s="135">
        <v>2094952.88</v>
      </c>
      <c r="AD218" s="137">
        <f t="shared" si="101"/>
        <v>2092857.9271199999</v>
      </c>
      <c r="AE218" s="147">
        <v>40</v>
      </c>
      <c r="AF218" s="148">
        <v>39.51</v>
      </c>
      <c r="AG218" s="147">
        <v>40.06</v>
      </c>
      <c r="AH218" s="139">
        <v>4.4999999999999997E-3</v>
      </c>
      <c r="AI218" s="139">
        <v>0.04</v>
      </c>
      <c r="AJ218" s="139">
        <v>5.5E-2</v>
      </c>
      <c r="AK218" s="137">
        <f t="shared" si="78"/>
        <v>0</v>
      </c>
      <c r="AL218" s="136">
        <f>487*0.5</f>
        <v>243.5</v>
      </c>
      <c r="AM218" s="136"/>
      <c r="AN218" s="136"/>
      <c r="AO218" s="140">
        <f t="shared" si="109"/>
        <v>0</v>
      </c>
      <c r="AP218" s="136"/>
      <c r="AQ218" s="137">
        <v>0</v>
      </c>
      <c r="AR218" s="155">
        <f t="shared" si="110"/>
        <v>243.5</v>
      </c>
      <c r="AS218" s="155">
        <f t="shared" si="111"/>
        <v>256</v>
      </c>
      <c r="AT218" s="137">
        <v>0</v>
      </c>
      <c r="AU218" s="141"/>
      <c r="AV218" s="141"/>
      <c r="AW218" s="137">
        <f t="shared" si="82"/>
        <v>29220</v>
      </c>
      <c r="AX218" s="136"/>
      <c r="AY218" s="137">
        <f t="shared" si="112"/>
        <v>29220</v>
      </c>
      <c r="AZ218" s="137">
        <f t="shared" si="113"/>
        <v>29589.999999999996</v>
      </c>
      <c r="BA218" s="142">
        <f t="shared" si="114"/>
        <v>-369.99999999999636</v>
      </c>
      <c r="BB218" s="137"/>
      <c r="BC218" s="137">
        <v>0</v>
      </c>
      <c r="BD218" s="142">
        <v>0</v>
      </c>
      <c r="BE218" s="135">
        <v>296.10000000000002</v>
      </c>
      <c r="BF218" s="143">
        <f t="shared" si="115"/>
        <v>0.44414999999999999</v>
      </c>
      <c r="BG218" s="143">
        <f t="shared" si="116"/>
        <v>295.65585000000004</v>
      </c>
      <c r="BH218" s="143">
        <f t="shared" si="117"/>
        <v>295.89999999999998</v>
      </c>
      <c r="BI218" s="144">
        <f t="shared" si="118"/>
        <v>20.000000000004547</v>
      </c>
      <c r="BJ218" s="144">
        <v>0</v>
      </c>
      <c r="BK218" s="137">
        <f t="shared" si="119"/>
        <v>20.000000000004547</v>
      </c>
      <c r="BL218" s="9"/>
      <c r="BM218" s="10" t="str">
        <f t="shared" si="91"/>
        <v>Unloading no. 203 Bill No 49 ,Deduction For Oil Deduction= 0 ,Bardana= 243.5 ,F.M=  Brokerage/Rate Difference  ,Shortage = 0 ,Greenish=  ,Moisture= 0</v>
      </c>
      <c r="BN218" s="9"/>
      <c r="BO218" s="13" t="str">
        <f t="shared" si="99"/>
        <v xml:space="preserve"> Party Condition 39.51  ,F.M% 0.45 ,Greenish 4 ,Moisture 5.5 ,Shortage in KG= 0  ,Oil% 40</v>
      </c>
      <c r="BP218" s="4">
        <f t="shared" si="100"/>
        <v>6741.9726934775263</v>
      </c>
      <c r="BX218" s="27">
        <v>40</v>
      </c>
      <c r="BY218" s="27">
        <v>40.06</v>
      </c>
    </row>
    <row r="219" spans="1:77" customFormat="1" ht="15.75" hidden="1" x14ac:dyDescent="0.3">
      <c r="A219" s="163" t="s">
        <v>405</v>
      </c>
      <c r="B219" s="162">
        <v>46122</v>
      </c>
      <c r="C219" s="163">
        <v>204</v>
      </c>
      <c r="D219" s="163" t="s">
        <v>432</v>
      </c>
      <c r="E219" s="166">
        <v>46124</v>
      </c>
      <c r="F219" s="163" t="s">
        <v>367</v>
      </c>
      <c r="G219" s="163" t="s">
        <v>368</v>
      </c>
      <c r="H219" s="163"/>
      <c r="I219" s="157"/>
      <c r="J219" s="163" t="s">
        <v>113</v>
      </c>
      <c r="K219" s="164">
        <v>0</v>
      </c>
      <c r="L219" s="162">
        <v>46122</v>
      </c>
      <c r="M219" s="157"/>
      <c r="N219" s="163">
        <v>12</v>
      </c>
      <c r="O219" s="166">
        <v>46123</v>
      </c>
      <c r="P219" s="164">
        <v>0</v>
      </c>
      <c r="Q219" s="164">
        <v>400</v>
      </c>
      <c r="R219" s="164">
        <v>56</v>
      </c>
      <c r="S219" s="164">
        <v>0</v>
      </c>
      <c r="T219" s="164">
        <v>456</v>
      </c>
      <c r="U219" s="164">
        <v>456</v>
      </c>
      <c r="V219" s="164">
        <v>0</v>
      </c>
      <c r="W219" s="164">
        <v>273.60000000000002</v>
      </c>
      <c r="X219" s="135">
        <v>278.39999999999998</v>
      </c>
      <c r="Y219" s="135">
        <v>1897843.73</v>
      </c>
      <c r="Z219" s="136"/>
      <c r="AA219" s="135">
        <v>47446.093249999998</v>
      </c>
      <c r="AB219" s="135">
        <v>47446.093249999998</v>
      </c>
      <c r="AC219" s="135">
        <v>1992735.92</v>
      </c>
      <c r="AD219" s="137">
        <f t="shared" si="101"/>
        <v>1990743.18408</v>
      </c>
      <c r="AE219" s="147">
        <v>41.5</v>
      </c>
      <c r="AF219" s="148">
        <v>40.020000000000003</v>
      </c>
      <c r="AG219" s="147">
        <v>41.25</v>
      </c>
      <c r="AH219" s="139">
        <v>4.3E-3</v>
      </c>
      <c r="AI219" s="139">
        <v>3.9399999999999998E-2</v>
      </c>
      <c r="AJ219" s="139">
        <v>5.0999999999999997E-2</v>
      </c>
      <c r="AK219" s="137">
        <f t="shared" si="78"/>
        <v>0</v>
      </c>
      <c r="AL219" s="136">
        <f>456*12</f>
        <v>5472</v>
      </c>
      <c r="AM219" s="136"/>
      <c r="AN219" s="136"/>
      <c r="AO219" s="140">
        <f t="shared" si="109"/>
        <v>0</v>
      </c>
      <c r="AP219" s="136"/>
      <c r="AQ219" s="137">
        <v>0</v>
      </c>
      <c r="AR219" s="155">
        <f t="shared" si="110"/>
        <v>5472</v>
      </c>
      <c r="AS219" s="155">
        <f t="shared" si="111"/>
        <v>5746</v>
      </c>
      <c r="AT219" s="137">
        <v>0</v>
      </c>
      <c r="AU219" s="141"/>
      <c r="AV219" s="141"/>
      <c r="AW219" s="137">
        <f t="shared" si="82"/>
        <v>27360.000000000004</v>
      </c>
      <c r="AX219" s="136"/>
      <c r="AY219" s="137">
        <f t="shared" si="112"/>
        <v>27360.000000000004</v>
      </c>
      <c r="AZ219" s="137">
        <f t="shared" si="113"/>
        <v>27839.999999999996</v>
      </c>
      <c r="BA219" s="142">
        <f t="shared" si="114"/>
        <v>-479.99999999999272</v>
      </c>
      <c r="BB219" s="137"/>
      <c r="BC219" s="137">
        <v>0</v>
      </c>
      <c r="BD219" s="142">
        <v>0</v>
      </c>
      <c r="BE219" s="135">
        <v>278.3</v>
      </c>
      <c r="BF219" s="143">
        <f t="shared" si="115"/>
        <v>0.41744999999999999</v>
      </c>
      <c r="BG219" s="143">
        <f t="shared" si="116"/>
        <v>277.88255000000004</v>
      </c>
      <c r="BH219" s="143">
        <f t="shared" si="117"/>
        <v>278.39999999999998</v>
      </c>
      <c r="BI219" s="144">
        <f t="shared" si="118"/>
        <v>-9.9999999999965894</v>
      </c>
      <c r="BJ219" s="144">
        <v>0</v>
      </c>
      <c r="BK219" s="137">
        <f t="shared" si="119"/>
        <v>-9.9999999999965894</v>
      </c>
      <c r="BL219" s="9"/>
      <c r="BM219" s="10" t="str">
        <f t="shared" si="91"/>
        <v>Unloading no. 204 Bill No 12 ,Deduction For Oil Deduction= 0 ,Bardana= 5472 ,F.M=  Brokerage/Rate Difference  ,Shortage = 0 ,Greenish=  ,Moisture= 0</v>
      </c>
      <c r="BN219" s="9"/>
      <c r="BO219" s="13" t="str">
        <f t="shared" si="99"/>
        <v xml:space="preserve"> Party Condition 40.02  ,F.M% 0.43 ,Greenish 3.94 ,Moisture 5.1 ,Shortage in KG= 0  ,Oil% 41.25</v>
      </c>
      <c r="BP219" s="4">
        <f t="shared" si="100"/>
        <v>6797.3122485632193</v>
      </c>
      <c r="BX219" s="27">
        <v>41.5</v>
      </c>
      <c r="BY219" s="27">
        <v>41.25</v>
      </c>
    </row>
    <row r="220" spans="1:77" customFormat="1" ht="15.75" hidden="1" x14ac:dyDescent="0.3">
      <c r="A220" s="163" t="s">
        <v>400</v>
      </c>
      <c r="B220" s="162">
        <v>46122</v>
      </c>
      <c r="C220" s="163">
        <v>205</v>
      </c>
      <c r="D220" s="163" t="s">
        <v>433</v>
      </c>
      <c r="E220" s="166">
        <v>46124</v>
      </c>
      <c r="F220" s="163" t="s">
        <v>101</v>
      </c>
      <c r="G220" s="163" t="s">
        <v>102</v>
      </c>
      <c r="H220" s="163" t="s">
        <v>103</v>
      </c>
      <c r="I220" s="157"/>
      <c r="J220" s="163" t="s">
        <v>113</v>
      </c>
      <c r="K220" s="164">
        <v>0</v>
      </c>
      <c r="L220" s="162">
        <v>46122</v>
      </c>
      <c r="M220" s="157"/>
      <c r="N220" s="163" t="s">
        <v>444</v>
      </c>
      <c r="O220" s="166">
        <v>46123</v>
      </c>
      <c r="P220" s="164">
        <v>0</v>
      </c>
      <c r="Q220" s="164">
        <v>420</v>
      </c>
      <c r="R220" s="164">
        <v>212</v>
      </c>
      <c r="S220" s="164">
        <v>0</v>
      </c>
      <c r="T220" s="164">
        <v>632</v>
      </c>
      <c r="U220" s="164">
        <v>632</v>
      </c>
      <c r="V220" s="164">
        <v>0</v>
      </c>
      <c r="W220" s="164">
        <v>379.2</v>
      </c>
      <c r="X220" s="135">
        <v>383.7</v>
      </c>
      <c r="Y220" s="135">
        <v>2614236.4</v>
      </c>
      <c r="Z220" s="136"/>
      <c r="AA220" s="135">
        <v>65355.91</v>
      </c>
      <c r="AB220" s="135">
        <v>65355.91</v>
      </c>
      <c r="AC220" s="135">
        <v>2744948.22</v>
      </c>
      <c r="AD220" s="137">
        <f t="shared" si="101"/>
        <v>2742203.2717800001</v>
      </c>
      <c r="AE220" s="147">
        <v>40.270000000000003</v>
      </c>
      <c r="AF220" s="148">
        <v>39.4</v>
      </c>
      <c r="AG220" s="147">
        <v>40.54</v>
      </c>
      <c r="AH220" s="139">
        <v>4.4000000000000003E-3</v>
      </c>
      <c r="AI220" s="139">
        <v>0.05</v>
      </c>
      <c r="AJ220" s="139">
        <v>0.05</v>
      </c>
      <c r="AK220" s="137">
        <f t="shared" si="78"/>
        <v>0</v>
      </c>
      <c r="AL220" s="136"/>
      <c r="AM220" s="136"/>
      <c r="AN220" s="136"/>
      <c r="AO220" s="140">
        <f t="shared" si="109"/>
        <v>758.34916666666663</v>
      </c>
      <c r="AP220" s="136"/>
      <c r="AQ220" s="137">
        <v>0</v>
      </c>
      <c r="AR220" s="155">
        <f t="shared" si="110"/>
        <v>758.34916666666663</v>
      </c>
      <c r="AS220" s="155">
        <f t="shared" si="111"/>
        <v>796</v>
      </c>
      <c r="AT220" s="137">
        <v>11</v>
      </c>
      <c r="AU220" s="141"/>
      <c r="AV220" s="141"/>
      <c r="AW220" s="137">
        <f t="shared" si="82"/>
        <v>37920</v>
      </c>
      <c r="AX220" s="136"/>
      <c r="AY220" s="137">
        <f t="shared" si="112"/>
        <v>37920</v>
      </c>
      <c r="AZ220" s="137">
        <f t="shared" si="113"/>
        <v>38370</v>
      </c>
      <c r="BA220" s="142">
        <f t="shared" si="114"/>
        <v>-450</v>
      </c>
      <c r="BB220" s="137"/>
      <c r="BC220" s="137">
        <v>0</v>
      </c>
      <c r="BD220" s="142">
        <v>0</v>
      </c>
      <c r="BE220" s="135">
        <v>384.3</v>
      </c>
      <c r="BF220" s="143">
        <f t="shared" si="115"/>
        <v>0.57644999999999991</v>
      </c>
      <c r="BG220" s="143">
        <f t="shared" si="116"/>
        <v>383.72354999999999</v>
      </c>
      <c r="BH220" s="143">
        <f t="shared" si="117"/>
        <v>383.7</v>
      </c>
      <c r="BI220" s="144">
        <f t="shared" si="118"/>
        <v>60.000000000002274</v>
      </c>
      <c r="BJ220" s="144">
        <v>0</v>
      </c>
      <c r="BK220" s="137">
        <f t="shared" si="119"/>
        <v>60.000000000002274</v>
      </c>
      <c r="BL220" s="9"/>
      <c r="BM220" s="10" t="str">
        <f t="shared" si="91"/>
        <v>Unloading no. 205 Bill No L/PB/26-27/31 ,Deduction For Oil Deduction= 0 ,Bardana=  ,F.M=  Brokerage/Rate Difference  ,Shortage = 758.349166666667 ,Greenish=  ,Moisture= 0</v>
      </c>
      <c r="BN220" s="9"/>
      <c r="BO220" s="13" t="str">
        <f t="shared" si="99"/>
        <v xml:space="preserve"> Party Condition 39.4  ,F.M% 0.44 ,Greenish 5 ,Moisture 5 ,Shortage in KG= 11  ,Oil% 40.27</v>
      </c>
      <c r="BP220" s="4">
        <f t="shared" si="100"/>
        <v>6811.2537160107722</v>
      </c>
      <c r="BX220" s="27">
        <v>40.270000000000003</v>
      </c>
      <c r="BY220" s="27">
        <v>40.54</v>
      </c>
    </row>
    <row r="221" spans="1:77" customFormat="1" ht="15.75" hidden="1" x14ac:dyDescent="0.3">
      <c r="A221" s="128" t="s">
        <v>406</v>
      </c>
      <c r="B221" s="129">
        <v>46122</v>
      </c>
      <c r="C221" s="128">
        <v>206</v>
      </c>
      <c r="D221" s="128" t="s">
        <v>434</v>
      </c>
      <c r="E221" s="130">
        <v>46124</v>
      </c>
      <c r="F221" s="128" t="s">
        <v>98</v>
      </c>
      <c r="G221" s="128" t="s">
        <v>99</v>
      </c>
      <c r="H221" s="128" t="s">
        <v>100</v>
      </c>
      <c r="I221" s="136"/>
      <c r="J221" s="128" t="s">
        <v>113</v>
      </c>
      <c r="K221" s="135">
        <v>0</v>
      </c>
      <c r="L221" s="129">
        <v>46122</v>
      </c>
      <c r="M221" s="136"/>
      <c r="N221" s="128">
        <v>50</v>
      </c>
      <c r="O221" s="130">
        <v>46123</v>
      </c>
      <c r="P221" s="135">
        <v>0</v>
      </c>
      <c r="Q221" s="135">
        <v>395</v>
      </c>
      <c r="R221" s="135">
        <v>92</v>
      </c>
      <c r="S221" s="135">
        <v>0</v>
      </c>
      <c r="T221" s="135">
        <v>487</v>
      </c>
      <c r="U221" s="135">
        <v>487</v>
      </c>
      <c r="V221" s="135">
        <v>0</v>
      </c>
      <c r="W221" s="135">
        <v>292.2</v>
      </c>
      <c r="X221" s="135">
        <v>296.10000000000002</v>
      </c>
      <c r="Y221" s="135">
        <v>2007246.47</v>
      </c>
      <c r="Z221" s="136"/>
      <c r="AA221" s="135">
        <v>50181.161749999999</v>
      </c>
      <c r="AB221" s="135">
        <v>50181.161749999999</v>
      </c>
      <c r="AC221" s="135">
        <v>2107608.79</v>
      </c>
      <c r="AD221" s="137">
        <f t="shared" si="101"/>
        <v>2105501.1812100001</v>
      </c>
      <c r="AE221" s="147">
        <v>40.229999999999997</v>
      </c>
      <c r="AF221" s="148">
        <v>39.24</v>
      </c>
      <c r="AG221" s="147">
        <v>40.19</v>
      </c>
      <c r="AH221" s="139">
        <v>4.0000000000000001E-3</v>
      </c>
      <c r="AI221" s="139">
        <v>3.8199999999999998E-2</v>
      </c>
      <c r="AJ221" s="139">
        <v>4.9000000000000002E-2</v>
      </c>
      <c r="AK221" s="137">
        <f t="shared" si="78"/>
        <v>0</v>
      </c>
      <c r="AL221" s="136">
        <f>487*0.5</f>
        <v>243.5</v>
      </c>
      <c r="AM221" s="136"/>
      <c r="AN221" s="136"/>
      <c r="AO221" s="140">
        <f t="shared" si="109"/>
        <v>0</v>
      </c>
      <c r="AP221" s="136"/>
      <c r="AQ221" s="137">
        <v>0</v>
      </c>
      <c r="AR221" s="155">
        <f t="shared" si="110"/>
        <v>243.5</v>
      </c>
      <c r="AS221" s="155">
        <f t="shared" si="111"/>
        <v>256</v>
      </c>
      <c r="AT221" s="137">
        <v>0</v>
      </c>
      <c r="AU221" s="141"/>
      <c r="AV221" s="141"/>
      <c r="AW221" s="137">
        <f t="shared" si="82"/>
        <v>29220</v>
      </c>
      <c r="AX221" s="136"/>
      <c r="AY221" s="137">
        <f t="shared" si="112"/>
        <v>29220</v>
      </c>
      <c r="AZ221" s="137">
        <f t="shared" si="113"/>
        <v>29610.000000000004</v>
      </c>
      <c r="BA221" s="142">
        <f t="shared" si="114"/>
        <v>-390.00000000000364</v>
      </c>
      <c r="BB221" s="137"/>
      <c r="BC221" s="137">
        <v>0</v>
      </c>
      <c r="BD221" s="142">
        <v>0</v>
      </c>
      <c r="BE221" s="135">
        <v>296.2</v>
      </c>
      <c r="BF221" s="143">
        <f t="shared" si="115"/>
        <v>0.44429999999999997</v>
      </c>
      <c r="BG221" s="143">
        <f t="shared" si="116"/>
        <v>295.75569999999999</v>
      </c>
      <c r="BH221" s="143">
        <f t="shared" si="117"/>
        <v>296.10000000000002</v>
      </c>
      <c r="BI221" s="144">
        <f t="shared" si="118"/>
        <v>9.9999999999965894</v>
      </c>
      <c r="BJ221" s="144">
        <v>0</v>
      </c>
      <c r="BK221" s="137">
        <f t="shared" si="119"/>
        <v>9.9999999999965894</v>
      </c>
      <c r="BL221" s="9"/>
      <c r="BM221" s="10" t="str">
        <f t="shared" si="91"/>
        <v>Unloading no. 206 Bill No 50 ,Deduction For Oil Deduction= 0 ,Bardana= 243.5 ,F.M=  Brokerage/Rate Difference  ,Shortage = 0 ,Greenish=  ,Moisture= 0</v>
      </c>
      <c r="BN221" s="9"/>
      <c r="BO221" s="13" t="str">
        <f t="shared" si="99"/>
        <v xml:space="preserve"> Party Condition 39.24  ,F.M% 0.4 ,Greenish 3.82 ,Moisture 4.9 ,Shortage in KG= 0  ,Oil% 40.19</v>
      </c>
      <c r="BP221" s="4">
        <f t="shared" si="100"/>
        <v>6778.1255319148931</v>
      </c>
      <c r="BX221" s="27">
        <v>40.229999999999997</v>
      </c>
      <c r="BY221" s="27">
        <v>40.19</v>
      </c>
    </row>
    <row r="222" spans="1:77" customFormat="1" ht="15.75" hidden="1" x14ac:dyDescent="0.3">
      <c r="A222" s="128" t="s">
        <v>407</v>
      </c>
      <c r="B222" s="129">
        <v>46122</v>
      </c>
      <c r="C222" s="128">
        <v>207</v>
      </c>
      <c r="D222" s="128" t="s">
        <v>435</v>
      </c>
      <c r="E222" s="130">
        <v>46124</v>
      </c>
      <c r="F222" s="128" t="s">
        <v>436</v>
      </c>
      <c r="G222" s="128" t="s">
        <v>437</v>
      </c>
      <c r="H222" s="128" t="s">
        <v>438</v>
      </c>
      <c r="I222" s="136"/>
      <c r="J222" s="128" t="s">
        <v>113</v>
      </c>
      <c r="K222" s="135">
        <v>0</v>
      </c>
      <c r="L222" s="129">
        <v>46122</v>
      </c>
      <c r="M222" s="136"/>
      <c r="N222" s="128">
        <v>31</v>
      </c>
      <c r="O222" s="130">
        <v>46123</v>
      </c>
      <c r="P222" s="135">
        <v>0</v>
      </c>
      <c r="Q222" s="135">
        <v>407</v>
      </c>
      <c r="R222" s="135">
        <v>70</v>
      </c>
      <c r="S222" s="135">
        <v>0</v>
      </c>
      <c r="T222" s="135">
        <v>477</v>
      </c>
      <c r="U222" s="135">
        <v>477</v>
      </c>
      <c r="V222" s="135">
        <v>0</v>
      </c>
      <c r="W222" s="135">
        <v>286.2</v>
      </c>
      <c r="X222" s="135">
        <v>291</v>
      </c>
      <c r="Y222" s="135">
        <v>1935883.51</v>
      </c>
      <c r="Z222" s="136"/>
      <c r="AA222" s="135">
        <v>48397.087749999999</v>
      </c>
      <c r="AB222" s="135">
        <v>48397.087749999999</v>
      </c>
      <c r="AC222" s="135">
        <v>2032677.69</v>
      </c>
      <c r="AD222" s="137">
        <f t="shared" si="101"/>
        <v>2030645.0123099999</v>
      </c>
      <c r="AE222" s="147">
        <v>39.92</v>
      </c>
      <c r="AF222" s="148">
        <v>39.15</v>
      </c>
      <c r="AG222" s="147">
        <v>39.9</v>
      </c>
      <c r="AH222" s="139">
        <v>3.5999999999999999E-3</v>
      </c>
      <c r="AI222" s="139">
        <v>0.04</v>
      </c>
      <c r="AJ222" s="139">
        <v>4.8000000000000001E-2</v>
      </c>
      <c r="AK222" s="137">
        <f t="shared" si="78"/>
        <v>0</v>
      </c>
      <c r="AL222" s="136"/>
      <c r="AM222" s="136"/>
      <c r="AN222" s="136">
        <f>502.44</f>
        <v>502.44</v>
      </c>
      <c r="AO222" s="140">
        <f t="shared" si="109"/>
        <v>0</v>
      </c>
      <c r="AP222" s="136"/>
      <c r="AQ222" s="137">
        <v>0</v>
      </c>
      <c r="AR222" s="155">
        <f t="shared" si="110"/>
        <v>502.44</v>
      </c>
      <c r="AS222" s="155">
        <f t="shared" si="111"/>
        <v>528</v>
      </c>
      <c r="AT222" s="137">
        <v>0</v>
      </c>
      <c r="AU222" s="141"/>
      <c r="AV222" s="141"/>
      <c r="AW222" s="137">
        <f t="shared" si="82"/>
        <v>28620</v>
      </c>
      <c r="AX222" s="136"/>
      <c r="AY222" s="137">
        <f t="shared" si="112"/>
        <v>28620</v>
      </c>
      <c r="AZ222" s="137">
        <f t="shared" si="113"/>
        <v>29100</v>
      </c>
      <c r="BA222" s="142">
        <f t="shared" si="114"/>
        <v>-480</v>
      </c>
      <c r="BB222" s="137"/>
      <c r="BC222" s="137">
        <v>0</v>
      </c>
      <c r="BD222" s="142">
        <v>0</v>
      </c>
      <c r="BE222" s="135">
        <v>290.95</v>
      </c>
      <c r="BF222" s="143">
        <f t="shared" si="115"/>
        <v>0.43642500000000001</v>
      </c>
      <c r="BG222" s="143">
        <f t="shared" si="116"/>
        <v>290.513575</v>
      </c>
      <c r="BH222" s="143">
        <f t="shared" si="117"/>
        <v>291</v>
      </c>
      <c r="BI222" s="144">
        <f t="shared" si="118"/>
        <v>-5.0000000000011369</v>
      </c>
      <c r="BJ222" s="144">
        <v>0</v>
      </c>
      <c r="BK222" s="137">
        <f t="shared" si="119"/>
        <v>-5.0000000000011369</v>
      </c>
      <c r="BL222" s="9"/>
      <c r="BM222" s="10" t="str">
        <f t="shared" si="91"/>
        <v>Unloading no. 207 Bill No 31 ,Deduction For Oil Deduction= 0 ,Bardana=  ,F.M=  Brokerage/Rate Difference 502.44 ,Shortage = 0 ,Greenish=  ,Moisture= 0</v>
      </c>
      <c r="BN222" s="9"/>
      <c r="BO222" s="13" t="str">
        <f t="shared" si="99"/>
        <v xml:space="preserve"> Party Condition 39.15  ,F.M% 0.36 ,Greenish 4 ,Moisture 4.8 ,Shortage in KG= 0  ,Oil% 39.9</v>
      </c>
      <c r="BP222" s="4">
        <f t="shared" si="100"/>
        <v>6650.7940549828181</v>
      </c>
      <c r="BX222" s="27">
        <v>39.92</v>
      </c>
      <c r="BY222" s="27">
        <v>39.9</v>
      </c>
    </row>
    <row r="223" spans="1:77" customFormat="1" ht="15.75" hidden="1" x14ac:dyDescent="0.3">
      <c r="A223" s="128" t="s">
        <v>445</v>
      </c>
      <c r="B223" s="146">
        <v>46122</v>
      </c>
      <c r="C223" s="167">
        <v>208</v>
      </c>
      <c r="D223" s="167" t="s">
        <v>451</v>
      </c>
      <c r="E223" s="168">
        <v>46125</v>
      </c>
      <c r="F223" s="128" t="s">
        <v>104</v>
      </c>
      <c r="G223" s="128" t="s">
        <v>105</v>
      </c>
      <c r="H223" s="128" t="s">
        <v>106</v>
      </c>
      <c r="I223" s="136"/>
      <c r="J223" s="128" t="s">
        <v>113</v>
      </c>
      <c r="K223" s="128">
        <v>0</v>
      </c>
      <c r="L223" s="130">
        <v>46122</v>
      </c>
      <c r="M223" s="128"/>
      <c r="N223" s="128" t="s">
        <v>470</v>
      </c>
      <c r="O223" s="130">
        <v>46123</v>
      </c>
      <c r="P223" s="128">
        <v>0</v>
      </c>
      <c r="Q223" s="128">
        <v>400</v>
      </c>
      <c r="R223" s="128">
        <v>124</v>
      </c>
      <c r="S223" s="128">
        <v>524</v>
      </c>
      <c r="T223" s="128">
        <v>0</v>
      </c>
      <c r="U223" s="128">
        <v>0</v>
      </c>
      <c r="V223" s="128"/>
      <c r="W223" s="169">
        <v>314.39999999999998</v>
      </c>
      <c r="X223" s="169">
        <v>319.5</v>
      </c>
      <c r="Y223" s="169">
        <v>2165151.23</v>
      </c>
      <c r="Z223" s="136"/>
      <c r="AA223" s="128">
        <v>54128.780749999998</v>
      </c>
      <c r="AB223" s="128">
        <v>54128.780749999998</v>
      </c>
      <c r="AC223" s="128">
        <v>2273408.79</v>
      </c>
      <c r="AD223" s="137">
        <f t="shared" si="101"/>
        <v>2271135.3812100003</v>
      </c>
      <c r="AE223" s="169">
        <v>40.47</v>
      </c>
      <c r="AF223" s="169">
        <v>40.200000000000003</v>
      </c>
      <c r="AG223" s="169">
        <v>40.42</v>
      </c>
      <c r="AH223" s="170">
        <v>5.0000000000000001E-3</v>
      </c>
      <c r="AI223" s="170">
        <v>3.7499999999999999E-2</v>
      </c>
      <c r="AJ223" s="170">
        <v>0.05</v>
      </c>
      <c r="AK223" s="137">
        <f t="shared" si="78"/>
        <v>0</v>
      </c>
      <c r="AL223" s="136">
        <f>524*2</f>
        <v>1048</v>
      </c>
      <c r="AM223" s="136"/>
      <c r="AN223" s="136"/>
      <c r="AO223" s="140">
        <f t="shared" ref="AO223:AO237" si="120">AT223*Y223/AW223</f>
        <v>0</v>
      </c>
      <c r="AP223" s="136"/>
      <c r="AQ223" s="137">
        <v>0</v>
      </c>
      <c r="AR223" s="155">
        <f t="shared" ref="AR223:AR237" si="121">SUM(AK223:AQ223)</f>
        <v>1048</v>
      </c>
      <c r="AS223" s="155">
        <f t="shared" ref="AS223:AS237" si="122">ROUND(AR223*1.05,0)</f>
        <v>1100</v>
      </c>
      <c r="AT223" s="137">
        <v>0</v>
      </c>
      <c r="AU223" s="141"/>
      <c r="AV223" s="141"/>
      <c r="AW223" s="137">
        <f t="shared" ref="AW223:AW237" si="123">W223*100</f>
        <v>31439.999999999996</v>
      </c>
      <c r="AX223" s="136"/>
      <c r="AY223" s="137">
        <f t="shared" ref="AY223:AY237" si="124">+AW223+AX223</f>
        <v>31439.999999999996</v>
      </c>
      <c r="AZ223" s="137">
        <f t="shared" ref="AZ223:AZ250" si="125">X223*100</f>
        <v>31950</v>
      </c>
      <c r="BA223" s="142">
        <f t="shared" ref="BA223:BA237" si="126">AY223-AZ223</f>
        <v>-510.00000000000364</v>
      </c>
      <c r="BB223" s="137"/>
      <c r="BC223" s="137">
        <v>0</v>
      </c>
      <c r="BD223" s="136"/>
      <c r="BE223" s="169">
        <v>318.89999999999998</v>
      </c>
      <c r="BF223" s="143">
        <f t="shared" ref="BF223:BF237" si="127">+BE223*0.15/100</f>
        <v>0.47834999999999994</v>
      </c>
      <c r="BG223" s="143">
        <f t="shared" ref="BG223:BG237" si="128">BE223-BF223</f>
        <v>318.42165</v>
      </c>
      <c r="BH223" s="143">
        <f t="shared" ref="BH223:BH237" si="129">X223</f>
        <v>319.5</v>
      </c>
      <c r="BI223" s="144">
        <f t="shared" ref="BI223:BI237" si="130">(BE223-BH223)*100</f>
        <v>-60.000000000002274</v>
      </c>
      <c r="BJ223" s="144">
        <v>0</v>
      </c>
      <c r="BK223" s="137">
        <f t="shared" ref="BK223:BK237" si="131">BI223</f>
        <v>-60.000000000002274</v>
      </c>
      <c r="BL223" s="9"/>
      <c r="BM223" s="10" t="str">
        <f t="shared" ref="BM223:BM237" si="132">+$C$1&amp;" "&amp;C223 &amp;" "&amp;$N$1&amp;" "&amp;N223&amp;" "&amp;$BM$1&amp;" "&amp;$AK$1&amp;" "&amp;AK223&amp;" "&amp;$AL$1&amp;" "&amp;AL223&amp;" "&amp;$AM$1&amp;" "&amp;AM223&amp;" "&amp;$AN$1&amp;" "&amp;AN223&amp;" "&amp;$AO$1&amp;" "&amp;AO223&amp;" "&amp;$AP$1&amp;" "&amp;AP223&amp;" "&amp;$AQ$1&amp;" "&amp;AQ223</f>
        <v>Unloading no. 208 Bill No MTC/2026-27/054 ,Deduction For Oil Deduction= 0 ,Bardana= 1048 ,F.M=  Brokerage/Rate Difference  ,Shortage = 0 ,Greenish=  ,Moisture= 0</v>
      </c>
      <c r="BN223" s="9"/>
      <c r="BO223" s="13" t="str">
        <f t="shared" si="99"/>
        <v xml:space="preserve"> Party Condition 40.2  ,F.M% 0.5 ,Greenish 3.75 ,Moisture 5 ,Shortage in KG= 0  ,Oil% 40.42</v>
      </c>
      <c r="BP223" s="4">
        <f t="shared" ref="BP223:BP237" si="133">(Y223-AR223)/X223</f>
        <v>6773.4060406885756</v>
      </c>
      <c r="BX223" s="27">
        <v>40.47</v>
      </c>
      <c r="BY223" s="27">
        <v>40.42</v>
      </c>
    </row>
    <row r="224" spans="1:77" customFormat="1" ht="15.75" hidden="1" x14ac:dyDescent="0.3">
      <c r="A224" s="128" t="s">
        <v>405</v>
      </c>
      <c r="B224" s="146">
        <v>46122</v>
      </c>
      <c r="C224" s="167">
        <v>209</v>
      </c>
      <c r="D224" s="167" t="s">
        <v>452</v>
      </c>
      <c r="E224" s="168">
        <v>46125</v>
      </c>
      <c r="F224" s="128" t="s">
        <v>367</v>
      </c>
      <c r="G224" s="128" t="s">
        <v>368</v>
      </c>
      <c r="H224" s="128" t="s">
        <v>466</v>
      </c>
      <c r="I224" s="136"/>
      <c r="J224" s="128" t="s">
        <v>113</v>
      </c>
      <c r="K224" s="128">
        <v>0</v>
      </c>
      <c r="L224" s="130">
        <v>46122</v>
      </c>
      <c r="M224" s="128"/>
      <c r="N224" s="128">
        <v>11</v>
      </c>
      <c r="O224" s="130">
        <v>46123</v>
      </c>
      <c r="P224" s="128">
        <v>0</v>
      </c>
      <c r="Q224" s="128">
        <v>450</v>
      </c>
      <c r="R224" s="128">
        <v>63</v>
      </c>
      <c r="S224" s="128">
        <v>513</v>
      </c>
      <c r="T224" s="128">
        <v>0</v>
      </c>
      <c r="U224" s="128">
        <v>0</v>
      </c>
      <c r="V224" s="128"/>
      <c r="W224" s="169">
        <v>307.8</v>
      </c>
      <c r="X224" s="169">
        <v>312.3</v>
      </c>
      <c r="Y224" s="169">
        <v>2135074.19</v>
      </c>
      <c r="Z224" s="136"/>
      <c r="AA224" s="128">
        <v>53376.854749999999</v>
      </c>
      <c r="AB224" s="128">
        <v>53376.854749999999</v>
      </c>
      <c r="AC224" s="128">
        <v>2241827.9</v>
      </c>
      <c r="AD224" s="137">
        <f t="shared" si="101"/>
        <v>2239586.0721</v>
      </c>
      <c r="AE224" s="169">
        <v>41.05</v>
      </c>
      <c r="AF224" s="169">
        <v>40.020000000000003</v>
      </c>
      <c r="AG224" s="169">
        <v>40.9</v>
      </c>
      <c r="AH224" s="170">
        <v>4.1000000000000003E-3</v>
      </c>
      <c r="AI224" s="170">
        <v>3.9300000000000002E-2</v>
      </c>
      <c r="AJ224" s="170">
        <v>4.8000000000000001E-2</v>
      </c>
      <c r="AK224" s="137">
        <f t="shared" si="78"/>
        <v>0</v>
      </c>
      <c r="AL224" s="136">
        <f>513*12</f>
        <v>6156</v>
      </c>
      <c r="AM224" s="136"/>
      <c r="AN224" s="136"/>
      <c r="AO224" s="140">
        <f t="shared" si="120"/>
        <v>0</v>
      </c>
      <c r="AP224" s="136"/>
      <c r="AQ224" s="137">
        <v>0</v>
      </c>
      <c r="AR224" s="155">
        <f t="shared" si="121"/>
        <v>6156</v>
      </c>
      <c r="AS224" s="155">
        <f t="shared" si="122"/>
        <v>6464</v>
      </c>
      <c r="AT224" s="137">
        <v>0</v>
      </c>
      <c r="AU224" s="141"/>
      <c r="AV224" s="141"/>
      <c r="AW224" s="137">
        <f t="shared" si="123"/>
        <v>30780</v>
      </c>
      <c r="AX224" s="136"/>
      <c r="AY224" s="137">
        <f t="shared" si="124"/>
        <v>30780</v>
      </c>
      <c r="AZ224" s="137">
        <f t="shared" si="125"/>
        <v>31230</v>
      </c>
      <c r="BA224" s="142">
        <f t="shared" si="126"/>
        <v>-450</v>
      </c>
      <c r="BB224" s="137"/>
      <c r="BC224" s="137">
        <v>0</v>
      </c>
      <c r="BD224" s="136"/>
      <c r="BE224" s="169">
        <v>312.64999999999998</v>
      </c>
      <c r="BF224" s="143">
        <f t="shared" si="127"/>
        <v>0.46897499999999992</v>
      </c>
      <c r="BG224" s="143">
        <f t="shared" si="128"/>
        <v>312.18102499999998</v>
      </c>
      <c r="BH224" s="143">
        <f t="shared" si="129"/>
        <v>312.3</v>
      </c>
      <c r="BI224" s="144">
        <f t="shared" si="130"/>
        <v>34.999999999996589</v>
      </c>
      <c r="BJ224" s="144">
        <v>0</v>
      </c>
      <c r="BK224" s="137">
        <f t="shared" si="131"/>
        <v>34.999999999996589</v>
      </c>
      <c r="BL224" s="9"/>
      <c r="BM224" s="10" t="str">
        <f t="shared" si="132"/>
        <v>Unloading no. 209 Bill No 11 ,Deduction For Oil Deduction= 0 ,Bardana= 6156 ,F.M=  Brokerage/Rate Difference  ,Shortage = 0 ,Greenish=  ,Moisture= 0</v>
      </c>
      <c r="BN224" s="9"/>
      <c r="BO224" s="13" t="str">
        <f t="shared" si="99"/>
        <v xml:space="preserve"> Party Condition 40.02  ,F.M% 0.41 ,Greenish 3.93 ,Moisture 4.8 ,Shortage in KG= 0  ,Oil% 40.9</v>
      </c>
      <c r="BP224" s="4">
        <f t="shared" si="133"/>
        <v>6816.9010246557791</v>
      </c>
      <c r="BX224" s="27">
        <v>41.05</v>
      </c>
      <c r="BY224" s="27">
        <v>40.9</v>
      </c>
    </row>
    <row r="225" spans="1:77" customFormat="1" ht="15.75" hidden="1" x14ac:dyDescent="0.3">
      <c r="A225" s="128" t="s">
        <v>400</v>
      </c>
      <c r="B225" s="146">
        <v>46122</v>
      </c>
      <c r="C225" s="167">
        <v>210</v>
      </c>
      <c r="D225" s="167" t="s">
        <v>453</v>
      </c>
      <c r="E225" s="168">
        <v>46125</v>
      </c>
      <c r="F225" s="128" t="s">
        <v>101</v>
      </c>
      <c r="G225" s="128" t="s">
        <v>102</v>
      </c>
      <c r="H225" s="128" t="s">
        <v>103</v>
      </c>
      <c r="I225" s="136"/>
      <c r="J225" s="128" t="s">
        <v>113</v>
      </c>
      <c r="K225" s="128">
        <v>0</v>
      </c>
      <c r="L225" s="130">
        <v>46122</v>
      </c>
      <c r="M225" s="128"/>
      <c r="N225" s="128" t="s">
        <v>471</v>
      </c>
      <c r="O225" s="130">
        <v>46123</v>
      </c>
      <c r="P225" s="128">
        <v>0</v>
      </c>
      <c r="Q225" s="128">
        <v>573</v>
      </c>
      <c r="R225" s="128">
        <v>50</v>
      </c>
      <c r="S225" s="128">
        <v>623</v>
      </c>
      <c r="T225" s="128">
        <v>0</v>
      </c>
      <c r="U225" s="128">
        <v>0</v>
      </c>
      <c r="V225" s="128"/>
      <c r="W225" s="169">
        <v>373.8</v>
      </c>
      <c r="X225" s="169">
        <v>378.1</v>
      </c>
      <c r="Y225" s="169">
        <v>2577008.35</v>
      </c>
      <c r="Z225" s="136"/>
      <c r="AA225" s="128">
        <v>64425.208749999998</v>
      </c>
      <c r="AB225" s="128">
        <v>64425.208749999998</v>
      </c>
      <c r="AC225" s="128">
        <v>2705858.77</v>
      </c>
      <c r="AD225" s="137">
        <f t="shared" si="101"/>
        <v>2703152.9112300002</v>
      </c>
      <c r="AE225" s="169">
        <v>40.020000000000003</v>
      </c>
      <c r="AF225" s="169">
        <v>39.4</v>
      </c>
      <c r="AG225" s="169">
        <v>40.06</v>
      </c>
      <c r="AH225" s="170">
        <v>4.1999999999999997E-3</v>
      </c>
      <c r="AI225" s="170">
        <v>0.04</v>
      </c>
      <c r="AJ225" s="170">
        <v>5.6000000000000001E-2</v>
      </c>
      <c r="AK225" s="137">
        <f t="shared" si="78"/>
        <v>0</v>
      </c>
      <c r="AL225" s="136"/>
      <c r="AM225" s="136"/>
      <c r="AN225" s="136"/>
      <c r="AO225" s="140">
        <f t="shared" si="120"/>
        <v>1723.5208333333333</v>
      </c>
      <c r="AP225" s="136"/>
      <c r="AQ225" s="137">
        <v>0</v>
      </c>
      <c r="AR225" s="155">
        <f t="shared" si="121"/>
        <v>1723.5208333333333</v>
      </c>
      <c r="AS225" s="155">
        <f t="shared" si="122"/>
        <v>1810</v>
      </c>
      <c r="AT225" s="137">
        <v>25</v>
      </c>
      <c r="AU225" s="141"/>
      <c r="AV225" s="141"/>
      <c r="AW225" s="137">
        <f t="shared" si="123"/>
        <v>37380</v>
      </c>
      <c r="AX225" s="136"/>
      <c r="AY225" s="137">
        <f t="shared" si="124"/>
        <v>37380</v>
      </c>
      <c r="AZ225" s="137">
        <f t="shared" si="125"/>
        <v>37810</v>
      </c>
      <c r="BA225" s="142">
        <f t="shared" si="126"/>
        <v>-430</v>
      </c>
      <c r="BB225" s="137"/>
      <c r="BC225" s="137">
        <v>0</v>
      </c>
      <c r="BD225" s="136"/>
      <c r="BE225" s="169">
        <v>379</v>
      </c>
      <c r="BF225" s="143">
        <f t="shared" si="127"/>
        <v>0.56850000000000001</v>
      </c>
      <c r="BG225" s="143">
        <f t="shared" si="128"/>
        <v>378.43150000000003</v>
      </c>
      <c r="BH225" s="143">
        <f t="shared" si="129"/>
        <v>378.1</v>
      </c>
      <c r="BI225" s="144">
        <f t="shared" si="130"/>
        <v>89.999999999997726</v>
      </c>
      <c r="BJ225" s="144">
        <v>0</v>
      </c>
      <c r="BK225" s="137">
        <f t="shared" si="131"/>
        <v>89.999999999997726</v>
      </c>
      <c r="BL225" s="9"/>
      <c r="BM225" s="10" t="str">
        <f t="shared" si="132"/>
        <v>Unloading no. 210 Bill No L/PB/26-27/30 ,Deduction For Oil Deduction= 0 ,Bardana=  ,F.M=  Brokerage/Rate Difference  ,Shortage = 1723.52083333333 ,Greenish=  ,Moisture= 0</v>
      </c>
      <c r="BN225" s="9"/>
      <c r="BO225" s="13" t="str">
        <f t="shared" si="99"/>
        <v xml:space="preserve"> Party Condition 39.4  ,F.M% 0.42 ,Greenish 4 ,Moisture 5.6 ,Shortage in KG= 25  ,Oil% 40.02</v>
      </c>
      <c r="BP225" s="4">
        <f t="shared" si="133"/>
        <v>6811.1209446354578</v>
      </c>
      <c r="BX225" s="27">
        <v>40.020000000000003</v>
      </c>
      <c r="BY225" s="27">
        <v>40.06</v>
      </c>
    </row>
    <row r="226" spans="1:77" customFormat="1" ht="15.75" hidden="1" x14ac:dyDescent="0.3">
      <c r="A226" s="128" t="s">
        <v>400</v>
      </c>
      <c r="B226" s="146">
        <v>46122</v>
      </c>
      <c r="C226" s="167">
        <v>211</v>
      </c>
      <c r="D226" s="167" t="s">
        <v>454</v>
      </c>
      <c r="E226" s="168">
        <v>46125</v>
      </c>
      <c r="F226" s="128" t="s">
        <v>101</v>
      </c>
      <c r="G226" s="128" t="s">
        <v>102</v>
      </c>
      <c r="H226" s="128" t="s">
        <v>103</v>
      </c>
      <c r="I226" s="136"/>
      <c r="J226" s="128" t="s">
        <v>113</v>
      </c>
      <c r="K226" s="128">
        <v>0</v>
      </c>
      <c r="L226" s="130">
        <v>46122</v>
      </c>
      <c r="M226" s="128"/>
      <c r="N226" s="128" t="s">
        <v>472</v>
      </c>
      <c r="O226" s="130">
        <v>46123</v>
      </c>
      <c r="P226" s="128">
        <v>0</v>
      </c>
      <c r="Q226" s="128">
        <v>500</v>
      </c>
      <c r="R226" s="128">
        <v>96</v>
      </c>
      <c r="S226" s="128">
        <v>596</v>
      </c>
      <c r="T226" s="128">
        <v>0</v>
      </c>
      <c r="U226" s="128">
        <v>0</v>
      </c>
      <c r="V226" s="128"/>
      <c r="W226" s="169">
        <v>357.6</v>
      </c>
      <c r="X226" s="169">
        <v>362.4</v>
      </c>
      <c r="Y226" s="169">
        <v>2465324.2000000002</v>
      </c>
      <c r="Z226" s="136"/>
      <c r="AA226" s="128">
        <v>61633.105000000003</v>
      </c>
      <c r="AB226" s="128">
        <v>61633.105000000003</v>
      </c>
      <c r="AC226" s="128">
        <v>2588590.41</v>
      </c>
      <c r="AD226" s="137">
        <f t="shared" si="101"/>
        <v>2586001.81959</v>
      </c>
      <c r="AE226" s="169">
        <v>40</v>
      </c>
      <c r="AF226" s="169">
        <v>39.4</v>
      </c>
      <c r="AG226" s="169">
        <v>40.11</v>
      </c>
      <c r="AH226" s="170">
        <v>4.4000000000000003E-3</v>
      </c>
      <c r="AI226" s="170">
        <v>4.0300000000000002E-2</v>
      </c>
      <c r="AJ226" s="170">
        <v>5.8000000000000003E-2</v>
      </c>
      <c r="AK226" s="137">
        <f t="shared" si="78"/>
        <v>0</v>
      </c>
      <c r="AL226" s="136"/>
      <c r="AM226" s="136"/>
      <c r="AN226" s="136"/>
      <c r="AO226" s="140">
        <f t="shared" si="120"/>
        <v>0</v>
      </c>
      <c r="AP226" s="136"/>
      <c r="AQ226" s="137">
        <v>0</v>
      </c>
      <c r="AR226" s="155">
        <f t="shared" si="121"/>
        <v>0</v>
      </c>
      <c r="AS226" s="137">
        <f t="shared" si="122"/>
        <v>0</v>
      </c>
      <c r="AT226" s="137">
        <v>0</v>
      </c>
      <c r="AU226" s="141"/>
      <c r="AV226" s="141"/>
      <c r="AW226" s="137">
        <f t="shared" si="123"/>
        <v>35760</v>
      </c>
      <c r="AX226" s="136"/>
      <c r="AY226" s="137">
        <f t="shared" si="124"/>
        <v>35760</v>
      </c>
      <c r="AZ226" s="137">
        <f t="shared" si="125"/>
        <v>36240</v>
      </c>
      <c r="BA226" s="142">
        <f t="shared" si="126"/>
        <v>-480</v>
      </c>
      <c r="BB226" s="137"/>
      <c r="BC226" s="137">
        <v>0</v>
      </c>
      <c r="BD226" s="136"/>
      <c r="BE226" s="169">
        <v>362.8</v>
      </c>
      <c r="BF226" s="143">
        <f t="shared" si="127"/>
        <v>0.54420000000000002</v>
      </c>
      <c r="BG226" s="143">
        <f t="shared" si="128"/>
        <v>362.25580000000002</v>
      </c>
      <c r="BH226" s="143">
        <f t="shared" si="129"/>
        <v>362.4</v>
      </c>
      <c r="BI226" s="144">
        <f t="shared" si="130"/>
        <v>40.000000000003411</v>
      </c>
      <c r="BJ226" s="144">
        <v>0</v>
      </c>
      <c r="BK226" s="137">
        <f t="shared" si="131"/>
        <v>40.000000000003411</v>
      </c>
      <c r="BL226" s="9"/>
      <c r="BM226" s="10" t="str">
        <f t="shared" si="132"/>
        <v>Unloading no. 211 Bill No L/PB/26-27/29 ,Deduction For Oil Deduction= 0 ,Bardana=  ,F.M=  Brokerage/Rate Difference  ,Shortage = 0 ,Greenish=  ,Moisture= 0</v>
      </c>
      <c r="BN226" s="9"/>
      <c r="BO226" s="13" t="str">
        <f t="shared" si="99"/>
        <v xml:space="preserve"> Party Condition 39.4  ,F.M% 0.44 ,Greenish 4.03 ,Moisture 5.8 ,Shortage in KG= 0  ,Oil% 40</v>
      </c>
      <c r="BP226" s="4">
        <f t="shared" si="133"/>
        <v>6802.7709713024296</v>
      </c>
      <c r="BX226" s="27">
        <v>40</v>
      </c>
      <c r="BY226" s="27">
        <v>40.11</v>
      </c>
    </row>
    <row r="227" spans="1:77" customFormat="1" ht="15.75" hidden="1" x14ac:dyDescent="0.3">
      <c r="A227" s="128" t="s">
        <v>445</v>
      </c>
      <c r="B227" s="146">
        <v>46122</v>
      </c>
      <c r="C227" s="167">
        <v>212</v>
      </c>
      <c r="D227" s="167" t="s">
        <v>455</v>
      </c>
      <c r="E227" s="168">
        <v>46125</v>
      </c>
      <c r="F227" s="128" t="s">
        <v>104</v>
      </c>
      <c r="G227" s="128" t="s">
        <v>105</v>
      </c>
      <c r="H227" s="128" t="s">
        <v>106</v>
      </c>
      <c r="I227" s="136"/>
      <c r="J227" s="128" t="s">
        <v>113</v>
      </c>
      <c r="K227" s="128">
        <v>0</v>
      </c>
      <c r="L227" s="130">
        <v>46122</v>
      </c>
      <c r="M227" s="128"/>
      <c r="N227" s="128" t="s">
        <v>473</v>
      </c>
      <c r="O227" s="130">
        <v>46123</v>
      </c>
      <c r="P227" s="128">
        <v>0</v>
      </c>
      <c r="Q227" s="128">
        <v>400</v>
      </c>
      <c r="R227" s="128">
        <v>255</v>
      </c>
      <c r="S227" s="128">
        <v>655</v>
      </c>
      <c r="T227" s="128">
        <v>0</v>
      </c>
      <c r="U227" s="128">
        <v>0</v>
      </c>
      <c r="V227" s="128"/>
      <c r="W227" s="169">
        <v>393</v>
      </c>
      <c r="X227" s="169">
        <v>400.4</v>
      </c>
      <c r="Y227" s="169">
        <v>2706439.04</v>
      </c>
      <c r="Z227" s="136"/>
      <c r="AA227" s="128">
        <v>67660.975999999995</v>
      </c>
      <c r="AB227" s="128">
        <v>67660.975999999995</v>
      </c>
      <c r="AC227" s="128">
        <v>2841760.99</v>
      </c>
      <c r="AD227" s="137">
        <f t="shared" si="101"/>
        <v>2838919.2290100004</v>
      </c>
      <c r="AE227" s="169">
        <v>39.82</v>
      </c>
      <c r="AF227" s="169">
        <v>40.200000000000003</v>
      </c>
      <c r="AG227" s="169">
        <v>39.85</v>
      </c>
      <c r="AH227" s="170">
        <v>4.0000000000000001E-3</v>
      </c>
      <c r="AI227" s="170">
        <v>3.7999999999999999E-2</v>
      </c>
      <c r="AJ227" s="170">
        <v>5.3999999999999999E-2</v>
      </c>
      <c r="AK227" s="137">
        <f t="shared" si="78"/>
        <v>25583.254606965347</v>
      </c>
      <c r="AL227" s="136">
        <f>655*2</f>
        <v>1310</v>
      </c>
      <c r="AM227" s="136"/>
      <c r="AN227" s="136"/>
      <c r="AO227" s="140">
        <f t="shared" si="120"/>
        <v>0</v>
      </c>
      <c r="AP227" s="136"/>
      <c r="AQ227" s="137">
        <v>0</v>
      </c>
      <c r="AR227" s="155">
        <f t="shared" si="121"/>
        <v>26893.254606965347</v>
      </c>
      <c r="AS227" s="155">
        <f t="shared" si="122"/>
        <v>28238</v>
      </c>
      <c r="AT227" s="137">
        <v>0</v>
      </c>
      <c r="AU227" s="141"/>
      <c r="AV227" s="141"/>
      <c r="AW227" s="137">
        <f t="shared" si="123"/>
        <v>39300</v>
      </c>
      <c r="AX227" s="136"/>
      <c r="AY227" s="137">
        <f t="shared" si="124"/>
        <v>39300</v>
      </c>
      <c r="AZ227" s="137">
        <f t="shared" si="125"/>
        <v>40040</v>
      </c>
      <c r="BA227" s="142">
        <f t="shared" si="126"/>
        <v>-740</v>
      </c>
      <c r="BB227" s="137"/>
      <c r="BC227" s="137">
        <v>0</v>
      </c>
      <c r="BD227" s="136"/>
      <c r="BE227" s="169">
        <v>399.4</v>
      </c>
      <c r="BF227" s="143">
        <f t="shared" si="127"/>
        <v>0.59909999999999997</v>
      </c>
      <c r="BG227" s="143">
        <f t="shared" si="128"/>
        <v>398.80089999999996</v>
      </c>
      <c r="BH227" s="143">
        <f t="shared" si="129"/>
        <v>400.4</v>
      </c>
      <c r="BI227" s="144">
        <f t="shared" si="130"/>
        <v>-100</v>
      </c>
      <c r="BJ227" s="144">
        <v>0</v>
      </c>
      <c r="BK227" s="137">
        <f t="shared" si="131"/>
        <v>-100</v>
      </c>
      <c r="BL227" s="9"/>
      <c r="BM227" s="10" t="str">
        <f t="shared" si="132"/>
        <v>Unloading no. 212 Bill No MTC/2026-27/055 ,Deduction For Oil Deduction= 25583.2546069653 ,Bardana= 1310 ,F.M=  Brokerage/Rate Difference  ,Shortage = 0 ,Greenish=  ,Moisture= 0</v>
      </c>
      <c r="BN227" s="9"/>
      <c r="BO227" s="13" t="str">
        <f t="shared" si="99"/>
        <v xml:space="preserve"> Party Condition 40.2  ,F.M% 0.4 ,Greenish 3.8 ,Moisture 5.4 ,Shortage in KG= 0  ,Oil% 39.82</v>
      </c>
      <c r="BP227" s="4">
        <f t="shared" si="133"/>
        <v>6692.1722911913957</v>
      </c>
      <c r="BX227" s="27">
        <v>39.82</v>
      </c>
      <c r="BY227" s="27">
        <v>39.85</v>
      </c>
    </row>
    <row r="228" spans="1:77" customFormat="1" ht="15.75" hidden="1" x14ac:dyDescent="0.3">
      <c r="A228" s="128" t="s">
        <v>445</v>
      </c>
      <c r="B228" s="146">
        <v>46122</v>
      </c>
      <c r="C228" s="163">
        <v>213</v>
      </c>
      <c r="D228" s="163" t="s">
        <v>456</v>
      </c>
      <c r="E228" s="171">
        <v>46125</v>
      </c>
      <c r="F228" s="163" t="s">
        <v>104</v>
      </c>
      <c r="G228" s="163" t="s">
        <v>105</v>
      </c>
      <c r="H228" s="128" t="s">
        <v>106</v>
      </c>
      <c r="I228" s="136"/>
      <c r="J228" s="128" t="s">
        <v>113</v>
      </c>
      <c r="K228" s="128">
        <v>0</v>
      </c>
      <c r="L228" s="130">
        <v>46122</v>
      </c>
      <c r="M228" s="128"/>
      <c r="N228" s="128" t="s">
        <v>474</v>
      </c>
      <c r="O228" s="130">
        <v>46123</v>
      </c>
      <c r="P228" s="128">
        <v>0</v>
      </c>
      <c r="Q228" s="128">
        <v>350</v>
      </c>
      <c r="R228" s="128">
        <v>19</v>
      </c>
      <c r="S228" s="128">
        <v>369</v>
      </c>
      <c r="T228" s="128">
        <v>0</v>
      </c>
      <c r="U228" s="128">
        <v>0</v>
      </c>
      <c r="V228" s="128"/>
      <c r="W228" s="169">
        <v>221.4</v>
      </c>
      <c r="X228" s="169">
        <v>224.7</v>
      </c>
      <c r="Y228" s="169">
        <v>1524698.41</v>
      </c>
      <c r="Z228" s="136"/>
      <c r="AA228" s="128">
        <v>38117.460249999996</v>
      </c>
      <c r="AB228" s="128">
        <v>38117.460249999996</v>
      </c>
      <c r="AC228" s="128">
        <v>1600933.33</v>
      </c>
      <c r="AD228" s="137">
        <f t="shared" si="101"/>
        <v>1599332.3966700002</v>
      </c>
      <c r="AE228" s="169">
        <v>41.7</v>
      </c>
      <c r="AF228" s="169">
        <v>40.200000000000003</v>
      </c>
      <c r="AG228" s="169">
        <v>41.53</v>
      </c>
      <c r="AH228" s="170">
        <v>4.1000000000000003E-3</v>
      </c>
      <c r="AI228" s="170">
        <v>3.9E-2</v>
      </c>
      <c r="AJ228" s="170">
        <v>5.8999999999999997E-2</v>
      </c>
      <c r="AK228" s="137">
        <f t="shared" si="78"/>
        <v>0</v>
      </c>
      <c r="AL228" s="136">
        <f>369*2</f>
        <v>738</v>
      </c>
      <c r="AM228" s="136"/>
      <c r="AN228" s="136"/>
      <c r="AO228" s="140">
        <f t="shared" si="120"/>
        <v>0</v>
      </c>
      <c r="AP228" s="136"/>
      <c r="AQ228" s="137">
        <v>0</v>
      </c>
      <c r="AR228" s="155">
        <f t="shared" si="121"/>
        <v>738</v>
      </c>
      <c r="AS228" s="155">
        <f t="shared" si="122"/>
        <v>775</v>
      </c>
      <c r="AT228" s="137">
        <v>0</v>
      </c>
      <c r="AU228" s="141"/>
      <c r="AV228" s="141"/>
      <c r="AW228" s="137">
        <f t="shared" si="123"/>
        <v>22140</v>
      </c>
      <c r="AX228" s="136"/>
      <c r="AY228" s="137">
        <f t="shared" si="124"/>
        <v>22140</v>
      </c>
      <c r="AZ228" s="137">
        <f t="shared" si="125"/>
        <v>22470</v>
      </c>
      <c r="BA228" s="142">
        <f t="shared" si="126"/>
        <v>-330</v>
      </c>
      <c r="BB228" s="137"/>
      <c r="BC228" s="137">
        <v>0</v>
      </c>
      <c r="BD228" s="136"/>
      <c r="BE228" s="169">
        <v>224.5</v>
      </c>
      <c r="BF228" s="143">
        <f t="shared" si="127"/>
        <v>0.33674999999999999</v>
      </c>
      <c r="BG228" s="143">
        <f t="shared" si="128"/>
        <v>224.16325000000001</v>
      </c>
      <c r="BH228" s="143">
        <f t="shared" si="129"/>
        <v>224.7</v>
      </c>
      <c r="BI228" s="144">
        <f t="shared" si="130"/>
        <v>-19.999999999998863</v>
      </c>
      <c r="BJ228" s="144">
        <v>0</v>
      </c>
      <c r="BK228" s="137">
        <f t="shared" si="131"/>
        <v>-19.999999999998863</v>
      </c>
      <c r="BL228" s="9"/>
      <c r="BM228" s="10" t="str">
        <f t="shared" si="132"/>
        <v>Unloading no. 213 Bill No MTC/2026-27/057 ,Deduction For Oil Deduction= 0 ,Bardana= 738 ,F.M=  Brokerage/Rate Difference  ,Shortage = 0 ,Greenish=  ,Moisture= 0</v>
      </c>
      <c r="BN228" s="9"/>
      <c r="BO228" s="13" t="str">
        <f t="shared" si="99"/>
        <v xml:space="preserve"> Party Condition 40.2  ,F.M% 0.41 ,Greenish 3.9 ,Moisture 5.9 ,Shortage in KG= 0  ,Oil% 41.53</v>
      </c>
      <c r="BP228" s="4">
        <f t="shared" si="133"/>
        <v>6782.2003115264797</v>
      </c>
      <c r="BX228" s="27">
        <v>41.7</v>
      </c>
      <c r="BY228" s="27">
        <v>41.53</v>
      </c>
    </row>
    <row r="229" spans="1:77" customFormat="1" ht="15.75" hidden="1" x14ac:dyDescent="0.3">
      <c r="A229" s="128" t="s">
        <v>446</v>
      </c>
      <c r="B229" s="146">
        <v>46122</v>
      </c>
      <c r="C229" s="163">
        <v>214</v>
      </c>
      <c r="D229" s="163" t="s">
        <v>457</v>
      </c>
      <c r="E229" s="171">
        <v>46125</v>
      </c>
      <c r="F229" s="163" t="s">
        <v>436</v>
      </c>
      <c r="G229" s="163" t="s">
        <v>437</v>
      </c>
      <c r="H229" s="128" t="s">
        <v>438</v>
      </c>
      <c r="I229" s="136"/>
      <c r="J229" s="128" t="s">
        <v>113</v>
      </c>
      <c r="K229" s="128">
        <v>0</v>
      </c>
      <c r="L229" s="130">
        <v>46122</v>
      </c>
      <c r="M229" s="128"/>
      <c r="N229" s="128">
        <v>34</v>
      </c>
      <c r="O229" s="130">
        <v>46123</v>
      </c>
      <c r="P229" s="128">
        <v>0</v>
      </c>
      <c r="Q229" s="128">
        <v>467</v>
      </c>
      <c r="R229" s="128">
        <v>200</v>
      </c>
      <c r="S229" s="128">
        <v>667</v>
      </c>
      <c r="T229" s="128">
        <v>0</v>
      </c>
      <c r="U229" s="128">
        <v>0</v>
      </c>
      <c r="V229" s="128"/>
      <c r="W229" s="169">
        <v>400.2</v>
      </c>
      <c r="X229" s="169">
        <v>406.1</v>
      </c>
      <c r="Y229" s="169">
        <v>2698237.78</v>
      </c>
      <c r="Z229" s="136"/>
      <c r="AA229" s="128">
        <v>67455.944499999998</v>
      </c>
      <c r="AB229" s="128">
        <v>67455.944499999998</v>
      </c>
      <c r="AC229" s="128">
        <v>2833149.67</v>
      </c>
      <c r="AD229" s="137">
        <f t="shared" si="101"/>
        <v>2830316.5203299997</v>
      </c>
      <c r="AE229" s="169">
        <v>39.92</v>
      </c>
      <c r="AF229" s="169">
        <v>39</v>
      </c>
      <c r="AG229" s="169">
        <v>40.049999999999997</v>
      </c>
      <c r="AH229" s="170">
        <v>4.3E-3</v>
      </c>
      <c r="AI229" s="170">
        <v>0.04</v>
      </c>
      <c r="AJ229" s="170">
        <v>5.7000000000000002E-2</v>
      </c>
      <c r="AK229" s="137">
        <f t="shared" si="78"/>
        <v>0</v>
      </c>
      <c r="AL229" s="136"/>
      <c r="AM229" s="136"/>
      <c r="AN229" s="136">
        <v>701</v>
      </c>
      <c r="AO229" s="140">
        <f t="shared" si="120"/>
        <v>0</v>
      </c>
      <c r="AP229" s="136"/>
      <c r="AQ229" s="137">
        <v>0</v>
      </c>
      <c r="AR229" s="155">
        <f t="shared" si="121"/>
        <v>701</v>
      </c>
      <c r="AS229" s="155">
        <f t="shared" si="122"/>
        <v>736</v>
      </c>
      <c r="AT229" s="137">
        <v>0</v>
      </c>
      <c r="AU229" s="141"/>
      <c r="AV229" s="141"/>
      <c r="AW229" s="137">
        <f t="shared" si="123"/>
        <v>40020</v>
      </c>
      <c r="AX229" s="136"/>
      <c r="AY229" s="137">
        <f t="shared" si="124"/>
        <v>40020</v>
      </c>
      <c r="AZ229" s="137">
        <f t="shared" si="125"/>
        <v>40610</v>
      </c>
      <c r="BA229" s="142">
        <f t="shared" si="126"/>
        <v>-590</v>
      </c>
      <c r="BB229" s="137"/>
      <c r="BC229" s="137">
        <v>0</v>
      </c>
      <c r="BD229" s="136"/>
      <c r="BE229" s="169">
        <v>406.2</v>
      </c>
      <c r="BF229" s="143">
        <f t="shared" si="127"/>
        <v>0.60929999999999995</v>
      </c>
      <c r="BG229" s="143">
        <f t="shared" si="128"/>
        <v>405.59069999999997</v>
      </c>
      <c r="BH229" s="143">
        <f t="shared" si="129"/>
        <v>406.1</v>
      </c>
      <c r="BI229" s="144">
        <f t="shared" si="130"/>
        <v>9.9999999999965894</v>
      </c>
      <c r="BJ229" s="144">
        <v>0</v>
      </c>
      <c r="BK229" s="137">
        <f t="shared" si="131"/>
        <v>9.9999999999965894</v>
      </c>
      <c r="BL229" s="9"/>
      <c r="BM229" s="10" t="str">
        <f t="shared" si="132"/>
        <v>Unloading no. 214 Bill No 34 ,Deduction For Oil Deduction= 0 ,Bardana=  ,F.M=  Brokerage/Rate Difference 701 ,Shortage = 0 ,Greenish=  ,Moisture= 0</v>
      </c>
      <c r="BN229" s="9"/>
      <c r="BO229" s="13" t="str">
        <f t="shared" si="99"/>
        <v xml:space="preserve"> Party Condition 39  ,F.M% 0.43 ,Greenish 4 ,Moisture 5.7 ,Shortage in KG= 0  ,Oil% 39.92</v>
      </c>
      <c r="BP229" s="4">
        <f t="shared" si="133"/>
        <v>6642.5431667077064</v>
      </c>
      <c r="BX229" s="27">
        <v>39.92</v>
      </c>
      <c r="BY229" s="27">
        <v>40.049999999999997</v>
      </c>
    </row>
    <row r="230" spans="1:77" customFormat="1" ht="15.75" hidden="1" x14ac:dyDescent="0.3">
      <c r="A230" s="128" t="s">
        <v>445</v>
      </c>
      <c r="B230" s="146">
        <v>46122</v>
      </c>
      <c r="C230" s="163">
        <v>215</v>
      </c>
      <c r="D230" s="163" t="s">
        <v>458</v>
      </c>
      <c r="E230" s="171">
        <v>46125</v>
      </c>
      <c r="F230" s="163" t="s">
        <v>104</v>
      </c>
      <c r="G230" s="163" t="s">
        <v>105</v>
      </c>
      <c r="H230" s="128" t="s">
        <v>106</v>
      </c>
      <c r="I230" s="136"/>
      <c r="J230" s="128" t="s">
        <v>113</v>
      </c>
      <c r="K230" s="128">
        <v>0</v>
      </c>
      <c r="L230" s="130">
        <v>46122</v>
      </c>
      <c r="M230" s="128"/>
      <c r="N230" s="128" t="s">
        <v>475</v>
      </c>
      <c r="O230" s="130">
        <v>46123</v>
      </c>
      <c r="P230" s="128">
        <v>0</v>
      </c>
      <c r="Q230" s="128">
        <v>450</v>
      </c>
      <c r="R230" s="128">
        <v>53</v>
      </c>
      <c r="S230" s="128">
        <v>503</v>
      </c>
      <c r="T230" s="128">
        <v>0</v>
      </c>
      <c r="U230" s="128">
        <v>0</v>
      </c>
      <c r="V230" s="128"/>
      <c r="W230" s="169">
        <v>301.8</v>
      </c>
      <c r="X230" s="169">
        <v>306.3</v>
      </c>
      <c r="Y230" s="169">
        <v>2078379.9</v>
      </c>
      <c r="Z230" s="136"/>
      <c r="AA230" s="128">
        <v>51959.497499999998</v>
      </c>
      <c r="AB230" s="128">
        <v>51959.497499999998</v>
      </c>
      <c r="AC230" s="128">
        <v>2182298.9</v>
      </c>
      <c r="AD230" s="137">
        <f t="shared" si="101"/>
        <v>2180116.6011000001</v>
      </c>
      <c r="AE230" s="169">
        <v>41.41</v>
      </c>
      <c r="AF230" s="169">
        <v>40.200000000000003</v>
      </c>
      <c r="AG230" s="169">
        <v>41.3</v>
      </c>
      <c r="AH230" s="170">
        <v>4.1000000000000003E-3</v>
      </c>
      <c r="AI230" s="170">
        <v>0.04</v>
      </c>
      <c r="AJ230" s="170">
        <v>5.8000000000000003E-2</v>
      </c>
      <c r="AK230" s="137">
        <f t="shared" si="78"/>
        <v>0</v>
      </c>
      <c r="AL230" s="136">
        <f>503*2</f>
        <v>1006</v>
      </c>
      <c r="AM230" s="136"/>
      <c r="AN230" s="136"/>
      <c r="AO230" s="140">
        <f t="shared" si="120"/>
        <v>0</v>
      </c>
      <c r="AP230" s="136"/>
      <c r="AQ230" s="137">
        <v>0</v>
      </c>
      <c r="AR230" s="155">
        <f t="shared" si="121"/>
        <v>1006</v>
      </c>
      <c r="AS230" s="155">
        <f t="shared" si="122"/>
        <v>1056</v>
      </c>
      <c r="AT230" s="137">
        <v>0</v>
      </c>
      <c r="AU230" s="141"/>
      <c r="AV230" s="141"/>
      <c r="AW230" s="137">
        <f t="shared" si="123"/>
        <v>30180</v>
      </c>
      <c r="AX230" s="136"/>
      <c r="AY230" s="137">
        <f t="shared" si="124"/>
        <v>30180</v>
      </c>
      <c r="AZ230" s="137">
        <f t="shared" si="125"/>
        <v>30630</v>
      </c>
      <c r="BA230" s="142">
        <f t="shared" si="126"/>
        <v>-450</v>
      </c>
      <c r="BB230" s="137"/>
      <c r="BC230" s="137">
        <v>0</v>
      </c>
      <c r="BD230" s="136"/>
      <c r="BE230" s="169">
        <v>306.35000000000002</v>
      </c>
      <c r="BF230" s="143">
        <f t="shared" si="127"/>
        <v>0.45952500000000002</v>
      </c>
      <c r="BG230" s="143">
        <f t="shared" si="128"/>
        <v>305.89047500000004</v>
      </c>
      <c r="BH230" s="143">
        <f t="shared" si="129"/>
        <v>306.3</v>
      </c>
      <c r="BI230" s="144">
        <f t="shared" si="130"/>
        <v>5.0000000000011369</v>
      </c>
      <c r="BJ230" s="144">
        <v>0</v>
      </c>
      <c r="BK230" s="137">
        <f t="shared" si="131"/>
        <v>5.0000000000011369</v>
      </c>
      <c r="BL230" s="9"/>
      <c r="BM230" s="10" t="str">
        <f t="shared" si="132"/>
        <v>Unloading no. 215 Bill No MTC/2026-27/053 ,Deduction For Oil Deduction= 0 ,Bardana= 1006 ,F.M=  Brokerage/Rate Difference  ,Shortage = 0 ,Greenish=  ,Moisture= 0</v>
      </c>
      <c r="BN230" s="9"/>
      <c r="BO230" s="13" t="str">
        <f t="shared" si="99"/>
        <v xml:space="preserve"> Party Condition 40.2  ,F.M% 0.41 ,Greenish 4 ,Moisture 5.8 ,Shortage in KG= 0  ,Oil% 41.3</v>
      </c>
      <c r="BP230" s="4">
        <f t="shared" si="133"/>
        <v>6782.154423767548</v>
      </c>
      <c r="BX230" s="27">
        <v>41.41</v>
      </c>
      <c r="BY230" s="27">
        <v>41.3</v>
      </c>
    </row>
    <row r="231" spans="1:77" customFormat="1" ht="15.75" hidden="1" x14ac:dyDescent="0.3">
      <c r="A231" s="128" t="s">
        <v>400</v>
      </c>
      <c r="B231" s="146">
        <v>46122</v>
      </c>
      <c r="C231" s="163">
        <v>216</v>
      </c>
      <c r="D231" s="163" t="s">
        <v>459</v>
      </c>
      <c r="E231" s="171">
        <v>46125</v>
      </c>
      <c r="F231" s="163" t="s">
        <v>101</v>
      </c>
      <c r="G231" s="163" t="s">
        <v>102</v>
      </c>
      <c r="H231" s="128" t="s">
        <v>103</v>
      </c>
      <c r="I231" s="136"/>
      <c r="J231" s="128" t="s">
        <v>113</v>
      </c>
      <c r="K231" s="128">
        <v>0</v>
      </c>
      <c r="L231" s="130">
        <v>46122</v>
      </c>
      <c r="M231" s="128"/>
      <c r="N231" s="128" t="s">
        <v>476</v>
      </c>
      <c r="O231" s="130">
        <v>46124</v>
      </c>
      <c r="P231" s="128">
        <v>0</v>
      </c>
      <c r="Q231" s="128">
        <v>623</v>
      </c>
      <c r="R231" s="128">
        <v>0</v>
      </c>
      <c r="S231" s="128">
        <v>623</v>
      </c>
      <c r="T231" s="128">
        <v>0</v>
      </c>
      <c r="U231" s="128">
        <v>0</v>
      </c>
      <c r="V231" s="128"/>
      <c r="W231" s="169">
        <v>373.8</v>
      </c>
      <c r="X231" s="169">
        <v>378</v>
      </c>
      <c r="Y231" s="169">
        <v>2577008.35</v>
      </c>
      <c r="Z231" s="136"/>
      <c r="AA231" s="128">
        <v>64425.208749999998</v>
      </c>
      <c r="AB231" s="128">
        <v>64425.208749999998</v>
      </c>
      <c r="AC231" s="128">
        <v>2705858.77</v>
      </c>
      <c r="AD231" s="137">
        <f t="shared" si="101"/>
        <v>2703152.9112300002</v>
      </c>
      <c r="AE231" s="169">
        <v>40.090000000000003</v>
      </c>
      <c r="AF231" s="169">
        <v>39.4</v>
      </c>
      <c r="AG231" s="169">
        <v>40.03</v>
      </c>
      <c r="AH231" s="170">
        <v>4.8999999999999998E-3</v>
      </c>
      <c r="AI231" s="170">
        <v>3.9E-2</v>
      </c>
      <c r="AJ231" s="170">
        <v>5.7000000000000002E-2</v>
      </c>
      <c r="AK231" s="137">
        <f t="shared" si="78"/>
        <v>0</v>
      </c>
      <c r="AL231" s="136"/>
      <c r="AM231" s="136"/>
      <c r="AN231" s="136"/>
      <c r="AO231" s="140">
        <f t="shared" si="120"/>
        <v>2412.9291666666668</v>
      </c>
      <c r="AP231" s="136"/>
      <c r="AQ231" s="137">
        <v>0</v>
      </c>
      <c r="AR231" s="155">
        <f t="shared" si="121"/>
        <v>2412.9291666666668</v>
      </c>
      <c r="AS231" s="155">
        <f t="shared" si="122"/>
        <v>2534</v>
      </c>
      <c r="AT231" s="137">
        <v>35</v>
      </c>
      <c r="AU231" s="141"/>
      <c r="AV231" s="141"/>
      <c r="AW231" s="137">
        <f t="shared" si="123"/>
        <v>37380</v>
      </c>
      <c r="AX231" s="136"/>
      <c r="AY231" s="137">
        <f t="shared" si="124"/>
        <v>37380</v>
      </c>
      <c r="AZ231" s="137">
        <f t="shared" si="125"/>
        <v>37800</v>
      </c>
      <c r="BA231" s="142">
        <f t="shared" si="126"/>
        <v>-420</v>
      </c>
      <c r="BB231" s="137"/>
      <c r="BC231" s="137">
        <v>0</v>
      </c>
      <c r="BD231" s="136"/>
      <c r="BE231" s="169">
        <v>378.3</v>
      </c>
      <c r="BF231" s="143">
        <f t="shared" si="127"/>
        <v>0.56745000000000001</v>
      </c>
      <c r="BG231" s="143">
        <f t="shared" si="128"/>
        <v>377.73255</v>
      </c>
      <c r="BH231" s="143">
        <f t="shared" si="129"/>
        <v>378</v>
      </c>
      <c r="BI231" s="144">
        <f t="shared" si="130"/>
        <v>30.000000000001137</v>
      </c>
      <c r="BJ231" s="144">
        <v>0</v>
      </c>
      <c r="BK231" s="137">
        <f t="shared" si="131"/>
        <v>30.000000000001137</v>
      </c>
      <c r="BL231" s="9"/>
      <c r="BM231" s="10" t="str">
        <f t="shared" si="132"/>
        <v>Unloading no. 216 Bill No L/PB/26-27/32 ,Deduction For Oil Deduction= 0 ,Bardana=  ,F.M=  Brokerage/Rate Difference  ,Shortage = 2412.92916666667 ,Greenish=  ,Moisture= 0</v>
      </c>
      <c r="BN231" s="9"/>
      <c r="BO231" s="13" t="str">
        <f t="shared" si="99"/>
        <v xml:space="preserve"> Party Condition 39.4  ,F.M% 0.49 ,Greenish 3.9 ,Moisture 5.7 ,Shortage in KG= 35  ,Oil% 40.03</v>
      </c>
      <c r="BP231" s="4">
        <f t="shared" si="133"/>
        <v>6811.0989969135808</v>
      </c>
      <c r="BX231" s="27">
        <v>40.090000000000003</v>
      </c>
      <c r="BY231" s="27">
        <v>40.03</v>
      </c>
    </row>
    <row r="232" spans="1:77" customFormat="1" ht="15.75" hidden="1" x14ac:dyDescent="0.3">
      <c r="A232" s="128" t="s">
        <v>447</v>
      </c>
      <c r="B232" s="146">
        <v>46123</v>
      </c>
      <c r="C232" s="163">
        <v>217</v>
      </c>
      <c r="D232" s="163" t="s">
        <v>460</v>
      </c>
      <c r="E232" s="171">
        <v>46125</v>
      </c>
      <c r="F232" s="163" t="s">
        <v>95</v>
      </c>
      <c r="G232" s="163" t="s">
        <v>96</v>
      </c>
      <c r="H232" s="128" t="s">
        <v>97</v>
      </c>
      <c r="I232" s="136"/>
      <c r="J232" s="128" t="s">
        <v>113</v>
      </c>
      <c r="K232" s="128">
        <v>0</v>
      </c>
      <c r="L232" s="130">
        <v>46123</v>
      </c>
      <c r="M232" s="128"/>
      <c r="N232" s="128">
        <v>81</v>
      </c>
      <c r="O232" s="130">
        <v>46124</v>
      </c>
      <c r="P232" s="128">
        <v>0</v>
      </c>
      <c r="Q232" s="128">
        <v>206</v>
      </c>
      <c r="R232" s="128">
        <v>420</v>
      </c>
      <c r="S232" s="128">
        <v>626</v>
      </c>
      <c r="T232" s="128">
        <v>0</v>
      </c>
      <c r="U232" s="128">
        <v>0</v>
      </c>
      <c r="V232" s="128"/>
      <c r="W232" s="169">
        <v>375.6</v>
      </c>
      <c r="X232" s="169">
        <v>379.4</v>
      </c>
      <c r="Y232" s="169">
        <v>2547395.5699999998</v>
      </c>
      <c r="Z232" s="136"/>
      <c r="AA232" s="128">
        <v>63684.88925</v>
      </c>
      <c r="AB232" s="128">
        <v>63684.88925</v>
      </c>
      <c r="AC232" s="128">
        <v>2674765.35</v>
      </c>
      <c r="AD232" s="137">
        <f t="shared" si="101"/>
        <v>2672090.5846500001</v>
      </c>
      <c r="AE232" s="169">
        <v>40.08</v>
      </c>
      <c r="AF232" s="169">
        <v>39.04</v>
      </c>
      <c r="AG232" s="169">
        <v>40.04</v>
      </c>
      <c r="AH232" s="170">
        <v>4.5999999999999999E-3</v>
      </c>
      <c r="AI232" s="170">
        <v>3.9300000000000002E-2</v>
      </c>
      <c r="AJ232" s="170">
        <v>5.6000000000000001E-2</v>
      </c>
      <c r="AK232" s="137">
        <f t="shared" si="78"/>
        <v>0</v>
      </c>
      <c r="AL232" s="136"/>
      <c r="AM232" s="136"/>
      <c r="AN232" s="136"/>
      <c r="AO232" s="140">
        <f t="shared" si="120"/>
        <v>5222.2965625665602</v>
      </c>
      <c r="AP232" s="136"/>
      <c r="AQ232" s="137">
        <v>0</v>
      </c>
      <c r="AR232" s="155">
        <f t="shared" si="121"/>
        <v>5222.2965625665602</v>
      </c>
      <c r="AS232" s="155">
        <f t="shared" si="122"/>
        <v>5483</v>
      </c>
      <c r="AT232" s="137">
        <v>77</v>
      </c>
      <c r="AU232" s="141"/>
      <c r="AV232" s="141"/>
      <c r="AW232" s="137">
        <f t="shared" si="123"/>
        <v>37560</v>
      </c>
      <c r="AX232" s="136"/>
      <c r="AY232" s="137">
        <f t="shared" si="124"/>
        <v>37560</v>
      </c>
      <c r="AZ232" s="137">
        <f t="shared" si="125"/>
        <v>37940</v>
      </c>
      <c r="BA232" s="142">
        <f t="shared" si="126"/>
        <v>-380</v>
      </c>
      <c r="BB232" s="137"/>
      <c r="BC232" s="137">
        <v>0</v>
      </c>
      <c r="BD232" s="136"/>
      <c r="BE232" s="169">
        <v>379.5</v>
      </c>
      <c r="BF232" s="143">
        <f t="shared" si="127"/>
        <v>0.56924999999999992</v>
      </c>
      <c r="BG232" s="143">
        <f t="shared" si="128"/>
        <v>378.93074999999999</v>
      </c>
      <c r="BH232" s="143">
        <f t="shared" si="129"/>
        <v>379.4</v>
      </c>
      <c r="BI232" s="144">
        <f t="shared" si="130"/>
        <v>10.000000000002274</v>
      </c>
      <c r="BJ232" s="144">
        <v>0</v>
      </c>
      <c r="BK232" s="137">
        <f t="shared" si="131"/>
        <v>10.000000000002274</v>
      </c>
      <c r="BL232" s="9"/>
      <c r="BM232" s="10" t="str">
        <f t="shared" si="132"/>
        <v>Unloading no. 217 Bill No 81 ,Deduction For Oil Deduction= 0 ,Bardana=  ,F.M=  Brokerage/Rate Difference  ,Shortage = 5222.29656256656 ,Greenish=  ,Moisture= 0</v>
      </c>
      <c r="BN232" s="9"/>
      <c r="BO232" s="13" t="str">
        <f t="shared" si="99"/>
        <v xml:space="preserve"> Party Condition 39.04  ,F.M% 0.46 ,Greenish 3.93 ,Moisture 5.6 ,Shortage in KG= 77  ,Oil% 40.04</v>
      </c>
      <c r="BP232" s="4">
        <f t="shared" si="133"/>
        <v>6700.5094186542792</v>
      </c>
      <c r="BX232" s="27">
        <v>40.08</v>
      </c>
      <c r="BY232" s="27">
        <v>40.04</v>
      </c>
    </row>
    <row r="233" spans="1:77" customFormat="1" ht="15.75" hidden="1" x14ac:dyDescent="0.3">
      <c r="A233" s="128" t="s">
        <v>447</v>
      </c>
      <c r="B233" s="146">
        <v>46123</v>
      </c>
      <c r="C233" s="163">
        <v>218</v>
      </c>
      <c r="D233" s="163" t="s">
        <v>461</v>
      </c>
      <c r="E233" s="171">
        <v>46125</v>
      </c>
      <c r="F233" s="163" t="s">
        <v>95</v>
      </c>
      <c r="G233" s="163" t="s">
        <v>96</v>
      </c>
      <c r="H233" s="128" t="s">
        <v>97</v>
      </c>
      <c r="I233" s="136"/>
      <c r="J233" s="128" t="s">
        <v>113</v>
      </c>
      <c r="K233" s="128">
        <v>0</v>
      </c>
      <c r="L233" s="130">
        <v>46123</v>
      </c>
      <c r="M233" s="128"/>
      <c r="N233" s="128">
        <v>80</v>
      </c>
      <c r="O233" s="130">
        <v>46124</v>
      </c>
      <c r="P233" s="128">
        <v>0</v>
      </c>
      <c r="Q233" s="128">
        <v>0</v>
      </c>
      <c r="R233" s="128">
        <v>432</v>
      </c>
      <c r="S233" s="128">
        <v>432</v>
      </c>
      <c r="T233" s="128">
        <v>0</v>
      </c>
      <c r="U233" s="128">
        <v>0</v>
      </c>
      <c r="V233" s="128"/>
      <c r="W233" s="169">
        <v>259.2</v>
      </c>
      <c r="X233" s="169">
        <v>261.89999999999998</v>
      </c>
      <c r="Y233" s="169">
        <v>1757947.1</v>
      </c>
      <c r="Z233" s="136"/>
      <c r="AA233" s="128">
        <v>43948.677499999998</v>
      </c>
      <c r="AB233" s="128">
        <v>43948.677499999998</v>
      </c>
      <c r="AC233" s="128">
        <v>1845844.46</v>
      </c>
      <c r="AD233" s="137">
        <f t="shared" si="101"/>
        <v>1843998.6155399999</v>
      </c>
      <c r="AE233" s="169">
        <v>39.92</v>
      </c>
      <c r="AF233" s="169">
        <v>39.04</v>
      </c>
      <c r="AG233" s="169">
        <v>39.880000000000003</v>
      </c>
      <c r="AH233" s="170">
        <v>4.4000000000000003E-3</v>
      </c>
      <c r="AI233" s="170">
        <v>3.8800000000000001E-2</v>
      </c>
      <c r="AJ233" s="170">
        <v>5.8000000000000003E-2</v>
      </c>
      <c r="AK233" s="137">
        <f t="shared" si="78"/>
        <v>0</v>
      </c>
      <c r="AL233" s="136"/>
      <c r="AM233" s="136"/>
      <c r="AN233" s="136"/>
      <c r="AO233" s="140">
        <f t="shared" si="120"/>
        <v>3051.9914930555556</v>
      </c>
      <c r="AP233" s="136"/>
      <c r="AQ233" s="137">
        <v>0</v>
      </c>
      <c r="AR233" s="155">
        <f t="shared" si="121"/>
        <v>3051.9914930555556</v>
      </c>
      <c r="AS233" s="155">
        <f t="shared" si="122"/>
        <v>3205</v>
      </c>
      <c r="AT233" s="137">
        <v>45</v>
      </c>
      <c r="AU233" s="141"/>
      <c r="AV233" s="141"/>
      <c r="AW233" s="137">
        <f t="shared" si="123"/>
        <v>25920</v>
      </c>
      <c r="AX233" s="136"/>
      <c r="AY233" s="137">
        <f t="shared" si="124"/>
        <v>25920</v>
      </c>
      <c r="AZ233" s="137">
        <f t="shared" si="125"/>
        <v>26189.999999999996</v>
      </c>
      <c r="BA233" s="142">
        <f t="shared" si="126"/>
        <v>-269.99999999999636</v>
      </c>
      <c r="BB233" s="137"/>
      <c r="BC233" s="137">
        <v>0</v>
      </c>
      <c r="BD233" s="136"/>
      <c r="BE233" s="169">
        <v>262.3</v>
      </c>
      <c r="BF233" s="143">
        <f t="shared" si="127"/>
        <v>0.39344999999999997</v>
      </c>
      <c r="BG233" s="143">
        <f t="shared" si="128"/>
        <v>261.90655000000004</v>
      </c>
      <c r="BH233" s="143">
        <f t="shared" si="129"/>
        <v>261.89999999999998</v>
      </c>
      <c r="BI233" s="144">
        <f t="shared" si="130"/>
        <v>40.000000000003411</v>
      </c>
      <c r="BJ233" s="144">
        <v>0</v>
      </c>
      <c r="BK233" s="137">
        <f t="shared" si="131"/>
        <v>40.000000000003411</v>
      </c>
      <c r="BL233" s="9"/>
      <c r="BM233" s="10" t="str">
        <f t="shared" si="132"/>
        <v>Unloading no. 218 Bill No 80 ,Deduction For Oil Deduction= 0 ,Bardana=  ,F.M=  Brokerage/Rate Difference  ,Shortage = 3051.99149305556 ,Greenish=  ,Moisture= 0</v>
      </c>
      <c r="BN233" s="9"/>
      <c r="BO233" s="13" t="str">
        <f t="shared" si="99"/>
        <v xml:space="preserve"> Party Condition 39.04  ,F.M% 0.44 ,Greenish 3.88 ,Moisture 5.8 ,Shortage in KG= 45  ,Oil% 39.88</v>
      </c>
      <c r="BP233" s="4">
        <f t="shared" si="133"/>
        <v>6700.6304257615302</v>
      </c>
      <c r="BX233" s="27">
        <v>39.92</v>
      </c>
      <c r="BY233" s="27">
        <v>39.880000000000003</v>
      </c>
    </row>
    <row r="234" spans="1:77" customFormat="1" ht="15.75" hidden="1" x14ac:dyDescent="0.3">
      <c r="A234" s="128" t="s">
        <v>402</v>
      </c>
      <c r="B234" s="146">
        <v>46123</v>
      </c>
      <c r="C234" s="128">
        <v>219</v>
      </c>
      <c r="D234" s="128" t="s">
        <v>462</v>
      </c>
      <c r="E234" s="146">
        <v>46125</v>
      </c>
      <c r="F234" s="128" t="s">
        <v>110</v>
      </c>
      <c r="G234" s="128" t="s">
        <v>111</v>
      </c>
      <c r="H234" s="128" t="s">
        <v>112</v>
      </c>
      <c r="I234" s="136"/>
      <c r="J234" s="128" t="s">
        <v>113</v>
      </c>
      <c r="K234" s="128">
        <v>0</v>
      </c>
      <c r="L234" s="130">
        <v>46123</v>
      </c>
      <c r="M234" s="128"/>
      <c r="N234" s="128" t="s">
        <v>477</v>
      </c>
      <c r="O234" s="130">
        <v>46124</v>
      </c>
      <c r="P234" s="128">
        <v>0</v>
      </c>
      <c r="Q234" s="128">
        <v>600</v>
      </c>
      <c r="R234" s="128">
        <v>91</v>
      </c>
      <c r="S234" s="128">
        <v>691</v>
      </c>
      <c r="T234" s="128">
        <v>0</v>
      </c>
      <c r="U234" s="128">
        <v>0</v>
      </c>
      <c r="V234" s="128"/>
      <c r="W234" s="169">
        <v>414.6</v>
      </c>
      <c r="X234" s="169">
        <v>420</v>
      </c>
      <c r="Y234" s="169">
        <v>2871657.8</v>
      </c>
      <c r="Z234" s="136"/>
      <c r="AA234" s="128">
        <v>71791.445000000007</v>
      </c>
      <c r="AB234" s="128">
        <v>71791.445000000007</v>
      </c>
      <c r="AC234" s="128">
        <v>3015240.69</v>
      </c>
      <c r="AD234" s="137">
        <f t="shared" si="101"/>
        <v>3012225.4493100001</v>
      </c>
      <c r="AE234" s="169">
        <v>41.24</v>
      </c>
      <c r="AF234" s="169">
        <v>40.01</v>
      </c>
      <c r="AG234" s="169">
        <v>41.12</v>
      </c>
      <c r="AH234" s="170">
        <v>4.1999999999999997E-3</v>
      </c>
      <c r="AI234" s="170">
        <v>0.04</v>
      </c>
      <c r="AJ234" s="170">
        <v>5.3999999999999999E-2</v>
      </c>
      <c r="AK234" s="137">
        <f t="shared" si="78"/>
        <v>0</v>
      </c>
      <c r="AL234" s="136"/>
      <c r="AM234" s="136"/>
      <c r="AN234" s="136"/>
      <c r="AO234" s="140">
        <f t="shared" si="120"/>
        <v>0</v>
      </c>
      <c r="AP234" s="136"/>
      <c r="AQ234" s="137">
        <v>0</v>
      </c>
      <c r="AR234" s="155">
        <f t="shared" si="121"/>
        <v>0</v>
      </c>
      <c r="AS234" s="137">
        <f t="shared" si="122"/>
        <v>0</v>
      </c>
      <c r="AT234" s="137">
        <v>0</v>
      </c>
      <c r="AU234" s="141"/>
      <c r="AV234" s="141"/>
      <c r="AW234" s="137">
        <f t="shared" si="123"/>
        <v>41460</v>
      </c>
      <c r="AX234" s="136"/>
      <c r="AY234" s="137">
        <f t="shared" si="124"/>
        <v>41460</v>
      </c>
      <c r="AZ234" s="137">
        <f t="shared" si="125"/>
        <v>42000</v>
      </c>
      <c r="BA234" s="142">
        <f t="shared" si="126"/>
        <v>-540</v>
      </c>
      <c r="BB234" s="137"/>
      <c r="BC234" s="137">
        <v>0</v>
      </c>
      <c r="BD234" s="136"/>
      <c r="BE234" s="169">
        <v>420.55</v>
      </c>
      <c r="BF234" s="143">
        <f t="shared" si="127"/>
        <v>0.63082499999999997</v>
      </c>
      <c r="BG234" s="143">
        <f t="shared" si="128"/>
        <v>419.919175</v>
      </c>
      <c r="BH234" s="143">
        <f t="shared" si="129"/>
        <v>420</v>
      </c>
      <c r="BI234" s="144">
        <f t="shared" si="130"/>
        <v>55.000000000001137</v>
      </c>
      <c r="BJ234" s="144">
        <v>0</v>
      </c>
      <c r="BK234" s="137">
        <f t="shared" si="131"/>
        <v>55.000000000001137</v>
      </c>
      <c r="BL234" s="9"/>
      <c r="BM234" s="10" t="str">
        <f t="shared" si="132"/>
        <v>Unloading no. 219 Bill No G1649 ,Deduction For Oil Deduction= 0 ,Bardana=  ,F.M=  Brokerage/Rate Difference  ,Shortage = 0 ,Greenish=  ,Moisture= 0</v>
      </c>
      <c r="BN234" s="9"/>
      <c r="BO234" s="13" t="str">
        <f t="shared" si="99"/>
        <v xml:space="preserve"> Party Condition 40.01  ,F.M% 0.42 ,Greenish 4 ,Moisture 5.4 ,Shortage in KG= 0  ,Oil% 41.12</v>
      </c>
      <c r="BP234" s="4">
        <f t="shared" si="133"/>
        <v>6837.2804761904754</v>
      </c>
      <c r="BX234" s="27">
        <v>41.24</v>
      </c>
      <c r="BY234" s="27">
        <v>41.12</v>
      </c>
    </row>
    <row r="235" spans="1:77" customFormat="1" ht="15.75" hidden="1" x14ac:dyDescent="0.3">
      <c r="A235" s="128" t="s">
        <v>448</v>
      </c>
      <c r="B235" s="146">
        <v>46125</v>
      </c>
      <c r="C235" s="128">
        <v>220</v>
      </c>
      <c r="D235" s="128" t="s">
        <v>463</v>
      </c>
      <c r="E235" s="146">
        <v>46126</v>
      </c>
      <c r="F235" s="128" t="s">
        <v>110</v>
      </c>
      <c r="G235" s="128" t="s">
        <v>111</v>
      </c>
      <c r="H235" s="128" t="s">
        <v>112</v>
      </c>
      <c r="I235" s="136"/>
      <c r="J235" s="128" t="s">
        <v>113</v>
      </c>
      <c r="K235" s="128">
        <v>0</v>
      </c>
      <c r="L235" s="130">
        <v>46125</v>
      </c>
      <c r="M235" s="128"/>
      <c r="N235" s="128" t="s">
        <v>478</v>
      </c>
      <c r="O235" s="130">
        <v>46125</v>
      </c>
      <c r="P235" s="128">
        <v>0</v>
      </c>
      <c r="Q235" s="128">
        <v>200</v>
      </c>
      <c r="R235" s="128">
        <v>123</v>
      </c>
      <c r="S235" s="128">
        <v>323</v>
      </c>
      <c r="T235" s="128">
        <v>0</v>
      </c>
      <c r="U235" s="128">
        <v>0</v>
      </c>
      <c r="V235" s="128"/>
      <c r="W235" s="169">
        <v>193.8</v>
      </c>
      <c r="X235" s="169">
        <v>195.8</v>
      </c>
      <c r="Y235" s="169">
        <v>1312478.2</v>
      </c>
      <c r="Z235" s="136"/>
      <c r="AA235" s="128">
        <v>32811.955000000002</v>
      </c>
      <c r="AB235" s="128">
        <v>32811.955000000002</v>
      </c>
      <c r="AC235" s="128">
        <v>1378102.11</v>
      </c>
      <c r="AD235" s="137">
        <f t="shared" si="101"/>
        <v>1376724.00789</v>
      </c>
      <c r="AE235" s="169">
        <v>40.159999999999997</v>
      </c>
      <c r="AF235" s="169">
        <v>39.450000000000003</v>
      </c>
      <c r="AG235" s="169">
        <v>40.25</v>
      </c>
      <c r="AH235" s="170">
        <v>4.1000000000000003E-3</v>
      </c>
      <c r="AI235" s="170">
        <v>4.1000000000000002E-2</v>
      </c>
      <c r="AJ235" s="170">
        <v>5.8000000000000003E-2</v>
      </c>
      <c r="AK235" s="137">
        <f t="shared" si="78"/>
        <v>0</v>
      </c>
      <c r="AL235" s="136"/>
      <c r="AM235" s="136"/>
      <c r="AN235" s="136"/>
      <c r="AO235" s="140">
        <f t="shared" si="120"/>
        <v>2438.04</v>
      </c>
      <c r="AP235" s="136"/>
      <c r="AQ235" s="137">
        <v>0</v>
      </c>
      <c r="AR235" s="155">
        <f t="shared" si="121"/>
        <v>2438.04</v>
      </c>
      <c r="AS235" s="137">
        <f t="shared" si="122"/>
        <v>2560</v>
      </c>
      <c r="AT235" s="137">
        <v>36</v>
      </c>
      <c r="AU235" s="141"/>
      <c r="AV235" s="141"/>
      <c r="AW235" s="137">
        <f t="shared" si="123"/>
        <v>19380</v>
      </c>
      <c r="AX235" s="136"/>
      <c r="AY235" s="137">
        <f t="shared" si="124"/>
        <v>19380</v>
      </c>
      <c r="AZ235" s="137">
        <f t="shared" si="125"/>
        <v>19580</v>
      </c>
      <c r="BA235" s="142">
        <f t="shared" si="126"/>
        <v>-200</v>
      </c>
      <c r="BB235" s="137"/>
      <c r="BC235" s="137">
        <v>0</v>
      </c>
      <c r="BD235" s="136"/>
      <c r="BE235" s="169">
        <v>196.15</v>
      </c>
      <c r="BF235" s="143">
        <f t="shared" si="127"/>
        <v>0.29422500000000001</v>
      </c>
      <c r="BG235" s="143">
        <f t="shared" si="128"/>
        <v>195.85577499999999</v>
      </c>
      <c r="BH235" s="143">
        <f t="shared" si="129"/>
        <v>195.8</v>
      </c>
      <c r="BI235" s="144">
        <f t="shared" si="130"/>
        <v>34.999999999999432</v>
      </c>
      <c r="BJ235" s="144">
        <v>0</v>
      </c>
      <c r="BK235" s="137">
        <f t="shared" si="131"/>
        <v>34.999999999999432</v>
      </c>
      <c r="BL235" s="9"/>
      <c r="BM235" s="10" t="str">
        <f t="shared" si="132"/>
        <v>Unloading no. 220 Bill No G1651 ,Deduction For Oil Deduction= 0 ,Bardana=  ,F.M=  Brokerage/Rate Difference  ,Shortage = 2438.04 ,Greenish=  ,Moisture= 0</v>
      </c>
      <c r="BN235" s="9"/>
      <c r="BO235" s="13" t="str">
        <f t="shared" si="99"/>
        <v xml:space="preserve"> Party Condition 39.45  ,F.M% 0.41 ,Greenish 4.1 ,Moisture 5.8 ,Shortage in KG= 36  ,Oil% 40.16</v>
      </c>
      <c r="BP235" s="4">
        <f t="shared" si="133"/>
        <v>6690.7056179775273</v>
      </c>
      <c r="BX235" s="27">
        <v>40.159999999999997</v>
      </c>
      <c r="BY235" s="27">
        <v>40.25</v>
      </c>
    </row>
    <row r="236" spans="1:77" customFormat="1" ht="15.75" hidden="1" x14ac:dyDescent="0.3">
      <c r="A236" s="128" t="s">
        <v>449</v>
      </c>
      <c r="B236" s="146">
        <v>46125</v>
      </c>
      <c r="C236" s="128">
        <v>221</v>
      </c>
      <c r="D236" s="128" t="s">
        <v>464</v>
      </c>
      <c r="E236" s="146">
        <v>46126</v>
      </c>
      <c r="F236" s="128" t="s">
        <v>467</v>
      </c>
      <c r="G236" s="128" t="s">
        <v>468</v>
      </c>
      <c r="H236" s="128" t="s">
        <v>469</v>
      </c>
      <c r="I236" s="136"/>
      <c r="J236" s="128" t="s">
        <v>113</v>
      </c>
      <c r="K236" s="128">
        <v>0</v>
      </c>
      <c r="L236" s="130">
        <v>46125</v>
      </c>
      <c r="M236" s="128"/>
      <c r="N236" s="128" t="s">
        <v>479</v>
      </c>
      <c r="O236" s="130">
        <v>46126</v>
      </c>
      <c r="P236" s="128">
        <v>0</v>
      </c>
      <c r="Q236" s="128">
        <v>390</v>
      </c>
      <c r="R236" s="128">
        <v>90</v>
      </c>
      <c r="S236" s="128">
        <v>480</v>
      </c>
      <c r="T236" s="128">
        <v>0</v>
      </c>
      <c r="U236" s="128">
        <v>0</v>
      </c>
      <c r="V236" s="128"/>
      <c r="W236" s="169">
        <v>288</v>
      </c>
      <c r="X236" s="169">
        <v>292.60000000000002</v>
      </c>
      <c r="Y236" s="169">
        <v>1936715</v>
      </c>
      <c r="Z236" s="136"/>
      <c r="AA236" s="128">
        <v>48417.875</v>
      </c>
      <c r="AB236" s="128">
        <v>48417.875</v>
      </c>
      <c r="AC236" s="128">
        <v>2033550.75</v>
      </c>
      <c r="AD236" s="137">
        <f t="shared" si="101"/>
        <v>2031517.1992500001</v>
      </c>
      <c r="AE236" s="169">
        <v>39.590000000000003</v>
      </c>
      <c r="AF236" s="169">
        <v>39.549999999999997</v>
      </c>
      <c r="AG236" s="169">
        <v>39.68</v>
      </c>
      <c r="AH236" s="170">
        <v>3.8E-3</v>
      </c>
      <c r="AI236" s="170">
        <v>3.85E-2</v>
      </c>
      <c r="AJ236" s="170">
        <v>0.05</v>
      </c>
      <c r="AK236" s="137">
        <f t="shared" si="78"/>
        <v>0</v>
      </c>
      <c r="AL236" s="136"/>
      <c r="AM236" s="136"/>
      <c r="AN236" s="136"/>
      <c r="AO236" s="140">
        <f t="shared" si="120"/>
        <v>0</v>
      </c>
      <c r="AP236" s="136"/>
      <c r="AQ236" s="137">
        <v>0</v>
      </c>
      <c r="AR236" s="155">
        <f t="shared" si="121"/>
        <v>0</v>
      </c>
      <c r="AS236" s="137">
        <f t="shared" si="122"/>
        <v>0</v>
      </c>
      <c r="AT236" s="137">
        <v>0</v>
      </c>
      <c r="AU236" s="141"/>
      <c r="AV236" s="141"/>
      <c r="AW236" s="137">
        <f t="shared" si="123"/>
        <v>28800</v>
      </c>
      <c r="AX236" s="136"/>
      <c r="AY236" s="137">
        <f t="shared" si="124"/>
        <v>28800</v>
      </c>
      <c r="AZ236" s="137">
        <f t="shared" si="125"/>
        <v>29260.000000000004</v>
      </c>
      <c r="BA236" s="142">
        <f t="shared" si="126"/>
        <v>-460.00000000000364</v>
      </c>
      <c r="BB236" s="137"/>
      <c r="BC236" s="137">
        <v>0</v>
      </c>
      <c r="BD236" s="136"/>
      <c r="BE236" s="169">
        <v>292.64999999999998</v>
      </c>
      <c r="BF236" s="143">
        <f t="shared" si="127"/>
        <v>0.43897499999999995</v>
      </c>
      <c r="BG236" s="143">
        <f t="shared" si="128"/>
        <v>292.21102499999995</v>
      </c>
      <c r="BH236" s="143">
        <f t="shared" si="129"/>
        <v>292.60000000000002</v>
      </c>
      <c r="BI236" s="144">
        <f t="shared" si="130"/>
        <v>4.9999999999954525</v>
      </c>
      <c r="BJ236" s="144">
        <v>0</v>
      </c>
      <c r="BK236" s="137">
        <f t="shared" si="131"/>
        <v>4.9999999999954525</v>
      </c>
      <c r="BL236" s="9"/>
      <c r="BM236" s="10" t="str">
        <f t="shared" si="132"/>
        <v>Unloading no. 221 Bill No GDS/26-27/95 ,Deduction For Oil Deduction= 0 ,Bardana=  ,F.M=  Brokerage/Rate Difference  ,Shortage = 0 ,Greenish=  ,Moisture= 0</v>
      </c>
      <c r="BN236" s="9"/>
      <c r="BO236" s="13" t="str">
        <f t="shared" si="99"/>
        <v xml:space="preserve"> Party Condition 39.55  ,F.M% 0.38 ,Greenish 3.85 ,Moisture 5 ,Shortage in KG= 0  ,Oil% 39.59</v>
      </c>
      <c r="BP236" s="4">
        <f t="shared" si="133"/>
        <v>6618.9849624060143</v>
      </c>
      <c r="BX236" s="27">
        <v>39.590000000000003</v>
      </c>
      <c r="BY236" s="27">
        <v>39.68</v>
      </c>
    </row>
    <row r="237" spans="1:77" customFormat="1" ht="15.75" hidden="1" x14ac:dyDescent="0.3">
      <c r="A237" s="128" t="s">
        <v>450</v>
      </c>
      <c r="B237" s="146">
        <v>46125</v>
      </c>
      <c r="C237" s="128">
        <v>222</v>
      </c>
      <c r="D237" s="128" t="s">
        <v>465</v>
      </c>
      <c r="E237" s="146">
        <v>46126</v>
      </c>
      <c r="F237" s="128" t="s">
        <v>110</v>
      </c>
      <c r="G237" s="128" t="s">
        <v>111</v>
      </c>
      <c r="H237" s="128" t="s">
        <v>112</v>
      </c>
      <c r="I237" s="136"/>
      <c r="J237" s="128" t="s">
        <v>113</v>
      </c>
      <c r="K237" s="128">
        <v>0</v>
      </c>
      <c r="L237" s="130">
        <v>46125</v>
      </c>
      <c r="M237" s="128"/>
      <c r="N237" s="128" t="s">
        <v>480</v>
      </c>
      <c r="O237" s="130">
        <v>46125</v>
      </c>
      <c r="P237" s="128">
        <v>0</v>
      </c>
      <c r="Q237" s="128">
        <v>300</v>
      </c>
      <c r="R237" s="128">
        <v>117</v>
      </c>
      <c r="S237" s="128">
        <v>417</v>
      </c>
      <c r="T237" s="128">
        <v>0</v>
      </c>
      <c r="U237" s="128">
        <v>0</v>
      </c>
      <c r="V237" s="128"/>
      <c r="W237" s="169">
        <v>250.2</v>
      </c>
      <c r="X237" s="169">
        <v>254</v>
      </c>
      <c r="Y237" s="169">
        <v>1705947</v>
      </c>
      <c r="Z237" s="136"/>
      <c r="AA237" s="128">
        <v>42648.675000000003</v>
      </c>
      <c r="AB237" s="128">
        <v>42648.675000000003</v>
      </c>
      <c r="AC237" s="128">
        <v>1791244.35</v>
      </c>
      <c r="AD237" s="137">
        <f t="shared" si="101"/>
        <v>1789453.10565</v>
      </c>
      <c r="AE237" s="169">
        <v>39.979999999999997</v>
      </c>
      <c r="AF237" s="169">
        <v>39.49</v>
      </c>
      <c r="AG237" s="169">
        <v>40.229999999999997</v>
      </c>
      <c r="AH237" s="170">
        <v>4.1999999999999997E-3</v>
      </c>
      <c r="AI237" s="170">
        <v>4.9000000000000002E-2</v>
      </c>
      <c r="AJ237" s="170">
        <v>5.7000000000000002E-2</v>
      </c>
      <c r="AK237" s="137">
        <f t="shared" si="78"/>
        <v>0</v>
      </c>
      <c r="AL237" s="136"/>
      <c r="AM237" s="136"/>
      <c r="AN237" s="136"/>
      <c r="AO237" s="140">
        <f t="shared" si="120"/>
        <v>0</v>
      </c>
      <c r="AP237" s="136"/>
      <c r="AQ237" s="137">
        <v>0</v>
      </c>
      <c r="AR237" s="155">
        <f t="shared" si="121"/>
        <v>0</v>
      </c>
      <c r="AS237" s="137">
        <f t="shared" si="122"/>
        <v>0</v>
      </c>
      <c r="AT237" s="137">
        <v>0</v>
      </c>
      <c r="AU237" s="141"/>
      <c r="AV237" s="141"/>
      <c r="AW237" s="137">
        <f t="shared" si="123"/>
        <v>25020</v>
      </c>
      <c r="AX237" s="136"/>
      <c r="AY237" s="137">
        <f t="shared" si="124"/>
        <v>25020</v>
      </c>
      <c r="AZ237" s="137">
        <f t="shared" si="125"/>
        <v>25400</v>
      </c>
      <c r="BA237" s="142">
        <f t="shared" si="126"/>
        <v>-380</v>
      </c>
      <c r="BB237" s="137"/>
      <c r="BC237" s="137">
        <v>0</v>
      </c>
      <c r="BD237" s="136"/>
      <c r="BE237" s="169">
        <v>254.05</v>
      </c>
      <c r="BF237" s="143">
        <f t="shared" si="127"/>
        <v>0.381075</v>
      </c>
      <c r="BG237" s="143">
        <f t="shared" si="128"/>
        <v>253.668925</v>
      </c>
      <c r="BH237" s="143">
        <f t="shared" si="129"/>
        <v>254</v>
      </c>
      <c r="BI237" s="144">
        <f t="shared" si="130"/>
        <v>5.0000000000011369</v>
      </c>
      <c r="BJ237" s="144">
        <v>0</v>
      </c>
      <c r="BK237" s="137">
        <f t="shared" si="131"/>
        <v>5.0000000000011369</v>
      </c>
      <c r="BL237" s="9"/>
      <c r="BM237" s="10" t="str">
        <f t="shared" si="132"/>
        <v>Unloading no. 222 Bill No G1652 ,Deduction For Oil Deduction= 0 ,Bardana=  ,F.M=  Brokerage/Rate Difference  ,Shortage = 0 ,Greenish=  ,Moisture= 0</v>
      </c>
      <c r="BN237" s="9"/>
      <c r="BO237" s="13" t="str">
        <f t="shared" si="99"/>
        <v xml:space="preserve"> Party Condition 39.49  ,F.M% 0.42 ,Greenish 4.9 ,Moisture 5.7 ,Shortage in KG= 0  ,Oil% 39.98</v>
      </c>
      <c r="BP237" s="4">
        <f t="shared" si="133"/>
        <v>6716.3267716535429</v>
      </c>
      <c r="BX237" s="27">
        <v>39.979999999999997</v>
      </c>
      <c r="BY237" s="27">
        <v>40.229999999999997</v>
      </c>
    </row>
    <row r="238" spans="1:77" customFormat="1" ht="15.75" hidden="1" x14ac:dyDescent="0.3">
      <c r="A238" s="128" t="s">
        <v>481</v>
      </c>
      <c r="B238" s="146">
        <v>46125</v>
      </c>
      <c r="C238" s="128">
        <v>223</v>
      </c>
      <c r="D238" s="128" t="s">
        <v>493</v>
      </c>
      <c r="E238" s="130">
        <v>46127</v>
      </c>
      <c r="F238" s="128" t="s">
        <v>436</v>
      </c>
      <c r="G238" s="128" t="s">
        <v>437</v>
      </c>
      <c r="H238" s="128" t="s">
        <v>438</v>
      </c>
      <c r="I238" s="136"/>
      <c r="J238" s="128" t="s">
        <v>113</v>
      </c>
      <c r="K238" s="128">
        <v>0</v>
      </c>
      <c r="L238" s="130">
        <v>46125</v>
      </c>
      <c r="M238" s="128"/>
      <c r="N238" s="128">
        <v>39</v>
      </c>
      <c r="O238" s="130">
        <v>46125</v>
      </c>
      <c r="P238" s="128"/>
      <c r="Q238" s="128">
        <v>390</v>
      </c>
      <c r="R238" s="128">
        <v>109</v>
      </c>
      <c r="S238" s="128">
        <v>499</v>
      </c>
      <c r="T238" s="128">
        <v>0</v>
      </c>
      <c r="U238" s="128">
        <v>0</v>
      </c>
      <c r="V238" s="128"/>
      <c r="W238" s="169">
        <v>299.39999999999998</v>
      </c>
      <c r="X238" s="169">
        <v>304</v>
      </c>
      <c r="Y238" s="169">
        <v>2028618.63</v>
      </c>
      <c r="Z238" s="136"/>
      <c r="AA238" s="128">
        <v>50715.47</v>
      </c>
      <c r="AB238" s="128">
        <v>50715.47</v>
      </c>
      <c r="AC238" s="128">
        <v>2130049.56</v>
      </c>
      <c r="AD238" s="172">
        <f t="shared" si="101"/>
        <v>2127919.5104399999</v>
      </c>
      <c r="AE238" s="147">
        <v>40.19</v>
      </c>
      <c r="AF238" s="148">
        <v>39.200000000000003</v>
      </c>
      <c r="AG238" s="147">
        <v>40.26</v>
      </c>
      <c r="AH238" s="170">
        <v>4.4999999999999997E-3</v>
      </c>
      <c r="AI238" s="170">
        <v>3.9100000000000003E-2</v>
      </c>
      <c r="AJ238" s="170">
        <v>5.7000000000000002E-2</v>
      </c>
      <c r="AK238" s="137">
        <f t="shared" ref="AK238:AK250" si="134">+IF(AF238=42,IF(MIN(AE238,AG238)&lt;AF238,Y238*((AF238-MIN(AE238,AG238))/AF238)),IF(MIN(AE238,AG238)&lt;AF238,Y238*((AF238-MIN(AE238,AG238))/AF238),0))</f>
        <v>0</v>
      </c>
      <c r="AL238" s="136"/>
      <c r="AM238" s="136"/>
      <c r="AN238" s="136">
        <v>526.28</v>
      </c>
      <c r="AO238" s="140">
        <f t="shared" ref="AO238:AO250" si="135">AT238*Y238/AW238</f>
        <v>0</v>
      </c>
      <c r="AP238" s="136"/>
      <c r="AQ238" s="137">
        <v>0</v>
      </c>
      <c r="AR238" s="155">
        <f t="shared" ref="AR238:AR250" si="136">SUM(AK238:AQ238)</f>
        <v>526.28</v>
      </c>
      <c r="AS238" s="155">
        <f t="shared" ref="AS238:AS250" si="137">ROUND(AR238*1.05,0)</f>
        <v>553</v>
      </c>
      <c r="AT238" s="137">
        <v>0</v>
      </c>
      <c r="AU238" s="141"/>
      <c r="AV238" s="141"/>
      <c r="AW238" s="137">
        <f t="shared" ref="AW238:AW250" si="138">W238*100</f>
        <v>29939.999999999996</v>
      </c>
      <c r="AX238" s="136"/>
      <c r="AY238" s="137">
        <f t="shared" ref="AY238:AY250" si="139">+AW238+AX238</f>
        <v>29939.999999999996</v>
      </c>
      <c r="AZ238" s="137">
        <f t="shared" si="125"/>
        <v>30400</v>
      </c>
      <c r="BA238" s="142">
        <f t="shared" ref="BA238:BA250" si="140">AY238-AZ238</f>
        <v>-460.00000000000364</v>
      </c>
      <c r="BB238" s="137"/>
      <c r="BC238" s="137">
        <v>0</v>
      </c>
      <c r="BD238" s="136"/>
      <c r="BE238" s="169">
        <v>304.39999999999998</v>
      </c>
      <c r="BF238" s="143">
        <f t="shared" ref="BF238:BF250" si="141">+BE238*0.15/100</f>
        <v>0.45659999999999995</v>
      </c>
      <c r="BG238" s="143">
        <f t="shared" ref="BG238:BG250" si="142">BE238-BF238</f>
        <v>303.9434</v>
      </c>
      <c r="BH238" s="143">
        <f t="shared" ref="BH238:BH250" si="143">X238</f>
        <v>304</v>
      </c>
      <c r="BI238" s="144">
        <f t="shared" ref="BI238:BI250" si="144">(BE238-BH238)*100</f>
        <v>39.999999999997726</v>
      </c>
      <c r="BJ238" s="144">
        <v>0</v>
      </c>
      <c r="BK238" s="137">
        <f t="shared" ref="BK238:BK250" si="145">BI238</f>
        <v>39.999999999997726</v>
      </c>
      <c r="BL238" s="9"/>
      <c r="BM238" s="10" t="str">
        <f t="shared" ref="BM238:BM250" si="146">+$C$1&amp;" "&amp;C238 &amp;" "&amp;$N$1&amp;" "&amp;N238&amp;" "&amp;$BM$1&amp;" "&amp;$AK$1&amp;" "&amp;AK238&amp;" "&amp;$AL$1&amp;" "&amp;AL238&amp;" "&amp;$AM$1&amp;" "&amp;AM238&amp;" "&amp;$AN$1&amp;" "&amp;AN238&amp;" "&amp;$AO$1&amp;" "&amp;AO238&amp;" "&amp;$AP$1&amp;" "&amp;AP238&amp;" "&amp;$AQ$1&amp;" "&amp;AQ238</f>
        <v>Unloading no. 223 Bill No 39 ,Deduction For Oil Deduction= 0 ,Bardana=  ,F.M=  Brokerage/Rate Difference 526.28 ,Shortage = 0 ,Greenish=  ,Moisture= 0</v>
      </c>
      <c r="BN238" s="9"/>
      <c r="BO238" s="13" t="str">
        <f t="shared" si="99"/>
        <v xml:space="preserve"> Party Condition 39.2  ,F.M% 0.45 ,Greenish 3.91 ,Moisture 5.7 ,Shortage in KG= 0  ,Oil% 40.19</v>
      </c>
      <c r="BP238" s="4">
        <f t="shared" ref="BP238:BP250" si="147">(Y238-AR238)/X238</f>
        <v>6671.3564144736838</v>
      </c>
      <c r="BX238" s="27">
        <v>40.19</v>
      </c>
      <c r="BY238" s="27">
        <v>40.26</v>
      </c>
    </row>
    <row r="239" spans="1:77" customFormat="1" ht="15.75" hidden="1" x14ac:dyDescent="0.3">
      <c r="A239" s="128" t="s">
        <v>482</v>
      </c>
      <c r="B239" s="146">
        <v>46125</v>
      </c>
      <c r="C239" s="128">
        <v>224</v>
      </c>
      <c r="D239" s="128" t="s">
        <v>494</v>
      </c>
      <c r="E239" s="130">
        <v>46127</v>
      </c>
      <c r="F239" s="128" t="s">
        <v>98</v>
      </c>
      <c r="G239" s="128" t="s">
        <v>99</v>
      </c>
      <c r="H239" s="128" t="s">
        <v>199</v>
      </c>
      <c r="I239" s="136"/>
      <c r="J239" s="128" t="s">
        <v>113</v>
      </c>
      <c r="K239" s="128">
        <v>0</v>
      </c>
      <c r="L239" s="130">
        <v>46125</v>
      </c>
      <c r="M239" s="128"/>
      <c r="N239" s="128">
        <v>51</v>
      </c>
      <c r="O239" s="130">
        <v>46126</v>
      </c>
      <c r="P239" s="128"/>
      <c r="Q239" s="128">
        <v>250</v>
      </c>
      <c r="R239" s="128">
        <v>230</v>
      </c>
      <c r="S239" s="128">
        <v>480</v>
      </c>
      <c r="T239" s="128">
        <v>0</v>
      </c>
      <c r="U239" s="128">
        <v>0</v>
      </c>
      <c r="V239" s="128"/>
      <c r="W239" s="169">
        <v>288</v>
      </c>
      <c r="X239" s="169">
        <v>290.39999999999998</v>
      </c>
      <c r="Y239" s="169">
        <v>1961598.72</v>
      </c>
      <c r="Z239" s="136"/>
      <c r="AA239" s="128">
        <v>49039.97</v>
      </c>
      <c r="AB239" s="128">
        <v>49039.97</v>
      </c>
      <c r="AC239" s="128">
        <v>2059678.66</v>
      </c>
      <c r="AD239" s="172">
        <f t="shared" si="101"/>
        <v>2057618.9813399999</v>
      </c>
      <c r="AE239" s="147">
        <v>39.79</v>
      </c>
      <c r="AF239" s="148">
        <v>39.25</v>
      </c>
      <c r="AG239" s="147">
        <v>39.76</v>
      </c>
      <c r="AH239" s="170">
        <v>4.4000000000000003E-3</v>
      </c>
      <c r="AI239" s="170">
        <v>3.7499999999999999E-2</v>
      </c>
      <c r="AJ239" s="170">
        <v>5.6000000000000001E-2</v>
      </c>
      <c r="AK239" s="137">
        <f t="shared" si="134"/>
        <v>0</v>
      </c>
      <c r="AL239" s="136">
        <f>480*0.5</f>
        <v>240</v>
      </c>
      <c r="AM239" s="136"/>
      <c r="AN239" s="136">
        <f>W239*0.31</f>
        <v>89.28</v>
      </c>
      <c r="AO239" s="140">
        <f t="shared" si="135"/>
        <v>7492.217333333333</v>
      </c>
      <c r="AP239" s="136"/>
      <c r="AQ239" s="137">
        <v>0</v>
      </c>
      <c r="AR239" s="155">
        <f t="shared" si="136"/>
        <v>7821.4973333333328</v>
      </c>
      <c r="AS239" s="155">
        <f t="shared" si="137"/>
        <v>8213</v>
      </c>
      <c r="AT239" s="137">
        <v>110</v>
      </c>
      <c r="AU239" s="141"/>
      <c r="AV239" s="141"/>
      <c r="AW239" s="137">
        <f t="shared" si="138"/>
        <v>28800</v>
      </c>
      <c r="AX239" s="136"/>
      <c r="AY239" s="137">
        <f t="shared" si="139"/>
        <v>28800</v>
      </c>
      <c r="AZ239" s="137">
        <f t="shared" si="125"/>
        <v>29039.999999999996</v>
      </c>
      <c r="BA239" s="142">
        <f t="shared" si="140"/>
        <v>-239.99999999999636</v>
      </c>
      <c r="BB239" s="137"/>
      <c r="BC239" s="137">
        <v>0</v>
      </c>
      <c r="BD239" s="136"/>
      <c r="BE239" s="169">
        <v>291.25</v>
      </c>
      <c r="BF239" s="143">
        <f t="shared" si="141"/>
        <v>0.43687500000000001</v>
      </c>
      <c r="BG239" s="143">
        <f t="shared" si="142"/>
        <v>290.81312500000001</v>
      </c>
      <c r="BH239" s="143">
        <f t="shared" si="143"/>
        <v>290.39999999999998</v>
      </c>
      <c r="BI239" s="144">
        <f t="shared" si="144"/>
        <v>85.000000000002274</v>
      </c>
      <c r="BJ239" s="144">
        <v>0</v>
      </c>
      <c r="BK239" s="137">
        <f t="shared" si="145"/>
        <v>85.000000000002274</v>
      </c>
      <c r="BL239" s="9"/>
      <c r="BM239" s="10" t="str">
        <f t="shared" si="146"/>
        <v>Unloading no. 224 Bill No 51 ,Deduction For Oil Deduction= 0 ,Bardana= 240 ,F.M=  Brokerage/Rate Difference 89.28 ,Shortage = 7492.21733333333 ,Greenish=  ,Moisture= 0</v>
      </c>
      <c r="BN239" s="9"/>
      <c r="BO239" s="13" t="str">
        <f t="shared" si="99"/>
        <v xml:space="preserve"> Party Condition 39.25  ,F.M% 0.44 ,Greenish 3.75 ,Moisture 5.6 ,Shortage in KG= 110  ,Oil% 39.76</v>
      </c>
      <c r="BP239" s="4">
        <f t="shared" si="147"/>
        <v>6727.8829981634526</v>
      </c>
      <c r="BX239" s="27">
        <v>39.79</v>
      </c>
      <c r="BY239" s="27">
        <v>39.76</v>
      </c>
    </row>
    <row r="240" spans="1:77" customFormat="1" ht="15.75" hidden="1" x14ac:dyDescent="0.3">
      <c r="A240" s="128" t="s">
        <v>483</v>
      </c>
      <c r="B240" s="146">
        <v>46125</v>
      </c>
      <c r="C240" s="128">
        <v>225</v>
      </c>
      <c r="D240" s="128" t="s">
        <v>495</v>
      </c>
      <c r="E240" s="130">
        <v>46127</v>
      </c>
      <c r="F240" s="128" t="s">
        <v>110</v>
      </c>
      <c r="G240" s="128" t="s">
        <v>111</v>
      </c>
      <c r="H240" s="128" t="s">
        <v>112</v>
      </c>
      <c r="I240" s="136"/>
      <c r="J240" s="128" t="s">
        <v>113</v>
      </c>
      <c r="K240" s="128">
        <v>0</v>
      </c>
      <c r="L240" s="130">
        <v>46125</v>
      </c>
      <c r="M240" s="128"/>
      <c r="N240" s="128" t="s">
        <v>507</v>
      </c>
      <c r="O240" s="130">
        <v>46126</v>
      </c>
      <c r="P240" s="128"/>
      <c r="Q240" s="128">
        <v>513</v>
      </c>
      <c r="R240" s="128">
        <v>300</v>
      </c>
      <c r="S240" s="128">
        <v>813</v>
      </c>
      <c r="T240" s="128">
        <v>0</v>
      </c>
      <c r="U240" s="128">
        <v>0</v>
      </c>
      <c r="V240" s="128"/>
      <c r="W240" s="169">
        <v>487.8</v>
      </c>
      <c r="X240" s="169">
        <v>492.2</v>
      </c>
      <c r="Y240" s="169">
        <v>3335739</v>
      </c>
      <c r="Z240" s="136"/>
      <c r="AA240" s="128">
        <v>83393.48</v>
      </c>
      <c r="AB240" s="128">
        <v>83393.48</v>
      </c>
      <c r="AC240" s="128">
        <v>3502525.95</v>
      </c>
      <c r="AD240" s="172">
        <f t="shared" si="101"/>
        <v>3499023.42405</v>
      </c>
      <c r="AE240" s="147">
        <v>40.880000000000003</v>
      </c>
      <c r="AF240" s="148">
        <v>39.630000000000003</v>
      </c>
      <c r="AG240" s="147">
        <v>40.81</v>
      </c>
      <c r="AH240" s="170">
        <v>4.1000000000000003E-3</v>
      </c>
      <c r="AI240" s="170">
        <v>0.04</v>
      </c>
      <c r="AJ240" s="170">
        <v>5.8000000000000003E-2</v>
      </c>
      <c r="AK240" s="137">
        <f t="shared" si="134"/>
        <v>0</v>
      </c>
      <c r="AL240" s="136"/>
      <c r="AM240" s="136"/>
      <c r="AN240" s="136"/>
      <c r="AO240" s="140">
        <f t="shared" si="135"/>
        <v>10531.033333333333</v>
      </c>
      <c r="AP240" s="136"/>
      <c r="AQ240" s="137">
        <v>0</v>
      </c>
      <c r="AR240" s="155">
        <f t="shared" si="136"/>
        <v>10531.033333333333</v>
      </c>
      <c r="AS240" s="155">
        <f t="shared" si="137"/>
        <v>11058</v>
      </c>
      <c r="AT240" s="137">
        <v>154</v>
      </c>
      <c r="AU240" s="141"/>
      <c r="AV240" s="141"/>
      <c r="AW240" s="137">
        <f t="shared" si="138"/>
        <v>48780</v>
      </c>
      <c r="AX240" s="136"/>
      <c r="AY240" s="137">
        <f t="shared" si="139"/>
        <v>48780</v>
      </c>
      <c r="AZ240" s="137">
        <f t="shared" si="125"/>
        <v>49220</v>
      </c>
      <c r="BA240" s="142">
        <f t="shared" si="140"/>
        <v>-440</v>
      </c>
      <c r="BB240" s="137"/>
      <c r="BC240" s="137">
        <v>0</v>
      </c>
      <c r="BD240" s="136"/>
      <c r="BE240" s="169">
        <v>493.35</v>
      </c>
      <c r="BF240" s="143">
        <f t="shared" si="141"/>
        <v>0.74002499999999993</v>
      </c>
      <c r="BG240" s="143">
        <f t="shared" si="142"/>
        <v>492.60997500000002</v>
      </c>
      <c r="BH240" s="143">
        <f t="shared" si="143"/>
        <v>492.2</v>
      </c>
      <c r="BI240" s="144">
        <f t="shared" si="144"/>
        <v>115.00000000000341</v>
      </c>
      <c r="BJ240" s="144">
        <v>0</v>
      </c>
      <c r="BK240" s="137">
        <f t="shared" si="145"/>
        <v>115.00000000000341</v>
      </c>
      <c r="BL240" s="9"/>
      <c r="BM240" s="10" t="str">
        <f t="shared" si="146"/>
        <v>Unloading no. 225 Bill No G1653 ,Deduction For Oil Deduction= 0 ,Bardana=  ,F.M=  Brokerage/Rate Difference  ,Shortage = 10531.0333333333 ,Greenish=  ,Moisture= 0</v>
      </c>
      <c r="BN240" s="9"/>
      <c r="BO240" s="13" t="str">
        <f t="shared" si="99"/>
        <v xml:space="preserve"> Party Condition 39.63  ,F.M% 0.41 ,Greenish 4 ,Moisture 5.8 ,Shortage in KG= 154  ,Oil% 40.81</v>
      </c>
      <c r="BP240" s="4">
        <f t="shared" si="147"/>
        <v>6755.8065149668164</v>
      </c>
      <c r="BX240" s="27">
        <v>40.880000000000003</v>
      </c>
      <c r="BY240" s="27">
        <v>40.81</v>
      </c>
    </row>
    <row r="241" spans="1:77" customFormat="1" ht="15.75" hidden="1" x14ac:dyDescent="0.3">
      <c r="A241" s="163" t="s">
        <v>484</v>
      </c>
      <c r="B241" s="171">
        <v>46125</v>
      </c>
      <c r="C241" s="163">
        <v>226</v>
      </c>
      <c r="D241" s="163" t="s">
        <v>496</v>
      </c>
      <c r="E241" s="166">
        <v>46127</v>
      </c>
      <c r="F241" s="163" t="s">
        <v>104</v>
      </c>
      <c r="G241" s="163" t="s">
        <v>105</v>
      </c>
      <c r="H241" s="163" t="s">
        <v>106</v>
      </c>
      <c r="I241" s="157"/>
      <c r="J241" s="163" t="s">
        <v>113</v>
      </c>
      <c r="K241" s="163">
        <v>0</v>
      </c>
      <c r="L241" s="130">
        <v>46125</v>
      </c>
      <c r="M241" s="128"/>
      <c r="N241" s="128" t="s">
        <v>508</v>
      </c>
      <c r="O241" s="130">
        <v>46126</v>
      </c>
      <c r="P241" s="128"/>
      <c r="Q241" s="128">
        <v>454</v>
      </c>
      <c r="R241" s="128">
        <v>250</v>
      </c>
      <c r="S241" s="128">
        <v>704</v>
      </c>
      <c r="T241" s="128">
        <v>0</v>
      </c>
      <c r="U241" s="128">
        <v>0</v>
      </c>
      <c r="V241" s="128"/>
      <c r="W241" s="169">
        <v>352</v>
      </c>
      <c r="X241" s="169">
        <v>358.1</v>
      </c>
      <c r="Y241" s="169">
        <v>2390344</v>
      </c>
      <c r="Z241" s="136"/>
      <c r="AA241" s="128">
        <v>59758.6</v>
      </c>
      <c r="AB241" s="128">
        <v>59758.6</v>
      </c>
      <c r="AC241" s="128">
        <v>2509861.2000000002</v>
      </c>
      <c r="AD241" s="172">
        <f t="shared" si="101"/>
        <v>2507351.3388</v>
      </c>
      <c r="AE241" s="169">
        <v>39.85</v>
      </c>
      <c r="AF241" s="148">
        <v>39.28</v>
      </c>
      <c r="AG241" s="147">
        <v>39.72</v>
      </c>
      <c r="AH241" s="170">
        <v>4.7999999999999996E-3</v>
      </c>
      <c r="AI241" s="170">
        <v>3.78E-2</v>
      </c>
      <c r="AJ241" s="170">
        <v>5.5E-2</v>
      </c>
      <c r="AK241" s="137">
        <f t="shared" si="134"/>
        <v>0</v>
      </c>
      <c r="AL241" s="136">
        <f>704*2</f>
        <v>1408</v>
      </c>
      <c r="AM241" s="136"/>
      <c r="AN241" s="136"/>
      <c r="AO241" s="140">
        <f t="shared" si="135"/>
        <v>0</v>
      </c>
      <c r="AP241" s="136"/>
      <c r="AQ241" s="137">
        <v>0</v>
      </c>
      <c r="AR241" s="155">
        <f t="shared" si="136"/>
        <v>1408</v>
      </c>
      <c r="AS241" s="155">
        <f t="shared" si="137"/>
        <v>1478</v>
      </c>
      <c r="AT241" s="137">
        <v>0</v>
      </c>
      <c r="AU241" s="141"/>
      <c r="AV241" s="141"/>
      <c r="AW241" s="137">
        <f t="shared" si="138"/>
        <v>35200</v>
      </c>
      <c r="AX241" s="136"/>
      <c r="AY241" s="137">
        <f t="shared" si="139"/>
        <v>35200</v>
      </c>
      <c r="AZ241" s="137">
        <f t="shared" si="125"/>
        <v>35810</v>
      </c>
      <c r="BA241" s="142">
        <f t="shared" si="140"/>
        <v>-610</v>
      </c>
      <c r="BB241" s="137"/>
      <c r="BC241" s="137">
        <v>0</v>
      </c>
      <c r="BD241" s="136"/>
      <c r="BE241" s="169">
        <v>357.85</v>
      </c>
      <c r="BF241" s="143">
        <f t="shared" si="141"/>
        <v>0.536775</v>
      </c>
      <c r="BG241" s="143">
        <f t="shared" si="142"/>
        <v>357.31322500000005</v>
      </c>
      <c r="BH241" s="143">
        <f t="shared" si="143"/>
        <v>358.1</v>
      </c>
      <c r="BI241" s="144">
        <f t="shared" si="144"/>
        <v>-25</v>
      </c>
      <c r="BJ241" s="144">
        <v>0</v>
      </c>
      <c r="BK241" s="137">
        <f t="shared" si="145"/>
        <v>-25</v>
      </c>
      <c r="BL241" s="9"/>
      <c r="BM241" s="10" t="str">
        <f t="shared" si="146"/>
        <v>Unloading no. 226 Bill No MTC/2026-27/062 ,Deduction For Oil Deduction= 0 ,Bardana= 1408 ,F.M=  Brokerage/Rate Difference  ,Shortage = 0 ,Greenish=  ,Moisture= 0</v>
      </c>
      <c r="BN241" s="9"/>
      <c r="BO241" s="13" t="str">
        <f t="shared" si="99"/>
        <v xml:space="preserve"> Party Condition 39.28  ,F.M% 0.48 ,Greenish 3.78 ,Moisture 5.5 ,Shortage in KG= 0  ,Oil% 39.72</v>
      </c>
      <c r="BP241" s="4">
        <f t="shared" si="147"/>
        <v>6671.1421390672995</v>
      </c>
      <c r="BX241" s="27">
        <v>39.85</v>
      </c>
      <c r="BY241" s="27">
        <v>39.72</v>
      </c>
    </row>
    <row r="242" spans="1:77" customFormat="1" ht="15.75" hidden="1" x14ac:dyDescent="0.3">
      <c r="A242" s="163" t="s">
        <v>485</v>
      </c>
      <c r="B242" s="171">
        <v>46126</v>
      </c>
      <c r="C242" s="163">
        <v>227</v>
      </c>
      <c r="D242" s="163" t="s">
        <v>497</v>
      </c>
      <c r="E242" s="166">
        <v>46127</v>
      </c>
      <c r="F242" s="163" t="s">
        <v>467</v>
      </c>
      <c r="G242" s="163" t="s">
        <v>468</v>
      </c>
      <c r="H242" s="163" t="s">
        <v>506</v>
      </c>
      <c r="I242" s="157"/>
      <c r="J242" s="163" t="s">
        <v>113</v>
      </c>
      <c r="K242" s="163">
        <v>0</v>
      </c>
      <c r="L242" s="130">
        <v>46126</v>
      </c>
      <c r="M242" s="128"/>
      <c r="N242" s="128" t="s">
        <v>509</v>
      </c>
      <c r="O242" s="130">
        <v>46126</v>
      </c>
      <c r="P242" s="128"/>
      <c r="Q242" s="128">
        <v>390</v>
      </c>
      <c r="R242" s="128">
        <v>72</v>
      </c>
      <c r="S242" s="128">
        <v>462</v>
      </c>
      <c r="T242" s="128">
        <v>0</v>
      </c>
      <c r="U242" s="128">
        <v>0</v>
      </c>
      <c r="V242" s="128"/>
      <c r="W242" s="169">
        <v>277.2</v>
      </c>
      <c r="X242" s="169">
        <v>280.7</v>
      </c>
      <c r="Y242" s="169">
        <v>1830726</v>
      </c>
      <c r="Z242" s="136"/>
      <c r="AA242" s="128">
        <v>45768.15</v>
      </c>
      <c r="AB242" s="128">
        <v>45768.15</v>
      </c>
      <c r="AC242" s="128">
        <v>1922262.3</v>
      </c>
      <c r="AD242" s="172">
        <f t="shared" si="101"/>
        <v>1920340.0377</v>
      </c>
      <c r="AE242" s="147">
        <v>39.5</v>
      </c>
      <c r="AF242" s="148">
        <v>38.5</v>
      </c>
      <c r="AG242" s="147">
        <v>39.56</v>
      </c>
      <c r="AH242" s="170">
        <v>4.8999999999999998E-3</v>
      </c>
      <c r="AI242" s="170">
        <v>3.8899999999999997E-2</v>
      </c>
      <c r="AJ242" s="170">
        <v>5.5E-2</v>
      </c>
      <c r="AK242" s="137">
        <f t="shared" si="134"/>
        <v>0</v>
      </c>
      <c r="AL242" s="136"/>
      <c r="AM242" s="136"/>
      <c r="AN242" s="136"/>
      <c r="AO242" s="140">
        <f t="shared" si="135"/>
        <v>0</v>
      </c>
      <c r="AP242" s="136"/>
      <c r="AQ242" s="137">
        <v>0</v>
      </c>
      <c r="AR242" s="155">
        <f t="shared" si="136"/>
        <v>0</v>
      </c>
      <c r="AS242" s="155">
        <f t="shared" si="137"/>
        <v>0</v>
      </c>
      <c r="AT242" s="137">
        <v>0</v>
      </c>
      <c r="AU242" s="141"/>
      <c r="AV242" s="141"/>
      <c r="AW242" s="137">
        <f t="shared" si="138"/>
        <v>27720</v>
      </c>
      <c r="AX242" s="136"/>
      <c r="AY242" s="137">
        <f t="shared" si="139"/>
        <v>27720</v>
      </c>
      <c r="AZ242" s="137">
        <f t="shared" si="125"/>
        <v>28070</v>
      </c>
      <c r="BA242" s="142">
        <f t="shared" si="140"/>
        <v>-350</v>
      </c>
      <c r="BB242" s="137"/>
      <c r="BC242" s="137">
        <v>0</v>
      </c>
      <c r="BD242" s="136"/>
      <c r="BE242" s="169">
        <v>281.2</v>
      </c>
      <c r="BF242" s="143">
        <f t="shared" si="141"/>
        <v>0.42180000000000001</v>
      </c>
      <c r="BG242" s="143">
        <f t="shared" si="142"/>
        <v>280.77819999999997</v>
      </c>
      <c r="BH242" s="143">
        <f t="shared" si="143"/>
        <v>280.7</v>
      </c>
      <c r="BI242" s="144">
        <f t="shared" si="144"/>
        <v>50</v>
      </c>
      <c r="BJ242" s="144">
        <v>0</v>
      </c>
      <c r="BK242" s="137">
        <f t="shared" si="145"/>
        <v>50</v>
      </c>
      <c r="BL242" s="9"/>
      <c r="BM242" s="10" t="str">
        <f t="shared" si="146"/>
        <v>Unloading no. 227 Bill No GDS/26-27/104 ,Deduction For Oil Deduction= 0 ,Bardana=  ,F.M=  Brokerage/Rate Difference  ,Shortage = 0 ,Greenish=  ,Moisture= 0</v>
      </c>
      <c r="BN242" s="9"/>
      <c r="BO242" s="13" t="str">
        <f t="shared" si="99"/>
        <v xml:space="preserve"> Party Condition 38.5  ,F.M% 0.49 ,Greenish 3.89 ,Moisture 5.5 ,Shortage in KG= 0  ,Oil% 39.5</v>
      </c>
      <c r="BP242" s="4">
        <f t="shared" si="147"/>
        <v>6522.0021375133601</v>
      </c>
      <c r="BX242" s="27">
        <v>39.5</v>
      </c>
      <c r="BY242" s="27">
        <v>39.56</v>
      </c>
    </row>
    <row r="243" spans="1:77" customFormat="1" ht="15.75" hidden="1" x14ac:dyDescent="0.3">
      <c r="A243" s="163" t="s">
        <v>486</v>
      </c>
      <c r="B243" s="171">
        <v>46125</v>
      </c>
      <c r="C243" s="163">
        <v>228</v>
      </c>
      <c r="D243" s="163" t="s">
        <v>498</v>
      </c>
      <c r="E243" s="166">
        <v>46127</v>
      </c>
      <c r="F243" s="163" t="s">
        <v>436</v>
      </c>
      <c r="G243" s="163" t="s">
        <v>437</v>
      </c>
      <c r="H243" s="163" t="s">
        <v>438</v>
      </c>
      <c r="I243" s="157"/>
      <c r="J243" s="163" t="s">
        <v>113</v>
      </c>
      <c r="K243" s="163">
        <v>0</v>
      </c>
      <c r="L243" s="130">
        <v>46125</v>
      </c>
      <c r="M243" s="128"/>
      <c r="N243" s="128">
        <v>42</v>
      </c>
      <c r="O243" s="130">
        <v>46126</v>
      </c>
      <c r="P243" s="128"/>
      <c r="Q243" s="128">
        <v>500</v>
      </c>
      <c r="R243" s="128">
        <v>85</v>
      </c>
      <c r="S243" s="128">
        <v>585</v>
      </c>
      <c r="T243" s="128">
        <v>0</v>
      </c>
      <c r="U243" s="128">
        <v>0</v>
      </c>
      <c r="V243" s="128"/>
      <c r="W243" s="169">
        <v>351</v>
      </c>
      <c r="X243" s="169">
        <v>356</v>
      </c>
      <c r="Y243" s="169">
        <v>2395881.54</v>
      </c>
      <c r="Z243" s="136"/>
      <c r="AA243" s="128">
        <v>59897.04</v>
      </c>
      <c r="AB243" s="128">
        <v>59897.04</v>
      </c>
      <c r="AC243" s="128">
        <v>2515675.62</v>
      </c>
      <c r="AD243" s="172">
        <f t="shared" si="101"/>
        <v>2513159.9443800002</v>
      </c>
      <c r="AE243" s="147">
        <v>40.700000000000003</v>
      </c>
      <c r="AF243" s="148">
        <v>39.65</v>
      </c>
      <c r="AG243" s="147">
        <v>40.57</v>
      </c>
      <c r="AH243" s="170">
        <v>4.5999999999999999E-3</v>
      </c>
      <c r="AI243" s="170">
        <v>4.1599999999999998E-2</v>
      </c>
      <c r="AJ243" s="170">
        <v>5.6000000000000001E-2</v>
      </c>
      <c r="AK243" s="137">
        <f t="shared" si="134"/>
        <v>0</v>
      </c>
      <c r="AL243" s="136"/>
      <c r="AM243" s="136"/>
      <c r="AN243" s="136">
        <v>620.48</v>
      </c>
      <c r="AO243" s="140">
        <f t="shared" si="135"/>
        <v>0</v>
      </c>
      <c r="AP243" s="136"/>
      <c r="AQ243" s="137">
        <v>0</v>
      </c>
      <c r="AR243" s="155">
        <f t="shared" si="136"/>
        <v>620.48</v>
      </c>
      <c r="AS243" s="155">
        <f t="shared" si="137"/>
        <v>652</v>
      </c>
      <c r="AT243" s="137">
        <v>0</v>
      </c>
      <c r="AU243" s="141"/>
      <c r="AV243" s="141"/>
      <c r="AW243" s="137">
        <f t="shared" si="138"/>
        <v>35100</v>
      </c>
      <c r="AX243" s="136"/>
      <c r="AY243" s="137">
        <f t="shared" si="139"/>
        <v>35100</v>
      </c>
      <c r="AZ243" s="137">
        <f t="shared" si="125"/>
        <v>35600</v>
      </c>
      <c r="BA243" s="142">
        <f t="shared" si="140"/>
        <v>-500</v>
      </c>
      <c r="BB243" s="137"/>
      <c r="BC243" s="137">
        <v>0</v>
      </c>
      <c r="BD243" s="136"/>
      <c r="BE243" s="169">
        <v>356.3</v>
      </c>
      <c r="BF243" s="143">
        <f t="shared" si="141"/>
        <v>0.53444999999999998</v>
      </c>
      <c r="BG243" s="143">
        <f t="shared" si="142"/>
        <v>355.76555000000002</v>
      </c>
      <c r="BH243" s="143">
        <f t="shared" si="143"/>
        <v>356</v>
      </c>
      <c r="BI243" s="144">
        <f t="shared" si="144"/>
        <v>30.000000000001137</v>
      </c>
      <c r="BJ243" s="144">
        <v>0</v>
      </c>
      <c r="BK243" s="137">
        <f t="shared" si="145"/>
        <v>30.000000000001137</v>
      </c>
      <c r="BL243" s="9"/>
      <c r="BM243" s="10" t="str">
        <f t="shared" si="146"/>
        <v>Unloading no. 228 Bill No 42 ,Deduction For Oil Deduction= 0 ,Bardana=  ,F.M=  Brokerage/Rate Difference 620.48 ,Shortage = 0 ,Greenish=  ,Moisture= 0</v>
      </c>
      <c r="BN243" s="9"/>
      <c r="BO243" s="13" t="str">
        <f t="shared" si="99"/>
        <v xml:space="preserve"> Party Condition 39.65  ,F.M% 0.46 ,Greenish 4.16 ,Moisture 5.6 ,Shortage in KG= 0  ,Oil% 40.57</v>
      </c>
      <c r="BP243" s="4">
        <f t="shared" si="147"/>
        <v>6728.2614044943821</v>
      </c>
      <c r="BX243" s="27">
        <v>40.700000000000003</v>
      </c>
      <c r="BY243" s="27">
        <v>40.57</v>
      </c>
    </row>
    <row r="244" spans="1:77" customFormat="1" ht="15.75" hidden="1" x14ac:dyDescent="0.3">
      <c r="A244" s="163" t="s">
        <v>487</v>
      </c>
      <c r="B244" s="171">
        <v>46126</v>
      </c>
      <c r="C244" s="163">
        <v>229</v>
      </c>
      <c r="D244" s="163" t="s">
        <v>499</v>
      </c>
      <c r="E244" s="166">
        <v>46127</v>
      </c>
      <c r="F244" s="163" t="s">
        <v>436</v>
      </c>
      <c r="G244" s="163" t="s">
        <v>437</v>
      </c>
      <c r="H244" s="163" t="s">
        <v>438</v>
      </c>
      <c r="I244" s="157"/>
      <c r="J244" s="163" t="s">
        <v>113</v>
      </c>
      <c r="K244" s="163">
        <v>0</v>
      </c>
      <c r="L244" s="130">
        <v>46126</v>
      </c>
      <c r="M244" s="128"/>
      <c r="N244" s="128">
        <v>44</v>
      </c>
      <c r="O244" s="130">
        <v>46126</v>
      </c>
      <c r="P244" s="128"/>
      <c r="Q244" s="128">
        <v>540</v>
      </c>
      <c r="R244" s="128">
        <v>22</v>
      </c>
      <c r="S244" s="128">
        <v>562</v>
      </c>
      <c r="T244" s="128">
        <v>0</v>
      </c>
      <c r="U244" s="128">
        <v>0</v>
      </c>
      <c r="V244" s="128"/>
      <c r="W244" s="169">
        <v>337.2</v>
      </c>
      <c r="X244" s="169">
        <v>342.1</v>
      </c>
      <c r="Y244" s="169">
        <v>2254395.56</v>
      </c>
      <c r="Z244" s="136"/>
      <c r="AA244" s="128">
        <v>56359.89</v>
      </c>
      <c r="AB244" s="128">
        <v>56359.89</v>
      </c>
      <c r="AC244" s="128">
        <v>2367115.34</v>
      </c>
      <c r="AD244" s="172">
        <f t="shared" si="101"/>
        <v>2364748.2246599998</v>
      </c>
      <c r="AE244" s="147">
        <v>40.159999999999997</v>
      </c>
      <c r="AF244" s="148">
        <v>39.25</v>
      </c>
      <c r="AG244" s="147">
        <v>40.04</v>
      </c>
      <c r="AH244" s="170">
        <v>4.4000000000000003E-3</v>
      </c>
      <c r="AI244" s="170">
        <v>3.7999999999999999E-2</v>
      </c>
      <c r="AJ244" s="170">
        <v>5.2999999999999999E-2</v>
      </c>
      <c r="AK244" s="137">
        <f t="shared" si="134"/>
        <v>0</v>
      </c>
      <c r="AL244" s="136"/>
      <c r="AM244" s="136"/>
      <c r="AN244" s="136">
        <v>586.85</v>
      </c>
      <c r="AO244" s="140">
        <f t="shared" si="135"/>
        <v>0</v>
      </c>
      <c r="AP244" s="136"/>
      <c r="AQ244" s="137">
        <v>0</v>
      </c>
      <c r="AR244" s="155">
        <f t="shared" si="136"/>
        <v>586.85</v>
      </c>
      <c r="AS244" s="155">
        <f t="shared" si="137"/>
        <v>616</v>
      </c>
      <c r="AT244" s="137">
        <v>0</v>
      </c>
      <c r="AU244" s="141"/>
      <c r="AV244" s="141"/>
      <c r="AW244" s="137">
        <f t="shared" si="138"/>
        <v>33720</v>
      </c>
      <c r="AX244" s="136"/>
      <c r="AY244" s="137">
        <f t="shared" si="139"/>
        <v>33720</v>
      </c>
      <c r="AZ244" s="137">
        <f t="shared" si="125"/>
        <v>34210</v>
      </c>
      <c r="BA244" s="142">
        <f t="shared" si="140"/>
        <v>-490</v>
      </c>
      <c r="BB244" s="137"/>
      <c r="BC244" s="137">
        <v>0</v>
      </c>
      <c r="BD244" s="136"/>
      <c r="BE244" s="169">
        <v>342.7</v>
      </c>
      <c r="BF244" s="143">
        <f t="shared" si="141"/>
        <v>0.5140499999999999</v>
      </c>
      <c r="BG244" s="143">
        <f t="shared" si="142"/>
        <v>342.18594999999999</v>
      </c>
      <c r="BH244" s="143">
        <f t="shared" si="143"/>
        <v>342.1</v>
      </c>
      <c r="BI244" s="144">
        <f t="shared" si="144"/>
        <v>59.999999999996589</v>
      </c>
      <c r="BJ244" s="144">
        <v>0</v>
      </c>
      <c r="BK244" s="137">
        <f t="shared" si="145"/>
        <v>59.999999999996589</v>
      </c>
      <c r="BL244" s="9"/>
      <c r="BM244" s="10" t="str">
        <f t="shared" si="146"/>
        <v>Unloading no. 229 Bill No 44 ,Deduction For Oil Deduction= 0 ,Bardana=  ,F.M=  Brokerage/Rate Difference 586.85 ,Shortage = 0 ,Greenish=  ,Moisture= 0</v>
      </c>
      <c r="BN244" s="9"/>
      <c r="BO244" s="13" t="str">
        <f t="shared" si="99"/>
        <v xml:space="preserve"> Party Condition 39.25  ,F.M% 0.44 ,Greenish 3.8 ,Moisture 5.3 ,Shortage in KG= 0  ,Oil% 40.04</v>
      </c>
      <c r="BP244" s="4">
        <f t="shared" si="147"/>
        <v>6588.1575855013152</v>
      </c>
      <c r="BX244" s="27">
        <v>40.159999999999997</v>
      </c>
      <c r="BY244" s="27">
        <v>40.04</v>
      </c>
    </row>
    <row r="245" spans="1:77" customFormat="1" ht="15.75" hidden="1" x14ac:dyDescent="0.3">
      <c r="A245" s="163" t="s">
        <v>488</v>
      </c>
      <c r="B245" s="171">
        <v>46126</v>
      </c>
      <c r="C245" s="163">
        <v>230</v>
      </c>
      <c r="D245" s="163" t="s">
        <v>500</v>
      </c>
      <c r="E245" s="166">
        <v>46127</v>
      </c>
      <c r="F245" s="163" t="s">
        <v>95</v>
      </c>
      <c r="G245" s="163" t="s">
        <v>96</v>
      </c>
      <c r="H245" s="163" t="s">
        <v>97</v>
      </c>
      <c r="I245" s="157"/>
      <c r="J245" s="163" t="s">
        <v>113</v>
      </c>
      <c r="K245" s="163">
        <v>0</v>
      </c>
      <c r="L245" s="130">
        <v>46126</v>
      </c>
      <c r="M245" s="128"/>
      <c r="N245" s="128">
        <v>86</v>
      </c>
      <c r="O245" s="130">
        <v>46126</v>
      </c>
      <c r="P245" s="128"/>
      <c r="Q245" s="128">
        <v>450</v>
      </c>
      <c r="R245" s="128">
        <v>152</v>
      </c>
      <c r="S245" s="128">
        <v>602</v>
      </c>
      <c r="T245" s="128">
        <v>0</v>
      </c>
      <c r="U245" s="128">
        <v>0</v>
      </c>
      <c r="V245" s="128"/>
      <c r="W245" s="169">
        <v>361.2</v>
      </c>
      <c r="X245" s="169">
        <v>366.2</v>
      </c>
      <c r="Y245" s="169">
        <v>2433972.69</v>
      </c>
      <c r="Z245" s="136"/>
      <c r="AA245" s="128">
        <v>60849.32</v>
      </c>
      <c r="AB245" s="128">
        <v>60849.32</v>
      </c>
      <c r="AC245" s="128">
        <v>2555671.3199999998</v>
      </c>
      <c r="AD245" s="172">
        <f t="shared" si="101"/>
        <v>2553115.6486799996</v>
      </c>
      <c r="AE245" s="147">
        <v>40.020000000000003</v>
      </c>
      <c r="AF245" s="148">
        <v>39.53</v>
      </c>
      <c r="AG245" s="147">
        <v>40.03</v>
      </c>
      <c r="AH245" s="170">
        <v>4.7000000000000002E-3</v>
      </c>
      <c r="AI245" s="170">
        <v>3.6999999999999998E-2</v>
      </c>
      <c r="AJ245" s="170">
        <v>5.3999999999999999E-2</v>
      </c>
      <c r="AK245" s="137">
        <f t="shared" si="134"/>
        <v>0</v>
      </c>
      <c r="AL245" s="136">
        <f>602*6</f>
        <v>3612</v>
      </c>
      <c r="AM245" s="136"/>
      <c r="AN245" s="136"/>
      <c r="AO245" s="140">
        <f t="shared" si="135"/>
        <v>0</v>
      </c>
      <c r="AP245" s="136"/>
      <c r="AQ245" s="137">
        <v>0</v>
      </c>
      <c r="AR245" s="155">
        <f t="shared" si="136"/>
        <v>3612</v>
      </c>
      <c r="AS245" s="155">
        <f t="shared" si="137"/>
        <v>3793</v>
      </c>
      <c r="AT245" s="137">
        <v>0</v>
      </c>
      <c r="AU245" s="141"/>
      <c r="AV245" s="141"/>
      <c r="AW245" s="137">
        <f t="shared" si="138"/>
        <v>36120</v>
      </c>
      <c r="AX245" s="136"/>
      <c r="AY245" s="137">
        <f t="shared" si="139"/>
        <v>36120</v>
      </c>
      <c r="AZ245" s="137">
        <f t="shared" si="125"/>
        <v>36620</v>
      </c>
      <c r="BA245" s="142">
        <f t="shared" si="140"/>
        <v>-500</v>
      </c>
      <c r="BB245" s="137"/>
      <c r="BC245" s="137">
        <v>0</v>
      </c>
      <c r="BD245" s="136"/>
      <c r="BE245" s="169">
        <v>366.4</v>
      </c>
      <c r="BF245" s="143">
        <f t="shared" si="141"/>
        <v>0.54959999999999998</v>
      </c>
      <c r="BG245" s="143">
        <f t="shared" si="142"/>
        <v>365.85039999999998</v>
      </c>
      <c r="BH245" s="143">
        <f t="shared" si="143"/>
        <v>366.2</v>
      </c>
      <c r="BI245" s="144">
        <f t="shared" si="144"/>
        <v>19.999999999998863</v>
      </c>
      <c r="BJ245" s="144">
        <v>0</v>
      </c>
      <c r="BK245" s="137">
        <f t="shared" si="145"/>
        <v>19.999999999998863</v>
      </c>
      <c r="BL245" s="9"/>
      <c r="BM245" s="10" t="str">
        <f t="shared" si="146"/>
        <v>Unloading no. 230 Bill No 86 ,Deduction For Oil Deduction= 0 ,Bardana= 3612 ,F.M=  Brokerage/Rate Difference  ,Shortage = 0 ,Greenish=  ,Moisture= 0</v>
      </c>
      <c r="BN245" s="9"/>
      <c r="BO245" s="13" t="str">
        <f t="shared" si="99"/>
        <v xml:space="preserve"> Party Condition 39.53  ,F.M% 0.47 ,Greenish 3.7 ,Moisture 5.4 ,Shortage in KG= 0  ,Oil% 40.02</v>
      </c>
      <c r="BP245" s="4">
        <f t="shared" si="147"/>
        <v>6636.7031403604587</v>
      </c>
      <c r="BX245" s="27">
        <v>40.020000000000003</v>
      </c>
      <c r="BY245" s="27">
        <v>40.03</v>
      </c>
    </row>
    <row r="246" spans="1:77" customFormat="1" ht="15.75" hidden="1" x14ac:dyDescent="0.3">
      <c r="A246" s="163" t="s">
        <v>489</v>
      </c>
      <c r="B246" s="171">
        <v>46126</v>
      </c>
      <c r="C246" s="163">
        <v>231</v>
      </c>
      <c r="D246" s="163" t="s">
        <v>501</v>
      </c>
      <c r="E246" s="166">
        <v>46127</v>
      </c>
      <c r="F246" s="163" t="s">
        <v>110</v>
      </c>
      <c r="G246" s="163" t="s">
        <v>111</v>
      </c>
      <c r="H246" s="163" t="s">
        <v>112</v>
      </c>
      <c r="I246" s="157"/>
      <c r="J246" s="163" t="s">
        <v>113</v>
      </c>
      <c r="K246" s="163">
        <v>0</v>
      </c>
      <c r="L246" s="130">
        <v>46126</v>
      </c>
      <c r="M246" s="128"/>
      <c r="N246" s="128" t="s">
        <v>510</v>
      </c>
      <c r="O246" s="130">
        <v>46126</v>
      </c>
      <c r="P246" s="128"/>
      <c r="Q246" s="128">
        <v>108</v>
      </c>
      <c r="R246" s="128">
        <v>363</v>
      </c>
      <c r="S246" s="128">
        <v>471</v>
      </c>
      <c r="T246" s="128">
        <v>0</v>
      </c>
      <c r="U246" s="128">
        <v>0</v>
      </c>
      <c r="V246" s="128"/>
      <c r="W246" s="169">
        <v>282.60000000000002</v>
      </c>
      <c r="X246" s="169">
        <v>285.89999999999998</v>
      </c>
      <c r="Y246" s="169">
        <v>1904535.6</v>
      </c>
      <c r="Z246" s="136"/>
      <c r="AA246" s="128">
        <v>47613.39</v>
      </c>
      <c r="AB246" s="128">
        <v>47613.39</v>
      </c>
      <c r="AC246" s="128">
        <v>1999762.38</v>
      </c>
      <c r="AD246" s="137">
        <f t="shared" si="101"/>
        <v>1997762.6176199999</v>
      </c>
      <c r="AE246" s="147">
        <v>40.119999999999997</v>
      </c>
      <c r="AF246" s="148">
        <v>39.700000000000003</v>
      </c>
      <c r="AG246" s="147">
        <v>40.090000000000003</v>
      </c>
      <c r="AH246" s="170">
        <v>4.1999999999999997E-3</v>
      </c>
      <c r="AI246" s="170">
        <v>4.02E-2</v>
      </c>
      <c r="AJ246" s="170">
        <v>5.8000000000000003E-2</v>
      </c>
      <c r="AK246" s="137">
        <f t="shared" si="134"/>
        <v>0</v>
      </c>
      <c r="AL246" s="136"/>
      <c r="AM246" s="136"/>
      <c r="AN246" s="136"/>
      <c r="AO246" s="140">
        <f t="shared" si="135"/>
        <v>876.11333333333323</v>
      </c>
      <c r="AP246" s="136"/>
      <c r="AQ246" s="137">
        <v>0</v>
      </c>
      <c r="AR246" s="155">
        <f t="shared" si="136"/>
        <v>876.11333333333323</v>
      </c>
      <c r="AS246" s="155">
        <f t="shared" si="137"/>
        <v>920</v>
      </c>
      <c r="AT246" s="137">
        <v>13</v>
      </c>
      <c r="AU246" s="141"/>
      <c r="AV246" s="141"/>
      <c r="AW246" s="137">
        <f t="shared" si="138"/>
        <v>28260.000000000004</v>
      </c>
      <c r="AX246" s="136"/>
      <c r="AY246" s="137">
        <f t="shared" si="139"/>
        <v>28260.000000000004</v>
      </c>
      <c r="AZ246" s="137">
        <f t="shared" si="125"/>
        <v>28589.999999999996</v>
      </c>
      <c r="BA246" s="142">
        <f t="shared" si="140"/>
        <v>-329.99999999999272</v>
      </c>
      <c r="BB246" s="137"/>
      <c r="BC246" s="137">
        <v>0</v>
      </c>
      <c r="BD246" s="136"/>
      <c r="BE246" s="169">
        <v>286.45</v>
      </c>
      <c r="BF246" s="143">
        <f t="shared" si="141"/>
        <v>0.42967499999999992</v>
      </c>
      <c r="BG246" s="143">
        <f t="shared" si="142"/>
        <v>286.02032500000001</v>
      </c>
      <c r="BH246" s="143">
        <f t="shared" si="143"/>
        <v>285.89999999999998</v>
      </c>
      <c r="BI246" s="144">
        <f t="shared" si="144"/>
        <v>55.000000000001137</v>
      </c>
      <c r="BJ246" s="144">
        <v>0</v>
      </c>
      <c r="BK246" s="137">
        <f t="shared" si="145"/>
        <v>55.000000000001137</v>
      </c>
      <c r="BL246" s="9"/>
      <c r="BM246" s="10" t="str">
        <f t="shared" si="146"/>
        <v>Unloading no. 231 Bill No G1655 ,Deduction For Oil Deduction= 0 ,Bardana=  ,F.M=  Brokerage/Rate Difference  ,Shortage = 876.113333333333 ,Greenish=  ,Moisture= 0</v>
      </c>
      <c r="BN246" s="9"/>
      <c r="BO246" s="13" t="str">
        <f t="shared" si="99"/>
        <v xml:space="preserve"> Party Condition 39.7  ,F.M% 0.42 ,Greenish 4.02 ,Moisture 5.8 ,Shortage in KG= 13  ,Oil% 40.09</v>
      </c>
      <c r="BP246" s="4">
        <f t="shared" si="147"/>
        <v>6658.4801912090488</v>
      </c>
      <c r="BX246" s="27">
        <v>40.119999999999997</v>
      </c>
      <c r="BY246" s="27">
        <v>40.090000000000003</v>
      </c>
    </row>
    <row r="247" spans="1:77" customFormat="1" ht="15.75" hidden="1" x14ac:dyDescent="0.3">
      <c r="A247" s="128" t="s">
        <v>490</v>
      </c>
      <c r="B247" s="146">
        <v>46126</v>
      </c>
      <c r="C247" s="128">
        <v>232</v>
      </c>
      <c r="D247" s="128" t="s">
        <v>502</v>
      </c>
      <c r="E247" s="130">
        <v>46127</v>
      </c>
      <c r="F247" s="128" t="s">
        <v>436</v>
      </c>
      <c r="G247" s="128" t="s">
        <v>437</v>
      </c>
      <c r="H247" s="128" t="s">
        <v>438</v>
      </c>
      <c r="I247" s="136"/>
      <c r="J247" s="128" t="s">
        <v>113</v>
      </c>
      <c r="K247" s="128">
        <v>0</v>
      </c>
      <c r="L247" s="130">
        <v>46126</v>
      </c>
      <c r="M247" s="128"/>
      <c r="N247" s="128">
        <v>43</v>
      </c>
      <c r="O247" s="130">
        <v>46126</v>
      </c>
      <c r="P247" s="128"/>
      <c r="Q247" s="128">
        <v>400</v>
      </c>
      <c r="R247" s="128">
        <v>101</v>
      </c>
      <c r="S247" s="128">
        <v>501</v>
      </c>
      <c r="T247" s="128">
        <v>0</v>
      </c>
      <c r="U247" s="128">
        <v>0</v>
      </c>
      <c r="V247" s="128"/>
      <c r="W247" s="169">
        <v>300.60000000000002</v>
      </c>
      <c r="X247" s="169">
        <v>304.7</v>
      </c>
      <c r="Y247" s="169">
        <v>2029363.63</v>
      </c>
      <c r="Z247" s="136"/>
      <c r="AA247" s="128">
        <v>50734.09</v>
      </c>
      <c r="AB247" s="128">
        <v>50734.09</v>
      </c>
      <c r="AC247" s="128">
        <v>2130831.81</v>
      </c>
      <c r="AD247" s="137">
        <f t="shared" si="101"/>
        <v>2128700.9781900002</v>
      </c>
      <c r="AE247" s="147">
        <v>40.42</v>
      </c>
      <c r="AF247" s="148">
        <v>39.700000000000003</v>
      </c>
      <c r="AG247" s="147">
        <v>40.36</v>
      </c>
      <c r="AH247" s="170">
        <v>4.4999999999999997E-3</v>
      </c>
      <c r="AI247" s="170">
        <v>4.1000000000000002E-2</v>
      </c>
      <c r="AJ247" s="170">
        <v>5.3999999999999999E-2</v>
      </c>
      <c r="AK247" s="137">
        <f t="shared" si="134"/>
        <v>0</v>
      </c>
      <c r="AL247" s="136"/>
      <c r="AM247" s="136"/>
      <c r="AN247" s="136">
        <v>526.96</v>
      </c>
      <c r="AO247" s="140">
        <f t="shared" si="135"/>
        <v>0</v>
      </c>
      <c r="AP247" s="136"/>
      <c r="AQ247" s="137">
        <v>0</v>
      </c>
      <c r="AR247" s="155">
        <f t="shared" si="136"/>
        <v>526.96</v>
      </c>
      <c r="AS247" s="155">
        <f t="shared" si="137"/>
        <v>553</v>
      </c>
      <c r="AT247" s="137">
        <v>0</v>
      </c>
      <c r="AU247" s="141"/>
      <c r="AV247" s="141"/>
      <c r="AW247" s="137">
        <f t="shared" si="138"/>
        <v>30060.000000000004</v>
      </c>
      <c r="AX247" s="136"/>
      <c r="AY247" s="137">
        <f t="shared" si="139"/>
        <v>30060.000000000004</v>
      </c>
      <c r="AZ247" s="137">
        <f t="shared" si="125"/>
        <v>30470</v>
      </c>
      <c r="BA247" s="142">
        <f t="shared" si="140"/>
        <v>-409.99999999999636</v>
      </c>
      <c r="BB247" s="137"/>
      <c r="BC247" s="137">
        <v>0</v>
      </c>
      <c r="BD247" s="136"/>
      <c r="BE247" s="169">
        <v>305.45</v>
      </c>
      <c r="BF247" s="143">
        <f t="shared" si="141"/>
        <v>0.45817499999999994</v>
      </c>
      <c r="BG247" s="143">
        <f t="shared" si="142"/>
        <v>304.99182500000001</v>
      </c>
      <c r="BH247" s="143">
        <f t="shared" si="143"/>
        <v>304.7</v>
      </c>
      <c r="BI247" s="144">
        <f t="shared" si="144"/>
        <v>75</v>
      </c>
      <c r="BJ247" s="144">
        <v>0</v>
      </c>
      <c r="BK247" s="137">
        <f t="shared" si="145"/>
        <v>75</v>
      </c>
      <c r="BL247" s="9"/>
      <c r="BM247" s="10" t="str">
        <f t="shared" si="146"/>
        <v>Unloading no. 232 Bill No 43 ,Deduction For Oil Deduction= 0 ,Bardana=  ,F.M=  Brokerage/Rate Difference 526.96 ,Shortage = 0 ,Greenish=  ,Moisture= 0</v>
      </c>
      <c r="BN247" s="9"/>
      <c r="BO247" s="13" t="str">
        <f t="shared" si="99"/>
        <v xml:space="preserve"> Party Condition 39.7  ,F.M% 0.45 ,Greenish 4.1 ,Moisture 5.4 ,Shortage in KG= 0  ,Oil% 40.36</v>
      </c>
      <c r="BP247" s="4">
        <f t="shared" si="147"/>
        <v>6658.4728257302268</v>
      </c>
      <c r="BX247" s="27">
        <v>40.42</v>
      </c>
      <c r="BY247" s="27">
        <v>40.36</v>
      </c>
    </row>
    <row r="248" spans="1:77" customFormat="1" ht="27" hidden="1" x14ac:dyDescent="0.3">
      <c r="A248" s="128" t="s">
        <v>491</v>
      </c>
      <c r="B248" s="146">
        <v>46126</v>
      </c>
      <c r="C248" s="128">
        <v>233</v>
      </c>
      <c r="D248" s="128" t="s">
        <v>503</v>
      </c>
      <c r="E248" s="130">
        <v>46127</v>
      </c>
      <c r="F248" s="128" t="s">
        <v>203</v>
      </c>
      <c r="G248" s="128" t="s">
        <v>204</v>
      </c>
      <c r="H248" s="128" t="s">
        <v>205</v>
      </c>
      <c r="I248" s="136"/>
      <c r="J248" s="128" t="s">
        <v>113</v>
      </c>
      <c r="K248" s="128">
        <v>0</v>
      </c>
      <c r="L248" s="130">
        <v>46126</v>
      </c>
      <c r="M248" s="128"/>
      <c r="N248" s="128">
        <v>5</v>
      </c>
      <c r="O248" s="130">
        <v>46126</v>
      </c>
      <c r="P248" s="128"/>
      <c r="Q248" s="128">
        <v>300</v>
      </c>
      <c r="R248" s="128">
        <v>116</v>
      </c>
      <c r="S248" s="128">
        <v>416</v>
      </c>
      <c r="T248" s="128">
        <v>0</v>
      </c>
      <c r="U248" s="128">
        <v>0</v>
      </c>
      <c r="V248" s="128"/>
      <c r="W248" s="169">
        <v>249.6</v>
      </c>
      <c r="X248" s="169">
        <v>252.2</v>
      </c>
      <c r="Y248" s="169">
        <v>1696791.62</v>
      </c>
      <c r="Z248" s="136"/>
      <c r="AA248" s="128">
        <v>42419.79</v>
      </c>
      <c r="AB248" s="128">
        <v>42419.79</v>
      </c>
      <c r="AC248" s="128">
        <v>1781631.2</v>
      </c>
      <c r="AD248" s="137">
        <f t="shared" si="101"/>
        <v>1779849.5688</v>
      </c>
      <c r="AE248" s="147">
        <v>39.590000000000003</v>
      </c>
      <c r="AF248" s="148">
        <v>39.5</v>
      </c>
      <c r="AG248" s="147">
        <v>39.74</v>
      </c>
      <c r="AH248" s="170">
        <v>4.4000000000000003E-3</v>
      </c>
      <c r="AI248" s="170">
        <v>3.8699999999999998E-2</v>
      </c>
      <c r="AJ248" s="170">
        <v>5.8000000000000003E-2</v>
      </c>
      <c r="AK248" s="137">
        <f t="shared" si="134"/>
        <v>0</v>
      </c>
      <c r="AL248" s="136"/>
      <c r="AM248" s="136"/>
      <c r="AN248" s="136">
        <f>332.07</f>
        <v>332.07</v>
      </c>
      <c r="AO248" s="140">
        <f t="shared" si="135"/>
        <v>2991.1390737179486</v>
      </c>
      <c r="AP248" s="136"/>
      <c r="AQ248" s="137">
        <v>0</v>
      </c>
      <c r="AR248" s="155">
        <f t="shared" si="136"/>
        <v>3323.2090737179487</v>
      </c>
      <c r="AS248" s="155">
        <f t="shared" si="137"/>
        <v>3489</v>
      </c>
      <c r="AT248" s="137">
        <v>44</v>
      </c>
      <c r="AU248" s="141"/>
      <c r="AV248" s="141"/>
      <c r="AW248" s="137">
        <f t="shared" si="138"/>
        <v>24960</v>
      </c>
      <c r="AX248" s="136"/>
      <c r="AY248" s="137">
        <f t="shared" si="139"/>
        <v>24960</v>
      </c>
      <c r="AZ248" s="137">
        <f t="shared" si="125"/>
        <v>25220</v>
      </c>
      <c r="BA248" s="142">
        <f t="shared" si="140"/>
        <v>-260</v>
      </c>
      <c r="BB248" s="137"/>
      <c r="BC248" s="137">
        <v>0</v>
      </c>
      <c r="BD248" s="136"/>
      <c r="BE248" s="169">
        <v>252.9</v>
      </c>
      <c r="BF248" s="143">
        <f t="shared" si="141"/>
        <v>0.37935000000000002</v>
      </c>
      <c r="BG248" s="143">
        <f t="shared" si="142"/>
        <v>252.52065000000002</v>
      </c>
      <c r="BH248" s="143">
        <f t="shared" si="143"/>
        <v>252.2</v>
      </c>
      <c r="BI248" s="144">
        <f t="shared" si="144"/>
        <v>70.000000000001705</v>
      </c>
      <c r="BJ248" s="144">
        <v>0</v>
      </c>
      <c r="BK248" s="137">
        <f t="shared" si="145"/>
        <v>70.000000000001705</v>
      </c>
      <c r="BL248" s="9"/>
      <c r="BM248" s="10" t="str">
        <f t="shared" si="146"/>
        <v>Unloading no. 233 Bill No 5 ,Deduction For Oil Deduction= 0 ,Bardana=  ,F.M=  Brokerage/Rate Difference 332.07 ,Shortage = 2991.13907371795 ,Greenish=  ,Moisture= 0</v>
      </c>
      <c r="BN248" s="9"/>
      <c r="BO248" s="13" t="str">
        <f t="shared" si="99"/>
        <v xml:space="preserve"> Party Condition 39.5  ,F.M% 0.44 ,Greenish 3.87 ,Moisture 5.8 ,Shortage in KG= 44  ,Oil% 39.59</v>
      </c>
      <c r="BP248" s="4">
        <f t="shared" si="147"/>
        <v>6714.7835484785182</v>
      </c>
      <c r="BX248" s="27">
        <v>39.590000000000003</v>
      </c>
      <c r="BY248" s="27">
        <v>39.74</v>
      </c>
    </row>
    <row r="249" spans="1:77" customFormat="1" ht="15.75" hidden="1" x14ac:dyDescent="0.3">
      <c r="A249" s="128" t="s">
        <v>492</v>
      </c>
      <c r="B249" s="146">
        <v>46126</v>
      </c>
      <c r="C249" s="128">
        <v>234</v>
      </c>
      <c r="D249" s="128" t="s">
        <v>504</v>
      </c>
      <c r="E249" s="130">
        <v>46127</v>
      </c>
      <c r="F249" s="128" t="s">
        <v>200</v>
      </c>
      <c r="G249" s="128" t="s">
        <v>201</v>
      </c>
      <c r="H249" s="128" t="s">
        <v>202</v>
      </c>
      <c r="I249" s="136"/>
      <c r="J249" s="128" t="s">
        <v>113</v>
      </c>
      <c r="K249" s="128">
        <v>0</v>
      </c>
      <c r="L249" s="130">
        <v>46126</v>
      </c>
      <c r="M249" s="128"/>
      <c r="N249" s="128">
        <v>31</v>
      </c>
      <c r="O249" s="130">
        <v>46126</v>
      </c>
      <c r="P249" s="128"/>
      <c r="Q249" s="128">
        <v>300</v>
      </c>
      <c r="R249" s="128">
        <v>217</v>
      </c>
      <c r="S249" s="128">
        <v>517</v>
      </c>
      <c r="T249" s="128">
        <v>0</v>
      </c>
      <c r="U249" s="128">
        <v>0</v>
      </c>
      <c r="V249" s="128"/>
      <c r="W249" s="169">
        <v>310.2</v>
      </c>
      <c r="X249" s="169">
        <v>313.8</v>
      </c>
      <c r="Y249" s="169">
        <v>2101962.7599999998</v>
      </c>
      <c r="Z249" s="136"/>
      <c r="AA249" s="128">
        <v>52549.07</v>
      </c>
      <c r="AB249" s="128">
        <v>52549.07</v>
      </c>
      <c r="AC249" s="128">
        <v>2207060.9</v>
      </c>
      <c r="AD249" s="137">
        <f t="shared" si="101"/>
        <v>2204853.8391</v>
      </c>
      <c r="AE249" s="147">
        <v>40.130000000000003</v>
      </c>
      <c r="AF249" s="148">
        <v>39.4</v>
      </c>
      <c r="AG249" s="147">
        <v>40.06</v>
      </c>
      <c r="AH249" s="170">
        <v>4.1999999999999997E-3</v>
      </c>
      <c r="AI249" s="170">
        <v>3.9100000000000003E-2</v>
      </c>
      <c r="AJ249" s="170">
        <v>5.5E-2</v>
      </c>
      <c r="AK249" s="137">
        <f t="shared" si="134"/>
        <v>0</v>
      </c>
      <c r="AL249" s="136">
        <f>517*6</f>
        <v>3102</v>
      </c>
      <c r="AM249" s="136"/>
      <c r="AN249" s="136"/>
      <c r="AO249" s="140">
        <f t="shared" si="135"/>
        <v>1151.9460644745325</v>
      </c>
      <c r="AP249" s="136"/>
      <c r="AQ249" s="137">
        <v>0</v>
      </c>
      <c r="AR249" s="155">
        <f t="shared" si="136"/>
        <v>4253.9460644745322</v>
      </c>
      <c r="AS249" s="155">
        <f t="shared" si="137"/>
        <v>4467</v>
      </c>
      <c r="AT249" s="137">
        <v>17</v>
      </c>
      <c r="AU249" s="141"/>
      <c r="AV249" s="141"/>
      <c r="AW249" s="137">
        <f t="shared" si="138"/>
        <v>31020</v>
      </c>
      <c r="AX249" s="136"/>
      <c r="AY249" s="137">
        <f t="shared" si="139"/>
        <v>31020</v>
      </c>
      <c r="AZ249" s="137">
        <f t="shared" si="125"/>
        <v>31380</v>
      </c>
      <c r="BA249" s="142">
        <f t="shared" si="140"/>
        <v>-360</v>
      </c>
      <c r="BB249" s="137"/>
      <c r="BC249" s="137">
        <v>0</v>
      </c>
      <c r="BD249" s="136"/>
      <c r="BE249" s="169">
        <v>314.55</v>
      </c>
      <c r="BF249" s="143">
        <f t="shared" si="141"/>
        <v>0.47182499999999999</v>
      </c>
      <c r="BG249" s="143">
        <f t="shared" si="142"/>
        <v>314.07817499999999</v>
      </c>
      <c r="BH249" s="143">
        <f t="shared" si="143"/>
        <v>313.8</v>
      </c>
      <c r="BI249" s="144">
        <f t="shared" si="144"/>
        <v>75</v>
      </c>
      <c r="BJ249" s="144">
        <v>0</v>
      </c>
      <c r="BK249" s="137">
        <f t="shared" si="145"/>
        <v>75</v>
      </c>
      <c r="BL249" s="9"/>
      <c r="BM249" s="10" t="str">
        <f t="shared" si="146"/>
        <v>Unloading no. 234 Bill No 31 ,Deduction For Oil Deduction= 0 ,Bardana= 3102 ,F.M=  Brokerage/Rate Difference  ,Shortage = 1151.94606447453 ,Greenish=  ,Moisture= 0</v>
      </c>
      <c r="BN249" s="9"/>
      <c r="BO249" s="13" t="str">
        <f t="shared" si="99"/>
        <v xml:space="preserve"> Party Condition 39.4  ,F.M% 0.42 ,Greenish 3.91 ,Moisture 5.5 ,Shortage in KG= 17  ,Oil% 40.06</v>
      </c>
      <c r="BP249" s="4">
        <f t="shared" si="147"/>
        <v>6684.8591903617753</v>
      </c>
      <c r="BX249" s="27">
        <v>40.130000000000003</v>
      </c>
      <c r="BY249" s="27">
        <v>40.06</v>
      </c>
    </row>
    <row r="250" spans="1:77" customFormat="1" ht="15.75" hidden="1" x14ac:dyDescent="0.3">
      <c r="A250" s="128" t="s">
        <v>488</v>
      </c>
      <c r="B250" s="146">
        <v>46126</v>
      </c>
      <c r="C250" s="128">
        <v>235</v>
      </c>
      <c r="D250" s="128" t="s">
        <v>505</v>
      </c>
      <c r="E250" s="130">
        <v>46127</v>
      </c>
      <c r="F250" s="128" t="s">
        <v>95</v>
      </c>
      <c r="G250" s="128" t="s">
        <v>96</v>
      </c>
      <c r="H250" s="128" t="s">
        <v>97</v>
      </c>
      <c r="I250" s="136"/>
      <c r="J250" s="128" t="s">
        <v>113</v>
      </c>
      <c r="K250" s="128">
        <v>0</v>
      </c>
      <c r="L250" s="130">
        <v>46126</v>
      </c>
      <c r="M250" s="128"/>
      <c r="N250" s="128">
        <v>87</v>
      </c>
      <c r="O250" s="130">
        <v>46126</v>
      </c>
      <c r="P250" s="128"/>
      <c r="Q250" s="128">
        <v>500</v>
      </c>
      <c r="R250" s="128">
        <v>260</v>
      </c>
      <c r="S250" s="128">
        <v>760</v>
      </c>
      <c r="T250" s="128">
        <v>0</v>
      </c>
      <c r="U250" s="128">
        <v>0</v>
      </c>
      <c r="V250" s="128"/>
      <c r="W250" s="169">
        <v>456</v>
      </c>
      <c r="X250" s="169">
        <v>463.2</v>
      </c>
      <c r="Y250" s="169">
        <v>3072789.44</v>
      </c>
      <c r="Z250" s="136"/>
      <c r="AA250" s="128">
        <v>76819.740000000005</v>
      </c>
      <c r="AB250" s="128">
        <v>76819.740000000005</v>
      </c>
      <c r="AC250" s="128">
        <v>3226428.91</v>
      </c>
      <c r="AD250" s="137">
        <f t="shared" si="101"/>
        <v>3223202.4810900004</v>
      </c>
      <c r="AE250" s="147">
        <v>40</v>
      </c>
      <c r="AF250" s="148">
        <v>39.53</v>
      </c>
      <c r="AG250" s="147">
        <v>40.020000000000003</v>
      </c>
      <c r="AH250" s="170">
        <v>4.1999999999999997E-3</v>
      </c>
      <c r="AI250" s="170">
        <v>3.7999999999999999E-2</v>
      </c>
      <c r="AJ250" s="170">
        <v>5.6000000000000001E-2</v>
      </c>
      <c r="AK250" s="137">
        <f t="shared" si="134"/>
        <v>0</v>
      </c>
      <c r="AL250" s="136">
        <f>760*6</f>
        <v>4560</v>
      </c>
      <c r="AM250" s="136"/>
      <c r="AN250" s="136"/>
      <c r="AO250" s="140">
        <f t="shared" si="135"/>
        <v>0</v>
      </c>
      <c r="AP250" s="136"/>
      <c r="AQ250" s="137">
        <v>0</v>
      </c>
      <c r="AR250" s="155">
        <f t="shared" si="136"/>
        <v>4560</v>
      </c>
      <c r="AS250" s="137">
        <f t="shared" si="137"/>
        <v>4788</v>
      </c>
      <c r="AT250" s="137">
        <v>0</v>
      </c>
      <c r="AU250" s="141"/>
      <c r="AV250" s="141"/>
      <c r="AW250" s="137">
        <f t="shared" si="138"/>
        <v>45600</v>
      </c>
      <c r="AX250" s="136"/>
      <c r="AY250" s="137">
        <f t="shared" si="139"/>
        <v>45600</v>
      </c>
      <c r="AZ250" s="137">
        <f t="shared" si="125"/>
        <v>46320</v>
      </c>
      <c r="BA250" s="142">
        <f t="shared" si="140"/>
        <v>-720</v>
      </c>
      <c r="BB250" s="137"/>
      <c r="BC250" s="137">
        <v>0</v>
      </c>
      <c r="BD250" s="136"/>
      <c r="BE250" s="169">
        <v>462.9</v>
      </c>
      <c r="BF250" s="143">
        <f t="shared" si="141"/>
        <v>0.69434999999999991</v>
      </c>
      <c r="BG250" s="143">
        <f t="shared" si="142"/>
        <v>462.20564999999999</v>
      </c>
      <c r="BH250" s="143">
        <f t="shared" si="143"/>
        <v>463.2</v>
      </c>
      <c r="BI250" s="144">
        <f t="shared" si="144"/>
        <v>-30.000000000001137</v>
      </c>
      <c r="BJ250" s="144">
        <v>0</v>
      </c>
      <c r="BK250" s="137">
        <f t="shared" si="145"/>
        <v>-30.000000000001137</v>
      </c>
      <c r="BL250" s="9"/>
      <c r="BM250" s="10" t="str">
        <f t="shared" si="146"/>
        <v>Unloading no. 235 Bill No 87 ,Deduction For Oil Deduction= 0 ,Bardana= 4560 ,F.M=  Brokerage/Rate Difference  ,Shortage = 0 ,Greenish=  ,Moisture= 0</v>
      </c>
      <c r="BN250" s="9"/>
      <c r="BO250" s="13" t="str">
        <f t="shared" si="99"/>
        <v xml:space="preserve"> Party Condition 39.53  ,F.M% 0.42 ,Greenish 3.8 ,Moisture 5.6 ,Shortage in KG= 0  ,Oil% 40</v>
      </c>
      <c r="BP250" s="4">
        <f t="shared" si="147"/>
        <v>6623.9841105354062</v>
      </c>
      <c r="BX250" s="27">
        <v>40</v>
      </c>
      <c r="BY250" s="27">
        <v>40.020000000000003</v>
      </c>
    </row>
    <row r="251" spans="1:77" customFormat="1" ht="15.75" hidden="1" x14ac:dyDescent="0.3">
      <c r="A251" s="128" t="s">
        <v>488</v>
      </c>
      <c r="B251" s="130">
        <v>46128</v>
      </c>
      <c r="C251" s="128">
        <v>236</v>
      </c>
      <c r="D251" s="128" t="s">
        <v>520</v>
      </c>
      <c r="E251" s="130">
        <v>46128</v>
      </c>
      <c r="F251" s="128" t="s">
        <v>95</v>
      </c>
      <c r="G251" s="128" t="s">
        <v>96</v>
      </c>
      <c r="H251" s="128" t="s">
        <v>97</v>
      </c>
      <c r="I251" s="136"/>
      <c r="J251" s="128" t="s">
        <v>113</v>
      </c>
      <c r="K251" s="128">
        <v>0</v>
      </c>
      <c r="L251" s="130">
        <v>46126</v>
      </c>
      <c r="M251" s="136"/>
      <c r="N251" s="128">
        <v>84</v>
      </c>
      <c r="O251" s="130">
        <v>46126</v>
      </c>
      <c r="P251" s="136"/>
      <c r="Q251" s="128">
        <v>100</v>
      </c>
      <c r="R251" s="128">
        <v>400</v>
      </c>
      <c r="S251" s="128">
        <v>500</v>
      </c>
      <c r="T251" s="128">
        <v>0</v>
      </c>
      <c r="U251" s="128">
        <v>0</v>
      </c>
      <c r="V251" s="128"/>
      <c r="W251" s="128">
        <v>300</v>
      </c>
      <c r="X251" s="128">
        <v>302.89999999999998</v>
      </c>
      <c r="Y251" s="128">
        <v>2021572</v>
      </c>
      <c r="Z251" s="136"/>
      <c r="AA251" s="128">
        <v>50539.3</v>
      </c>
      <c r="AB251" s="128">
        <v>50539.3</v>
      </c>
      <c r="AC251" s="128">
        <v>2122650.6</v>
      </c>
      <c r="AD251" s="137">
        <f t="shared" si="101"/>
        <v>2120527.9494000003</v>
      </c>
      <c r="AE251" s="147">
        <v>39.26</v>
      </c>
      <c r="AF251" s="169">
        <v>39.53</v>
      </c>
      <c r="AG251" s="147">
        <v>39.29</v>
      </c>
      <c r="AH251" s="170">
        <v>4.1000000000000003E-3</v>
      </c>
      <c r="AI251" s="170">
        <v>0.04</v>
      </c>
      <c r="AJ251" s="170">
        <v>5.5E-2</v>
      </c>
      <c r="AK251" s="137">
        <v>0</v>
      </c>
      <c r="AL251" s="136">
        <f>500*6</f>
        <v>3000</v>
      </c>
      <c r="AM251" s="136"/>
      <c r="AN251" s="136"/>
      <c r="AO251" s="140">
        <f t="shared" ref="AO251" si="148">AT251*Y251/AW251</f>
        <v>9097.0740000000005</v>
      </c>
      <c r="AP251" s="136"/>
      <c r="AQ251" s="137">
        <v>0</v>
      </c>
      <c r="AR251" s="155">
        <f t="shared" ref="AR251" si="149">SUM(AK251:AQ251)</f>
        <v>12097.074000000001</v>
      </c>
      <c r="AS251" s="155">
        <f t="shared" ref="AS251" si="150">ROUND(AR251*1.05,0)</f>
        <v>12702</v>
      </c>
      <c r="AT251" s="137">
        <v>135</v>
      </c>
      <c r="AU251" s="136"/>
      <c r="AV251" s="136"/>
      <c r="AW251" s="137">
        <f t="shared" ref="AW251:AW271" si="151">W251*100</f>
        <v>30000</v>
      </c>
      <c r="AX251" s="136"/>
      <c r="AY251" s="137">
        <f t="shared" ref="AY251:AY271" si="152">+AW251+AX251</f>
        <v>30000</v>
      </c>
      <c r="AZ251" s="137">
        <f t="shared" ref="AZ251:AZ271" si="153">X251*100</f>
        <v>30289.999999999996</v>
      </c>
      <c r="BA251" s="142">
        <f t="shared" ref="BA251:BA271" si="154">AY251-AZ251</f>
        <v>-289.99999999999636</v>
      </c>
      <c r="BB251" s="137"/>
      <c r="BC251" s="137">
        <v>0</v>
      </c>
      <c r="BD251" s="136"/>
      <c r="BE251" s="128">
        <v>303.10000000000002</v>
      </c>
      <c r="BF251" s="143">
        <f t="shared" ref="BF251:BF268" si="155">+BE251*0.15/100</f>
        <v>0.45465000000000005</v>
      </c>
      <c r="BG251" s="143">
        <f t="shared" ref="BG251:BG268" si="156">BE251-BF251</f>
        <v>302.64535000000001</v>
      </c>
      <c r="BH251" s="143">
        <f t="shared" ref="BH251:BH268" si="157">X251</f>
        <v>302.89999999999998</v>
      </c>
      <c r="BI251" s="144">
        <f t="shared" ref="BI251:BI268" si="158">(BE251-BH251)*100</f>
        <v>20.000000000004547</v>
      </c>
      <c r="BJ251" s="144">
        <v>0</v>
      </c>
      <c r="BK251" s="137">
        <f t="shared" ref="BK251:BK268" si="159">BI251</f>
        <v>20.000000000004547</v>
      </c>
      <c r="BL251" s="9"/>
      <c r="BM251" s="10" t="str">
        <f t="shared" ref="BM251:BM268" si="160">+$C$1&amp;" "&amp;C251 &amp;" "&amp;$N$1&amp;" "&amp;N251&amp;" "&amp;$BM$1&amp;" "&amp;$AK$1&amp;" "&amp;AK251&amp;" "&amp;$AL$1&amp;" "&amp;AL251&amp;" "&amp;$AM$1&amp;" "&amp;AM251&amp;" "&amp;$AN$1&amp;" "&amp;AN251&amp;" "&amp;$AO$1&amp;" "&amp;AO251&amp;" "&amp;$AP$1&amp;" "&amp;AP251&amp;" "&amp;$AQ$1&amp;" "&amp;AQ251</f>
        <v>Unloading no. 236 Bill No 84 ,Deduction For Oil Deduction= 0 ,Bardana= 3000 ,F.M=  Brokerage/Rate Difference  ,Shortage = 9097.074 ,Greenish=  ,Moisture= 0</v>
      </c>
      <c r="BN251" s="9"/>
      <c r="BO251" s="13" t="str">
        <f t="shared" si="99"/>
        <v xml:space="preserve"> Party Condition 39.53  ,F.M% 0.41 ,Greenish 4 ,Moisture 5.5 ,Shortage in KG= 135  ,Oil% 39.26</v>
      </c>
      <c r="BP251" s="4">
        <f t="shared" ref="BP251:BP268" si="161">(Y251-AR251)/X251</f>
        <v>6634.1199273687689</v>
      </c>
      <c r="BX251" s="27">
        <v>39.26</v>
      </c>
      <c r="BY251" s="27">
        <v>39.29</v>
      </c>
    </row>
    <row r="252" spans="1:77" customFormat="1" ht="15.75" hidden="1" x14ac:dyDescent="0.3">
      <c r="A252" s="128" t="s">
        <v>488</v>
      </c>
      <c r="B252" s="130">
        <v>46128</v>
      </c>
      <c r="C252" s="128">
        <v>237</v>
      </c>
      <c r="D252" s="128" t="s">
        <v>521</v>
      </c>
      <c r="E252" s="130">
        <v>46128</v>
      </c>
      <c r="F252" s="128" t="s">
        <v>95</v>
      </c>
      <c r="G252" s="128" t="s">
        <v>96</v>
      </c>
      <c r="H252" s="128" t="s">
        <v>97</v>
      </c>
      <c r="I252" s="136"/>
      <c r="J252" s="128" t="s">
        <v>113</v>
      </c>
      <c r="K252" s="128">
        <v>0</v>
      </c>
      <c r="L252" s="130">
        <v>46126</v>
      </c>
      <c r="M252" s="136"/>
      <c r="N252" s="128">
        <v>85</v>
      </c>
      <c r="O252" s="130">
        <v>46126</v>
      </c>
      <c r="P252" s="136"/>
      <c r="Q252" s="128">
        <v>50</v>
      </c>
      <c r="R252" s="128">
        <v>414</v>
      </c>
      <c r="S252" s="128">
        <v>464</v>
      </c>
      <c r="T252" s="128">
        <v>0</v>
      </c>
      <c r="U252" s="128">
        <v>0</v>
      </c>
      <c r="V252" s="128"/>
      <c r="W252" s="128">
        <v>278.39999999999998</v>
      </c>
      <c r="X252" s="128">
        <v>281.3</v>
      </c>
      <c r="Y252" s="128">
        <v>1876018.82</v>
      </c>
      <c r="Z252" s="136"/>
      <c r="AA252" s="128">
        <v>46900.47</v>
      </c>
      <c r="AB252" s="128">
        <v>46900.47</v>
      </c>
      <c r="AC252" s="128">
        <v>1969819.76</v>
      </c>
      <c r="AD252" s="137">
        <f t="shared" si="101"/>
        <v>1967849.9402399999</v>
      </c>
      <c r="AE252" s="147">
        <v>40.01</v>
      </c>
      <c r="AF252" s="169">
        <v>39.53</v>
      </c>
      <c r="AG252" s="147">
        <v>40.020000000000003</v>
      </c>
      <c r="AH252" s="170">
        <v>4.1999999999999997E-3</v>
      </c>
      <c r="AI252" s="170">
        <v>4.2999999999999997E-2</v>
      </c>
      <c r="AJ252" s="170">
        <v>4.9000000000000002E-2</v>
      </c>
      <c r="AK252" s="137">
        <f t="shared" ref="AK252:AK271" si="162">+IF(AF252=42,IF(MIN(AE252,AG252)&lt;AF252,Y252*((AF252-MIN(AE252,AG252))/AF252)),IF(MIN(AE252,AG252)&lt;AF252,Y252*((AF252-MIN(AE252,AG252))/AF252),0))</f>
        <v>0</v>
      </c>
      <c r="AL252" s="136">
        <f>464*6</f>
        <v>2784</v>
      </c>
      <c r="AM252" s="136"/>
      <c r="AN252" s="136"/>
      <c r="AO252" s="140">
        <f t="shared" ref="AO252:AO271" si="163">AT252*Y252/AW252</f>
        <v>3234.5152068965522</v>
      </c>
      <c r="AP252" s="136"/>
      <c r="AQ252" s="137">
        <v>0</v>
      </c>
      <c r="AR252" s="155">
        <f t="shared" ref="AR252:AR271" si="164">SUM(AK252:AQ252)</f>
        <v>6018.5152068965526</v>
      </c>
      <c r="AS252" s="155">
        <f t="shared" ref="AS252:AS271" si="165">ROUND(AR252*1.05,0)</f>
        <v>6319</v>
      </c>
      <c r="AT252" s="137">
        <v>48</v>
      </c>
      <c r="AU252" s="136"/>
      <c r="AV252" s="136"/>
      <c r="AW252" s="137">
        <f t="shared" si="151"/>
        <v>27839.999999999996</v>
      </c>
      <c r="AX252" s="136"/>
      <c r="AY252" s="137">
        <f t="shared" si="152"/>
        <v>27839.999999999996</v>
      </c>
      <c r="AZ252" s="137">
        <f t="shared" si="153"/>
        <v>28130</v>
      </c>
      <c r="BA252" s="142">
        <f t="shared" si="154"/>
        <v>-290.00000000000364</v>
      </c>
      <c r="BB252" s="137"/>
      <c r="BC252" s="137">
        <v>0</v>
      </c>
      <c r="BD252" s="136"/>
      <c r="BE252" s="128">
        <v>281.3</v>
      </c>
      <c r="BF252" s="143">
        <f t="shared" si="155"/>
        <v>0.42194999999999999</v>
      </c>
      <c r="BG252" s="143">
        <f t="shared" si="156"/>
        <v>280.87805000000003</v>
      </c>
      <c r="BH252" s="143">
        <f t="shared" si="157"/>
        <v>281.3</v>
      </c>
      <c r="BI252" s="144">
        <f t="shared" si="158"/>
        <v>0</v>
      </c>
      <c r="BJ252" s="144">
        <v>0</v>
      </c>
      <c r="BK252" s="137">
        <f t="shared" si="159"/>
        <v>0</v>
      </c>
      <c r="BL252" s="9"/>
      <c r="BM252" s="10" t="str">
        <f t="shared" si="160"/>
        <v>Unloading no. 237 Bill No 85 ,Deduction For Oil Deduction= 0 ,Bardana= 2784 ,F.M=  Brokerage/Rate Difference  ,Shortage = 3234.51520689655 ,Greenish=  ,Moisture= 0</v>
      </c>
      <c r="BN252" s="9"/>
      <c r="BO252" s="13" t="str">
        <f t="shared" si="99"/>
        <v xml:space="preserve"> Party Condition 39.53  ,F.M% 0.42 ,Greenish 4.3 ,Moisture 4.9 ,Shortage in KG= 48  ,Oil% 40.01</v>
      </c>
      <c r="BP252" s="4">
        <f t="shared" si="161"/>
        <v>6647.7081578140896</v>
      </c>
      <c r="BX252" s="27">
        <v>40.01</v>
      </c>
      <c r="BY252" s="27">
        <v>40.020000000000003</v>
      </c>
    </row>
    <row r="253" spans="1:77" customFormat="1" ht="15.75" hidden="1" x14ac:dyDescent="0.3">
      <c r="A253" s="128" t="s">
        <v>484</v>
      </c>
      <c r="B253" s="130">
        <v>46128</v>
      </c>
      <c r="C253" s="128">
        <v>238</v>
      </c>
      <c r="D253" s="128" t="s">
        <v>522</v>
      </c>
      <c r="E253" s="130">
        <v>46128</v>
      </c>
      <c r="F253" s="128" t="s">
        <v>104</v>
      </c>
      <c r="G253" s="128" t="s">
        <v>105</v>
      </c>
      <c r="H253" s="128" t="s">
        <v>106</v>
      </c>
      <c r="I253" s="136"/>
      <c r="J253" s="128" t="s">
        <v>113</v>
      </c>
      <c r="K253" s="128">
        <v>0</v>
      </c>
      <c r="L253" s="130">
        <v>46125</v>
      </c>
      <c r="M253" s="136"/>
      <c r="N253" s="128" t="s">
        <v>540</v>
      </c>
      <c r="O253" s="130">
        <v>46126</v>
      </c>
      <c r="P253" s="136"/>
      <c r="Q253" s="128">
        <v>521</v>
      </c>
      <c r="R253" s="128">
        <v>300</v>
      </c>
      <c r="S253" s="128">
        <v>821</v>
      </c>
      <c r="T253" s="128">
        <v>0</v>
      </c>
      <c r="U253" s="128">
        <v>0</v>
      </c>
      <c r="V253" s="128"/>
      <c r="W253" s="128">
        <v>410.5</v>
      </c>
      <c r="X253" s="128">
        <v>417.2</v>
      </c>
      <c r="Y253" s="128">
        <v>2787602.88</v>
      </c>
      <c r="Z253" s="136"/>
      <c r="AA253" s="128">
        <v>69690.070000000007</v>
      </c>
      <c r="AB253" s="128">
        <v>69690.070000000007</v>
      </c>
      <c r="AC253" s="128">
        <v>2926983.02</v>
      </c>
      <c r="AD253" s="137">
        <f t="shared" si="101"/>
        <v>2924056.0369799999</v>
      </c>
      <c r="AE253" s="147">
        <v>40.28</v>
      </c>
      <c r="AF253" s="169">
        <v>39.28</v>
      </c>
      <c r="AG253" s="147">
        <v>40.229999999999997</v>
      </c>
      <c r="AH253" s="170">
        <v>4.1000000000000003E-3</v>
      </c>
      <c r="AI253" s="170">
        <v>0.04</v>
      </c>
      <c r="AJ253" s="170">
        <v>5.5E-2</v>
      </c>
      <c r="AK253" s="137">
        <f t="shared" si="162"/>
        <v>0</v>
      </c>
      <c r="AL253" s="136">
        <f>821*2</f>
        <v>1642</v>
      </c>
      <c r="AM253" s="136"/>
      <c r="AN253" s="136"/>
      <c r="AO253" s="156">
        <f t="shared" si="163"/>
        <v>0</v>
      </c>
      <c r="AP253" s="136"/>
      <c r="AQ253" s="137">
        <v>0</v>
      </c>
      <c r="AR253" s="155">
        <f t="shared" si="164"/>
        <v>1642</v>
      </c>
      <c r="AS253" s="155">
        <f t="shared" si="165"/>
        <v>1724</v>
      </c>
      <c r="AT253" s="137">
        <v>0</v>
      </c>
      <c r="AU253" s="136"/>
      <c r="AV253" s="136"/>
      <c r="AW253" s="137">
        <f t="shared" si="151"/>
        <v>41050</v>
      </c>
      <c r="AX253" s="136"/>
      <c r="AY253" s="137">
        <f t="shared" si="152"/>
        <v>41050</v>
      </c>
      <c r="AZ253" s="137">
        <f t="shared" si="153"/>
        <v>41720</v>
      </c>
      <c r="BA253" s="142">
        <f t="shared" si="154"/>
        <v>-670</v>
      </c>
      <c r="BB253" s="137"/>
      <c r="BC253" s="137">
        <v>0</v>
      </c>
      <c r="BD253" s="136"/>
      <c r="BE253" s="128">
        <v>417.35</v>
      </c>
      <c r="BF253" s="143">
        <f t="shared" si="155"/>
        <v>0.62602499999999994</v>
      </c>
      <c r="BG253" s="143">
        <f t="shared" si="156"/>
        <v>416.723975</v>
      </c>
      <c r="BH253" s="143">
        <f t="shared" si="157"/>
        <v>417.2</v>
      </c>
      <c r="BI253" s="144">
        <f t="shared" si="158"/>
        <v>15.000000000003411</v>
      </c>
      <c r="BJ253" s="144">
        <v>0</v>
      </c>
      <c r="BK253" s="137">
        <f t="shared" si="159"/>
        <v>15.000000000003411</v>
      </c>
      <c r="BL253" s="9"/>
      <c r="BM253" s="10" t="str">
        <f t="shared" si="160"/>
        <v>Unloading no. 238 Bill No MTC/2026-27/063 ,Deduction For Oil Deduction= 0 ,Bardana= 1642 ,F.M=  Brokerage/Rate Difference  ,Shortage = 0 ,Greenish=  ,Moisture= 0</v>
      </c>
      <c r="BN253" s="9"/>
      <c r="BO253" s="13" t="str">
        <f t="shared" si="99"/>
        <v xml:space="preserve"> Party Condition 39.28  ,F.M% 0.41 ,Greenish 4 ,Moisture 5.5 ,Shortage in KG= 0  ,Oil% 40.23</v>
      </c>
      <c r="BP253" s="4">
        <f t="shared" si="161"/>
        <v>6677.7585810162991</v>
      </c>
      <c r="BX253" s="27">
        <v>40.28</v>
      </c>
      <c r="BY253" s="27">
        <v>40.229999999999997</v>
      </c>
    </row>
    <row r="254" spans="1:77" customFormat="1" ht="15.75" hidden="1" x14ac:dyDescent="0.3">
      <c r="A254" s="128" t="s">
        <v>449</v>
      </c>
      <c r="B254" s="130">
        <v>46128</v>
      </c>
      <c r="C254" s="128">
        <v>239</v>
      </c>
      <c r="D254" s="128" t="s">
        <v>523</v>
      </c>
      <c r="E254" s="130">
        <v>46128</v>
      </c>
      <c r="F254" s="128" t="s">
        <v>101</v>
      </c>
      <c r="G254" s="128" t="s">
        <v>102</v>
      </c>
      <c r="H254" s="128" t="s">
        <v>97</v>
      </c>
      <c r="I254" s="136"/>
      <c r="J254" s="128" t="s">
        <v>113</v>
      </c>
      <c r="K254" s="128">
        <v>0</v>
      </c>
      <c r="L254" s="130">
        <v>46126</v>
      </c>
      <c r="M254" s="136"/>
      <c r="N254" s="128" t="s">
        <v>541</v>
      </c>
      <c r="O254" s="130">
        <v>46127</v>
      </c>
      <c r="P254" s="136"/>
      <c r="Q254" s="128">
        <v>560</v>
      </c>
      <c r="R254" s="128">
        <v>46</v>
      </c>
      <c r="S254" s="128">
        <v>606</v>
      </c>
      <c r="T254" s="128">
        <v>0</v>
      </c>
      <c r="U254" s="128">
        <v>0</v>
      </c>
      <c r="V254" s="128"/>
      <c r="W254" s="128">
        <v>363.6</v>
      </c>
      <c r="X254" s="128">
        <v>368.8</v>
      </c>
      <c r="Y254" s="128">
        <v>2454603</v>
      </c>
      <c r="Z254" s="136"/>
      <c r="AA254" s="128">
        <v>61365.08</v>
      </c>
      <c r="AB254" s="128">
        <v>61365.08</v>
      </c>
      <c r="AC254" s="128">
        <v>2577333.15</v>
      </c>
      <c r="AD254" s="137">
        <f t="shared" si="101"/>
        <v>2574755.8168500001</v>
      </c>
      <c r="AE254" s="147">
        <v>40.14</v>
      </c>
      <c r="AF254" s="169">
        <v>39.700000000000003</v>
      </c>
      <c r="AG254" s="147">
        <v>40.06</v>
      </c>
      <c r="AH254" s="170">
        <v>4.7000000000000002E-3</v>
      </c>
      <c r="AI254" s="170">
        <v>4.0300000000000002E-2</v>
      </c>
      <c r="AJ254" s="170">
        <v>5.3999999999999999E-2</v>
      </c>
      <c r="AK254" s="137">
        <f t="shared" si="162"/>
        <v>0</v>
      </c>
      <c r="AL254" s="136">
        <v>0</v>
      </c>
      <c r="AM254" s="136"/>
      <c r="AN254" s="136"/>
      <c r="AO254" s="156">
        <f t="shared" si="163"/>
        <v>1822.7249999999999</v>
      </c>
      <c r="AP254" s="136"/>
      <c r="AQ254" s="137">
        <v>0</v>
      </c>
      <c r="AR254" s="155">
        <f t="shared" si="164"/>
        <v>1822.7249999999999</v>
      </c>
      <c r="AS254" s="155">
        <f t="shared" si="165"/>
        <v>1914</v>
      </c>
      <c r="AT254" s="137">
        <v>27</v>
      </c>
      <c r="AU254" s="136"/>
      <c r="AV254" s="136"/>
      <c r="AW254" s="137">
        <f t="shared" si="151"/>
        <v>36360</v>
      </c>
      <c r="AX254" s="136"/>
      <c r="AY254" s="137">
        <f t="shared" si="152"/>
        <v>36360</v>
      </c>
      <c r="AZ254" s="137">
        <f t="shared" si="153"/>
        <v>36880</v>
      </c>
      <c r="BA254" s="142">
        <f t="shared" si="154"/>
        <v>-520</v>
      </c>
      <c r="BB254" s="137"/>
      <c r="BC254" s="137">
        <v>0</v>
      </c>
      <c r="BD254" s="136"/>
      <c r="BE254" s="128">
        <v>369.8</v>
      </c>
      <c r="BF254" s="143">
        <f t="shared" si="155"/>
        <v>0.55469999999999997</v>
      </c>
      <c r="BG254" s="143">
        <f t="shared" si="156"/>
        <v>369.24529999999999</v>
      </c>
      <c r="BH254" s="143">
        <f t="shared" si="157"/>
        <v>368.8</v>
      </c>
      <c r="BI254" s="144">
        <f t="shared" si="158"/>
        <v>100</v>
      </c>
      <c r="BJ254" s="144">
        <v>0</v>
      </c>
      <c r="BK254" s="137">
        <f t="shared" si="159"/>
        <v>100</v>
      </c>
      <c r="BL254" s="9"/>
      <c r="BM254" s="10" t="str">
        <f t="shared" si="160"/>
        <v>Unloading no. 239 Bill No L/PB/26-27/33 ,Deduction For Oil Deduction= 0 ,Bardana= 0 ,F.M=  Brokerage/Rate Difference  ,Shortage = 1822.725 ,Greenish=  ,Moisture= 0</v>
      </c>
      <c r="BN254" s="9"/>
      <c r="BO254" s="13" t="str">
        <f t="shared" si="99"/>
        <v xml:space="preserve"> Party Condition 39.7  ,F.M% 0.47 ,Greenish 4.03 ,Moisture 5.4 ,Shortage in KG= 27  ,Oil% 40.06</v>
      </c>
      <c r="BP254" s="4">
        <f t="shared" si="161"/>
        <v>6650.7057348156177</v>
      </c>
      <c r="BX254" s="27">
        <v>40.14</v>
      </c>
      <c r="BY254" s="27">
        <v>40.06</v>
      </c>
    </row>
    <row r="255" spans="1:77" customFormat="1" ht="15.75" hidden="1" x14ac:dyDescent="0.3">
      <c r="A255" s="163" t="s">
        <v>449</v>
      </c>
      <c r="B255" s="166">
        <v>46128</v>
      </c>
      <c r="C255" s="163">
        <v>240</v>
      </c>
      <c r="D255" s="163" t="s">
        <v>524</v>
      </c>
      <c r="E255" s="166">
        <v>46128</v>
      </c>
      <c r="F255" s="163" t="s">
        <v>101</v>
      </c>
      <c r="G255" s="163" t="s">
        <v>102</v>
      </c>
      <c r="H255" s="163" t="s">
        <v>103</v>
      </c>
      <c r="I255" s="157"/>
      <c r="J255" s="163" t="s">
        <v>113</v>
      </c>
      <c r="K255" s="163">
        <v>0</v>
      </c>
      <c r="L255" s="166">
        <v>46126</v>
      </c>
      <c r="M255" s="157"/>
      <c r="N255" s="163" t="s">
        <v>542</v>
      </c>
      <c r="O255" s="166">
        <v>46127</v>
      </c>
      <c r="P255" s="157"/>
      <c r="Q255" s="163">
        <v>617</v>
      </c>
      <c r="R255" s="163">
        <v>0</v>
      </c>
      <c r="S255" s="163">
        <v>617</v>
      </c>
      <c r="T255" s="163">
        <v>0</v>
      </c>
      <c r="U255" s="163">
        <v>0</v>
      </c>
      <c r="V255" s="128"/>
      <c r="W255" s="128">
        <v>370.2</v>
      </c>
      <c r="X255" s="128">
        <v>375.1</v>
      </c>
      <c r="Y255" s="128">
        <v>2499158.5</v>
      </c>
      <c r="Z255" s="136"/>
      <c r="AA255" s="128">
        <v>62478.96</v>
      </c>
      <c r="AB255" s="128">
        <v>62478.96</v>
      </c>
      <c r="AC255" s="128">
        <v>2624116.4300000002</v>
      </c>
      <c r="AD255" s="137">
        <f t="shared" si="101"/>
        <v>2621492.3135700002</v>
      </c>
      <c r="AE255" s="147">
        <v>40.25</v>
      </c>
      <c r="AF255" s="169">
        <v>39.700000000000003</v>
      </c>
      <c r="AG255" s="147">
        <v>40.32</v>
      </c>
      <c r="AH255" s="170">
        <v>4.4999999999999997E-3</v>
      </c>
      <c r="AI255" s="170">
        <v>3.9699999999999999E-2</v>
      </c>
      <c r="AJ255" s="170">
        <v>5.5E-2</v>
      </c>
      <c r="AK255" s="137">
        <f t="shared" si="162"/>
        <v>0</v>
      </c>
      <c r="AL255" s="136">
        <v>0</v>
      </c>
      <c r="AM255" s="136"/>
      <c r="AN255" s="136"/>
      <c r="AO255" s="156">
        <f t="shared" si="163"/>
        <v>0</v>
      </c>
      <c r="AP255" s="136"/>
      <c r="AQ255" s="137">
        <v>0</v>
      </c>
      <c r="AR255" s="155">
        <f t="shared" si="164"/>
        <v>0</v>
      </c>
      <c r="AS255" s="155">
        <f t="shared" si="165"/>
        <v>0</v>
      </c>
      <c r="AT255" s="137">
        <v>0</v>
      </c>
      <c r="AU255" s="136"/>
      <c r="AV255" s="136"/>
      <c r="AW255" s="137">
        <f t="shared" si="151"/>
        <v>37020</v>
      </c>
      <c r="AX255" s="136"/>
      <c r="AY255" s="137">
        <f t="shared" si="152"/>
        <v>37020</v>
      </c>
      <c r="AZ255" s="137">
        <f t="shared" si="153"/>
        <v>37510</v>
      </c>
      <c r="BA255" s="142">
        <f t="shared" si="154"/>
        <v>-490</v>
      </c>
      <c r="BB255" s="137"/>
      <c r="BC255" s="137">
        <v>0</v>
      </c>
      <c r="BD255" s="136"/>
      <c r="BE255" s="128">
        <v>375.5</v>
      </c>
      <c r="BF255" s="143">
        <f t="shared" si="155"/>
        <v>0.56324999999999992</v>
      </c>
      <c r="BG255" s="143">
        <f t="shared" si="156"/>
        <v>374.93675000000002</v>
      </c>
      <c r="BH255" s="143">
        <f t="shared" si="157"/>
        <v>375.1</v>
      </c>
      <c r="BI255" s="144">
        <f t="shared" si="158"/>
        <v>39.999999999997726</v>
      </c>
      <c r="BJ255" s="144">
        <v>0</v>
      </c>
      <c r="BK255" s="137">
        <f t="shared" si="159"/>
        <v>39.999999999997726</v>
      </c>
      <c r="BL255" s="9"/>
      <c r="BM255" s="10" t="str">
        <f t="shared" si="160"/>
        <v>Unloading no. 240 Bill No L/PB/26-27/34 ,Deduction For Oil Deduction= 0 ,Bardana= 0 ,F.M=  Brokerage/Rate Difference  ,Shortage = 0 ,Greenish=  ,Moisture= 0</v>
      </c>
      <c r="BN255" s="9"/>
      <c r="BO255" s="13" t="str">
        <f t="shared" si="99"/>
        <v xml:space="preserve"> Party Condition 39.7  ,F.M% 0.45 ,Greenish 3.97 ,Moisture 5.5 ,Shortage in KG= 0  ,Oil% 40.25</v>
      </c>
      <c r="BP255" s="4">
        <f t="shared" si="161"/>
        <v>6662.6459610770453</v>
      </c>
      <c r="BX255" s="27">
        <v>40.25</v>
      </c>
      <c r="BY255" s="27">
        <v>40.32</v>
      </c>
    </row>
    <row r="256" spans="1:77" customFormat="1" ht="15.75" hidden="1" x14ac:dyDescent="0.3">
      <c r="A256" s="163" t="s">
        <v>484</v>
      </c>
      <c r="B256" s="166">
        <v>46128</v>
      </c>
      <c r="C256" s="163">
        <v>241</v>
      </c>
      <c r="D256" s="163" t="s">
        <v>525</v>
      </c>
      <c r="E256" s="166">
        <v>46128</v>
      </c>
      <c r="F256" s="163" t="s">
        <v>104</v>
      </c>
      <c r="G256" s="163" t="s">
        <v>105</v>
      </c>
      <c r="H256" s="163" t="s">
        <v>106</v>
      </c>
      <c r="I256" s="157"/>
      <c r="J256" s="163" t="s">
        <v>113</v>
      </c>
      <c r="K256" s="163">
        <v>0</v>
      </c>
      <c r="L256" s="166">
        <v>46125</v>
      </c>
      <c r="M256" s="157"/>
      <c r="N256" s="163" t="s">
        <v>543</v>
      </c>
      <c r="O256" s="166">
        <v>46127</v>
      </c>
      <c r="P256" s="157"/>
      <c r="Q256" s="163">
        <v>277</v>
      </c>
      <c r="R256" s="163">
        <v>300</v>
      </c>
      <c r="S256" s="163">
        <v>577</v>
      </c>
      <c r="T256" s="163">
        <v>0</v>
      </c>
      <c r="U256" s="163">
        <v>0</v>
      </c>
      <c r="V256" s="128"/>
      <c r="W256" s="128">
        <v>288.5</v>
      </c>
      <c r="X256" s="128">
        <v>293.3</v>
      </c>
      <c r="Y256" s="128">
        <v>1959131.38</v>
      </c>
      <c r="Z256" s="136"/>
      <c r="AA256" s="128">
        <v>48978.28</v>
      </c>
      <c r="AB256" s="128">
        <v>48978.28</v>
      </c>
      <c r="AC256" s="128">
        <v>2057087.95</v>
      </c>
      <c r="AD256" s="137">
        <f t="shared" si="101"/>
        <v>2055030.8620499999</v>
      </c>
      <c r="AE256" s="147">
        <v>40.229999999999997</v>
      </c>
      <c r="AF256" s="169">
        <v>39.200000000000003</v>
      </c>
      <c r="AG256" s="147">
        <v>40.25</v>
      </c>
      <c r="AH256" s="170">
        <v>4.1999999999999997E-3</v>
      </c>
      <c r="AI256" s="170">
        <v>3.7999999999999999E-2</v>
      </c>
      <c r="AJ256" s="170">
        <v>5.7000000000000002E-2</v>
      </c>
      <c r="AK256" s="137">
        <f t="shared" si="162"/>
        <v>0</v>
      </c>
      <c r="AL256" s="136">
        <f>577*2</f>
        <v>1154</v>
      </c>
      <c r="AM256" s="136"/>
      <c r="AN256" s="136"/>
      <c r="AO256" s="156">
        <f t="shared" si="163"/>
        <v>0</v>
      </c>
      <c r="AP256" s="136"/>
      <c r="AQ256" s="137">
        <v>0</v>
      </c>
      <c r="AR256" s="155">
        <f t="shared" si="164"/>
        <v>1154</v>
      </c>
      <c r="AS256" s="155">
        <f t="shared" si="165"/>
        <v>1212</v>
      </c>
      <c r="AT256" s="137">
        <v>0</v>
      </c>
      <c r="AU256" s="136"/>
      <c r="AV256" s="136"/>
      <c r="AW256" s="137">
        <f t="shared" si="151"/>
        <v>28850</v>
      </c>
      <c r="AX256" s="136"/>
      <c r="AY256" s="137">
        <f t="shared" si="152"/>
        <v>28850</v>
      </c>
      <c r="AZ256" s="137">
        <f t="shared" si="153"/>
        <v>29330</v>
      </c>
      <c r="BA256" s="142">
        <f t="shared" si="154"/>
        <v>-480</v>
      </c>
      <c r="BB256" s="137"/>
      <c r="BC256" s="137">
        <v>0</v>
      </c>
      <c r="BD256" s="136"/>
      <c r="BE256" s="128">
        <v>293.3</v>
      </c>
      <c r="BF256" s="143">
        <f t="shared" si="155"/>
        <v>0.43994999999999995</v>
      </c>
      <c r="BG256" s="143">
        <f t="shared" si="156"/>
        <v>292.86005</v>
      </c>
      <c r="BH256" s="143">
        <f t="shared" si="157"/>
        <v>293.3</v>
      </c>
      <c r="BI256" s="144">
        <f t="shared" si="158"/>
        <v>0</v>
      </c>
      <c r="BJ256" s="144">
        <v>0</v>
      </c>
      <c r="BK256" s="137">
        <f t="shared" si="159"/>
        <v>0</v>
      </c>
      <c r="BL256" s="9"/>
      <c r="BM256" s="10" t="str">
        <f t="shared" si="160"/>
        <v>Unloading no. 241 Bill No MTC/2026-27/067 ,Deduction For Oil Deduction= 0 ,Bardana= 1154 ,F.M=  Brokerage/Rate Difference  ,Shortage = 0 ,Greenish=  ,Moisture= 0</v>
      </c>
      <c r="BN256" s="9"/>
      <c r="BO256" s="13" t="str">
        <f t="shared" si="99"/>
        <v xml:space="preserve"> Party Condition 39.2  ,F.M% 0.42 ,Greenish 3.8 ,Moisture 5.7 ,Shortage in KG= 0  ,Oil% 40.23</v>
      </c>
      <c r="BP256" s="4">
        <f t="shared" si="161"/>
        <v>6675.6814865325596</v>
      </c>
      <c r="BX256" s="27">
        <v>40.229999999999997</v>
      </c>
      <c r="BY256" s="27">
        <v>40.25</v>
      </c>
    </row>
    <row r="257" spans="1:77" customFormat="1" ht="15.75" hidden="1" x14ac:dyDescent="0.3">
      <c r="A257" s="163" t="s">
        <v>484</v>
      </c>
      <c r="B257" s="166">
        <v>46128</v>
      </c>
      <c r="C257" s="163">
        <v>242</v>
      </c>
      <c r="D257" s="163" t="s">
        <v>526</v>
      </c>
      <c r="E257" s="166">
        <v>46128</v>
      </c>
      <c r="F257" s="163" t="s">
        <v>104</v>
      </c>
      <c r="G257" s="163" t="s">
        <v>105</v>
      </c>
      <c r="H257" s="163" t="s">
        <v>106</v>
      </c>
      <c r="I257" s="157"/>
      <c r="J257" s="163" t="s">
        <v>113</v>
      </c>
      <c r="K257" s="163">
        <v>0</v>
      </c>
      <c r="L257" s="166">
        <v>46125</v>
      </c>
      <c r="M257" s="157"/>
      <c r="N257" s="163" t="s">
        <v>544</v>
      </c>
      <c r="O257" s="166">
        <v>46126</v>
      </c>
      <c r="P257" s="157"/>
      <c r="Q257" s="163">
        <v>585</v>
      </c>
      <c r="R257" s="163">
        <v>250</v>
      </c>
      <c r="S257" s="163">
        <v>835</v>
      </c>
      <c r="T257" s="163">
        <v>0</v>
      </c>
      <c r="U257" s="163">
        <v>0</v>
      </c>
      <c r="V257" s="128"/>
      <c r="W257" s="128">
        <v>417.5</v>
      </c>
      <c r="X257" s="128">
        <v>425.4</v>
      </c>
      <c r="Y257" s="128">
        <v>2835138.13</v>
      </c>
      <c r="Z257" s="136"/>
      <c r="AA257" s="128">
        <v>70878.45</v>
      </c>
      <c r="AB257" s="128">
        <v>70878.45</v>
      </c>
      <c r="AC257" s="128">
        <v>2976895.04</v>
      </c>
      <c r="AD257" s="137">
        <f t="shared" si="101"/>
        <v>2973918.1449600002</v>
      </c>
      <c r="AE257" s="147">
        <v>39.49</v>
      </c>
      <c r="AF257" s="169">
        <v>39.25</v>
      </c>
      <c r="AG257" s="147">
        <v>39.520000000000003</v>
      </c>
      <c r="AH257" s="170">
        <v>3.8E-3</v>
      </c>
      <c r="AI257" s="170">
        <v>0.04</v>
      </c>
      <c r="AJ257" s="170">
        <v>4.9000000000000002E-2</v>
      </c>
      <c r="AK257" s="137">
        <f t="shared" si="162"/>
        <v>0</v>
      </c>
      <c r="AL257" s="136">
        <f>835*2</f>
        <v>1670</v>
      </c>
      <c r="AM257" s="136"/>
      <c r="AN257" s="136"/>
      <c r="AO257" s="156">
        <f t="shared" si="163"/>
        <v>0</v>
      </c>
      <c r="AP257" s="136"/>
      <c r="AQ257" s="137">
        <v>0</v>
      </c>
      <c r="AR257" s="155">
        <f t="shared" si="164"/>
        <v>1670</v>
      </c>
      <c r="AS257" s="155">
        <f t="shared" si="165"/>
        <v>1754</v>
      </c>
      <c r="AT257" s="137">
        <v>0</v>
      </c>
      <c r="AU257" s="136"/>
      <c r="AV257" s="136"/>
      <c r="AW257" s="137">
        <f t="shared" si="151"/>
        <v>41750</v>
      </c>
      <c r="AX257" s="136"/>
      <c r="AY257" s="137">
        <f t="shared" si="152"/>
        <v>41750</v>
      </c>
      <c r="AZ257" s="137">
        <f t="shared" si="153"/>
        <v>42540</v>
      </c>
      <c r="BA257" s="142">
        <f t="shared" si="154"/>
        <v>-790</v>
      </c>
      <c r="BB257" s="137"/>
      <c r="BC257" s="137">
        <v>0</v>
      </c>
      <c r="BD257" s="136"/>
      <c r="BE257" s="128">
        <v>424.8</v>
      </c>
      <c r="BF257" s="143">
        <f t="shared" si="155"/>
        <v>0.63719999999999999</v>
      </c>
      <c r="BG257" s="143">
        <f t="shared" si="156"/>
        <v>424.1628</v>
      </c>
      <c r="BH257" s="143">
        <f t="shared" si="157"/>
        <v>425.4</v>
      </c>
      <c r="BI257" s="144">
        <f t="shared" si="158"/>
        <v>-59.999999999996589</v>
      </c>
      <c r="BJ257" s="144">
        <v>0</v>
      </c>
      <c r="BK257" s="137">
        <f t="shared" si="159"/>
        <v>-59.999999999996589</v>
      </c>
      <c r="BL257" s="9"/>
      <c r="BM257" s="10" t="str">
        <f t="shared" si="160"/>
        <v>Unloading no. 242 Bill No MTC/2026-27/064 ,Deduction For Oil Deduction= 0 ,Bardana= 1670 ,F.M=  Brokerage/Rate Difference  ,Shortage = 0 ,Greenish=  ,Moisture= 0</v>
      </c>
      <c r="BN257" s="9"/>
      <c r="BO257" s="13" t="str">
        <f t="shared" si="99"/>
        <v xml:space="preserve"> Party Condition 39.25  ,F.M% 0.38 ,Greenish 4 ,Moisture 4.9 ,Shortage in KG= 0  ,Oil% 39.49</v>
      </c>
      <c r="BP257" s="4">
        <f t="shared" si="161"/>
        <v>6660.7149271274093</v>
      </c>
      <c r="BX257" s="27">
        <v>39.49</v>
      </c>
      <c r="BY257" s="27">
        <v>39.520000000000003</v>
      </c>
    </row>
    <row r="258" spans="1:77" customFormat="1" ht="15.75" hidden="1" x14ac:dyDescent="0.3">
      <c r="A258" s="163" t="s">
        <v>488</v>
      </c>
      <c r="B258" s="166">
        <v>46128</v>
      </c>
      <c r="C258" s="163">
        <v>243</v>
      </c>
      <c r="D258" s="163" t="s">
        <v>527</v>
      </c>
      <c r="E258" s="166">
        <v>46128</v>
      </c>
      <c r="F258" s="163" t="s">
        <v>95</v>
      </c>
      <c r="G258" s="163" t="s">
        <v>96</v>
      </c>
      <c r="H258" s="163" t="s">
        <v>97</v>
      </c>
      <c r="I258" s="157"/>
      <c r="J258" s="163" t="s">
        <v>113</v>
      </c>
      <c r="K258" s="163">
        <v>0</v>
      </c>
      <c r="L258" s="166">
        <v>46126</v>
      </c>
      <c r="M258" s="157"/>
      <c r="N258" s="163">
        <v>88</v>
      </c>
      <c r="O258" s="166">
        <v>46126</v>
      </c>
      <c r="P258" s="157"/>
      <c r="Q258" s="163">
        <v>473</v>
      </c>
      <c r="R258" s="163">
        <v>230</v>
      </c>
      <c r="S258" s="163">
        <v>703</v>
      </c>
      <c r="T258" s="163">
        <v>0</v>
      </c>
      <c r="U258" s="163">
        <v>0</v>
      </c>
      <c r="V258" s="128"/>
      <c r="W258" s="128">
        <v>421.8</v>
      </c>
      <c r="X258" s="128">
        <v>428.5</v>
      </c>
      <c r="Y258" s="128">
        <v>2842330.23</v>
      </c>
      <c r="Z258" s="136"/>
      <c r="AA258" s="128">
        <v>71058.259999999995</v>
      </c>
      <c r="AB258" s="128">
        <v>71058.259999999995</v>
      </c>
      <c r="AC258" s="128">
        <v>2984446.74</v>
      </c>
      <c r="AD258" s="137">
        <f t="shared" si="101"/>
        <v>2981462.2932600002</v>
      </c>
      <c r="AE258" s="147">
        <v>40.06</v>
      </c>
      <c r="AF258" s="169">
        <v>39.53</v>
      </c>
      <c r="AG258" s="147">
        <v>40.03</v>
      </c>
      <c r="AH258" s="170">
        <v>4.0000000000000001E-3</v>
      </c>
      <c r="AI258" s="170">
        <v>5.4800000000000001E-2</v>
      </c>
      <c r="AJ258" s="170">
        <v>5.8000000000000003E-2</v>
      </c>
      <c r="AK258" s="137">
        <f t="shared" si="162"/>
        <v>0</v>
      </c>
      <c r="AL258" s="136">
        <f>703*6</f>
        <v>4218</v>
      </c>
      <c r="AM258" s="136"/>
      <c r="AN258" s="136"/>
      <c r="AO258" s="156">
        <f t="shared" si="163"/>
        <v>0</v>
      </c>
      <c r="AP258" s="136"/>
      <c r="AQ258" s="137">
        <v>0</v>
      </c>
      <c r="AR258" s="155">
        <f t="shared" si="164"/>
        <v>4218</v>
      </c>
      <c r="AS258" s="155">
        <f t="shared" si="165"/>
        <v>4429</v>
      </c>
      <c r="AT258" s="137">
        <v>0</v>
      </c>
      <c r="AU258" s="136"/>
      <c r="AV258" s="136"/>
      <c r="AW258" s="137">
        <f t="shared" si="151"/>
        <v>42180</v>
      </c>
      <c r="AX258" s="136"/>
      <c r="AY258" s="137">
        <f t="shared" si="152"/>
        <v>42180</v>
      </c>
      <c r="AZ258" s="137">
        <f t="shared" si="153"/>
        <v>42850</v>
      </c>
      <c r="BA258" s="142">
        <f t="shared" si="154"/>
        <v>-670</v>
      </c>
      <c r="BB258" s="137"/>
      <c r="BC258" s="137">
        <v>0</v>
      </c>
      <c r="BD258" s="136"/>
      <c r="BE258" s="128">
        <v>428.8</v>
      </c>
      <c r="BF258" s="143">
        <f t="shared" si="155"/>
        <v>0.64319999999999988</v>
      </c>
      <c r="BG258" s="143">
        <f t="shared" si="156"/>
        <v>428.15680000000003</v>
      </c>
      <c r="BH258" s="143">
        <f t="shared" si="157"/>
        <v>428.5</v>
      </c>
      <c r="BI258" s="144">
        <f t="shared" si="158"/>
        <v>30.000000000001137</v>
      </c>
      <c r="BJ258" s="144">
        <v>0</v>
      </c>
      <c r="BK258" s="137">
        <f t="shared" si="159"/>
        <v>30.000000000001137</v>
      </c>
      <c r="BL258" s="9"/>
      <c r="BM258" s="10" t="str">
        <f t="shared" si="160"/>
        <v>Unloading no. 243 Bill No 88 ,Deduction For Oil Deduction= 0 ,Bardana= 4218 ,F.M=  Brokerage/Rate Difference  ,Shortage = 0 ,Greenish=  ,Moisture= 0</v>
      </c>
      <c r="BN258" s="9"/>
      <c r="BO258" s="13" t="str">
        <f t="shared" si="99"/>
        <v xml:space="preserve"> Party Condition 39.53  ,F.M% 0.4 ,Greenish 5.48 ,Moisture 5.8 ,Shortage in KG= 0  ,Oil% 40.03</v>
      </c>
      <c r="BP258" s="4">
        <f t="shared" si="161"/>
        <v>6623.3657642940489</v>
      </c>
      <c r="BX258" s="27">
        <v>40.06</v>
      </c>
      <c r="BY258" s="27">
        <v>40.03</v>
      </c>
    </row>
    <row r="259" spans="1:77" customFormat="1" ht="15.75" hidden="1" x14ac:dyDescent="0.3">
      <c r="A259" s="163" t="s">
        <v>449</v>
      </c>
      <c r="B259" s="166">
        <v>46128</v>
      </c>
      <c r="C259" s="163">
        <v>244</v>
      </c>
      <c r="D259" s="163" t="s">
        <v>528</v>
      </c>
      <c r="E259" s="166">
        <v>46128</v>
      </c>
      <c r="F259" s="163" t="s">
        <v>101</v>
      </c>
      <c r="G259" s="163" t="s">
        <v>102</v>
      </c>
      <c r="H259" s="163" t="s">
        <v>103</v>
      </c>
      <c r="I259" s="157"/>
      <c r="J259" s="163" t="s">
        <v>113</v>
      </c>
      <c r="K259" s="163">
        <v>0</v>
      </c>
      <c r="L259" s="166">
        <v>46126</v>
      </c>
      <c r="M259" s="157"/>
      <c r="N259" s="163" t="s">
        <v>545</v>
      </c>
      <c r="O259" s="166">
        <v>46127</v>
      </c>
      <c r="P259" s="157"/>
      <c r="Q259" s="163">
        <v>400</v>
      </c>
      <c r="R259" s="163">
        <v>239</v>
      </c>
      <c r="S259" s="163">
        <v>639</v>
      </c>
      <c r="T259" s="163">
        <v>0</v>
      </c>
      <c r="U259" s="163">
        <v>0</v>
      </c>
      <c r="V259" s="128"/>
      <c r="W259" s="128">
        <v>383.4</v>
      </c>
      <c r="X259" s="128">
        <v>388.5</v>
      </c>
      <c r="Y259" s="128">
        <v>2588269.5</v>
      </c>
      <c r="Z259" s="136"/>
      <c r="AA259" s="128">
        <v>64706.74</v>
      </c>
      <c r="AB259" s="128">
        <v>64706.74</v>
      </c>
      <c r="AC259" s="128">
        <v>2717682.98</v>
      </c>
      <c r="AD259" s="137">
        <f t="shared" si="101"/>
        <v>2714965.2970199999</v>
      </c>
      <c r="AE259" s="147">
        <v>40.18</v>
      </c>
      <c r="AF259" s="169">
        <v>39.700000000000003</v>
      </c>
      <c r="AG259" s="147">
        <v>40.14</v>
      </c>
      <c r="AH259" s="170">
        <v>4.1999999999999997E-3</v>
      </c>
      <c r="AI259" s="170">
        <v>3.9E-2</v>
      </c>
      <c r="AJ259" s="170">
        <v>4.9000000000000002E-2</v>
      </c>
      <c r="AK259" s="137">
        <f t="shared" si="162"/>
        <v>0</v>
      </c>
      <c r="AL259" s="136">
        <v>0</v>
      </c>
      <c r="AM259" s="136"/>
      <c r="AN259" s="136"/>
      <c r="AO259" s="156">
        <f t="shared" si="163"/>
        <v>877.60833333333335</v>
      </c>
      <c r="AP259" s="136"/>
      <c r="AQ259" s="137">
        <v>0</v>
      </c>
      <c r="AR259" s="155">
        <f t="shared" si="164"/>
        <v>877.60833333333335</v>
      </c>
      <c r="AS259" s="155">
        <f t="shared" si="165"/>
        <v>921</v>
      </c>
      <c r="AT259" s="137">
        <v>13</v>
      </c>
      <c r="AU259" s="136"/>
      <c r="AV259" s="136"/>
      <c r="AW259" s="137">
        <f t="shared" si="151"/>
        <v>38340</v>
      </c>
      <c r="AX259" s="136"/>
      <c r="AY259" s="137">
        <f t="shared" si="152"/>
        <v>38340</v>
      </c>
      <c r="AZ259" s="137">
        <f t="shared" si="153"/>
        <v>38850</v>
      </c>
      <c r="BA259" s="142">
        <f t="shared" si="154"/>
        <v>-510</v>
      </c>
      <c r="BB259" s="137"/>
      <c r="BC259" s="137">
        <v>0</v>
      </c>
      <c r="BD259" s="136"/>
      <c r="BE259" s="128">
        <v>389.4</v>
      </c>
      <c r="BF259" s="143">
        <f t="shared" si="155"/>
        <v>0.58409999999999995</v>
      </c>
      <c r="BG259" s="143">
        <f t="shared" si="156"/>
        <v>388.8159</v>
      </c>
      <c r="BH259" s="143">
        <f t="shared" si="157"/>
        <v>388.5</v>
      </c>
      <c r="BI259" s="144">
        <f t="shared" si="158"/>
        <v>89.999999999997726</v>
      </c>
      <c r="BJ259" s="144">
        <v>0</v>
      </c>
      <c r="BK259" s="137">
        <f t="shared" si="159"/>
        <v>89.999999999997726</v>
      </c>
      <c r="BL259" s="9"/>
      <c r="BM259" s="10" t="str">
        <f t="shared" si="160"/>
        <v>Unloading no. 244 Bill No L/PB/26-27/35 ,Deduction For Oil Deduction= 0 ,Bardana= 0 ,F.M=  Brokerage/Rate Difference  ,Shortage = 877.608333333333 ,Greenish=  ,Moisture= 0</v>
      </c>
      <c r="BN259" s="9"/>
      <c r="BO259" s="13" t="str">
        <f t="shared" ref="BO259:BO322" si="166">+" "&amp;$AF$1&amp;" "&amp;AF259&amp;" "&amp;" "&amp;$AH$1&amp;" "&amp;AH259*100&amp;" "&amp;$AI$1&amp;" "&amp;AI259*100&amp;" "&amp;$AJ$1&amp;" "&amp;AJ259*100&amp;" ,"&amp;$AT$1&amp;" "&amp;AT259&amp;" "&amp;IF(AE259&gt;AG259," ,Oil%"&amp;" "&amp;AG259," ,Oil%"&amp;" "&amp;AE259)</f>
        <v xml:space="preserve"> Party Condition 39.7  ,F.M% 0.42 ,Greenish 3.9 ,Moisture 4.9 ,Shortage in KG= 13  ,Oil% 40.14</v>
      </c>
      <c r="BP259" s="4">
        <f t="shared" si="161"/>
        <v>6659.9533891033889</v>
      </c>
      <c r="BX259" s="27">
        <v>40.18</v>
      </c>
      <c r="BY259" s="27">
        <v>40.14</v>
      </c>
    </row>
    <row r="260" spans="1:77" customFormat="1" ht="15.75" hidden="1" x14ac:dyDescent="0.3">
      <c r="A260" s="163" t="s">
        <v>511</v>
      </c>
      <c r="B260" s="166">
        <v>46128</v>
      </c>
      <c r="C260" s="163">
        <v>245</v>
      </c>
      <c r="D260" s="163" t="s">
        <v>529</v>
      </c>
      <c r="E260" s="166">
        <v>46128</v>
      </c>
      <c r="F260" s="163" t="s">
        <v>110</v>
      </c>
      <c r="G260" s="163" t="s">
        <v>111</v>
      </c>
      <c r="H260" s="163" t="s">
        <v>112</v>
      </c>
      <c r="I260" s="157"/>
      <c r="J260" s="163" t="s">
        <v>113</v>
      </c>
      <c r="K260" s="163">
        <v>0</v>
      </c>
      <c r="L260" s="166">
        <v>46125</v>
      </c>
      <c r="M260" s="157"/>
      <c r="N260" s="163" t="s">
        <v>546</v>
      </c>
      <c r="O260" s="166">
        <v>46126</v>
      </c>
      <c r="P260" s="157"/>
      <c r="Q260" s="163">
        <v>680</v>
      </c>
      <c r="R260" s="163">
        <v>190</v>
      </c>
      <c r="S260" s="163">
        <v>870</v>
      </c>
      <c r="T260" s="163">
        <v>0</v>
      </c>
      <c r="U260" s="163">
        <v>0</v>
      </c>
      <c r="V260" s="128"/>
      <c r="W260" s="128">
        <v>522</v>
      </c>
      <c r="X260" s="128">
        <v>530.70000000000005</v>
      </c>
      <c r="Y260" s="128">
        <v>3545076</v>
      </c>
      <c r="Z260" s="136"/>
      <c r="AA260" s="128">
        <v>88626.9</v>
      </c>
      <c r="AB260" s="128">
        <v>88626.9</v>
      </c>
      <c r="AC260" s="128">
        <v>3722329.8</v>
      </c>
      <c r="AD260" s="137">
        <f t="shared" ref="AD260:AD287" si="167">SUM(AC260-AC260*0.1%)</f>
        <v>3718607.4701999999</v>
      </c>
      <c r="AE260" s="147">
        <v>39.82</v>
      </c>
      <c r="AF260" s="169">
        <v>39.46</v>
      </c>
      <c r="AG260" s="147">
        <v>39.79</v>
      </c>
      <c r="AH260" s="170">
        <v>4.3E-3</v>
      </c>
      <c r="AI260" s="170">
        <v>3.85E-2</v>
      </c>
      <c r="AJ260" s="170">
        <v>4.9000000000000002E-2</v>
      </c>
      <c r="AK260" s="137">
        <f t="shared" si="162"/>
        <v>0</v>
      </c>
      <c r="AL260" s="136">
        <v>0</v>
      </c>
      <c r="AM260" s="136"/>
      <c r="AN260" s="136"/>
      <c r="AO260" s="156">
        <f t="shared" si="163"/>
        <v>0</v>
      </c>
      <c r="AP260" s="136"/>
      <c r="AQ260" s="137">
        <v>0</v>
      </c>
      <c r="AR260" s="155">
        <f t="shared" si="164"/>
        <v>0</v>
      </c>
      <c r="AS260" s="155">
        <f t="shared" si="165"/>
        <v>0</v>
      </c>
      <c r="AT260" s="137">
        <v>0</v>
      </c>
      <c r="AU260" s="136"/>
      <c r="AV260" s="136"/>
      <c r="AW260" s="137">
        <f t="shared" si="151"/>
        <v>52200</v>
      </c>
      <c r="AX260" s="136"/>
      <c r="AY260" s="137">
        <f t="shared" si="152"/>
        <v>52200</v>
      </c>
      <c r="AZ260" s="137">
        <f t="shared" si="153"/>
        <v>53070.000000000007</v>
      </c>
      <c r="BA260" s="142">
        <f t="shared" si="154"/>
        <v>-870.00000000000728</v>
      </c>
      <c r="BB260" s="137"/>
      <c r="BC260" s="137">
        <v>0</v>
      </c>
      <c r="BD260" s="136"/>
      <c r="BE260" s="128">
        <v>531.79999999999995</v>
      </c>
      <c r="BF260" s="143">
        <f t="shared" si="155"/>
        <v>0.79769999999999996</v>
      </c>
      <c r="BG260" s="143">
        <f t="shared" si="156"/>
        <v>531.00229999999999</v>
      </c>
      <c r="BH260" s="143">
        <f t="shared" si="157"/>
        <v>530.70000000000005</v>
      </c>
      <c r="BI260" s="144">
        <f t="shared" si="158"/>
        <v>109.99999999999091</v>
      </c>
      <c r="BJ260" s="144">
        <v>0</v>
      </c>
      <c r="BK260" s="137">
        <f t="shared" si="159"/>
        <v>109.99999999999091</v>
      </c>
      <c r="BL260" s="9"/>
      <c r="BM260" s="10" t="str">
        <f t="shared" si="160"/>
        <v>Unloading no. 245 Bill No G1654 ,Deduction For Oil Deduction= 0 ,Bardana= 0 ,F.M=  Brokerage/Rate Difference  ,Shortage = 0 ,Greenish=  ,Moisture= 0</v>
      </c>
      <c r="BN260" s="9"/>
      <c r="BO260" s="13" t="str">
        <f t="shared" si="166"/>
        <v xml:space="preserve"> Party Condition 39.46  ,F.M% 0.43 ,Greenish 3.85 ,Moisture 4.9 ,Shortage in KG= 0  ,Oil% 39.79</v>
      </c>
      <c r="BP260" s="4">
        <f t="shared" si="161"/>
        <v>6679.9999999999991</v>
      </c>
      <c r="BX260" s="27">
        <v>39.82</v>
      </c>
      <c r="BY260" s="27">
        <v>39.79</v>
      </c>
    </row>
    <row r="261" spans="1:77" customFormat="1" ht="15.75" hidden="1" x14ac:dyDescent="0.3">
      <c r="A261" s="163" t="s">
        <v>512</v>
      </c>
      <c r="B261" s="166">
        <v>46128</v>
      </c>
      <c r="C261" s="159">
        <v>246</v>
      </c>
      <c r="D261" s="163" t="s">
        <v>530</v>
      </c>
      <c r="E261" s="166">
        <v>46128</v>
      </c>
      <c r="F261" s="163" t="s">
        <v>110</v>
      </c>
      <c r="G261" s="163" t="s">
        <v>111</v>
      </c>
      <c r="H261" s="163" t="s">
        <v>112</v>
      </c>
      <c r="I261" s="157"/>
      <c r="J261" s="163" t="s">
        <v>113</v>
      </c>
      <c r="K261" s="163">
        <v>0</v>
      </c>
      <c r="L261" s="166">
        <v>46126</v>
      </c>
      <c r="M261" s="157"/>
      <c r="N261" s="163" t="s">
        <v>547</v>
      </c>
      <c r="O261" s="166">
        <v>46126</v>
      </c>
      <c r="P261" s="157"/>
      <c r="Q261" s="163">
        <v>360</v>
      </c>
      <c r="R261" s="163">
        <v>22</v>
      </c>
      <c r="S261" s="163">
        <v>382</v>
      </c>
      <c r="T261" s="163">
        <v>0</v>
      </c>
      <c r="U261" s="163">
        <v>0</v>
      </c>
      <c r="V261" s="128"/>
      <c r="W261" s="128">
        <v>229.2</v>
      </c>
      <c r="X261" s="128">
        <v>234</v>
      </c>
      <c r="Y261" s="128">
        <v>1543050.8</v>
      </c>
      <c r="Z261" s="136"/>
      <c r="AA261" s="128">
        <v>38576.269999999997</v>
      </c>
      <c r="AB261" s="128">
        <v>38576.269999999997</v>
      </c>
      <c r="AC261" s="128">
        <v>1620203.34</v>
      </c>
      <c r="AD261" s="137">
        <f t="shared" si="167"/>
        <v>1618583.1366600001</v>
      </c>
      <c r="AE261" s="147">
        <v>40.090000000000003</v>
      </c>
      <c r="AF261" s="169">
        <v>39.69</v>
      </c>
      <c r="AG261" s="147">
        <v>40.03</v>
      </c>
      <c r="AH261" s="170">
        <v>4.3E-3</v>
      </c>
      <c r="AI261" s="170">
        <v>4.2599999999999999E-2</v>
      </c>
      <c r="AJ261" s="170">
        <v>5.2999999999999999E-2</v>
      </c>
      <c r="AK261" s="137">
        <f t="shared" si="162"/>
        <v>0</v>
      </c>
      <c r="AL261" s="136">
        <v>0</v>
      </c>
      <c r="AM261" s="136"/>
      <c r="AN261" s="136"/>
      <c r="AO261" s="156">
        <f t="shared" si="163"/>
        <v>1952.3766666666668</v>
      </c>
      <c r="AP261" s="136"/>
      <c r="AQ261" s="137">
        <v>0</v>
      </c>
      <c r="AR261" s="155">
        <f t="shared" si="164"/>
        <v>1952.3766666666668</v>
      </c>
      <c r="AS261" s="155">
        <f t="shared" si="165"/>
        <v>2050</v>
      </c>
      <c r="AT261" s="137">
        <v>29</v>
      </c>
      <c r="AU261" s="136"/>
      <c r="AV261" s="136"/>
      <c r="AW261" s="137">
        <f t="shared" si="151"/>
        <v>22920</v>
      </c>
      <c r="AX261" s="136"/>
      <c r="AY261" s="137">
        <f t="shared" si="152"/>
        <v>22920</v>
      </c>
      <c r="AZ261" s="137">
        <f t="shared" si="153"/>
        <v>23400</v>
      </c>
      <c r="BA261" s="142">
        <f t="shared" si="154"/>
        <v>-480</v>
      </c>
      <c r="BB261" s="137"/>
      <c r="BC261" s="137">
        <v>0</v>
      </c>
      <c r="BD261" s="136"/>
      <c r="BE261" s="128">
        <v>424.8</v>
      </c>
      <c r="BF261" s="143">
        <f t="shared" si="155"/>
        <v>0.63719999999999999</v>
      </c>
      <c r="BG261" s="143">
        <f t="shared" si="156"/>
        <v>424.1628</v>
      </c>
      <c r="BH261" s="143">
        <f t="shared" si="157"/>
        <v>234</v>
      </c>
      <c r="BI261" s="144">
        <f t="shared" si="158"/>
        <v>19080</v>
      </c>
      <c r="BJ261" s="144">
        <v>0</v>
      </c>
      <c r="BK261" s="137">
        <f t="shared" si="159"/>
        <v>19080</v>
      </c>
      <c r="BL261" s="9"/>
      <c r="BM261" s="10" t="str">
        <f t="shared" si="160"/>
        <v>Unloading no. 246 Bill No G1657/G1656 ,Deduction For Oil Deduction= 0 ,Bardana= 0 ,F.M=  Brokerage/Rate Difference  ,Shortage = 1952.37666666667 ,Greenish=  ,Moisture= 0</v>
      </c>
      <c r="BN261" s="9"/>
      <c r="BO261" s="13" t="str">
        <f t="shared" si="166"/>
        <v xml:space="preserve"> Party Condition 39.69  ,F.M% 0.43 ,Greenish 4.26 ,Moisture 5.3 ,Shortage in KG= 29  ,Oil% 40.03</v>
      </c>
      <c r="BP261" s="4">
        <f t="shared" si="161"/>
        <v>6585.8906980056981</v>
      </c>
      <c r="BX261" s="27">
        <v>40.090000000000003</v>
      </c>
      <c r="BY261" s="27">
        <v>40.03</v>
      </c>
    </row>
    <row r="262" spans="1:77" customFormat="1" ht="15.75" hidden="1" x14ac:dyDescent="0.3">
      <c r="A262" s="163" t="s">
        <v>513</v>
      </c>
      <c r="B262" s="166">
        <v>46128</v>
      </c>
      <c r="C262" s="159">
        <v>246</v>
      </c>
      <c r="D262" s="163" t="s">
        <v>530</v>
      </c>
      <c r="E262" s="166">
        <v>46128</v>
      </c>
      <c r="F262" s="163" t="s">
        <v>110</v>
      </c>
      <c r="G262" s="163" t="s">
        <v>111</v>
      </c>
      <c r="H262" s="163" t="s">
        <v>112</v>
      </c>
      <c r="I262" s="157"/>
      <c r="J262" s="163" t="s">
        <v>113</v>
      </c>
      <c r="K262" s="163">
        <v>0</v>
      </c>
      <c r="L262" s="166">
        <v>46125</v>
      </c>
      <c r="M262" s="157"/>
      <c r="N262" s="163" t="s">
        <v>547</v>
      </c>
      <c r="O262" s="166">
        <v>46126</v>
      </c>
      <c r="P262" s="157"/>
      <c r="Q262" s="163">
        <v>0</v>
      </c>
      <c r="R262" s="163">
        <v>338</v>
      </c>
      <c r="S262" s="163">
        <v>338</v>
      </c>
      <c r="T262" s="163">
        <v>0</v>
      </c>
      <c r="U262" s="163">
        <v>0</v>
      </c>
      <c r="V262" s="128"/>
      <c r="W262" s="128">
        <v>189.6</v>
      </c>
      <c r="X262" s="128">
        <v>189</v>
      </c>
      <c r="Y262" s="128">
        <v>1291428.8</v>
      </c>
      <c r="Z262" s="136"/>
      <c r="AA262" s="128">
        <v>32285.72</v>
      </c>
      <c r="AB262" s="128">
        <v>32285.72</v>
      </c>
      <c r="AC262" s="128">
        <v>1356000.24</v>
      </c>
      <c r="AD262" s="137">
        <f t="shared" si="167"/>
        <v>1354644.23976</v>
      </c>
      <c r="AE262" s="147">
        <v>40.090000000000003</v>
      </c>
      <c r="AF262" s="169">
        <v>39.54</v>
      </c>
      <c r="AG262" s="147">
        <v>40.03</v>
      </c>
      <c r="AH262" s="170">
        <v>4.3E-3</v>
      </c>
      <c r="AI262" s="170">
        <v>4.2599999999999999E-2</v>
      </c>
      <c r="AJ262" s="170">
        <v>5.2999999999999999E-2</v>
      </c>
      <c r="AK262" s="137">
        <f t="shared" si="162"/>
        <v>0</v>
      </c>
      <c r="AL262" s="136">
        <v>0</v>
      </c>
      <c r="AM262" s="136"/>
      <c r="AN262" s="136"/>
      <c r="AO262" s="156">
        <f t="shared" si="163"/>
        <v>0</v>
      </c>
      <c r="AP262" s="136"/>
      <c r="AQ262" s="137">
        <v>0</v>
      </c>
      <c r="AR262" s="155">
        <f t="shared" si="164"/>
        <v>0</v>
      </c>
      <c r="AS262" s="155">
        <f t="shared" si="165"/>
        <v>0</v>
      </c>
      <c r="AT262" s="137">
        <v>0</v>
      </c>
      <c r="AU262" s="136"/>
      <c r="AV262" s="136"/>
      <c r="AW262" s="137">
        <f t="shared" si="151"/>
        <v>18960</v>
      </c>
      <c r="AX262" s="136"/>
      <c r="AY262" s="137">
        <f t="shared" si="152"/>
        <v>18960</v>
      </c>
      <c r="AZ262" s="137">
        <f t="shared" si="153"/>
        <v>18900</v>
      </c>
      <c r="BA262" s="142">
        <f t="shared" si="154"/>
        <v>60</v>
      </c>
      <c r="BB262" s="137"/>
      <c r="BC262" s="137">
        <v>0</v>
      </c>
      <c r="BD262" s="136"/>
      <c r="BE262" s="128">
        <v>0</v>
      </c>
      <c r="BF262" s="143">
        <f t="shared" si="155"/>
        <v>0</v>
      </c>
      <c r="BG262" s="143">
        <f t="shared" si="156"/>
        <v>0</v>
      </c>
      <c r="BH262" s="143">
        <f t="shared" si="157"/>
        <v>189</v>
      </c>
      <c r="BI262" s="144">
        <f t="shared" si="158"/>
        <v>-18900</v>
      </c>
      <c r="BJ262" s="144">
        <v>0</v>
      </c>
      <c r="BK262" s="137">
        <f t="shared" si="159"/>
        <v>-18900</v>
      </c>
      <c r="BL262" s="9"/>
      <c r="BM262" s="10" t="str">
        <f t="shared" si="160"/>
        <v>Unloading no. 246 Bill No G1657/G1656 ,Deduction For Oil Deduction= 0 ,Bardana= 0 ,F.M=  Brokerage/Rate Difference  ,Shortage = 0 ,Greenish=  ,Moisture= 0</v>
      </c>
      <c r="BN262" s="9"/>
      <c r="BO262" s="13" t="str">
        <f t="shared" si="166"/>
        <v xml:space="preserve"> Party Condition 39.54  ,F.M% 0.43 ,Greenish 4.26 ,Moisture 5.3 ,Shortage in KG= 0  ,Oil% 40.03</v>
      </c>
      <c r="BP262" s="4">
        <f t="shared" si="161"/>
        <v>6832.9566137566144</v>
      </c>
      <c r="BX262" s="27">
        <v>40.090000000000003</v>
      </c>
      <c r="BY262" s="27">
        <v>40.03</v>
      </c>
    </row>
    <row r="263" spans="1:77" customFormat="1" ht="15.75" hidden="1" x14ac:dyDescent="0.3">
      <c r="A263" s="163" t="s">
        <v>514</v>
      </c>
      <c r="B263" s="166">
        <v>46128</v>
      </c>
      <c r="C263" s="163">
        <v>247</v>
      </c>
      <c r="D263" s="163" t="s">
        <v>531</v>
      </c>
      <c r="E263" s="166">
        <v>46128</v>
      </c>
      <c r="F263" s="163" t="s">
        <v>104</v>
      </c>
      <c r="G263" s="163" t="s">
        <v>105</v>
      </c>
      <c r="H263" s="163" t="s">
        <v>106</v>
      </c>
      <c r="I263" s="157"/>
      <c r="J263" s="163" t="s">
        <v>113</v>
      </c>
      <c r="K263" s="163">
        <v>0</v>
      </c>
      <c r="L263" s="166">
        <v>46126</v>
      </c>
      <c r="M263" s="157"/>
      <c r="N263" s="163" t="s">
        <v>548</v>
      </c>
      <c r="O263" s="166">
        <v>46127</v>
      </c>
      <c r="P263" s="157"/>
      <c r="Q263" s="163">
        <v>500</v>
      </c>
      <c r="R263" s="163">
        <v>103</v>
      </c>
      <c r="S263" s="163">
        <v>603</v>
      </c>
      <c r="T263" s="163">
        <v>0</v>
      </c>
      <c r="U263" s="163">
        <v>0</v>
      </c>
      <c r="V263" s="128"/>
      <c r="W263" s="128">
        <v>301.5</v>
      </c>
      <c r="X263" s="128">
        <v>306.5</v>
      </c>
      <c r="Y263" s="128">
        <v>2007688.5</v>
      </c>
      <c r="Z263" s="136"/>
      <c r="AA263" s="128">
        <v>50192.21</v>
      </c>
      <c r="AB263" s="128">
        <v>50192.21</v>
      </c>
      <c r="AC263" s="128">
        <v>2108072.9300000002</v>
      </c>
      <c r="AD263" s="137">
        <f t="shared" si="167"/>
        <v>2105964.8570700004</v>
      </c>
      <c r="AE263" s="147">
        <v>40</v>
      </c>
      <c r="AF263" s="169">
        <v>39.1</v>
      </c>
      <c r="AG263" s="147">
        <v>40.07</v>
      </c>
      <c r="AH263" s="170">
        <v>4.0000000000000001E-3</v>
      </c>
      <c r="AI263" s="170">
        <v>3.95E-2</v>
      </c>
      <c r="AJ263" s="170">
        <v>4.8000000000000001E-2</v>
      </c>
      <c r="AK263" s="137">
        <f t="shared" si="162"/>
        <v>0</v>
      </c>
      <c r="AL263" s="136">
        <f>603*2</f>
        <v>1206</v>
      </c>
      <c r="AM263" s="136"/>
      <c r="AN263" s="136"/>
      <c r="AO263" s="156">
        <f t="shared" si="163"/>
        <v>0</v>
      </c>
      <c r="AP263" s="136"/>
      <c r="AQ263" s="137">
        <v>0</v>
      </c>
      <c r="AR263" s="155">
        <f t="shared" si="164"/>
        <v>1206</v>
      </c>
      <c r="AS263" s="155">
        <f t="shared" si="165"/>
        <v>1266</v>
      </c>
      <c r="AT263" s="137">
        <v>0</v>
      </c>
      <c r="AU263" s="136"/>
      <c r="AV263" s="136"/>
      <c r="AW263" s="137">
        <f t="shared" si="151"/>
        <v>30150</v>
      </c>
      <c r="AX263" s="136"/>
      <c r="AY263" s="137">
        <f t="shared" si="152"/>
        <v>30150</v>
      </c>
      <c r="AZ263" s="137">
        <f t="shared" si="153"/>
        <v>30650</v>
      </c>
      <c r="BA263" s="142">
        <f t="shared" si="154"/>
        <v>-500</v>
      </c>
      <c r="BB263" s="137"/>
      <c r="BC263" s="137">
        <v>0</v>
      </c>
      <c r="BD263" s="136"/>
      <c r="BE263" s="128">
        <v>306.5</v>
      </c>
      <c r="BF263" s="143">
        <f t="shared" si="155"/>
        <v>0.45974999999999999</v>
      </c>
      <c r="BG263" s="143">
        <f t="shared" si="156"/>
        <v>306.04025000000001</v>
      </c>
      <c r="BH263" s="143">
        <f t="shared" si="157"/>
        <v>306.5</v>
      </c>
      <c r="BI263" s="144">
        <f t="shared" si="158"/>
        <v>0</v>
      </c>
      <c r="BJ263" s="144">
        <v>0</v>
      </c>
      <c r="BK263" s="137">
        <f t="shared" si="159"/>
        <v>0</v>
      </c>
      <c r="BL263" s="9"/>
      <c r="BM263" s="10" t="str">
        <f t="shared" si="160"/>
        <v>Unloading no. 247 Bill No MTC/2026-27/069 ,Deduction For Oil Deduction= 0 ,Bardana= 1206 ,F.M=  Brokerage/Rate Difference  ,Shortage = 0 ,Greenish=  ,Moisture= 0</v>
      </c>
      <c r="BN263" s="9"/>
      <c r="BO263" s="13" t="str">
        <f t="shared" si="166"/>
        <v xml:space="preserve"> Party Condition 39.1  ,F.M% 0.4 ,Greenish 3.95 ,Moisture 4.8 ,Shortage in KG= 0  ,Oil% 40</v>
      </c>
      <c r="BP263" s="4">
        <f t="shared" si="161"/>
        <v>6546.4355628058729</v>
      </c>
      <c r="BX263" s="27">
        <v>40</v>
      </c>
      <c r="BY263" s="27">
        <v>40.07</v>
      </c>
    </row>
    <row r="264" spans="1:77" customFormat="1" ht="15.75" hidden="1" x14ac:dyDescent="0.3">
      <c r="A264" s="163" t="s">
        <v>488</v>
      </c>
      <c r="B264" s="166">
        <v>46129</v>
      </c>
      <c r="C264" s="163">
        <v>248</v>
      </c>
      <c r="D264" s="163" t="s">
        <v>532</v>
      </c>
      <c r="E264" s="166">
        <v>46129</v>
      </c>
      <c r="F264" s="163" t="s">
        <v>95</v>
      </c>
      <c r="G264" s="163" t="s">
        <v>96</v>
      </c>
      <c r="H264" s="163" t="s">
        <v>97</v>
      </c>
      <c r="I264" s="157"/>
      <c r="J264" s="163" t="s">
        <v>113</v>
      </c>
      <c r="K264" s="163">
        <v>0</v>
      </c>
      <c r="L264" s="166">
        <v>46126</v>
      </c>
      <c r="M264" s="157"/>
      <c r="N264" s="163">
        <v>89</v>
      </c>
      <c r="O264" s="166">
        <v>46127</v>
      </c>
      <c r="P264" s="157"/>
      <c r="Q264" s="163">
        <v>250</v>
      </c>
      <c r="R264" s="163">
        <v>202</v>
      </c>
      <c r="S264" s="163">
        <v>452</v>
      </c>
      <c r="T264" s="163">
        <v>0</v>
      </c>
      <c r="U264" s="163">
        <v>0</v>
      </c>
      <c r="V264" s="128"/>
      <c r="W264" s="128">
        <v>271.2</v>
      </c>
      <c r="X264" s="128">
        <v>273.8</v>
      </c>
      <c r="Y264" s="128">
        <v>1827501.09</v>
      </c>
      <c r="Z264" s="136"/>
      <c r="AA264" s="128">
        <v>45687.53</v>
      </c>
      <c r="AB264" s="128">
        <v>45687.53</v>
      </c>
      <c r="AC264" s="128">
        <v>1918876.14</v>
      </c>
      <c r="AD264" s="137">
        <f t="shared" si="167"/>
        <v>1916957.2638599998</v>
      </c>
      <c r="AE264" s="147">
        <v>39.78</v>
      </c>
      <c r="AF264" s="169">
        <v>39.53</v>
      </c>
      <c r="AG264" s="147">
        <v>39.86</v>
      </c>
      <c r="AH264" s="170">
        <v>4.5999999999999999E-3</v>
      </c>
      <c r="AI264" s="170">
        <v>3.7999999999999999E-2</v>
      </c>
      <c r="AJ264" s="170">
        <v>5.3999999999999999E-2</v>
      </c>
      <c r="AK264" s="137">
        <f t="shared" si="162"/>
        <v>0</v>
      </c>
      <c r="AL264" s="136">
        <f>452*6</f>
        <v>2712</v>
      </c>
      <c r="AM264" s="136"/>
      <c r="AN264" s="136"/>
      <c r="AO264" s="140">
        <f t="shared" si="163"/>
        <v>2425.8864026548672</v>
      </c>
      <c r="AP264" s="136"/>
      <c r="AQ264" s="137">
        <v>0</v>
      </c>
      <c r="AR264" s="155">
        <f t="shared" si="164"/>
        <v>5137.8864026548672</v>
      </c>
      <c r="AS264" s="155">
        <f t="shared" si="165"/>
        <v>5395</v>
      </c>
      <c r="AT264" s="137">
        <v>36</v>
      </c>
      <c r="AU264" s="136" t="s">
        <v>551</v>
      </c>
      <c r="AV264" s="136"/>
      <c r="AW264" s="137">
        <f t="shared" si="151"/>
        <v>27120</v>
      </c>
      <c r="AX264" s="136"/>
      <c r="AY264" s="137">
        <f t="shared" si="152"/>
        <v>27120</v>
      </c>
      <c r="AZ264" s="137">
        <f t="shared" si="153"/>
        <v>27380</v>
      </c>
      <c r="BA264" s="142">
        <f t="shared" si="154"/>
        <v>-260</v>
      </c>
      <c r="BB264" s="137"/>
      <c r="BC264" s="137">
        <v>0</v>
      </c>
      <c r="BD264" s="136"/>
      <c r="BE264" s="128">
        <v>273.8</v>
      </c>
      <c r="BF264" s="143">
        <f t="shared" si="155"/>
        <v>0.41070000000000001</v>
      </c>
      <c r="BG264" s="143">
        <f t="shared" si="156"/>
        <v>273.38929999999999</v>
      </c>
      <c r="BH264" s="143">
        <f t="shared" si="157"/>
        <v>273.8</v>
      </c>
      <c r="BI264" s="144">
        <f t="shared" si="158"/>
        <v>0</v>
      </c>
      <c r="BJ264" s="144">
        <v>0</v>
      </c>
      <c r="BK264" s="137">
        <f t="shared" si="159"/>
        <v>0</v>
      </c>
      <c r="BL264" s="9"/>
      <c r="BM264" s="10" t="str">
        <f t="shared" si="160"/>
        <v>Unloading no. 248 Bill No 89 ,Deduction For Oil Deduction= 0 ,Bardana= 2712 ,F.M=  Brokerage/Rate Difference  ,Shortage = 2425.88640265487 ,Greenish=  ,Moisture= 0</v>
      </c>
      <c r="BN264" s="9"/>
      <c r="BO264" s="13" t="str">
        <f t="shared" si="166"/>
        <v xml:space="preserve"> Party Condition 39.53  ,F.M% 0.46 ,Greenish 3.8 ,Moisture 5.4 ,Shortage in KG= 36  ,Oil% 39.78</v>
      </c>
      <c r="BP264" s="4">
        <f t="shared" si="161"/>
        <v>6655.8188590114869</v>
      </c>
      <c r="BX264" s="27">
        <v>39.78</v>
      </c>
      <c r="BY264" s="27">
        <v>39.86</v>
      </c>
    </row>
    <row r="265" spans="1:77" customFormat="1" ht="15.75" hidden="1" x14ac:dyDescent="0.3">
      <c r="A265" s="163" t="s">
        <v>514</v>
      </c>
      <c r="B265" s="166">
        <v>46129</v>
      </c>
      <c r="C265" s="163">
        <v>249</v>
      </c>
      <c r="D265" s="163" t="s">
        <v>533</v>
      </c>
      <c r="E265" s="166">
        <v>46129</v>
      </c>
      <c r="F265" s="163" t="s">
        <v>104</v>
      </c>
      <c r="G265" s="163" t="s">
        <v>105</v>
      </c>
      <c r="H265" s="163" t="s">
        <v>106</v>
      </c>
      <c r="I265" s="157"/>
      <c r="J265" s="163" t="s">
        <v>113</v>
      </c>
      <c r="K265" s="163">
        <v>0</v>
      </c>
      <c r="L265" s="166">
        <v>46126</v>
      </c>
      <c r="M265" s="157"/>
      <c r="N265" s="163" t="s">
        <v>549</v>
      </c>
      <c r="O265" s="166">
        <v>46127</v>
      </c>
      <c r="P265" s="157"/>
      <c r="Q265" s="163">
        <v>549</v>
      </c>
      <c r="R265" s="163">
        <v>50</v>
      </c>
      <c r="S265" s="163">
        <v>599</v>
      </c>
      <c r="T265" s="163">
        <v>0</v>
      </c>
      <c r="U265" s="163">
        <v>0</v>
      </c>
      <c r="V265" s="128"/>
      <c r="W265" s="128">
        <v>299.5</v>
      </c>
      <c r="X265" s="128">
        <v>304.5</v>
      </c>
      <c r="Y265" s="128">
        <v>1994370.5</v>
      </c>
      <c r="Z265" s="136"/>
      <c r="AA265" s="128">
        <v>49859.26</v>
      </c>
      <c r="AB265" s="128">
        <v>49859.26</v>
      </c>
      <c r="AC265" s="128">
        <v>2094089.03</v>
      </c>
      <c r="AD265" s="137">
        <f t="shared" si="167"/>
        <v>2091994.9409700001</v>
      </c>
      <c r="AE265" s="147">
        <v>39.549999999999997</v>
      </c>
      <c r="AF265" s="169">
        <v>39.1</v>
      </c>
      <c r="AG265" s="147">
        <v>39.54</v>
      </c>
      <c r="AH265" s="170">
        <v>4.3E-3</v>
      </c>
      <c r="AI265" s="170">
        <v>0.05</v>
      </c>
      <c r="AJ265" s="170">
        <v>5.2999999999999999E-2</v>
      </c>
      <c r="AK265" s="137">
        <f t="shared" si="162"/>
        <v>0</v>
      </c>
      <c r="AL265" s="136">
        <f>599*2</f>
        <v>1198</v>
      </c>
      <c r="AM265" s="136"/>
      <c r="AN265" s="136"/>
      <c r="AO265" s="140">
        <f t="shared" si="163"/>
        <v>0</v>
      </c>
      <c r="AP265" s="136"/>
      <c r="AQ265" s="137">
        <v>0</v>
      </c>
      <c r="AR265" s="155">
        <f t="shared" si="164"/>
        <v>1198</v>
      </c>
      <c r="AS265" s="155">
        <f t="shared" si="165"/>
        <v>1258</v>
      </c>
      <c r="AT265" s="137">
        <v>0</v>
      </c>
      <c r="AU265" s="136"/>
      <c r="AV265" s="136"/>
      <c r="AW265" s="137">
        <f t="shared" si="151"/>
        <v>29950</v>
      </c>
      <c r="AX265" s="136"/>
      <c r="AY265" s="137">
        <f t="shared" si="152"/>
        <v>29950</v>
      </c>
      <c r="AZ265" s="137">
        <f t="shared" si="153"/>
        <v>30450</v>
      </c>
      <c r="BA265" s="142">
        <f t="shared" si="154"/>
        <v>-500</v>
      </c>
      <c r="BB265" s="137"/>
      <c r="BC265" s="137">
        <v>0</v>
      </c>
      <c r="BD265" s="136"/>
      <c r="BE265" s="128">
        <v>304.64999999999998</v>
      </c>
      <c r="BF265" s="143">
        <f t="shared" si="155"/>
        <v>0.45697499999999996</v>
      </c>
      <c r="BG265" s="143">
        <f t="shared" si="156"/>
        <v>304.19302499999998</v>
      </c>
      <c r="BH265" s="143">
        <f t="shared" si="157"/>
        <v>304.5</v>
      </c>
      <c r="BI265" s="144">
        <f t="shared" si="158"/>
        <v>14.999999999997726</v>
      </c>
      <c r="BJ265" s="144">
        <v>0</v>
      </c>
      <c r="BK265" s="137">
        <f t="shared" si="159"/>
        <v>14.999999999997726</v>
      </c>
      <c r="BL265" s="9"/>
      <c r="BM265" s="10" t="str">
        <f t="shared" si="160"/>
        <v>Unloading no. 249 Bill No MTC/2026-27/070 ,Deduction For Oil Deduction= 0 ,Bardana= 1198 ,F.M=  Brokerage/Rate Difference  ,Shortage = 0 ,Greenish=  ,Moisture= 0</v>
      </c>
      <c r="BN265" s="9"/>
      <c r="BO265" s="13" t="str">
        <f t="shared" si="166"/>
        <v xml:space="preserve"> Party Condition 39.1  ,F.M% 0.43 ,Greenish 5 ,Moisture 5.3 ,Shortage in KG= 0  ,Oil% 39.54</v>
      </c>
      <c r="BP265" s="4">
        <f t="shared" si="161"/>
        <v>6545.72249589491</v>
      </c>
      <c r="BX265" s="27">
        <v>39.549999999999997</v>
      </c>
      <c r="BY265" s="27">
        <v>39.54</v>
      </c>
    </row>
    <row r="266" spans="1:77" customFormat="1" ht="15.75" hidden="1" x14ac:dyDescent="0.3">
      <c r="A266" s="163" t="s">
        <v>515</v>
      </c>
      <c r="B266" s="166">
        <v>46129</v>
      </c>
      <c r="C266" s="163">
        <v>250</v>
      </c>
      <c r="D266" s="163" t="s">
        <v>534</v>
      </c>
      <c r="E266" s="166">
        <v>46129</v>
      </c>
      <c r="F266" s="163" t="s">
        <v>98</v>
      </c>
      <c r="G266" s="163" t="s">
        <v>99</v>
      </c>
      <c r="H266" s="163" t="s">
        <v>199</v>
      </c>
      <c r="I266" s="157"/>
      <c r="J266" s="163" t="s">
        <v>113</v>
      </c>
      <c r="K266" s="163">
        <v>0</v>
      </c>
      <c r="L266" s="166">
        <v>46126</v>
      </c>
      <c r="M266" s="157"/>
      <c r="N266" s="163">
        <v>54</v>
      </c>
      <c r="O266" s="166">
        <v>46128</v>
      </c>
      <c r="P266" s="157"/>
      <c r="Q266" s="163">
        <v>367</v>
      </c>
      <c r="R266" s="163">
        <v>300</v>
      </c>
      <c r="S266" s="163">
        <v>667</v>
      </c>
      <c r="T266" s="163">
        <v>0</v>
      </c>
      <c r="U266" s="163">
        <v>0</v>
      </c>
      <c r="V266" s="128"/>
      <c r="W266" s="128">
        <v>400.2</v>
      </c>
      <c r="X266" s="128">
        <v>403.6</v>
      </c>
      <c r="Y266" s="128">
        <v>2705302.64</v>
      </c>
      <c r="Z266" s="136"/>
      <c r="AA266" s="128">
        <v>67632.570000000007</v>
      </c>
      <c r="AB266" s="128">
        <v>67632.570000000007</v>
      </c>
      <c r="AC266" s="128">
        <v>2840567.77</v>
      </c>
      <c r="AD266" s="137">
        <f t="shared" si="167"/>
        <v>2837727.2022299999</v>
      </c>
      <c r="AE266" s="147">
        <v>39.35</v>
      </c>
      <c r="AF266" s="169">
        <v>39.299999999999997</v>
      </c>
      <c r="AG266" s="147">
        <v>39.31</v>
      </c>
      <c r="AH266" s="170">
        <v>4.0000000000000001E-3</v>
      </c>
      <c r="AI266" s="170">
        <v>3.9E-2</v>
      </c>
      <c r="AJ266" s="170">
        <v>5.7000000000000002E-2</v>
      </c>
      <c r="AK266" s="137">
        <f t="shared" si="162"/>
        <v>0</v>
      </c>
      <c r="AL266" s="136">
        <f>667*0.5</f>
        <v>333.5</v>
      </c>
      <c r="AM266" s="136"/>
      <c r="AN266" s="165">
        <f>W266*0.57</f>
        <v>228.11399999999998</v>
      </c>
      <c r="AO266" s="140">
        <f t="shared" si="163"/>
        <v>9937.0186926536735</v>
      </c>
      <c r="AP266" s="136"/>
      <c r="AQ266" s="137">
        <v>0</v>
      </c>
      <c r="AR266" s="155">
        <f t="shared" si="164"/>
        <v>10498.632692653673</v>
      </c>
      <c r="AS266" s="155">
        <f t="shared" si="165"/>
        <v>11024</v>
      </c>
      <c r="AT266" s="137">
        <v>147</v>
      </c>
      <c r="AU266" s="136"/>
      <c r="AV266" s="136"/>
      <c r="AW266" s="137">
        <f t="shared" si="151"/>
        <v>40020</v>
      </c>
      <c r="AX266" s="136"/>
      <c r="AY266" s="137">
        <f t="shared" si="152"/>
        <v>40020</v>
      </c>
      <c r="AZ266" s="137">
        <f t="shared" si="153"/>
        <v>40360</v>
      </c>
      <c r="BA266" s="142">
        <f t="shared" si="154"/>
        <v>-340</v>
      </c>
      <c r="BB266" s="137"/>
      <c r="BC266" s="137">
        <v>0</v>
      </c>
      <c r="BD266" s="136"/>
      <c r="BE266" s="128">
        <v>404.6</v>
      </c>
      <c r="BF266" s="143">
        <f t="shared" si="155"/>
        <v>0.6069</v>
      </c>
      <c r="BG266" s="143">
        <f t="shared" si="156"/>
        <v>403.99310000000003</v>
      </c>
      <c r="BH266" s="143">
        <f t="shared" si="157"/>
        <v>403.6</v>
      </c>
      <c r="BI266" s="144">
        <f t="shared" si="158"/>
        <v>100</v>
      </c>
      <c r="BJ266" s="144">
        <v>0</v>
      </c>
      <c r="BK266" s="137">
        <f t="shared" si="159"/>
        <v>100</v>
      </c>
      <c r="BL266" s="9"/>
      <c r="BM266" s="10" t="str">
        <f t="shared" si="160"/>
        <v>Unloading no. 250 Bill No 54 ,Deduction For Oil Deduction= 0 ,Bardana= 333.5 ,F.M=  Brokerage/Rate Difference 228.114 ,Shortage = 9937.01869265367 ,Greenish=  ,Moisture= 0</v>
      </c>
      <c r="BN266" s="9"/>
      <c r="BO266" s="13" t="str">
        <f t="shared" si="166"/>
        <v xml:space="preserve"> Party Condition 39.3  ,F.M% 0.4 ,Greenish 3.9 ,Moisture 5.7 ,Shortage in KG= 147  ,Oil% 39.31</v>
      </c>
      <c r="BP266" s="4">
        <f t="shared" si="161"/>
        <v>6676.9177584423842</v>
      </c>
      <c r="BX266" s="27">
        <v>39.35</v>
      </c>
      <c r="BY266" s="27">
        <v>39.31</v>
      </c>
    </row>
    <row r="267" spans="1:77" customFormat="1" ht="15.75" hidden="1" x14ac:dyDescent="0.3">
      <c r="A267" s="163" t="s">
        <v>516</v>
      </c>
      <c r="B267" s="166">
        <v>46129</v>
      </c>
      <c r="C267" s="163">
        <v>251</v>
      </c>
      <c r="D267" s="163" t="s">
        <v>535</v>
      </c>
      <c r="E267" s="166">
        <v>46129</v>
      </c>
      <c r="F267" s="163" t="s">
        <v>98</v>
      </c>
      <c r="G267" s="163" t="s">
        <v>99</v>
      </c>
      <c r="H267" s="163" t="s">
        <v>199</v>
      </c>
      <c r="I267" s="157"/>
      <c r="J267" s="163" t="s">
        <v>113</v>
      </c>
      <c r="K267" s="163">
        <v>0</v>
      </c>
      <c r="L267" s="166">
        <v>46125</v>
      </c>
      <c r="M267" s="157"/>
      <c r="N267" s="163">
        <v>52</v>
      </c>
      <c r="O267" s="166">
        <v>46128</v>
      </c>
      <c r="P267" s="157"/>
      <c r="Q267" s="163">
        <v>121</v>
      </c>
      <c r="R267" s="163">
        <v>380</v>
      </c>
      <c r="S267" s="163">
        <v>501</v>
      </c>
      <c r="T267" s="163">
        <v>0</v>
      </c>
      <c r="U267" s="163">
        <v>0</v>
      </c>
      <c r="V267" s="128"/>
      <c r="W267" s="128">
        <v>300.60000000000002</v>
      </c>
      <c r="X267" s="128">
        <v>303.3</v>
      </c>
      <c r="Y267" s="128">
        <v>2054630.06</v>
      </c>
      <c r="Z267" s="136"/>
      <c r="AA267" s="128">
        <v>51365.75</v>
      </c>
      <c r="AB267" s="128">
        <v>51365.75</v>
      </c>
      <c r="AC267" s="128">
        <v>2157361.56</v>
      </c>
      <c r="AD267" s="137">
        <f t="shared" si="167"/>
        <v>2155204.1984399999</v>
      </c>
      <c r="AE267" s="147">
        <v>39.75</v>
      </c>
      <c r="AF267" s="169">
        <v>39.46</v>
      </c>
      <c r="AG267" s="147">
        <v>39.630000000000003</v>
      </c>
      <c r="AH267" s="170">
        <v>4.7999999999999996E-3</v>
      </c>
      <c r="AI267" s="170">
        <v>4.1599999999999998E-2</v>
      </c>
      <c r="AJ267" s="170">
        <v>5.0999999999999997E-2</v>
      </c>
      <c r="AK267" s="137">
        <f t="shared" si="162"/>
        <v>0</v>
      </c>
      <c r="AL267" s="136">
        <f>501*0.5</f>
        <v>250.5</v>
      </c>
      <c r="AM267" s="136"/>
      <c r="AN267" s="136">
        <f>W267*0.2</f>
        <v>60.120000000000005</v>
      </c>
      <c r="AO267" s="140">
        <f t="shared" si="163"/>
        <v>6561.6928063872247</v>
      </c>
      <c r="AP267" s="136"/>
      <c r="AQ267" s="137">
        <v>0</v>
      </c>
      <c r="AR267" s="155">
        <f t="shared" si="164"/>
        <v>6872.3128063872246</v>
      </c>
      <c r="AS267" s="155">
        <f t="shared" si="165"/>
        <v>7216</v>
      </c>
      <c r="AT267" s="137">
        <v>96</v>
      </c>
      <c r="AU267" s="136"/>
      <c r="AV267" s="136"/>
      <c r="AW267" s="137">
        <f t="shared" si="151"/>
        <v>30060.000000000004</v>
      </c>
      <c r="AX267" s="136"/>
      <c r="AY267" s="137">
        <f t="shared" si="152"/>
        <v>30060.000000000004</v>
      </c>
      <c r="AZ267" s="137">
        <f t="shared" si="153"/>
        <v>30330</v>
      </c>
      <c r="BA267" s="142">
        <f t="shared" si="154"/>
        <v>-269.99999999999636</v>
      </c>
      <c r="BB267" s="137"/>
      <c r="BC267" s="137">
        <v>0</v>
      </c>
      <c r="BD267" s="136"/>
      <c r="BE267" s="128">
        <v>304.10000000000002</v>
      </c>
      <c r="BF267" s="143">
        <f t="shared" si="155"/>
        <v>0.45615</v>
      </c>
      <c r="BG267" s="143">
        <f t="shared" si="156"/>
        <v>303.64385000000004</v>
      </c>
      <c r="BH267" s="143">
        <f t="shared" si="157"/>
        <v>303.3</v>
      </c>
      <c r="BI267" s="144">
        <f t="shared" si="158"/>
        <v>80.000000000001137</v>
      </c>
      <c r="BJ267" s="144">
        <v>0</v>
      </c>
      <c r="BK267" s="137">
        <f t="shared" si="159"/>
        <v>80.000000000001137</v>
      </c>
      <c r="BL267" s="9"/>
      <c r="BM267" s="10" t="str">
        <f t="shared" si="160"/>
        <v>Unloading no. 251 Bill No 52 ,Deduction For Oil Deduction= 0 ,Bardana= 250.5 ,F.M=  Brokerage/Rate Difference 60.12 ,Shortage = 6561.69280638722 ,Greenish=  ,Moisture= 0</v>
      </c>
      <c r="BN267" s="9"/>
      <c r="BO267" s="13" t="str">
        <f t="shared" si="166"/>
        <v xml:space="preserve"> Party Condition 39.46  ,F.M% 0.48 ,Greenish 4.16 ,Moisture 5.1 ,Shortage in KG= 96  ,Oil% 39.63</v>
      </c>
      <c r="BP267" s="4">
        <f t="shared" si="161"/>
        <v>6751.5916491711596</v>
      </c>
      <c r="BX267" s="27">
        <v>39.75</v>
      </c>
      <c r="BY267" s="27">
        <v>39.630000000000003</v>
      </c>
    </row>
    <row r="268" spans="1:77" customFormat="1" ht="15.75" hidden="1" x14ac:dyDescent="0.3">
      <c r="A268" s="163" t="s">
        <v>517</v>
      </c>
      <c r="B268" s="166">
        <v>46129</v>
      </c>
      <c r="C268" s="163">
        <v>252</v>
      </c>
      <c r="D268" s="163" t="s">
        <v>536</v>
      </c>
      <c r="E268" s="166">
        <v>46129</v>
      </c>
      <c r="F268" s="163" t="s">
        <v>98</v>
      </c>
      <c r="G268" s="163" t="s">
        <v>99</v>
      </c>
      <c r="H268" s="163" t="s">
        <v>199</v>
      </c>
      <c r="I268" s="157"/>
      <c r="J268" s="163" t="s">
        <v>113</v>
      </c>
      <c r="K268" s="163">
        <v>0</v>
      </c>
      <c r="L268" s="166">
        <v>46125</v>
      </c>
      <c r="M268" s="157"/>
      <c r="N268" s="163">
        <v>53</v>
      </c>
      <c r="O268" s="166">
        <v>46128</v>
      </c>
      <c r="P268" s="157"/>
      <c r="Q268" s="163">
        <v>298</v>
      </c>
      <c r="R268" s="163">
        <v>200</v>
      </c>
      <c r="S268" s="163">
        <v>498</v>
      </c>
      <c r="T268" s="163">
        <v>0</v>
      </c>
      <c r="U268" s="163">
        <v>0</v>
      </c>
      <c r="V268" s="128"/>
      <c r="W268" s="128">
        <v>298.8</v>
      </c>
      <c r="X268" s="128">
        <v>303</v>
      </c>
      <c r="Y268" s="128">
        <v>2047173.42</v>
      </c>
      <c r="Z268" s="136"/>
      <c r="AA268" s="128">
        <v>51179.34</v>
      </c>
      <c r="AB268" s="128">
        <v>51179.34</v>
      </c>
      <c r="AC268" s="128">
        <v>2149532.09</v>
      </c>
      <c r="AD268" s="137">
        <f t="shared" si="167"/>
        <v>2147382.55791</v>
      </c>
      <c r="AE268" s="147">
        <v>40.04</v>
      </c>
      <c r="AF268" s="169">
        <v>39.54</v>
      </c>
      <c r="AG268" s="147">
        <v>40.01</v>
      </c>
      <c r="AH268" s="170">
        <v>4.4000000000000003E-3</v>
      </c>
      <c r="AI268" s="170">
        <v>0.04</v>
      </c>
      <c r="AJ268" s="170">
        <v>5.7000000000000002E-2</v>
      </c>
      <c r="AK268" s="137">
        <f t="shared" si="162"/>
        <v>0</v>
      </c>
      <c r="AL268" s="136">
        <f>498*0.5</f>
        <v>249</v>
      </c>
      <c r="AM268" s="136"/>
      <c r="AN268" s="165">
        <f>W268*0.11</f>
        <v>32.868000000000002</v>
      </c>
      <c r="AO268" s="140">
        <f t="shared" si="163"/>
        <v>0</v>
      </c>
      <c r="AP268" s="136"/>
      <c r="AQ268" s="137">
        <v>0</v>
      </c>
      <c r="AR268" s="155">
        <f t="shared" si="164"/>
        <v>281.86799999999999</v>
      </c>
      <c r="AS268" s="155">
        <f t="shared" si="165"/>
        <v>296</v>
      </c>
      <c r="AT268" s="137">
        <v>0</v>
      </c>
      <c r="AU268" s="136"/>
      <c r="AV268" s="136"/>
      <c r="AW268" s="137">
        <f t="shared" si="151"/>
        <v>29880</v>
      </c>
      <c r="AX268" s="136"/>
      <c r="AY268" s="137">
        <f t="shared" si="152"/>
        <v>29880</v>
      </c>
      <c r="AZ268" s="137">
        <f t="shared" si="153"/>
        <v>30300</v>
      </c>
      <c r="BA268" s="142">
        <f t="shared" si="154"/>
        <v>-420</v>
      </c>
      <c r="BB268" s="137"/>
      <c r="BC268" s="137">
        <v>0</v>
      </c>
      <c r="BD268" s="136"/>
      <c r="BE268" s="128">
        <v>303.3</v>
      </c>
      <c r="BF268" s="143">
        <f t="shared" si="155"/>
        <v>0.45494999999999997</v>
      </c>
      <c r="BG268" s="143">
        <f t="shared" si="156"/>
        <v>302.84505000000001</v>
      </c>
      <c r="BH268" s="143">
        <f t="shared" si="157"/>
        <v>303</v>
      </c>
      <c r="BI268" s="144">
        <f t="shared" si="158"/>
        <v>30.000000000001137</v>
      </c>
      <c r="BJ268" s="144">
        <v>0</v>
      </c>
      <c r="BK268" s="137">
        <f t="shared" si="159"/>
        <v>30.000000000001137</v>
      </c>
      <c r="BL268" s="9"/>
      <c r="BM268" s="10" t="str">
        <f t="shared" si="160"/>
        <v>Unloading no. 252 Bill No 53 ,Deduction For Oil Deduction= 0 ,Bardana= 249 ,F.M=  Brokerage/Rate Difference 32.868 ,Shortage = 0 ,Greenish=  ,Moisture= 0</v>
      </c>
      <c r="BN268" s="9"/>
      <c r="BO268" s="13" t="str">
        <f t="shared" si="166"/>
        <v xml:space="preserve"> Party Condition 39.54  ,F.M% 0.44 ,Greenish 4 ,Moisture 5.7 ,Shortage in KG= 0  ,Oil% 40.01</v>
      </c>
      <c r="BP268" s="4">
        <f t="shared" si="161"/>
        <v>6755.4176633663365</v>
      </c>
      <c r="BX268" s="27">
        <v>40.04</v>
      </c>
      <c r="BY268" s="27">
        <v>40.01</v>
      </c>
    </row>
    <row r="269" spans="1:77" customFormat="1" ht="15.75" hidden="1" x14ac:dyDescent="0.3">
      <c r="A269" s="163" t="s">
        <v>514</v>
      </c>
      <c r="B269" s="166">
        <v>46129</v>
      </c>
      <c r="C269" s="163">
        <v>253</v>
      </c>
      <c r="D269" s="163" t="s">
        <v>537</v>
      </c>
      <c r="E269" s="166">
        <v>46129</v>
      </c>
      <c r="F269" s="163" t="s">
        <v>104</v>
      </c>
      <c r="G269" s="163" t="s">
        <v>105</v>
      </c>
      <c r="H269" s="163" t="s">
        <v>106</v>
      </c>
      <c r="I269" s="157"/>
      <c r="J269" s="163" t="s">
        <v>113</v>
      </c>
      <c r="K269" s="163">
        <v>0</v>
      </c>
      <c r="L269" s="166">
        <v>46126</v>
      </c>
      <c r="M269" s="157"/>
      <c r="N269" s="163" t="s">
        <v>550</v>
      </c>
      <c r="O269" s="166">
        <v>46128</v>
      </c>
      <c r="P269" s="157"/>
      <c r="Q269" s="163">
        <v>550</v>
      </c>
      <c r="R269" s="163">
        <v>51</v>
      </c>
      <c r="S269" s="163">
        <v>601</v>
      </c>
      <c r="T269" s="163">
        <v>0</v>
      </c>
      <c r="U269" s="163">
        <v>0</v>
      </c>
      <c r="V269" s="128"/>
      <c r="W269" s="128">
        <v>300.5</v>
      </c>
      <c r="X269" s="128">
        <v>304</v>
      </c>
      <c r="Y269" s="128">
        <v>2001029.5</v>
      </c>
      <c r="Z269" s="136"/>
      <c r="AA269" s="128">
        <v>50025.74</v>
      </c>
      <c r="AB269" s="128">
        <v>50025.74</v>
      </c>
      <c r="AC269" s="128">
        <v>2101080.98</v>
      </c>
      <c r="AD269" s="137">
        <f t="shared" si="167"/>
        <v>2098979.8990199999</v>
      </c>
      <c r="AE269" s="147">
        <v>40.4</v>
      </c>
      <c r="AF269" s="169">
        <v>39.1</v>
      </c>
      <c r="AG269" s="147">
        <v>40.22</v>
      </c>
      <c r="AH269" s="170">
        <v>4.1999999999999997E-3</v>
      </c>
      <c r="AI269" s="170">
        <v>3.7999999999999999E-2</v>
      </c>
      <c r="AJ269" s="170">
        <v>5.5E-2</v>
      </c>
      <c r="AK269" s="137">
        <f t="shared" si="162"/>
        <v>0</v>
      </c>
      <c r="AL269" s="136">
        <f>601*2</f>
        <v>1202</v>
      </c>
      <c r="AM269" s="136"/>
      <c r="AN269" s="136"/>
      <c r="AO269" s="140">
        <f t="shared" si="163"/>
        <v>6725.59</v>
      </c>
      <c r="AP269" s="136"/>
      <c r="AQ269" s="137">
        <v>0</v>
      </c>
      <c r="AR269" s="155">
        <f t="shared" si="164"/>
        <v>7927.59</v>
      </c>
      <c r="AS269" s="155">
        <f t="shared" si="165"/>
        <v>8324</v>
      </c>
      <c r="AT269" s="137">
        <v>101</v>
      </c>
      <c r="AU269" s="136"/>
      <c r="AV269" s="136"/>
      <c r="AW269" s="137">
        <f t="shared" si="151"/>
        <v>30050</v>
      </c>
      <c r="AX269" s="136"/>
      <c r="AY269" s="137">
        <f t="shared" si="152"/>
        <v>30050</v>
      </c>
      <c r="AZ269" s="137">
        <f t="shared" si="153"/>
        <v>30400</v>
      </c>
      <c r="BA269" s="142">
        <f t="shared" si="154"/>
        <v>-350</v>
      </c>
      <c r="BB269" s="137"/>
      <c r="BC269" s="137">
        <v>0</v>
      </c>
      <c r="BD269" s="136"/>
      <c r="BE269" s="128">
        <v>305.05</v>
      </c>
      <c r="BF269" s="143">
        <f t="shared" ref="BF269:BF271" si="168">+BE269*0.15/100</f>
        <v>0.45757500000000001</v>
      </c>
      <c r="BG269" s="143">
        <f t="shared" ref="BG269:BG271" si="169">BE269-BF269</f>
        <v>304.59242499999999</v>
      </c>
      <c r="BH269" s="143">
        <f t="shared" ref="BH269:BH271" si="170">X269</f>
        <v>304</v>
      </c>
      <c r="BI269" s="144">
        <f t="shared" ref="BI269:BI271" si="171">(BE269-BH269)*100</f>
        <v>105.00000000000114</v>
      </c>
      <c r="BJ269" s="144">
        <v>0</v>
      </c>
      <c r="BK269" s="137">
        <f t="shared" ref="BK269:BK271" si="172">BI269</f>
        <v>105.00000000000114</v>
      </c>
      <c r="BL269" s="9"/>
      <c r="BM269" s="10" t="str">
        <f t="shared" ref="BM269:BM271" si="173">+$C$1&amp;" "&amp;C269 &amp;" "&amp;$N$1&amp;" "&amp;N269&amp;" "&amp;$BM$1&amp;" "&amp;$AK$1&amp;" "&amp;AK269&amp;" "&amp;$AL$1&amp;" "&amp;AL269&amp;" "&amp;$AM$1&amp;" "&amp;AM269&amp;" "&amp;$AN$1&amp;" "&amp;AN269&amp;" "&amp;$AO$1&amp;" "&amp;AO269&amp;" "&amp;$AP$1&amp;" "&amp;AP269&amp;" "&amp;$AQ$1&amp;" "&amp;AQ269</f>
        <v>Unloading no. 253 Bill No MTC/2026-27/073 ,Deduction For Oil Deduction= 0 ,Bardana= 1202 ,F.M=  Brokerage/Rate Difference  ,Shortage = 6725.59 ,Greenish=  ,Moisture= 0</v>
      </c>
      <c r="BN269" s="9"/>
      <c r="BO269" s="13" t="str">
        <f t="shared" si="166"/>
        <v xml:space="preserve"> Party Condition 39.1  ,F.M% 0.42 ,Greenish 3.8 ,Moisture 5.5 ,Shortage in KG= 101  ,Oil% 40.22</v>
      </c>
      <c r="BP269" s="4">
        <f t="shared" ref="BP269:BP271" si="174">(Y269-AR269)/X269</f>
        <v>6556.2562828947366</v>
      </c>
      <c r="BX269" s="27">
        <v>40.4</v>
      </c>
      <c r="BY269" s="27">
        <v>40.22</v>
      </c>
    </row>
    <row r="270" spans="1:77" customFormat="1" ht="15.75" hidden="1" x14ac:dyDescent="0.3">
      <c r="A270" s="128" t="s">
        <v>518</v>
      </c>
      <c r="B270" s="130">
        <v>46129</v>
      </c>
      <c r="C270" s="128">
        <v>254</v>
      </c>
      <c r="D270" s="128" t="s">
        <v>538</v>
      </c>
      <c r="E270" s="130">
        <v>46129</v>
      </c>
      <c r="F270" s="128" t="s">
        <v>98</v>
      </c>
      <c r="G270" s="128" t="s">
        <v>99</v>
      </c>
      <c r="H270" s="128" t="s">
        <v>199</v>
      </c>
      <c r="I270" s="136"/>
      <c r="J270" s="128" t="s">
        <v>113</v>
      </c>
      <c r="K270" s="128">
        <v>0</v>
      </c>
      <c r="L270" s="130">
        <v>46126</v>
      </c>
      <c r="M270" s="136"/>
      <c r="N270" s="128">
        <v>57</v>
      </c>
      <c r="O270" s="130">
        <v>46129</v>
      </c>
      <c r="P270" s="136"/>
      <c r="Q270" s="128">
        <v>400</v>
      </c>
      <c r="R270" s="128">
        <v>71</v>
      </c>
      <c r="S270" s="128">
        <v>471</v>
      </c>
      <c r="T270" s="128">
        <v>0</v>
      </c>
      <c r="U270" s="128">
        <v>0</v>
      </c>
      <c r="V270" s="128"/>
      <c r="W270" s="128">
        <v>282.60000000000002</v>
      </c>
      <c r="X270" s="128">
        <v>284.7</v>
      </c>
      <c r="Y270" s="128">
        <v>1914891.01</v>
      </c>
      <c r="Z270" s="136"/>
      <c r="AA270" s="128">
        <v>47872.28</v>
      </c>
      <c r="AB270" s="128">
        <v>47872.28</v>
      </c>
      <c r="AC270" s="128">
        <v>2010635.56</v>
      </c>
      <c r="AD270" s="137">
        <f t="shared" si="167"/>
        <v>2008624.92444</v>
      </c>
      <c r="AE270" s="147">
        <v>40.049999999999997</v>
      </c>
      <c r="AF270" s="169">
        <v>39.549999999999997</v>
      </c>
      <c r="AG270" s="147">
        <v>40</v>
      </c>
      <c r="AH270" s="170">
        <v>4.3E-3</v>
      </c>
      <c r="AI270" s="170">
        <v>0.04</v>
      </c>
      <c r="AJ270" s="170">
        <v>5.0999999999999997E-2</v>
      </c>
      <c r="AK270" s="137">
        <f t="shared" si="162"/>
        <v>0</v>
      </c>
      <c r="AL270" s="136">
        <f>471*0.5</f>
        <v>235.5</v>
      </c>
      <c r="AM270" s="136"/>
      <c r="AN270" s="165">
        <f>W270*0.49</f>
        <v>138.47400000000002</v>
      </c>
      <c r="AO270" s="140">
        <f t="shared" si="163"/>
        <v>9012.0489854918615</v>
      </c>
      <c r="AP270" s="136"/>
      <c r="AQ270" s="137">
        <v>0</v>
      </c>
      <c r="AR270" s="155">
        <f t="shared" si="164"/>
        <v>9386.0229854918616</v>
      </c>
      <c r="AS270" s="155">
        <f t="shared" si="165"/>
        <v>9855</v>
      </c>
      <c r="AT270" s="137">
        <v>133</v>
      </c>
      <c r="AU270" s="136"/>
      <c r="AV270" s="136"/>
      <c r="AW270" s="137">
        <f t="shared" si="151"/>
        <v>28260.000000000004</v>
      </c>
      <c r="AX270" s="136"/>
      <c r="AY270" s="137">
        <f t="shared" si="152"/>
        <v>28260.000000000004</v>
      </c>
      <c r="AZ270" s="137">
        <f t="shared" si="153"/>
        <v>28470</v>
      </c>
      <c r="BA270" s="142">
        <f t="shared" si="154"/>
        <v>-209.99999999999636</v>
      </c>
      <c r="BB270" s="137"/>
      <c r="BC270" s="137">
        <v>0</v>
      </c>
      <c r="BD270" s="136"/>
      <c r="BE270" s="128">
        <v>285.85000000000002</v>
      </c>
      <c r="BF270" s="143">
        <f t="shared" si="168"/>
        <v>0.42877500000000007</v>
      </c>
      <c r="BG270" s="143">
        <f t="shared" si="169"/>
        <v>285.42122500000005</v>
      </c>
      <c r="BH270" s="143">
        <f t="shared" si="170"/>
        <v>284.7</v>
      </c>
      <c r="BI270" s="144">
        <f t="shared" si="171"/>
        <v>115.00000000000341</v>
      </c>
      <c r="BJ270" s="144">
        <v>0</v>
      </c>
      <c r="BK270" s="137">
        <f t="shared" si="172"/>
        <v>115.00000000000341</v>
      </c>
      <c r="BL270" s="9"/>
      <c r="BM270" s="10" t="str">
        <f t="shared" si="173"/>
        <v>Unloading no. 254 Bill No 57 ,Deduction For Oil Deduction= 0 ,Bardana= 235.5 ,F.M=  Brokerage/Rate Difference 138.474 ,Shortage = 9012.04898549186 ,Greenish=  ,Moisture= 0</v>
      </c>
      <c r="BN270" s="9"/>
      <c r="BO270" s="13" t="str">
        <f t="shared" si="166"/>
        <v xml:space="preserve"> Party Condition 39.55  ,F.M% 0.43 ,Greenish 4 ,Moisture 5.1 ,Shortage in KG= 133  ,Oil% 40</v>
      </c>
      <c r="BP270" s="4">
        <f t="shared" si="174"/>
        <v>6693.02770289606</v>
      </c>
      <c r="BX270" s="27">
        <v>40.049999999999997</v>
      </c>
      <c r="BY270" s="27">
        <v>40</v>
      </c>
    </row>
    <row r="271" spans="1:77" customFormat="1" ht="15.75" hidden="1" x14ac:dyDescent="0.3">
      <c r="A271" s="128" t="s">
        <v>519</v>
      </c>
      <c r="B271" s="130">
        <v>46129</v>
      </c>
      <c r="C271" s="128">
        <v>255</v>
      </c>
      <c r="D271" s="128" t="s">
        <v>539</v>
      </c>
      <c r="E271" s="130">
        <v>46129</v>
      </c>
      <c r="F271" s="128" t="s">
        <v>98</v>
      </c>
      <c r="G271" s="128" t="s">
        <v>99</v>
      </c>
      <c r="H271" s="128" t="s">
        <v>199</v>
      </c>
      <c r="I271" s="136"/>
      <c r="J271" s="128" t="s">
        <v>113</v>
      </c>
      <c r="K271" s="128">
        <v>0</v>
      </c>
      <c r="L271" s="130">
        <v>46126</v>
      </c>
      <c r="M271" s="136"/>
      <c r="N271" s="128">
        <v>58</v>
      </c>
      <c r="O271" s="130">
        <v>46129</v>
      </c>
      <c r="P271" s="136"/>
      <c r="Q271" s="128">
        <v>400</v>
      </c>
      <c r="R271" s="128">
        <v>94</v>
      </c>
      <c r="S271" s="128">
        <v>494</v>
      </c>
      <c r="T271" s="128">
        <v>0</v>
      </c>
      <c r="U271" s="128">
        <v>0</v>
      </c>
      <c r="V271" s="128"/>
      <c r="W271" s="128">
        <v>296.39999999999998</v>
      </c>
      <c r="X271" s="128">
        <v>297.5</v>
      </c>
      <c r="Y271" s="128">
        <v>1996321.18</v>
      </c>
      <c r="Z271" s="136"/>
      <c r="AA271" s="128">
        <v>49908.03</v>
      </c>
      <c r="AB271" s="128">
        <v>49908.03</v>
      </c>
      <c r="AC271" s="128">
        <v>2096137.24</v>
      </c>
      <c r="AD271" s="137">
        <f t="shared" si="167"/>
        <v>2094041.1027599999</v>
      </c>
      <c r="AE271" s="147">
        <v>39.85</v>
      </c>
      <c r="AF271" s="169">
        <v>39.14</v>
      </c>
      <c r="AG271" s="147">
        <v>39.630000000000003</v>
      </c>
      <c r="AH271" s="170">
        <v>4.1999999999999997E-3</v>
      </c>
      <c r="AI271" s="170">
        <v>4.2000000000000003E-2</v>
      </c>
      <c r="AJ271" s="170">
        <v>0.05</v>
      </c>
      <c r="AK271" s="137">
        <f t="shared" si="162"/>
        <v>0</v>
      </c>
      <c r="AL271" s="136">
        <f>494*0.5</f>
        <v>247</v>
      </c>
      <c r="AM271" s="136"/>
      <c r="AN271" s="165">
        <f>W271*0.69</f>
        <v>204.51599999999996</v>
      </c>
      <c r="AO271" s="140">
        <f t="shared" si="163"/>
        <v>16905.41889946019</v>
      </c>
      <c r="AP271" s="136"/>
      <c r="AQ271" s="137">
        <v>0</v>
      </c>
      <c r="AR271" s="155">
        <f t="shared" si="164"/>
        <v>17356.93489946019</v>
      </c>
      <c r="AS271" s="155">
        <f t="shared" si="165"/>
        <v>18225</v>
      </c>
      <c r="AT271" s="137">
        <v>251</v>
      </c>
      <c r="AU271" s="136"/>
      <c r="AV271" s="136"/>
      <c r="AW271" s="137">
        <f t="shared" si="151"/>
        <v>29639.999999999996</v>
      </c>
      <c r="AX271" s="136"/>
      <c r="AY271" s="137">
        <f t="shared" si="152"/>
        <v>29639.999999999996</v>
      </c>
      <c r="AZ271" s="137">
        <f t="shared" si="153"/>
        <v>29750</v>
      </c>
      <c r="BA271" s="142">
        <f t="shared" si="154"/>
        <v>-110.00000000000364</v>
      </c>
      <c r="BB271" s="137"/>
      <c r="BC271" s="137">
        <v>0</v>
      </c>
      <c r="BD271" s="136"/>
      <c r="BE271" s="128">
        <v>298.2</v>
      </c>
      <c r="BF271" s="143">
        <f t="shared" si="168"/>
        <v>0.44729999999999998</v>
      </c>
      <c r="BG271" s="143">
        <f t="shared" si="169"/>
        <v>297.7527</v>
      </c>
      <c r="BH271" s="143">
        <f t="shared" si="170"/>
        <v>297.5</v>
      </c>
      <c r="BI271" s="144">
        <f t="shared" si="171"/>
        <v>69.999999999998863</v>
      </c>
      <c r="BJ271" s="144">
        <v>0</v>
      </c>
      <c r="BK271" s="137">
        <f t="shared" si="172"/>
        <v>69.999999999998863</v>
      </c>
      <c r="BL271" s="9"/>
      <c r="BM271" s="10" t="str">
        <f t="shared" si="173"/>
        <v>Unloading no. 255 Bill No 58 ,Deduction For Oil Deduction= 0 ,Bardana= 247 ,F.M=  Brokerage/Rate Difference 204.516 ,Shortage = 16905.4188994602 ,Greenish=  ,Moisture= 0</v>
      </c>
      <c r="BN271" s="9"/>
      <c r="BO271" s="13" t="str">
        <f t="shared" si="166"/>
        <v xml:space="preserve"> Party Condition 39.14  ,F.M% 0.42 ,Greenish 4.2 ,Moisture 5 ,Shortage in KG= 251  ,Oil% 39.63</v>
      </c>
      <c r="BP271" s="4">
        <f t="shared" si="174"/>
        <v>6651.9806558001328</v>
      </c>
      <c r="BX271" s="30">
        <v>39.85</v>
      </c>
      <c r="BY271" s="27">
        <v>39.630000000000003</v>
      </c>
    </row>
    <row r="272" spans="1:77" customFormat="1" ht="15.75" hidden="1" x14ac:dyDescent="0.3">
      <c r="A272" s="128" t="s">
        <v>552</v>
      </c>
      <c r="B272" s="130">
        <v>46126</v>
      </c>
      <c r="C272" s="128">
        <v>256</v>
      </c>
      <c r="D272" s="128" t="s">
        <v>564</v>
      </c>
      <c r="E272" s="130">
        <v>46130</v>
      </c>
      <c r="F272" s="128" t="s">
        <v>98</v>
      </c>
      <c r="G272" s="163" t="s">
        <v>99</v>
      </c>
      <c r="H272" s="128" t="s">
        <v>100</v>
      </c>
      <c r="I272" s="136"/>
      <c r="J272" s="128" t="s">
        <v>113</v>
      </c>
      <c r="K272" s="128">
        <v>0</v>
      </c>
      <c r="L272" s="130">
        <v>46126</v>
      </c>
      <c r="M272" s="136"/>
      <c r="N272" s="163">
        <v>59</v>
      </c>
      <c r="O272" s="130">
        <v>46129</v>
      </c>
      <c r="P272" s="128">
        <v>0</v>
      </c>
      <c r="Q272" s="128">
        <v>359</v>
      </c>
      <c r="R272" s="128">
        <v>100</v>
      </c>
      <c r="S272" s="128">
        <v>459</v>
      </c>
      <c r="T272" s="128">
        <v>0</v>
      </c>
      <c r="U272" s="128">
        <v>0</v>
      </c>
      <c r="V272" s="128"/>
      <c r="W272" s="169">
        <v>275.39999999999998</v>
      </c>
      <c r="X272" s="169">
        <v>278.2</v>
      </c>
      <c r="Y272" s="169">
        <v>1857304.94</v>
      </c>
      <c r="Z272" s="165"/>
      <c r="AA272" s="169">
        <v>46432.62</v>
      </c>
      <c r="AB272" s="169">
        <v>46432.62</v>
      </c>
      <c r="AC272" s="169">
        <v>1950170.19</v>
      </c>
      <c r="AD272" s="143">
        <f t="shared" si="167"/>
        <v>1948220.01981</v>
      </c>
      <c r="AE272" s="147">
        <v>39.9</v>
      </c>
      <c r="AF272" s="169">
        <v>39.130000000000003</v>
      </c>
      <c r="AG272" s="147">
        <v>39.950000000000003</v>
      </c>
      <c r="AH272" s="170">
        <v>4.1000000000000003E-3</v>
      </c>
      <c r="AI272" s="170">
        <v>3.5000000000000003E-2</v>
      </c>
      <c r="AJ272" s="170">
        <v>4.9000000000000002E-2</v>
      </c>
      <c r="AK272" s="137">
        <f t="shared" ref="AK272" si="175">+IF(AF272=42,IF(MIN(AE272,AG272)&lt;AF272,Y272*((AF272-MIN(AE272,AG272))/AF272)),IF(MIN(AE272,AG272)&lt;AF272,Y272*((AF272-MIN(AE272,AG272))/AF272),0))</f>
        <v>0</v>
      </c>
      <c r="AL272" s="136">
        <f>459*0.5</f>
        <v>229.5</v>
      </c>
      <c r="AM272" s="136"/>
      <c r="AN272" s="165">
        <f>W272*0.56</f>
        <v>154.22399999999999</v>
      </c>
      <c r="AO272" s="140">
        <f t="shared" ref="AO272" si="176">AT272*Y272/AW272</f>
        <v>3709.2146586782869</v>
      </c>
      <c r="AP272" s="136"/>
      <c r="AQ272" s="137">
        <v>0</v>
      </c>
      <c r="AR272" s="155">
        <f t="shared" ref="AR272" si="177">SUM(AK272:AQ272)</f>
        <v>4092.9386586782871</v>
      </c>
      <c r="AS272" s="155">
        <f t="shared" ref="AS272" si="178">ROUND(AR272*1.05,0)</f>
        <v>4298</v>
      </c>
      <c r="AT272" s="137">
        <v>55</v>
      </c>
      <c r="AU272" s="136"/>
      <c r="AV272" s="136"/>
      <c r="AW272" s="137">
        <f t="shared" ref="AW272:AW302" si="179">W272*100</f>
        <v>27539.999999999996</v>
      </c>
      <c r="AX272" s="136"/>
      <c r="AY272" s="137">
        <f t="shared" ref="AY272:AY302" si="180">+AW272+AX272</f>
        <v>27539.999999999996</v>
      </c>
      <c r="AZ272" s="137">
        <f t="shared" ref="AZ272:AZ302" si="181">X272*100</f>
        <v>27820</v>
      </c>
      <c r="BA272" s="142">
        <f t="shared" ref="BA272:BA302" si="182">AY272-AZ272</f>
        <v>-280.00000000000364</v>
      </c>
      <c r="BB272" s="137"/>
      <c r="BC272" s="137">
        <v>0</v>
      </c>
      <c r="BD272" s="136"/>
      <c r="BE272" s="128">
        <v>278.89999999999998</v>
      </c>
      <c r="BF272" s="143">
        <f t="shared" ref="BF272:BF302" si="183">+BE272*0.15/100</f>
        <v>0.41834999999999994</v>
      </c>
      <c r="BG272" s="143">
        <f t="shared" ref="BG272:BG302" si="184">BE272-BF272</f>
        <v>278.48165</v>
      </c>
      <c r="BH272" s="143">
        <f t="shared" ref="BH272:BH302" si="185">X272</f>
        <v>278.2</v>
      </c>
      <c r="BI272" s="144">
        <f t="shared" ref="BI272:BI302" si="186">(BE272-BH272)*100</f>
        <v>69.999999999998863</v>
      </c>
      <c r="BJ272" s="144">
        <v>0</v>
      </c>
      <c r="BK272" s="137">
        <f t="shared" ref="BK272:BK302" si="187">BI272</f>
        <v>69.999999999998863</v>
      </c>
      <c r="BL272" s="9"/>
      <c r="BM272" s="16" t="str">
        <f t="shared" ref="BM272:BM302" si="188">+$C$1&amp;" "&amp;C272 &amp;" "&amp;$N$1&amp;" "&amp;N272&amp;" "&amp;$BM$1&amp;" "&amp;$AK$1&amp;" "&amp;AK272&amp;" "&amp;$AL$1&amp;" "&amp;AL272&amp;" "&amp;$AM$1&amp;" "&amp;AM272&amp;" "&amp;$AN$1&amp;" "&amp;AN272&amp;" "&amp;$AO$1&amp;" "&amp;AO272&amp;" "&amp;$AP$1&amp;" "&amp;AP272&amp;" "&amp;$AQ$1&amp;" "&amp;AQ272</f>
        <v>Unloading no. 256 Bill No 59 ,Deduction For Oil Deduction= 0 ,Bardana= 229.5 ,F.M=  Brokerage/Rate Difference 154.224 ,Shortage = 3709.21465867829 ,Greenish=  ,Moisture= 0</v>
      </c>
      <c r="BN272" s="9"/>
      <c r="BO272" s="13" t="str">
        <f t="shared" si="166"/>
        <v xml:space="preserve"> Party Condition 39.13  ,F.M% 0.41 ,Greenish 3.5 ,Moisture 4.9 ,Shortage in KG= 55  ,Oil% 39.9</v>
      </c>
      <c r="BP272" s="4">
        <f t="shared" ref="BP272:BP302" si="189">(Y272-AR272)/X272</f>
        <v>6661.4378193433568</v>
      </c>
      <c r="BX272" s="27">
        <v>39.9</v>
      </c>
      <c r="BY272" s="27">
        <v>39.950000000000003</v>
      </c>
    </row>
    <row r="273" spans="1:77" customFormat="1" ht="15.75" hidden="1" x14ac:dyDescent="0.3">
      <c r="A273" s="128" t="s">
        <v>514</v>
      </c>
      <c r="B273" s="130">
        <v>46126</v>
      </c>
      <c r="C273" s="128">
        <v>257</v>
      </c>
      <c r="D273" s="128" t="s">
        <v>565</v>
      </c>
      <c r="E273" s="130">
        <v>46130</v>
      </c>
      <c r="F273" s="128" t="s">
        <v>104</v>
      </c>
      <c r="G273" s="163" t="s">
        <v>105</v>
      </c>
      <c r="H273" s="128" t="s">
        <v>106</v>
      </c>
      <c r="I273" s="136"/>
      <c r="J273" s="128" t="s">
        <v>113</v>
      </c>
      <c r="K273" s="128">
        <v>0</v>
      </c>
      <c r="L273" s="130">
        <v>46126</v>
      </c>
      <c r="M273" s="136"/>
      <c r="N273" s="163" t="s">
        <v>580</v>
      </c>
      <c r="O273" s="130">
        <v>46128</v>
      </c>
      <c r="P273" s="128">
        <v>0</v>
      </c>
      <c r="Q273" s="128">
        <v>439</v>
      </c>
      <c r="R273" s="128">
        <v>150</v>
      </c>
      <c r="S273" s="128">
        <v>589</v>
      </c>
      <c r="T273" s="128">
        <v>0</v>
      </c>
      <c r="U273" s="128">
        <v>0</v>
      </c>
      <c r="V273" s="128"/>
      <c r="W273" s="169">
        <v>294.5</v>
      </c>
      <c r="X273" s="169">
        <v>298.89999999999998</v>
      </c>
      <c r="Y273" s="169">
        <v>1961075.5</v>
      </c>
      <c r="Z273" s="165"/>
      <c r="AA273" s="169">
        <v>49026.89</v>
      </c>
      <c r="AB273" s="169">
        <v>49026.89</v>
      </c>
      <c r="AC273" s="169">
        <v>2059129.28</v>
      </c>
      <c r="AD273" s="143">
        <f t="shared" si="167"/>
        <v>2057070.15072</v>
      </c>
      <c r="AE273" s="147">
        <v>40.11</v>
      </c>
      <c r="AF273" s="169">
        <v>39.1</v>
      </c>
      <c r="AG273" s="147">
        <v>40.04</v>
      </c>
      <c r="AH273" s="170">
        <v>4.0000000000000001E-3</v>
      </c>
      <c r="AI273" s="170">
        <v>3.9E-2</v>
      </c>
      <c r="AJ273" s="170">
        <v>5.3999999999999999E-2</v>
      </c>
      <c r="AK273" s="137">
        <f t="shared" ref="AK273:AK296" si="190">+IF(AF273=42,IF(MIN(AE273,AG273)&lt;AF273,Y273*((AF273-MIN(AE273,AG273))/AF273)),IF(MIN(AE273,AG273)&lt;AF273,Y273*((AF273-MIN(AE273,AG273))/AF273),0))</f>
        <v>0</v>
      </c>
      <c r="AL273" s="136">
        <f>589*2</f>
        <v>1178</v>
      </c>
      <c r="AM273" s="136"/>
      <c r="AN273" s="165">
        <v>0</v>
      </c>
      <c r="AO273" s="156">
        <f t="shared" ref="AO273:AO296" si="191">AT273*Y273/AW273</f>
        <v>133.18</v>
      </c>
      <c r="AP273" s="136"/>
      <c r="AQ273" s="137">
        <v>0</v>
      </c>
      <c r="AR273" s="155">
        <f t="shared" ref="AR273:AR296" si="192">SUM(AK273:AQ273)</f>
        <v>1311.18</v>
      </c>
      <c r="AS273" s="155">
        <f t="shared" ref="AS273:AS296" si="193">ROUND(AR273*1.05,0)</f>
        <v>1377</v>
      </c>
      <c r="AT273" s="137">
        <v>2</v>
      </c>
      <c r="AU273" s="136"/>
      <c r="AV273" s="136"/>
      <c r="AW273" s="137">
        <f t="shared" si="179"/>
        <v>29450</v>
      </c>
      <c r="AX273" s="136"/>
      <c r="AY273" s="137">
        <f t="shared" si="180"/>
        <v>29450</v>
      </c>
      <c r="AZ273" s="137">
        <f t="shared" si="181"/>
        <v>29889.999999999996</v>
      </c>
      <c r="BA273" s="142">
        <f t="shared" si="182"/>
        <v>-439.99999999999636</v>
      </c>
      <c r="BB273" s="137"/>
      <c r="BC273" s="137">
        <v>0</v>
      </c>
      <c r="BD273" s="136"/>
      <c r="BE273" s="128">
        <v>299.25</v>
      </c>
      <c r="BF273" s="143">
        <f t="shared" si="183"/>
        <v>0.44887499999999997</v>
      </c>
      <c r="BG273" s="143">
        <f t="shared" si="184"/>
        <v>298.80112500000001</v>
      </c>
      <c r="BH273" s="143">
        <f t="shared" si="185"/>
        <v>298.89999999999998</v>
      </c>
      <c r="BI273" s="144">
        <f t="shared" si="186"/>
        <v>35.000000000002274</v>
      </c>
      <c r="BJ273" s="144">
        <v>0</v>
      </c>
      <c r="BK273" s="137">
        <f t="shared" si="187"/>
        <v>35.000000000002274</v>
      </c>
      <c r="BL273" s="9"/>
      <c r="BM273" s="16" t="str">
        <f t="shared" si="188"/>
        <v>Unloading no. 257 Bill No MTC/2026-27/074 ,Deduction For Oil Deduction= 0 ,Bardana= 1178 ,F.M=  Brokerage/Rate Difference 0 ,Shortage = 133.18 ,Greenish=  ,Moisture= 0</v>
      </c>
      <c r="BN273" s="9"/>
      <c r="BO273" s="13" t="str">
        <f t="shared" si="166"/>
        <v xml:space="preserve"> Party Condition 39.1  ,F.M% 0.4 ,Greenish 3.9 ,Moisture 5.4 ,Shortage in KG= 2  ,Oil% 40.04</v>
      </c>
      <c r="BP273" s="4">
        <f t="shared" si="189"/>
        <v>6556.58855804617</v>
      </c>
      <c r="BX273" s="27">
        <v>40.11</v>
      </c>
      <c r="BY273" s="27">
        <v>40.04</v>
      </c>
    </row>
    <row r="274" spans="1:77" customFormat="1" ht="15.75" hidden="1" x14ac:dyDescent="0.3">
      <c r="A274" s="128" t="s">
        <v>553</v>
      </c>
      <c r="B274" s="130">
        <v>46129</v>
      </c>
      <c r="C274" s="128">
        <v>258</v>
      </c>
      <c r="D274" s="128" t="s">
        <v>566</v>
      </c>
      <c r="E274" s="130">
        <v>46130</v>
      </c>
      <c r="F274" s="128" t="s">
        <v>200</v>
      </c>
      <c r="G274" s="163" t="s">
        <v>201</v>
      </c>
      <c r="H274" s="128" t="s">
        <v>202</v>
      </c>
      <c r="I274" s="136"/>
      <c r="J274" s="128" t="s">
        <v>113</v>
      </c>
      <c r="K274" s="128">
        <v>0</v>
      </c>
      <c r="L274" s="130">
        <v>46129</v>
      </c>
      <c r="M274" s="136"/>
      <c r="N274" s="163">
        <v>32</v>
      </c>
      <c r="O274" s="130">
        <v>46129</v>
      </c>
      <c r="P274" s="128">
        <v>0</v>
      </c>
      <c r="Q274" s="128">
        <v>423</v>
      </c>
      <c r="R274" s="128">
        <v>150</v>
      </c>
      <c r="S274" s="128">
        <v>573</v>
      </c>
      <c r="T274" s="128">
        <v>0</v>
      </c>
      <c r="U274" s="128">
        <v>0</v>
      </c>
      <c r="V274" s="128"/>
      <c r="W274" s="169">
        <v>343.8</v>
      </c>
      <c r="X274" s="169">
        <v>347.1</v>
      </c>
      <c r="Y274" s="169">
        <v>2340436.84</v>
      </c>
      <c r="Z274" s="165"/>
      <c r="AA274" s="169">
        <v>58510.92</v>
      </c>
      <c r="AB274" s="169">
        <v>58510.92</v>
      </c>
      <c r="AC274" s="169">
        <v>2457458.6800000002</v>
      </c>
      <c r="AD274" s="143">
        <f t="shared" si="167"/>
        <v>2455001.22132</v>
      </c>
      <c r="AE274" s="147">
        <v>39.65</v>
      </c>
      <c r="AF274" s="169">
        <v>39.5</v>
      </c>
      <c r="AG274" s="147">
        <v>39.53</v>
      </c>
      <c r="AH274" s="170">
        <v>4.0000000000000001E-3</v>
      </c>
      <c r="AI274" s="170">
        <v>0.04</v>
      </c>
      <c r="AJ274" s="170">
        <v>5.6000000000000001E-2</v>
      </c>
      <c r="AK274" s="137">
        <f t="shared" si="190"/>
        <v>0</v>
      </c>
      <c r="AL274" s="136">
        <f>573*6</f>
        <v>3438</v>
      </c>
      <c r="AM274" s="136"/>
      <c r="AN274" s="165">
        <v>0</v>
      </c>
      <c r="AO274" s="156">
        <f t="shared" si="191"/>
        <v>3063.3990052356021</v>
      </c>
      <c r="AP274" s="136"/>
      <c r="AQ274" s="137">
        <v>0</v>
      </c>
      <c r="AR274" s="155">
        <f t="shared" si="192"/>
        <v>6501.3990052356021</v>
      </c>
      <c r="AS274" s="155">
        <f t="shared" si="193"/>
        <v>6826</v>
      </c>
      <c r="AT274" s="137">
        <v>45</v>
      </c>
      <c r="AU274" s="136" t="s">
        <v>585</v>
      </c>
      <c r="AV274" s="136"/>
      <c r="AW274" s="137">
        <f t="shared" si="179"/>
        <v>34380</v>
      </c>
      <c r="AX274" s="136"/>
      <c r="AY274" s="137">
        <f t="shared" si="180"/>
        <v>34380</v>
      </c>
      <c r="AZ274" s="137">
        <f t="shared" si="181"/>
        <v>34710</v>
      </c>
      <c r="BA274" s="142">
        <f t="shared" si="182"/>
        <v>-330</v>
      </c>
      <c r="BB274" s="137"/>
      <c r="BC274" s="137">
        <v>0</v>
      </c>
      <c r="BD274" s="136"/>
      <c r="BE274" s="128">
        <v>347.35</v>
      </c>
      <c r="BF274" s="143">
        <f t="shared" si="183"/>
        <v>0.52102499999999996</v>
      </c>
      <c r="BG274" s="143">
        <f t="shared" si="184"/>
        <v>346.82897500000001</v>
      </c>
      <c r="BH274" s="143">
        <f t="shared" si="185"/>
        <v>347.1</v>
      </c>
      <c r="BI274" s="144">
        <f t="shared" si="186"/>
        <v>25</v>
      </c>
      <c r="BJ274" s="144">
        <v>0</v>
      </c>
      <c r="BK274" s="137">
        <f t="shared" si="187"/>
        <v>25</v>
      </c>
      <c r="BL274" s="9"/>
      <c r="BM274" s="16" t="str">
        <f t="shared" si="188"/>
        <v>Unloading no. 258 Bill No 32 ,Deduction For Oil Deduction= 0 ,Bardana= 3438 ,F.M=  Brokerage/Rate Difference 0 ,Shortage = 3063.3990052356 ,Greenish=  ,Moisture= 0</v>
      </c>
      <c r="BN274" s="9"/>
      <c r="BO274" s="13" t="str">
        <f t="shared" si="166"/>
        <v xml:space="preserve"> Party Condition 39.5  ,F.M% 0.4 ,Greenish 4 ,Moisture 5.6 ,Shortage in KG= 45  ,Oil% 39.53</v>
      </c>
      <c r="BP274" s="4">
        <f t="shared" si="189"/>
        <v>6724.1009536005877</v>
      </c>
      <c r="BX274" s="27">
        <v>39.65</v>
      </c>
      <c r="BY274" s="27">
        <v>39.53</v>
      </c>
    </row>
    <row r="275" spans="1:77" customFormat="1" ht="15.75" hidden="1" x14ac:dyDescent="0.3">
      <c r="A275" s="128" t="s">
        <v>554</v>
      </c>
      <c r="B275" s="130">
        <v>46129</v>
      </c>
      <c r="C275" s="128">
        <v>259</v>
      </c>
      <c r="D275" s="128" t="s">
        <v>567</v>
      </c>
      <c r="E275" s="130">
        <v>46130</v>
      </c>
      <c r="F275" s="128" t="s">
        <v>436</v>
      </c>
      <c r="G275" s="163" t="s">
        <v>437</v>
      </c>
      <c r="H275" s="128" t="s">
        <v>438</v>
      </c>
      <c r="I275" s="136"/>
      <c r="J275" s="128" t="s">
        <v>113</v>
      </c>
      <c r="K275" s="128">
        <v>0</v>
      </c>
      <c r="L275" s="130">
        <v>46129</v>
      </c>
      <c r="M275" s="136"/>
      <c r="N275" s="163">
        <v>48</v>
      </c>
      <c r="O275" s="130">
        <v>46129</v>
      </c>
      <c r="P275" s="128">
        <v>0</v>
      </c>
      <c r="Q275" s="128">
        <v>452</v>
      </c>
      <c r="R275" s="128">
        <v>50</v>
      </c>
      <c r="S275" s="128">
        <v>502</v>
      </c>
      <c r="T275" s="128">
        <v>0</v>
      </c>
      <c r="U275" s="128">
        <v>0</v>
      </c>
      <c r="V275" s="128"/>
      <c r="W275" s="169">
        <v>301.2</v>
      </c>
      <c r="X275" s="169">
        <v>305.39999999999998</v>
      </c>
      <c r="Y275" s="169">
        <v>2037730.45</v>
      </c>
      <c r="Z275" s="165"/>
      <c r="AA275" s="169">
        <v>50943.26</v>
      </c>
      <c r="AB275" s="169">
        <v>50943.26</v>
      </c>
      <c r="AC275" s="169">
        <v>2139616.9700000002</v>
      </c>
      <c r="AD275" s="143">
        <f t="shared" si="167"/>
        <v>2137477.3530300003</v>
      </c>
      <c r="AE275" s="147">
        <v>40.46</v>
      </c>
      <c r="AF275" s="169">
        <v>39.4</v>
      </c>
      <c r="AG275" s="147">
        <v>40.409999999999997</v>
      </c>
      <c r="AH275" s="170">
        <v>4.4999999999999997E-3</v>
      </c>
      <c r="AI275" s="170">
        <v>3.6999999999999998E-2</v>
      </c>
      <c r="AJ275" s="170">
        <v>5.3999999999999999E-2</v>
      </c>
      <c r="AK275" s="137">
        <f t="shared" si="190"/>
        <v>0</v>
      </c>
      <c r="AL275" s="136">
        <v>0</v>
      </c>
      <c r="AM275" s="136"/>
      <c r="AN275" s="165">
        <v>0</v>
      </c>
      <c r="AO275" s="156">
        <f t="shared" si="191"/>
        <v>1014.8060009960159</v>
      </c>
      <c r="AP275" s="136"/>
      <c r="AQ275" s="137">
        <v>0</v>
      </c>
      <c r="AR275" s="155">
        <f t="shared" si="192"/>
        <v>1014.8060009960159</v>
      </c>
      <c r="AS275" s="155">
        <f t="shared" si="193"/>
        <v>1066</v>
      </c>
      <c r="AT275" s="137">
        <v>15</v>
      </c>
      <c r="AU275" s="136" t="s">
        <v>584</v>
      </c>
      <c r="AV275" s="136"/>
      <c r="AW275" s="137">
        <f t="shared" si="179"/>
        <v>30120</v>
      </c>
      <c r="AX275" s="136"/>
      <c r="AY275" s="137">
        <f t="shared" si="180"/>
        <v>30120</v>
      </c>
      <c r="AZ275" s="137">
        <f t="shared" si="181"/>
        <v>30539.999999999996</v>
      </c>
      <c r="BA275" s="142">
        <f t="shared" si="182"/>
        <v>-419.99999999999636</v>
      </c>
      <c r="BB275" s="137"/>
      <c r="BC275" s="137">
        <v>0</v>
      </c>
      <c r="BD275" s="136"/>
      <c r="BE275" s="128">
        <v>306.14999999999998</v>
      </c>
      <c r="BF275" s="143">
        <f t="shared" si="183"/>
        <v>0.45922499999999994</v>
      </c>
      <c r="BG275" s="143">
        <f t="shared" si="184"/>
        <v>305.69077499999997</v>
      </c>
      <c r="BH275" s="143">
        <f t="shared" si="185"/>
        <v>305.39999999999998</v>
      </c>
      <c r="BI275" s="144">
        <f t="shared" si="186"/>
        <v>75</v>
      </c>
      <c r="BJ275" s="144">
        <v>0</v>
      </c>
      <c r="BK275" s="137">
        <f t="shared" si="187"/>
        <v>75</v>
      </c>
      <c r="BL275" s="9"/>
      <c r="BM275" s="16" t="str">
        <f t="shared" si="188"/>
        <v>Unloading no. 259 Bill No 48 ,Deduction For Oil Deduction= 0 ,Bardana= 0 ,F.M=  Brokerage/Rate Difference 0 ,Shortage = 1014.80600099602 ,Greenish=  ,Moisture= 0</v>
      </c>
      <c r="BN275" s="9"/>
      <c r="BO275" s="13" t="str">
        <f t="shared" si="166"/>
        <v xml:space="preserve"> Party Condition 39.4  ,F.M% 0.45 ,Greenish 3.7 ,Moisture 5.4 ,Shortage in KG= 15  ,Oil% 40.41</v>
      </c>
      <c r="BP275" s="4">
        <f t="shared" si="189"/>
        <v>6669.0099672527967</v>
      </c>
      <c r="BX275" s="27">
        <v>40.46</v>
      </c>
      <c r="BY275" s="27">
        <v>40.409999999999997</v>
      </c>
    </row>
    <row r="276" spans="1:77" customFormat="1" ht="15.75" hidden="1" x14ac:dyDescent="0.3">
      <c r="A276" s="128" t="s">
        <v>555</v>
      </c>
      <c r="B276" s="130">
        <v>46129</v>
      </c>
      <c r="C276" s="128">
        <v>260</v>
      </c>
      <c r="D276" s="128" t="s">
        <v>568</v>
      </c>
      <c r="E276" s="130">
        <v>46130</v>
      </c>
      <c r="F276" s="128" t="s">
        <v>436</v>
      </c>
      <c r="G276" s="163" t="s">
        <v>437</v>
      </c>
      <c r="H276" s="128" t="s">
        <v>438</v>
      </c>
      <c r="I276" s="136"/>
      <c r="J276" s="128" t="s">
        <v>113</v>
      </c>
      <c r="K276" s="128">
        <v>0</v>
      </c>
      <c r="L276" s="130">
        <v>46129</v>
      </c>
      <c r="M276" s="136"/>
      <c r="N276" s="163">
        <v>49</v>
      </c>
      <c r="O276" s="130">
        <v>46129</v>
      </c>
      <c r="P276" s="128">
        <v>0</v>
      </c>
      <c r="Q276" s="128">
        <v>500</v>
      </c>
      <c r="R276" s="128">
        <v>60</v>
      </c>
      <c r="S276" s="128">
        <v>560</v>
      </c>
      <c r="T276" s="128">
        <v>0</v>
      </c>
      <c r="U276" s="128">
        <v>0</v>
      </c>
      <c r="V276" s="128"/>
      <c r="W276" s="169">
        <v>336</v>
      </c>
      <c r="X276" s="169">
        <v>340.9</v>
      </c>
      <c r="Y276" s="169">
        <v>2237667.04</v>
      </c>
      <c r="Z276" s="165"/>
      <c r="AA276" s="169">
        <v>55941.68</v>
      </c>
      <c r="AB276" s="169">
        <v>55941.68</v>
      </c>
      <c r="AC276" s="169">
        <v>2349550.39</v>
      </c>
      <c r="AD276" s="143">
        <f t="shared" si="167"/>
        <v>2347200.8396100001</v>
      </c>
      <c r="AE276" s="147">
        <v>39.799999999999997</v>
      </c>
      <c r="AF276" s="169">
        <v>39</v>
      </c>
      <c r="AG276" s="147">
        <v>39.86</v>
      </c>
      <c r="AH276" s="170">
        <v>4.1000000000000003E-3</v>
      </c>
      <c r="AI276" s="170">
        <v>3.5000000000000003E-2</v>
      </c>
      <c r="AJ276" s="170">
        <v>4.8000000000000001E-2</v>
      </c>
      <c r="AK276" s="137">
        <f t="shared" si="190"/>
        <v>0</v>
      </c>
      <c r="AL276" s="136">
        <v>0</v>
      </c>
      <c r="AM276" s="136"/>
      <c r="AN276" s="165">
        <v>0</v>
      </c>
      <c r="AO276" s="156">
        <f t="shared" si="191"/>
        <v>4195.6257000000005</v>
      </c>
      <c r="AP276" s="136"/>
      <c r="AQ276" s="137">
        <v>0</v>
      </c>
      <c r="AR276" s="155">
        <f t="shared" si="192"/>
        <v>4195.6257000000005</v>
      </c>
      <c r="AS276" s="155">
        <f t="shared" si="193"/>
        <v>4405</v>
      </c>
      <c r="AT276" s="137">
        <v>63</v>
      </c>
      <c r="AU276" s="136" t="s">
        <v>584</v>
      </c>
      <c r="AV276" s="136"/>
      <c r="AW276" s="137">
        <f t="shared" si="179"/>
        <v>33600</v>
      </c>
      <c r="AX276" s="136"/>
      <c r="AY276" s="137">
        <f t="shared" si="180"/>
        <v>33600</v>
      </c>
      <c r="AZ276" s="137">
        <f t="shared" si="181"/>
        <v>34090</v>
      </c>
      <c r="BA276" s="142">
        <f t="shared" si="182"/>
        <v>-490</v>
      </c>
      <c r="BB276" s="137"/>
      <c r="BC276" s="137">
        <v>0</v>
      </c>
      <c r="BD276" s="136"/>
      <c r="BE276" s="128">
        <v>342.2</v>
      </c>
      <c r="BF276" s="143">
        <f t="shared" si="183"/>
        <v>0.51329999999999998</v>
      </c>
      <c r="BG276" s="143">
        <f t="shared" si="184"/>
        <v>341.68669999999997</v>
      </c>
      <c r="BH276" s="143">
        <f t="shared" si="185"/>
        <v>340.9</v>
      </c>
      <c r="BI276" s="144">
        <f t="shared" si="186"/>
        <v>130.00000000000114</v>
      </c>
      <c r="BJ276" s="144">
        <v>0</v>
      </c>
      <c r="BK276" s="137">
        <f t="shared" si="187"/>
        <v>130.00000000000114</v>
      </c>
      <c r="BL276" s="9"/>
      <c r="BM276" s="16" t="str">
        <f t="shared" si="188"/>
        <v>Unloading no. 260 Bill No 49 ,Deduction For Oil Deduction= 0 ,Bardana= 0 ,F.M=  Brokerage/Rate Difference 0 ,Shortage = 4195.6257 ,Greenish=  ,Moisture= 0</v>
      </c>
      <c r="BN276" s="9"/>
      <c r="BO276" s="13" t="str">
        <f t="shared" si="166"/>
        <v xml:space="preserve"> Party Condition 39  ,F.M% 0.41 ,Greenish 3.5 ,Moisture 4.8 ,Shortage in KG= 63  ,Oil% 39.8</v>
      </c>
      <c r="BP276" s="4">
        <f t="shared" si="189"/>
        <v>6551.6908603696102</v>
      </c>
      <c r="BX276" s="27">
        <v>39.799999999999997</v>
      </c>
      <c r="BY276" s="27">
        <v>39.86</v>
      </c>
    </row>
    <row r="277" spans="1:77" customFormat="1" ht="15.75" hidden="1" x14ac:dyDescent="0.3">
      <c r="A277" s="128" t="s">
        <v>556</v>
      </c>
      <c r="B277" s="166">
        <v>46128</v>
      </c>
      <c r="C277" s="163">
        <v>261</v>
      </c>
      <c r="D277" s="163" t="s">
        <v>569</v>
      </c>
      <c r="E277" s="166">
        <v>46130</v>
      </c>
      <c r="F277" s="163" t="s">
        <v>104</v>
      </c>
      <c r="G277" s="163" t="s">
        <v>105</v>
      </c>
      <c r="H277" s="163" t="s">
        <v>106</v>
      </c>
      <c r="I277" s="157"/>
      <c r="J277" s="163" t="s">
        <v>113</v>
      </c>
      <c r="K277" s="163">
        <v>0</v>
      </c>
      <c r="L277" s="166">
        <v>46128</v>
      </c>
      <c r="M277" s="157"/>
      <c r="N277" s="163" t="s">
        <v>581</v>
      </c>
      <c r="O277" s="166">
        <v>46129</v>
      </c>
      <c r="P277" s="163">
        <v>0</v>
      </c>
      <c r="Q277" s="163">
        <v>400</v>
      </c>
      <c r="R277" s="163">
        <v>220</v>
      </c>
      <c r="S277" s="163">
        <v>620</v>
      </c>
      <c r="T277" s="163">
        <v>0</v>
      </c>
      <c r="U277" s="163">
        <v>0</v>
      </c>
      <c r="V277" s="128"/>
      <c r="W277" s="169">
        <v>310</v>
      </c>
      <c r="X277" s="169">
        <v>315.2</v>
      </c>
      <c r="Y277" s="169">
        <v>2066193.4</v>
      </c>
      <c r="Z277" s="165"/>
      <c r="AA277" s="169">
        <v>51654.84</v>
      </c>
      <c r="AB277" s="169">
        <v>51654.84</v>
      </c>
      <c r="AC277" s="169">
        <v>2169503.0699999998</v>
      </c>
      <c r="AD277" s="143">
        <f t="shared" si="167"/>
        <v>2167333.5669299997</v>
      </c>
      <c r="AE277" s="147">
        <v>40.090000000000003</v>
      </c>
      <c r="AF277" s="169">
        <v>39.049999999999997</v>
      </c>
      <c r="AG277" s="147">
        <v>39.950000000000003</v>
      </c>
      <c r="AH277" s="170">
        <v>4.4000000000000003E-3</v>
      </c>
      <c r="AI277" s="170">
        <v>3.9E-2</v>
      </c>
      <c r="AJ277" s="170">
        <v>4.8000000000000001E-2</v>
      </c>
      <c r="AK277" s="137">
        <f t="shared" si="190"/>
        <v>0</v>
      </c>
      <c r="AL277" s="136">
        <v>0</v>
      </c>
      <c r="AM277" s="136"/>
      <c r="AN277" s="165">
        <v>0</v>
      </c>
      <c r="AO277" s="156">
        <f t="shared" si="191"/>
        <v>0</v>
      </c>
      <c r="AP277" s="136"/>
      <c r="AQ277" s="137">
        <v>0</v>
      </c>
      <c r="AR277" s="155">
        <f t="shared" si="192"/>
        <v>0</v>
      </c>
      <c r="AS277" s="155">
        <f t="shared" si="193"/>
        <v>0</v>
      </c>
      <c r="AT277" s="137">
        <v>0</v>
      </c>
      <c r="AU277" s="136"/>
      <c r="AV277" s="136"/>
      <c r="AW277" s="137">
        <f t="shared" si="179"/>
        <v>31000</v>
      </c>
      <c r="AX277" s="136"/>
      <c r="AY277" s="137">
        <f t="shared" si="180"/>
        <v>31000</v>
      </c>
      <c r="AZ277" s="137">
        <f t="shared" si="181"/>
        <v>31520</v>
      </c>
      <c r="BA277" s="142">
        <f t="shared" si="182"/>
        <v>-520</v>
      </c>
      <c r="BB277" s="137"/>
      <c r="BC277" s="137">
        <v>0</v>
      </c>
      <c r="BD277" s="136"/>
      <c r="BE277" s="128">
        <v>315.25</v>
      </c>
      <c r="BF277" s="143">
        <f t="shared" si="183"/>
        <v>0.47287499999999999</v>
      </c>
      <c r="BG277" s="143">
        <f t="shared" si="184"/>
        <v>314.77712500000001</v>
      </c>
      <c r="BH277" s="143">
        <f t="shared" si="185"/>
        <v>315.2</v>
      </c>
      <c r="BI277" s="144">
        <f t="shared" si="186"/>
        <v>5.0000000000011369</v>
      </c>
      <c r="BJ277" s="144">
        <v>0</v>
      </c>
      <c r="BK277" s="137">
        <f t="shared" si="187"/>
        <v>5.0000000000011369</v>
      </c>
      <c r="BL277" s="9"/>
      <c r="BM277" s="10" t="str">
        <f t="shared" si="188"/>
        <v>Unloading no. 261 Bill No MTC/2026-27/076 ,Deduction For Oil Deduction= 0 ,Bardana= 0 ,F.M=  Brokerage/Rate Difference 0 ,Shortage = 0 ,Greenish=  ,Moisture= 0</v>
      </c>
      <c r="BN277" s="9"/>
      <c r="BO277" s="13" t="str">
        <f t="shared" si="166"/>
        <v xml:space="preserve"> Party Condition 39.05  ,F.M% 0.44 ,Greenish 3.9 ,Moisture 4.8 ,Shortage in KG= 0  ,Oil% 39.95</v>
      </c>
      <c r="BP277" s="4">
        <f t="shared" si="189"/>
        <v>6555.1821065989843</v>
      </c>
      <c r="BX277" s="27">
        <v>40.090000000000003</v>
      </c>
      <c r="BY277" s="27">
        <v>39.950000000000003</v>
      </c>
    </row>
    <row r="278" spans="1:77" customFormat="1" ht="15.75" hidden="1" x14ac:dyDescent="0.3">
      <c r="A278" s="128" t="s">
        <v>557</v>
      </c>
      <c r="B278" s="166">
        <v>46129</v>
      </c>
      <c r="C278" s="163">
        <v>262</v>
      </c>
      <c r="D278" s="163" t="s">
        <v>570</v>
      </c>
      <c r="E278" s="166">
        <v>46131</v>
      </c>
      <c r="F278" s="163" t="s">
        <v>436</v>
      </c>
      <c r="G278" s="163" t="s">
        <v>437</v>
      </c>
      <c r="H278" s="163" t="s">
        <v>438</v>
      </c>
      <c r="I278" s="157"/>
      <c r="J278" s="163" t="s">
        <v>113</v>
      </c>
      <c r="K278" s="163">
        <v>0</v>
      </c>
      <c r="L278" s="166">
        <v>46129</v>
      </c>
      <c r="M278" s="157"/>
      <c r="N278" s="159" t="s">
        <v>582</v>
      </c>
      <c r="O278" s="166">
        <v>46129</v>
      </c>
      <c r="P278" s="163">
        <v>0</v>
      </c>
      <c r="Q278" s="163">
        <v>400</v>
      </c>
      <c r="R278" s="163">
        <v>122</v>
      </c>
      <c r="S278" s="163">
        <v>522</v>
      </c>
      <c r="T278" s="163">
        <v>0</v>
      </c>
      <c r="U278" s="163">
        <v>0</v>
      </c>
      <c r="V278" s="128"/>
      <c r="W278" s="169">
        <v>313.2</v>
      </c>
      <c r="X278" s="169">
        <v>317.8</v>
      </c>
      <c r="Y278" s="169">
        <v>2097638.21</v>
      </c>
      <c r="Z278" s="165"/>
      <c r="AA278" s="169">
        <v>52440.959999999999</v>
      </c>
      <c r="AB278" s="169">
        <v>52440.959999999999</v>
      </c>
      <c r="AC278" s="169">
        <v>2202520.12</v>
      </c>
      <c r="AD278" s="143">
        <f t="shared" si="167"/>
        <v>2200317.5998800001</v>
      </c>
      <c r="AE278" s="147">
        <v>40.020000000000003</v>
      </c>
      <c r="AF278" s="169">
        <v>39.35</v>
      </c>
      <c r="AG278" s="147">
        <v>39.97</v>
      </c>
      <c r="AH278" s="170">
        <v>3.8999999999999998E-3</v>
      </c>
      <c r="AI278" s="170">
        <v>3.5000000000000003E-2</v>
      </c>
      <c r="AJ278" s="170">
        <v>4.3999999999999997E-2</v>
      </c>
      <c r="AK278" s="137">
        <f t="shared" si="190"/>
        <v>0</v>
      </c>
      <c r="AL278" s="136">
        <v>0</v>
      </c>
      <c r="AM278" s="136"/>
      <c r="AN278" s="165">
        <v>0</v>
      </c>
      <c r="AO278" s="156">
        <f t="shared" si="191"/>
        <v>0</v>
      </c>
      <c r="AP278" s="136"/>
      <c r="AQ278" s="137">
        <v>0</v>
      </c>
      <c r="AR278" s="155">
        <f t="shared" si="192"/>
        <v>0</v>
      </c>
      <c r="AS278" s="155">
        <f t="shared" si="193"/>
        <v>0</v>
      </c>
      <c r="AT278" s="137">
        <v>0</v>
      </c>
      <c r="AU278" s="136"/>
      <c r="AV278" s="136"/>
      <c r="AW278" s="137">
        <f t="shared" si="179"/>
        <v>31320</v>
      </c>
      <c r="AX278" s="136"/>
      <c r="AY278" s="137">
        <f t="shared" si="180"/>
        <v>31320</v>
      </c>
      <c r="AZ278" s="137">
        <f t="shared" si="181"/>
        <v>31780</v>
      </c>
      <c r="BA278" s="142">
        <f t="shared" si="182"/>
        <v>-460</v>
      </c>
      <c r="BB278" s="137"/>
      <c r="BC278" s="137">
        <v>0</v>
      </c>
      <c r="BD278" s="136"/>
      <c r="BE278" s="128">
        <v>318.25</v>
      </c>
      <c r="BF278" s="143">
        <f t="shared" si="183"/>
        <v>0.47737499999999999</v>
      </c>
      <c r="BG278" s="143">
        <f t="shared" si="184"/>
        <v>317.77262500000001</v>
      </c>
      <c r="BH278" s="143">
        <f t="shared" si="185"/>
        <v>317.8</v>
      </c>
      <c r="BI278" s="144">
        <f t="shared" si="186"/>
        <v>44.999999999998863</v>
      </c>
      <c r="BJ278" s="144">
        <v>0</v>
      </c>
      <c r="BK278" s="137">
        <f t="shared" si="187"/>
        <v>44.999999999998863</v>
      </c>
      <c r="BL278" s="9"/>
      <c r="BM278" s="10" t="str">
        <f t="shared" si="188"/>
        <v>Unloading no. 262 Bill No 46/47 ,Deduction For Oil Deduction= 0 ,Bardana= 0 ,F.M=  Brokerage/Rate Difference 0 ,Shortage = 0 ,Greenish=  ,Moisture= 0</v>
      </c>
      <c r="BN278" s="9"/>
      <c r="BO278" s="13" t="str">
        <f t="shared" si="166"/>
        <v xml:space="preserve"> Party Condition 39.35  ,F.M% 0.39 ,Greenish 3.5 ,Moisture 4.4 ,Shortage in KG= 0  ,Oil% 39.97</v>
      </c>
      <c r="BP278" s="4">
        <f t="shared" si="189"/>
        <v>6600.4978288231587</v>
      </c>
      <c r="BX278" s="27">
        <v>40.020000000000003</v>
      </c>
      <c r="BY278" s="27">
        <v>39.97</v>
      </c>
    </row>
    <row r="279" spans="1:77" customFormat="1" ht="15.75" hidden="1" x14ac:dyDescent="0.3">
      <c r="A279" s="128" t="s">
        <v>488</v>
      </c>
      <c r="B279" s="166">
        <v>46126</v>
      </c>
      <c r="C279" s="163">
        <v>263</v>
      </c>
      <c r="D279" s="163" t="s">
        <v>571</v>
      </c>
      <c r="E279" s="166">
        <v>46131</v>
      </c>
      <c r="F279" s="163" t="s">
        <v>95</v>
      </c>
      <c r="G279" s="163" t="s">
        <v>96</v>
      </c>
      <c r="H279" s="163" t="s">
        <v>97</v>
      </c>
      <c r="I279" s="157"/>
      <c r="J279" s="163" t="s">
        <v>113</v>
      </c>
      <c r="K279" s="163">
        <v>0</v>
      </c>
      <c r="L279" s="166">
        <v>46126</v>
      </c>
      <c r="M279" s="157"/>
      <c r="N279" s="163">
        <v>92</v>
      </c>
      <c r="O279" s="166">
        <v>46130</v>
      </c>
      <c r="P279" s="163">
        <v>0</v>
      </c>
      <c r="Q279" s="163">
        <v>298</v>
      </c>
      <c r="R279" s="163">
        <v>300</v>
      </c>
      <c r="S279" s="163">
        <v>598</v>
      </c>
      <c r="T279" s="163">
        <v>0</v>
      </c>
      <c r="U279" s="163">
        <v>0</v>
      </c>
      <c r="V279" s="128"/>
      <c r="W279" s="169">
        <v>358.8</v>
      </c>
      <c r="X279" s="169">
        <v>362.4</v>
      </c>
      <c r="Y279" s="169">
        <v>2417800.11</v>
      </c>
      <c r="Z279" s="165"/>
      <c r="AA279" s="169">
        <v>60445</v>
      </c>
      <c r="AB279" s="169">
        <v>60445</v>
      </c>
      <c r="AC279" s="169">
        <v>2538690.12</v>
      </c>
      <c r="AD279" s="143">
        <f t="shared" si="167"/>
        <v>2536151.4298800002</v>
      </c>
      <c r="AE279" s="147">
        <v>39.61</v>
      </c>
      <c r="AF279" s="169">
        <v>39.53</v>
      </c>
      <c r="AG279" s="147">
        <v>39.909999999999997</v>
      </c>
      <c r="AH279" s="170">
        <v>4.1000000000000003E-3</v>
      </c>
      <c r="AI279" s="170">
        <v>3.9E-2</v>
      </c>
      <c r="AJ279" s="170">
        <v>5.3999999999999999E-2</v>
      </c>
      <c r="AK279" s="137">
        <f t="shared" si="190"/>
        <v>0</v>
      </c>
      <c r="AL279" s="136">
        <f>598*6</f>
        <v>3588</v>
      </c>
      <c r="AM279" s="136"/>
      <c r="AN279" s="165">
        <v>0</v>
      </c>
      <c r="AO279" s="156">
        <f t="shared" si="191"/>
        <v>2088.957731605351</v>
      </c>
      <c r="AP279" s="136"/>
      <c r="AQ279" s="137">
        <v>0</v>
      </c>
      <c r="AR279" s="155">
        <f t="shared" si="192"/>
        <v>5676.957731605351</v>
      </c>
      <c r="AS279" s="155">
        <f t="shared" si="193"/>
        <v>5961</v>
      </c>
      <c r="AT279" s="137">
        <v>31</v>
      </c>
      <c r="AU279" s="136" t="s">
        <v>585</v>
      </c>
      <c r="AV279" s="136"/>
      <c r="AW279" s="137">
        <f t="shared" si="179"/>
        <v>35880</v>
      </c>
      <c r="AX279" s="136"/>
      <c r="AY279" s="137">
        <f t="shared" si="180"/>
        <v>35880</v>
      </c>
      <c r="AZ279" s="137">
        <f t="shared" si="181"/>
        <v>36240</v>
      </c>
      <c r="BA279" s="142">
        <f t="shared" si="182"/>
        <v>-360</v>
      </c>
      <c r="BB279" s="137"/>
      <c r="BC279" s="137">
        <v>0</v>
      </c>
      <c r="BD279" s="136"/>
      <c r="BE279" s="128">
        <v>362.3</v>
      </c>
      <c r="BF279" s="143">
        <f t="shared" si="183"/>
        <v>0.54344999999999999</v>
      </c>
      <c r="BG279" s="143">
        <f t="shared" si="184"/>
        <v>361.75655</v>
      </c>
      <c r="BH279" s="143">
        <f t="shared" si="185"/>
        <v>362.4</v>
      </c>
      <c r="BI279" s="144">
        <f t="shared" si="186"/>
        <v>-9.9999999999965894</v>
      </c>
      <c r="BJ279" s="144">
        <v>0</v>
      </c>
      <c r="BK279" s="137">
        <f t="shared" si="187"/>
        <v>-9.9999999999965894</v>
      </c>
      <c r="BL279" s="9"/>
      <c r="BM279" s="16" t="str">
        <f t="shared" si="188"/>
        <v>Unloading no. 263 Bill No 92 ,Deduction For Oil Deduction= 0 ,Bardana= 3588 ,F.M=  Brokerage/Rate Difference 0 ,Shortage = 2088.95773160535 ,Greenish=  ,Moisture= 0</v>
      </c>
      <c r="BN279" s="9"/>
      <c r="BO279" s="13" t="str">
        <f t="shared" si="166"/>
        <v xml:space="preserve"> Party Condition 39.53  ,F.M% 0.41 ,Greenish 3.9 ,Moisture 5.4 ,Shortage in KG= 31  ,Oil% 39.61</v>
      </c>
      <c r="BP279" s="4">
        <f t="shared" si="189"/>
        <v>6655.9689632130094</v>
      </c>
      <c r="BX279" s="27">
        <v>39.61</v>
      </c>
      <c r="BY279" s="27">
        <v>39.909999999999997</v>
      </c>
    </row>
    <row r="280" spans="1:77" customFormat="1" ht="15.75" hidden="1" x14ac:dyDescent="0.3">
      <c r="A280" s="128" t="s">
        <v>488</v>
      </c>
      <c r="B280" s="166">
        <v>46126</v>
      </c>
      <c r="C280" s="163">
        <v>264</v>
      </c>
      <c r="D280" s="163" t="s">
        <v>572</v>
      </c>
      <c r="E280" s="166">
        <v>46131</v>
      </c>
      <c r="F280" s="163" t="s">
        <v>95</v>
      </c>
      <c r="G280" s="163" t="s">
        <v>96</v>
      </c>
      <c r="H280" s="163" t="s">
        <v>97</v>
      </c>
      <c r="I280" s="157"/>
      <c r="J280" s="163" t="s">
        <v>113</v>
      </c>
      <c r="K280" s="163">
        <v>0</v>
      </c>
      <c r="L280" s="166">
        <v>46126</v>
      </c>
      <c r="M280" s="157"/>
      <c r="N280" s="163">
        <v>91</v>
      </c>
      <c r="O280" s="166">
        <v>46130</v>
      </c>
      <c r="P280" s="163">
        <v>0</v>
      </c>
      <c r="Q280" s="163">
        <v>321</v>
      </c>
      <c r="R280" s="163">
        <v>400</v>
      </c>
      <c r="S280" s="163">
        <v>721</v>
      </c>
      <c r="T280" s="163">
        <v>0</v>
      </c>
      <c r="U280" s="163">
        <v>0</v>
      </c>
      <c r="V280" s="128"/>
      <c r="W280" s="169">
        <v>432.6</v>
      </c>
      <c r="X280" s="169">
        <v>436.8</v>
      </c>
      <c r="Y280" s="169">
        <v>2915106.82</v>
      </c>
      <c r="Z280" s="165"/>
      <c r="AA280" s="169">
        <v>72877.67</v>
      </c>
      <c r="AB280" s="169">
        <v>72877.67</v>
      </c>
      <c r="AC280" s="169">
        <v>3060862.16</v>
      </c>
      <c r="AD280" s="143">
        <f t="shared" si="167"/>
        <v>3057801.2978400001</v>
      </c>
      <c r="AE280" s="147">
        <v>38.880000000000003</v>
      </c>
      <c r="AF280" s="169">
        <v>39.53</v>
      </c>
      <c r="AG280" s="147">
        <v>39</v>
      </c>
      <c r="AH280" s="170">
        <v>4.3E-3</v>
      </c>
      <c r="AI280" s="170">
        <v>0.04</v>
      </c>
      <c r="AJ280" s="170">
        <v>5.0999999999999997E-2</v>
      </c>
      <c r="AK280" s="137">
        <f t="shared" si="190"/>
        <v>47933.706880849873</v>
      </c>
      <c r="AL280" s="136">
        <f>721*6</f>
        <v>4326</v>
      </c>
      <c r="AM280" s="136"/>
      <c r="AN280" s="165">
        <v>0</v>
      </c>
      <c r="AO280" s="156">
        <f t="shared" si="191"/>
        <v>3504.058128525196</v>
      </c>
      <c r="AP280" s="136"/>
      <c r="AQ280" s="137">
        <v>0</v>
      </c>
      <c r="AR280" s="155">
        <f t="shared" si="192"/>
        <v>55763.765009375071</v>
      </c>
      <c r="AS280" s="155">
        <f t="shared" si="193"/>
        <v>58552</v>
      </c>
      <c r="AT280" s="137">
        <v>52</v>
      </c>
      <c r="AU280" s="136" t="s">
        <v>585</v>
      </c>
      <c r="AV280" s="136"/>
      <c r="AW280" s="137">
        <f t="shared" si="179"/>
        <v>43260</v>
      </c>
      <c r="AX280" s="136"/>
      <c r="AY280" s="137">
        <f t="shared" si="180"/>
        <v>43260</v>
      </c>
      <c r="AZ280" s="137">
        <f t="shared" si="181"/>
        <v>43680</v>
      </c>
      <c r="BA280" s="142">
        <f t="shared" si="182"/>
        <v>-420</v>
      </c>
      <c r="BB280" s="137"/>
      <c r="BC280" s="137">
        <v>0</v>
      </c>
      <c r="BD280" s="136"/>
      <c r="BE280" s="128">
        <v>437.1</v>
      </c>
      <c r="BF280" s="143">
        <f t="shared" si="183"/>
        <v>0.65564999999999996</v>
      </c>
      <c r="BG280" s="143">
        <f t="shared" si="184"/>
        <v>436.44435000000004</v>
      </c>
      <c r="BH280" s="143">
        <f t="shared" si="185"/>
        <v>436.8</v>
      </c>
      <c r="BI280" s="144">
        <f t="shared" si="186"/>
        <v>30.000000000001137</v>
      </c>
      <c r="BJ280" s="144">
        <v>0</v>
      </c>
      <c r="BK280" s="137">
        <f t="shared" si="187"/>
        <v>30.000000000001137</v>
      </c>
      <c r="BL280" s="9"/>
      <c r="BM280" s="16" t="str">
        <f t="shared" si="188"/>
        <v>Unloading no. 264 Bill No 91 ,Deduction For Oil Deduction= 47933.7068808499 ,Bardana= 4326 ,F.M=  Brokerage/Rate Difference 0 ,Shortage = 3504.0581285252 ,Greenish=  ,Moisture= 0</v>
      </c>
      <c r="BN280" s="9"/>
      <c r="BO280" s="13" t="str">
        <f t="shared" si="166"/>
        <v xml:space="preserve"> Party Condition 39.53  ,F.M% 0.43 ,Greenish 4 ,Moisture 5.1 ,Shortage in KG= 52  ,Oil% 38.88</v>
      </c>
      <c r="BP280" s="4">
        <f t="shared" si="189"/>
        <v>6546.1150526342135</v>
      </c>
      <c r="BX280" s="27">
        <v>38.880000000000003</v>
      </c>
      <c r="BY280" s="27">
        <v>39</v>
      </c>
    </row>
    <row r="281" spans="1:77" customFormat="1" ht="15.75" hidden="1" x14ac:dyDescent="0.3">
      <c r="A281" s="128" t="s">
        <v>558</v>
      </c>
      <c r="B281" s="166">
        <v>46130</v>
      </c>
      <c r="C281" s="163">
        <v>265</v>
      </c>
      <c r="D281" s="163" t="s">
        <v>573</v>
      </c>
      <c r="E281" s="166">
        <v>46131</v>
      </c>
      <c r="F281" s="163" t="s">
        <v>95</v>
      </c>
      <c r="G281" s="163" t="s">
        <v>96</v>
      </c>
      <c r="H281" s="163" t="s">
        <v>97</v>
      </c>
      <c r="I281" s="157"/>
      <c r="J281" s="163" t="s">
        <v>113</v>
      </c>
      <c r="K281" s="163">
        <v>0</v>
      </c>
      <c r="L281" s="166">
        <v>46130</v>
      </c>
      <c r="M281" s="157"/>
      <c r="N281" s="163">
        <v>93</v>
      </c>
      <c r="O281" s="166">
        <v>46130</v>
      </c>
      <c r="P281" s="163">
        <v>0</v>
      </c>
      <c r="Q281" s="163">
        <v>320</v>
      </c>
      <c r="R281" s="163">
        <v>180</v>
      </c>
      <c r="S281" s="163">
        <v>500</v>
      </c>
      <c r="T281" s="163">
        <v>0</v>
      </c>
      <c r="U281" s="163">
        <v>0</v>
      </c>
      <c r="V281" s="128"/>
      <c r="W281" s="169">
        <v>300</v>
      </c>
      <c r="X281" s="169">
        <v>303.39999999999998</v>
      </c>
      <c r="Y281" s="169">
        <v>2001094</v>
      </c>
      <c r="Z281" s="165"/>
      <c r="AA281" s="169">
        <v>50027.35</v>
      </c>
      <c r="AB281" s="169">
        <v>50027.35</v>
      </c>
      <c r="AC281" s="169">
        <v>2101148.7000000002</v>
      </c>
      <c r="AD281" s="143">
        <f t="shared" si="167"/>
        <v>2099047.5513000004</v>
      </c>
      <c r="AE281" s="147">
        <v>40.19</v>
      </c>
      <c r="AF281" s="169">
        <v>39.72</v>
      </c>
      <c r="AG281" s="147">
        <v>40.159999999999997</v>
      </c>
      <c r="AH281" s="170">
        <v>4.5999999999999999E-3</v>
      </c>
      <c r="AI281" s="170">
        <v>4.0599999999999997E-2</v>
      </c>
      <c r="AJ281" s="170">
        <v>5.5E-2</v>
      </c>
      <c r="AK281" s="137">
        <f t="shared" si="190"/>
        <v>0</v>
      </c>
      <c r="AL281" s="136">
        <f>500*6</f>
        <v>3000</v>
      </c>
      <c r="AM281" s="136"/>
      <c r="AN281" s="165">
        <v>0</v>
      </c>
      <c r="AO281" s="156">
        <f t="shared" si="191"/>
        <v>0</v>
      </c>
      <c r="AP281" s="136"/>
      <c r="AQ281" s="137">
        <v>0</v>
      </c>
      <c r="AR281" s="155">
        <f t="shared" si="192"/>
        <v>3000</v>
      </c>
      <c r="AS281" s="155">
        <f t="shared" si="193"/>
        <v>3150</v>
      </c>
      <c r="AT281" s="137">
        <v>0</v>
      </c>
      <c r="AU281" s="136" t="s">
        <v>585</v>
      </c>
      <c r="AV281" s="136"/>
      <c r="AW281" s="137">
        <f t="shared" si="179"/>
        <v>30000</v>
      </c>
      <c r="AX281" s="136"/>
      <c r="AY281" s="137">
        <f t="shared" si="180"/>
        <v>30000</v>
      </c>
      <c r="AZ281" s="137">
        <f t="shared" si="181"/>
        <v>30339.999999999996</v>
      </c>
      <c r="BA281" s="142">
        <f t="shared" si="182"/>
        <v>-339.99999999999636</v>
      </c>
      <c r="BB281" s="137"/>
      <c r="BC281" s="137">
        <v>0</v>
      </c>
      <c r="BD281" s="136"/>
      <c r="BE281" s="128">
        <v>303.39999999999998</v>
      </c>
      <c r="BF281" s="143">
        <f t="shared" si="183"/>
        <v>0.4551</v>
      </c>
      <c r="BG281" s="143">
        <f t="shared" si="184"/>
        <v>302.94489999999996</v>
      </c>
      <c r="BH281" s="143">
        <f t="shared" si="185"/>
        <v>303.39999999999998</v>
      </c>
      <c r="BI281" s="144">
        <f t="shared" si="186"/>
        <v>0</v>
      </c>
      <c r="BJ281" s="144">
        <v>0</v>
      </c>
      <c r="BK281" s="137">
        <f t="shared" si="187"/>
        <v>0</v>
      </c>
      <c r="BL281" s="9"/>
      <c r="BM281" s="10" t="str">
        <f t="shared" si="188"/>
        <v>Unloading no. 265 Bill No 93 ,Deduction For Oil Deduction= 0 ,Bardana= 3000 ,F.M=  Brokerage/Rate Difference 0 ,Shortage = 0 ,Greenish=  ,Moisture= 0</v>
      </c>
      <c r="BN281" s="9"/>
      <c r="BO281" s="13" t="str">
        <f t="shared" si="166"/>
        <v xml:space="preserve"> Party Condition 39.72  ,F.M% 0.46 ,Greenish 4.06 ,Moisture 5.5 ,Shortage in KG= 0  ,Oil% 40.16</v>
      </c>
      <c r="BP281" s="4">
        <f t="shared" si="189"/>
        <v>6585.6756756756758</v>
      </c>
      <c r="BX281" s="27">
        <v>40.19</v>
      </c>
      <c r="BY281" s="27">
        <v>40.159999999999997</v>
      </c>
    </row>
    <row r="282" spans="1:77" customFormat="1" ht="15.75" hidden="1" x14ac:dyDescent="0.3">
      <c r="A282" s="128" t="s">
        <v>558</v>
      </c>
      <c r="B282" s="166">
        <v>46130</v>
      </c>
      <c r="C282" s="163">
        <v>266</v>
      </c>
      <c r="D282" s="163" t="s">
        <v>574</v>
      </c>
      <c r="E282" s="166">
        <v>46131</v>
      </c>
      <c r="F282" s="163" t="s">
        <v>95</v>
      </c>
      <c r="G282" s="163" t="s">
        <v>96</v>
      </c>
      <c r="H282" s="163" t="s">
        <v>97</v>
      </c>
      <c r="I282" s="157"/>
      <c r="J282" s="163" t="s">
        <v>113</v>
      </c>
      <c r="K282" s="163">
        <v>0</v>
      </c>
      <c r="L282" s="166">
        <v>46130</v>
      </c>
      <c r="M282" s="157"/>
      <c r="N282" s="163">
        <v>94</v>
      </c>
      <c r="O282" s="166">
        <v>46130</v>
      </c>
      <c r="P282" s="163">
        <v>0</v>
      </c>
      <c r="Q282" s="163">
        <v>400</v>
      </c>
      <c r="R282" s="163">
        <v>224</v>
      </c>
      <c r="S282" s="163">
        <v>624</v>
      </c>
      <c r="T282" s="163">
        <v>0</v>
      </c>
      <c r="U282" s="163">
        <v>0</v>
      </c>
      <c r="V282" s="128"/>
      <c r="W282" s="169">
        <v>374.4</v>
      </c>
      <c r="X282" s="169">
        <v>377.7</v>
      </c>
      <c r="Y282" s="169">
        <v>2497365.31</v>
      </c>
      <c r="Z282" s="165"/>
      <c r="AA282" s="169">
        <v>62434.13</v>
      </c>
      <c r="AB282" s="169">
        <v>62434.13</v>
      </c>
      <c r="AC282" s="169">
        <v>2622233.58</v>
      </c>
      <c r="AD282" s="143">
        <f t="shared" si="167"/>
        <v>2619611.3464200003</v>
      </c>
      <c r="AE282" s="138">
        <v>41.17</v>
      </c>
      <c r="AF282" s="169">
        <v>39.72</v>
      </c>
      <c r="AG282" s="138">
        <v>41.07</v>
      </c>
      <c r="AH282" s="170">
        <v>4.4999999999999997E-3</v>
      </c>
      <c r="AI282" s="170">
        <v>3.9E-2</v>
      </c>
      <c r="AJ282" s="170">
        <v>5.6000000000000001E-2</v>
      </c>
      <c r="AK282" s="137">
        <f t="shared" si="190"/>
        <v>0</v>
      </c>
      <c r="AL282" s="136">
        <f>624*6</f>
        <v>3744</v>
      </c>
      <c r="AM282" s="136"/>
      <c r="AN282" s="165">
        <v>0</v>
      </c>
      <c r="AO282" s="140">
        <f t="shared" si="191"/>
        <v>5269.5475291132479</v>
      </c>
      <c r="AP282" s="136"/>
      <c r="AQ282" s="137">
        <v>0</v>
      </c>
      <c r="AR282" s="155">
        <f t="shared" si="192"/>
        <v>9013.5475291132479</v>
      </c>
      <c r="AS282" s="155">
        <f t="shared" si="193"/>
        <v>9464</v>
      </c>
      <c r="AT282" s="137">
        <v>79</v>
      </c>
      <c r="AU282" s="136" t="s">
        <v>585</v>
      </c>
      <c r="AV282" s="136"/>
      <c r="AW282" s="137">
        <f t="shared" si="179"/>
        <v>37440</v>
      </c>
      <c r="AX282" s="136"/>
      <c r="AY282" s="137">
        <f t="shared" si="180"/>
        <v>37440</v>
      </c>
      <c r="AZ282" s="137">
        <f t="shared" si="181"/>
        <v>37770</v>
      </c>
      <c r="BA282" s="142">
        <f t="shared" si="182"/>
        <v>-330</v>
      </c>
      <c r="BB282" s="137"/>
      <c r="BC282" s="137">
        <v>0</v>
      </c>
      <c r="BD282" s="136"/>
      <c r="BE282" s="128">
        <v>378.1</v>
      </c>
      <c r="BF282" s="143">
        <f t="shared" si="183"/>
        <v>0.56715000000000004</v>
      </c>
      <c r="BG282" s="143">
        <f t="shared" si="184"/>
        <v>377.53285</v>
      </c>
      <c r="BH282" s="143">
        <f t="shared" si="185"/>
        <v>377.7</v>
      </c>
      <c r="BI282" s="144">
        <f t="shared" si="186"/>
        <v>40.000000000003411</v>
      </c>
      <c r="BJ282" s="144">
        <v>0</v>
      </c>
      <c r="BK282" s="137">
        <f t="shared" si="187"/>
        <v>40.000000000003411</v>
      </c>
      <c r="BL282" s="9"/>
      <c r="BM282" s="10" t="str">
        <f t="shared" si="188"/>
        <v>Unloading no. 266 Bill No 94 ,Deduction For Oil Deduction= 0 ,Bardana= 3744 ,F.M=  Brokerage/Rate Difference 0 ,Shortage = 5269.54752911325 ,Greenish=  ,Moisture= 0</v>
      </c>
      <c r="BN282" s="9"/>
      <c r="BO282" s="13" t="str">
        <f t="shared" si="166"/>
        <v xml:space="preserve"> Party Condition 39.72  ,F.M% 0.45 ,Greenish 3.9 ,Moisture 5.6 ,Shortage in KG= 79  ,Oil% 41.07</v>
      </c>
      <c r="BP282" s="4">
        <f t="shared" si="189"/>
        <v>6588.1698768093374</v>
      </c>
      <c r="BX282" s="27">
        <v>41.17</v>
      </c>
      <c r="BY282" s="27">
        <v>41.07</v>
      </c>
    </row>
    <row r="283" spans="1:77" customFormat="1" ht="15.75" hidden="1" x14ac:dyDescent="0.3">
      <c r="A283" s="128" t="s">
        <v>559</v>
      </c>
      <c r="B283" s="130">
        <v>46130</v>
      </c>
      <c r="C283" s="128">
        <v>267</v>
      </c>
      <c r="D283" s="128" t="s">
        <v>575</v>
      </c>
      <c r="E283" s="130">
        <v>46131</v>
      </c>
      <c r="F283" s="128" t="s">
        <v>98</v>
      </c>
      <c r="G283" s="163" t="s">
        <v>99</v>
      </c>
      <c r="H283" s="128" t="s">
        <v>100</v>
      </c>
      <c r="I283" s="136"/>
      <c r="J283" s="128" t="s">
        <v>113</v>
      </c>
      <c r="K283" s="128">
        <v>0</v>
      </c>
      <c r="L283" s="130">
        <v>46130</v>
      </c>
      <c r="M283" s="136"/>
      <c r="N283" s="128">
        <v>62</v>
      </c>
      <c r="O283" s="130">
        <v>46130</v>
      </c>
      <c r="P283" s="128">
        <v>0</v>
      </c>
      <c r="Q283" s="128">
        <v>200</v>
      </c>
      <c r="R283" s="128">
        <v>213</v>
      </c>
      <c r="S283" s="128">
        <v>413</v>
      </c>
      <c r="T283" s="128">
        <v>0</v>
      </c>
      <c r="U283" s="128">
        <v>0</v>
      </c>
      <c r="V283" s="128"/>
      <c r="W283" s="169">
        <v>247.8</v>
      </c>
      <c r="X283" s="169">
        <v>250.7</v>
      </c>
      <c r="Y283" s="169">
        <v>1636601.71</v>
      </c>
      <c r="Z283" s="165"/>
      <c r="AA283" s="169">
        <v>40915.040000000001</v>
      </c>
      <c r="AB283" s="169">
        <v>40915.040000000001</v>
      </c>
      <c r="AC283" s="169">
        <v>1718431.8</v>
      </c>
      <c r="AD283" s="143">
        <f t="shared" si="167"/>
        <v>1716713.3682000001</v>
      </c>
      <c r="AE283" s="138">
        <v>39.07</v>
      </c>
      <c r="AF283" s="169">
        <v>38.880000000000003</v>
      </c>
      <c r="AG283" s="138">
        <v>39.04</v>
      </c>
      <c r="AH283" s="170">
        <v>4.7000000000000002E-3</v>
      </c>
      <c r="AI283" s="170">
        <v>3.7999999999999999E-2</v>
      </c>
      <c r="AJ283" s="170">
        <v>5.6000000000000001E-2</v>
      </c>
      <c r="AK283" s="137">
        <f t="shared" si="190"/>
        <v>0</v>
      </c>
      <c r="AL283" s="136">
        <f>413*0.5</f>
        <v>206.5</v>
      </c>
      <c r="AM283" s="136"/>
      <c r="AN283" s="165">
        <f>W283*1.35</f>
        <v>334.53000000000003</v>
      </c>
      <c r="AO283" s="140">
        <f t="shared" si="191"/>
        <v>726.49793422114601</v>
      </c>
      <c r="AP283" s="136"/>
      <c r="AQ283" s="137">
        <v>0</v>
      </c>
      <c r="AR283" s="155">
        <f t="shared" si="192"/>
        <v>1267.5279342211461</v>
      </c>
      <c r="AS283" s="155">
        <f t="shared" si="193"/>
        <v>1331</v>
      </c>
      <c r="AT283" s="137">
        <v>11</v>
      </c>
      <c r="AU283" s="136"/>
      <c r="AV283" s="136"/>
      <c r="AW283" s="137">
        <f t="shared" si="179"/>
        <v>24780</v>
      </c>
      <c r="AX283" s="136"/>
      <c r="AY283" s="137">
        <f t="shared" si="180"/>
        <v>24780</v>
      </c>
      <c r="AZ283" s="137">
        <f t="shared" si="181"/>
        <v>25070</v>
      </c>
      <c r="BA283" s="142">
        <f t="shared" si="182"/>
        <v>-290</v>
      </c>
      <c r="BB283" s="137"/>
      <c r="BC283" s="137">
        <v>0</v>
      </c>
      <c r="BD283" s="136"/>
      <c r="BE283" s="128">
        <v>250.95</v>
      </c>
      <c r="BF283" s="143">
        <f t="shared" si="183"/>
        <v>0.37642500000000001</v>
      </c>
      <c r="BG283" s="143">
        <f t="shared" si="184"/>
        <v>250.57357499999998</v>
      </c>
      <c r="BH283" s="143">
        <f t="shared" si="185"/>
        <v>250.7</v>
      </c>
      <c r="BI283" s="144">
        <f t="shared" si="186"/>
        <v>25</v>
      </c>
      <c r="BJ283" s="144">
        <v>0</v>
      </c>
      <c r="BK283" s="137">
        <f t="shared" si="187"/>
        <v>25</v>
      </c>
      <c r="BL283" s="9"/>
      <c r="BM283" s="10" t="str">
        <f t="shared" si="188"/>
        <v>Unloading no. 267 Bill No 62 ,Deduction For Oil Deduction= 0 ,Bardana= 206.5 ,F.M=  Brokerage/Rate Difference 334.53 ,Shortage = 726.497934221146 ,Greenish=  ,Moisture= 0</v>
      </c>
      <c r="BN283" s="9"/>
      <c r="BO283" s="13" t="str">
        <f t="shared" si="166"/>
        <v xml:space="preserve"> Party Condition 38.88  ,F.M% 0.47 ,Greenish 3.8 ,Moisture 5.6 ,Shortage in KG= 11  ,Oil% 39.04</v>
      </c>
      <c r="BP283" s="4">
        <f t="shared" si="189"/>
        <v>6523.0721263094492</v>
      </c>
      <c r="BX283" s="27">
        <v>39.07</v>
      </c>
      <c r="BY283" s="27">
        <v>39.04</v>
      </c>
    </row>
    <row r="284" spans="1:77" customFormat="1" ht="15.75" hidden="1" x14ac:dyDescent="0.3">
      <c r="A284" s="128" t="s">
        <v>560</v>
      </c>
      <c r="B284" s="130">
        <v>46129</v>
      </c>
      <c r="C284" s="128">
        <v>268</v>
      </c>
      <c r="D284" s="128" t="s">
        <v>576</v>
      </c>
      <c r="E284" s="130">
        <v>46131</v>
      </c>
      <c r="F284" s="128" t="s">
        <v>104</v>
      </c>
      <c r="G284" s="163" t="s">
        <v>105</v>
      </c>
      <c r="H284" s="128" t="s">
        <v>106</v>
      </c>
      <c r="I284" s="136"/>
      <c r="J284" s="128" t="s">
        <v>113</v>
      </c>
      <c r="K284" s="128">
        <v>0</v>
      </c>
      <c r="L284" s="130">
        <v>46129</v>
      </c>
      <c r="M284" s="136"/>
      <c r="N284" s="128" t="s">
        <v>583</v>
      </c>
      <c r="O284" s="130">
        <v>46130</v>
      </c>
      <c r="P284" s="128">
        <v>0</v>
      </c>
      <c r="Q284" s="128">
        <v>611</v>
      </c>
      <c r="R284" s="128">
        <v>0</v>
      </c>
      <c r="S284" s="128">
        <v>611</v>
      </c>
      <c r="T284" s="128">
        <v>0</v>
      </c>
      <c r="U284" s="128">
        <v>0</v>
      </c>
      <c r="V284" s="128"/>
      <c r="W284" s="169">
        <v>305.5</v>
      </c>
      <c r="X284" s="169">
        <v>311.10000000000002</v>
      </c>
      <c r="Y284" s="169">
        <v>2066255.36</v>
      </c>
      <c r="Z284" s="165"/>
      <c r="AA284" s="169">
        <v>51656.38</v>
      </c>
      <c r="AB284" s="169">
        <v>51656.38</v>
      </c>
      <c r="AC284" s="169">
        <v>2169568.13</v>
      </c>
      <c r="AD284" s="143">
        <f t="shared" si="167"/>
        <v>2167398.5618699999</v>
      </c>
      <c r="AE284" s="138">
        <v>40.25</v>
      </c>
      <c r="AF284" s="169">
        <v>39.4</v>
      </c>
      <c r="AG284" s="138">
        <v>40.090000000000003</v>
      </c>
      <c r="AH284" s="170">
        <v>4.3E-3</v>
      </c>
      <c r="AI284" s="170">
        <v>4.3999999999999997E-2</v>
      </c>
      <c r="AJ284" s="170">
        <v>4.8000000000000001E-2</v>
      </c>
      <c r="AK284" s="137">
        <f t="shared" si="190"/>
        <v>0</v>
      </c>
      <c r="AL284" s="136">
        <f>611*2</f>
        <v>1222</v>
      </c>
      <c r="AM284" s="136"/>
      <c r="AN284" s="165">
        <v>0</v>
      </c>
      <c r="AO284" s="140">
        <f t="shared" si="191"/>
        <v>0</v>
      </c>
      <c r="AP284" s="136"/>
      <c r="AQ284" s="137">
        <v>0</v>
      </c>
      <c r="AR284" s="155">
        <f t="shared" si="192"/>
        <v>1222</v>
      </c>
      <c r="AS284" s="155">
        <f t="shared" si="193"/>
        <v>1283</v>
      </c>
      <c r="AT284" s="137">
        <v>0</v>
      </c>
      <c r="AU284" s="136"/>
      <c r="AV284" s="136"/>
      <c r="AW284" s="137">
        <f t="shared" si="179"/>
        <v>30550</v>
      </c>
      <c r="AX284" s="136"/>
      <c r="AY284" s="137">
        <f t="shared" si="180"/>
        <v>30550</v>
      </c>
      <c r="AZ284" s="137">
        <f t="shared" si="181"/>
        <v>31110.000000000004</v>
      </c>
      <c r="BA284" s="142">
        <f t="shared" si="182"/>
        <v>-560.00000000000364</v>
      </c>
      <c r="BB284" s="137"/>
      <c r="BC284" s="137">
        <v>0</v>
      </c>
      <c r="BD284" s="136"/>
      <c r="BE284" s="128">
        <v>310.7</v>
      </c>
      <c r="BF284" s="143">
        <f t="shared" si="183"/>
        <v>0.46604999999999996</v>
      </c>
      <c r="BG284" s="143">
        <f t="shared" si="184"/>
        <v>310.23394999999999</v>
      </c>
      <c r="BH284" s="143">
        <f t="shared" si="185"/>
        <v>311.10000000000002</v>
      </c>
      <c r="BI284" s="144">
        <f t="shared" si="186"/>
        <v>-40.000000000003411</v>
      </c>
      <c r="BJ284" s="144">
        <v>0</v>
      </c>
      <c r="BK284" s="137">
        <f t="shared" si="187"/>
        <v>-40.000000000003411</v>
      </c>
      <c r="BL284" s="9"/>
      <c r="BM284" s="10" t="str">
        <f t="shared" si="188"/>
        <v>Unloading no. 268 Bill No MTC/2026-27/081 ,Deduction For Oil Deduction= 0 ,Bardana= 1222 ,F.M=  Brokerage/Rate Difference 0 ,Shortage = 0 ,Greenish=  ,Moisture= 0</v>
      </c>
      <c r="BN284" s="9"/>
      <c r="BO284" s="13" t="str">
        <f t="shared" si="166"/>
        <v xml:space="preserve"> Party Condition 39.4  ,F.M% 0.43 ,Greenish 4.4 ,Moisture 4.8 ,Shortage in KG= 0  ,Oil% 40.09</v>
      </c>
      <c r="BP284" s="4">
        <f t="shared" si="189"/>
        <v>6637.8442944390872</v>
      </c>
      <c r="BX284" s="27">
        <v>40.25</v>
      </c>
      <c r="BY284" s="27">
        <v>40.090000000000003</v>
      </c>
    </row>
    <row r="285" spans="1:77" customFormat="1" ht="15.75" hidden="1" x14ac:dyDescent="0.3">
      <c r="A285" s="128" t="s">
        <v>561</v>
      </c>
      <c r="B285" s="130">
        <v>46130</v>
      </c>
      <c r="C285" s="128">
        <v>269</v>
      </c>
      <c r="D285" s="128" t="s">
        <v>577</v>
      </c>
      <c r="E285" s="130">
        <v>46131</v>
      </c>
      <c r="F285" s="128" t="s">
        <v>98</v>
      </c>
      <c r="G285" s="163" t="s">
        <v>99</v>
      </c>
      <c r="H285" s="128" t="s">
        <v>100</v>
      </c>
      <c r="I285" s="136"/>
      <c r="J285" s="128" t="s">
        <v>113</v>
      </c>
      <c r="K285" s="128">
        <v>0</v>
      </c>
      <c r="L285" s="130">
        <v>46130</v>
      </c>
      <c r="M285" s="136"/>
      <c r="N285" s="128">
        <v>64</v>
      </c>
      <c r="O285" s="130">
        <v>46131</v>
      </c>
      <c r="P285" s="128">
        <v>0</v>
      </c>
      <c r="Q285" s="128">
        <v>150</v>
      </c>
      <c r="R285" s="128">
        <v>148</v>
      </c>
      <c r="S285" s="128">
        <v>298</v>
      </c>
      <c r="T285" s="128">
        <v>0</v>
      </c>
      <c r="U285" s="128">
        <v>0</v>
      </c>
      <c r="V285" s="128"/>
      <c r="W285" s="169">
        <v>178.8</v>
      </c>
      <c r="X285" s="169">
        <v>180.6</v>
      </c>
      <c r="Y285" s="169">
        <v>1187694.5</v>
      </c>
      <c r="Z285" s="165"/>
      <c r="AA285" s="169">
        <v>29692.36</v>
      </c>
      <c r="AB285" s="169">
        <v>29692.36</v>
      </c>
      <c r="AC285" s="169">
        <v>1247079.23</v>
      </c>
      <c r="AD285" s="143">
        <f t="shared" si="167"/>
        <v>1245832.1507699999</v>
      </c>
      <c r="AE285" s="138">
        <v>39.03</v>
      </c>
      <c r="AF285" s="169">
        <v>39.31</v>
      </c>
      <c r="AG285" s="138">
        <v>38.950000000000003</v>
      </c>
      <c r="AH285" s="170">
        <v>4.1999999999999997E-3</v>
      </c>
      <c r="AI285" s="170">
        <v>3.9E-2</v>
      </c>
      <c r="AJ285" s="170">
        <v>5.0999999999999997E-2</v>
      </c>
      <c r="AK285" s="137">
        <f t="shared" si="190"/>
        <v>10876.876621724734</v>
      </c>
      <c r="AL285" s="136">
        <f>298*0.5</f>
        <v>149</v>
      </c>
      <c r="AM285" s="136"/>
      <c r="AN285" s="165">
        <f>W285*1.16</f>
        <v>207.40799999999999</v>
      </c>
      <c r="AO285" s="140">
        <f t="shared" si="191"/>
        <v>2457.7570749440715</v>
      </c>
      <c r="AP285" s="136"/>
      <c r="AQ285" s="137">
        <v>0</v>
      </c>
      <c r="AR285" s="155">
        <f t="shared" si="192"/>
        <v>13691.041696668804</v>
      </c>
      <c r="AS285" s="155">
        <f t="shared" si="193"/>
        <v>14376</v>
      </c>
      <c r="AT285" s="137">
        <v>37</v>
      </c>
      <c r="AU285" s="136"/>
      <c r="AV285" s="136"/>
      <c r="AW285" s="137">
        <f t="shared" si="179"/>
        <v>17880</v>
      </c>
      <c r="AX285" s="136"/>
      <c r="AY285" s="137">
        <f t="shared" si="180"/>
        <v>17880</v>
      </c>
      <c r="AZ285" s="137">
        <f t="shared" si="181"/>
        <v>18060</v>
      </c>
      <c r="BA285" s="142">
        <f t="shared" si="182"/>
        <v>-180</v>
      </c>
      <c r="BB285" s="137"/>
      <c r="BC285" s="137">
        <v>0</v>
      </c>
      <c r="BD285" s="136"/>
      <c r="BE285" s="128">
        <v>181.15</v>
      </c>
      <c r="BF285" s="143">
        <f t="shared" si="183"/>
        <v>0.27172499999999999</v>
      </c>
      <c r="BG285" s="143">
        <f t="shared" si="184"/>
        <v>180.878275</v>
      </c>
      <c r="BH285" s="143">
        <f t="shared" si="185"/>
        <v>180.6</v>
      </c>
      <c r="BI285" s="144">
        <f t="shared" si="186"/>
        <v>55.000000000001137</v>
      </c>
      <c r="BJ285" s="144">
        <v>0</v>
      </c>
      <c r="BK285" s="137">
        <f t="shared" si="187"/>
        <v>55.000000000001137</v>
      </c>
      <c r="BL285" s="9"/>
      <c r="BM285" s="10" t="str">
        <f t="shared" si="188"/>
        <v>Unloading no. 269 Bill No 64 ,Deduction For Oil Deduction= 10876.8766217247 ,Bardana= 149 ,F.M=  Brokerage/Rate Difference 207.408 ,Shortage = 2457.75707494407 ,Greenish=  ,Moisture= 0</v>
      </c>
      <c r="BN285" s="9"/>
      <c r="BO285" s="13" t="str">
        <f t="shared" si="166"/>
        <v xml:space="preserve"> Party Condition 39.31  ,F.M% 0.42 ,Greenish 3.9 ,Moisture 5.1 ,Shortage in KG= 37  ,Oil% 38.95</v>
      </c>
      <c r="BP285" s="4">
        <f t="shared" si="189"/>
        <v>6500.572858822432</v>
      </c>
      <c r="BX285" s="27">
        <v>39.03</v>
      </c>
      <c r="BY285" s="27">
        <v>38.950000000000003</v>
      </c>
    </row>
    <row r="286" spans="1:77" customFormat="1" ht="15.75" hidden="1" x14ac:dyDescent="0.3">
      <c r="A286" s="128" t="s">
        <v>562</v>
      </c>
      <c r="B286" s="130">
        <v>46130</v>
      </c>
      <c r="C286" s="128">
        <v>270</v>
      </c>
      <c r="D286" s="128" t="s">
        <v>578</v>
      </c>
      <c r="E286" s="130">
        <v>46131</v>
      </c>
      <c r="F286" s="128" t="s">
        <v>98</v>
      </c>
      <c r="G286" s="128" t="s">
        <v>99</v>
      </c>
      <c r="H286" s="128" t="s">
        <v>100</v>
      </c>
      <c r="I286" s="136"/>
      <c r="J286" s="128" t="s">
        <v>113</v>
      </c>
      <c r="K286" s="128">
        <v>0</v>
      </c>
      <c r="L286" s="130">
        <v>46130</v>
      </c>
      <c r="M286" s="136"/>
      <c r="N286" s="128">
        <v>65</v>
      </c>
      <c r="O286" s="130">
        <v>46131</v>
      </c>
      <c r="P286" s="128">
        <v>0</v>
      </c>
      <c r="Q286" s="128">
        <v>300</v>
      </c>
      <c r="R286" s="128">
        <v>211</v>
      </c>
      <c r="S286" s="128">
        <v>511</v>
      </c>
      <c r="T286" s="128">
        <v>0</v>
      </c>
      <c r="U286" s="128">
        <v>0</v>
      </c>
      <c r="V286" s="128"/>
      <c r="W286" s="169">
        <v>306.60000000000002</v>
      </c>
      <c r="X286" s="169">
        <v>310.10000000000002</v>
      </c>
      <c r="Y286" s="169">
        <v>2048074.71</v>
      </c>
      <c r="Z286" s="165"/>
      <c r="AA286" s="169">
        <v>51201.87</v>
      </c>
      <c r="AB286" s="169">
        <v>51201.87</v>
      </c>
      <c r="AC286" s="169">
        <v>2150478.4500000002</v>
      </c>
      <c r="AD286" s="143">
        <f t="shared" si="167"/>
        <v>2148327.9715500004</v>
      </c>
      <c r="AE286" s="138">
        <v>38.85</v>
      </c>
      <c r="AF286" s="169">
        <v>39.049999999999997</v>
      </c>
      <c r="AG286" s="138">
        <v>38.630000000000003</v>
      </c>
      <c r="AH286" s="170">
        <v>4.3E-3</v>
      </c>
      <c r="AI286" s="170">
        <v>3.78E-2</v>
      </c>
      <c r="AJ286" s="170">
        <v>4.9000000000000002E-2</v>
      </c>
      <c r="AK286" s="137">
        <f t="shared" si="190"/>
        <v>22027.948225351829</v>
      </c>
      <c r="AL286" s="136">
        <f>511*0.5</f>
        <v>255.5</v>
      </c>
      <c r="AM286" s="136"/>
      <c r="AN286" s="165">
        <f>W286*1.18+12877.2</f>
        <v>13238.988000000001</v>
      </c>
      <c r="AO286" s="140">
        <f t="shared" si="191"/>
        <v>1536.3900303326807</v>
      </c>
      <c r="AP286" s="136"/>
      <c r="AQ286" s="137">
        <v>0</v>
      </c>
      <c r="AR286" s="155">
        <f t="shared" si="192"/>
        <v>37058.826255684515</v>
      </c>
      <c r="AS286" s="155">
        <f t="shared" si="193"/>
        <v>38912</v>
      </c>
      <c r="AT286" s="137">
        <v>23</v>
      </c>
      <c r="AU286" s="136"/>
      <c r="AV286" s="136"/>
      <c r="AW286" s="137">
        <f t="shared" si="179"/>
        <v>30660.000000000004</v>
      </c>
      <c r="AX286" s="136"/>
      <c r="AY286" s="137">
        <f t="shared" si="180"/>
        <v>30660.000000000004</v>
      </c>
      <c r="AZ286" s="137">
        <f t="shared" si="181"/>
        <v>31010.000000000004</v>
      </c>
      <c r="BA286" s="142">
        <f t="shared" si="182"/>
        <v>-350</v>
      </c>
      <c r="BB286" s="137"/>
      <c r="BC286" s="137">
        <v>0</v>
      </c>
      <c r="BD286" s="136"/>
      <c r="BE286" s="128">
        <v>310.55</v>
      </c>
      <c r="BF286" s="143">
        <f t="shared" si="183"/>
        <v>0.46582500000000004</v>
      </c>
      <c r="BG286" s="143">
        <f t="shared" si="184"/>
        <v>310.08417500000002</v>
      </c>
      <c r="BH286" s="143">
        <f t="shared" si="185"/>
        <v>310.10000000000002</v>
      </c>
      <c r="BI286" s="144">
        <f t="shared" si="186"/>
        <v>44.999999999998863</v>
      </c>
      <c r="BJ286" s="144">
        <v>0</v>
      </c>
      <c r="BK286" s="137">
        <f t="shared" si="187"/>
        <v>44.999999999998863</v>
      </c>
      <c r="BL286" s="9"/>
      <c r="BM286" s="10" t="str">
        <f t="shared" si="188"/>
        <v>Unloading no. 270 Bill No 65 ,Deduction For Oil Deduction= 22027.9482253518 ,Bardana= 255.5 ,F.M=  Brokerage/Rate Difference 13238.988 ,Shortage = 1536.39003033268 ,Greenish=  ,Moisture= 0</v>
      </c>
      <c r="BN286" s="9"/>
      <c r="BO286" s="13" t="str">
        <f t="shared" si="166"/>
        <v xml:space="preserve"> Party Condition 39.05  ,F.M% 0.43 ,Greenish 3.78 ,Moisture 4.9 ,Shortage in KG= 23  ,Oil% 38.63</v>
      </c>
      <c r="BP286" s="4">
        <f t="shared" si="189"/>
        <v>6485.0560585111753</v>
      </c>
      <c r="BX286" s="27">
        <v>38.85</v>
      </c>
      <c r="BY286" s="27">
        <v>38.630000000000003</v>
      </c>
    </row>
    <row r="287" spans="1:77" customFormat="1" ht="15.75" hidden="1" x14ac:dyDescent="0.3">
      <c r="A287" s="128" t="s">
        <v>563</v>
      </c>
      <c r="B287" s="130">
        <v>46130</v>
      </c>
      <c r="C287" s="128">
        <v>271</v>
      </c>
      <c r="D287" s="128" t="s">
        <v>579</v>
      </c>
      <c r="E287" s="130">
        <v>46131</v>
      </c>
      <c r="F287" s="128" t="s">
        <v>436</v>
      </c>
      <c r="G287" s="128" t="s">
        <v>437</v>
      </c>
      <c r="H287" s="128" t="s">
        <v>438</v>
      </c>
      <c r="I287" s="136"/>
      <c r="J287" s="128" t="s">
        <v>113</v>
      </c>
      <c r="K287" s="128">
        <v>0</v>
      </c>
      <c r="L287" s="130">
        <v>46130</v>
      </c>
      <c r="M287" s="136"/>
      <c r="N287" s="128">
        <v>50</v>
      </c>
      <c r="O287" s="130">
        <v>46130</v>
      </c>
      <c r="P287" s="128">
        <v>0</v>
      </c>
      <c r="Q287" s="128">
        <v>350</v>
      </c>
      <c r="R287" s="128">
        <v>161</v>
      </c>
      <c r="S287" s="128">
        <v>511</v>
      </c>
      <c r="T287" s="128">
        <v>0</v>
      </c>
      <c r="U287" s="128">
        <v>0</v>
      </c>
      <c r="V287" s="128"/>
      <c r="W287" s="169">
        <v>306.60000000000002</v>
      </c>
      <c r="X287" s="169">
        <v>311.7</v>
      </c>
      <c r="Y287" s="169">
        <v>2023202.3</v>
      </c>
      <c r="Z287" s="165"/>
      <c r="AA287" s="169">
        <v>50580.06</v>
      </c>
      <c r="AB287" s="169">
        <v>50580.06</v>
      </c>
      <c r="AC287" s="169">
        <v>2124362.42</v>
      </c>
      <c r="AD287" s="143">
        <f t="shared" si="167"/>
        <v>2122238.0575799998</v>
      </c>
      <c r="AE287" s="138">
        <v>39.67</v>
      </c>
      <c r="AF287" s="169">
        <v>39.15</v>
      </c>
      <c r="AG287" s="138">
        <v>39.57</v>
      </c>
      <c r="AH287" s="170">
        <v>4.3E-3</v>
      </c>
      <c r="AI287" s="170">
        <v>0.04</v>
      </c>
      <c r="AJ287" s="170">
        <v>4.9000000000000002E-2</v>
      </c>
      <c r="AK287" s="137">
        <f t="shared" si="190"/>
        <v>0</v>
      </c>
      <c r="AL287" s="136">
        <v>0</v>
      </c>
      <c r="AM287" s="136"/>
      <c r="AN287" s="165">
        <v>0</v>
      </c>
      <c r="AO287" s="140">
        <f t="shared" si="191"/>
        <v>0</v>
      </c>
      <c r="AP287" s="136"/>
      <c r="AQ287" s="137">
        <v>0</v>
      </c>
      <c r="AR287" s="155">
        <f t="shared" si="192"/>
        <v>0</v>
      </c>
      <c r="AS287" s="155">
        <f t="shared" si="193"/>
        <v>0</v>
      </c>
      <c r="AT287" s="137">
        <v>0</v>
      </c>
      <c r="AU287" s="136"/>
      <c r="AV287" s="136"/>
      <c r="AW287" s="137">
        <f t="shared" si="179"/>
        <v>30660.000000000004</v>
      </c>
      <c r="AX287" s="136"/>
      <c r="AY287" s="137">
        <f t="shared" si="180"/>
        <v>30660.000000000004</v>
      </c>
      <c r="AZ287" s="137">
        <f t="shared" si="181"/>
        <v>31170</v>
      </c>
      <c r="BA287" s="142">
        <f t="shared" si="182"/>
        <v>-509.99999999999636</v>
      </c>
      <c r="BB287" s="137"/>
      <c r="BC287" s="137">
        <v>0</v>
      </c>
      <c r="BD287" s="136"/>
      <c r="BE287" s="128">
        <v>311.39999999999998</v>
      </c>
      <c r="BF287" s="143">
        <f t="shared" si="183"/>
        <v>0.46709999999999996</v>
      </c>
      <c r="BG287" s="143">
        <f t="shared" si="184"/>
        <v>310.93289999999996</v>
      </c>
      <c r="BH287" s="143">
        <f t="shared" si="185"/>
        <v>311.7</v>
      </c>
      <c r="BI287" s="144">
        <f t="shared" si="186"/>
        <v>-30.000000000001137</v>
      </c>
      <c r="BJ287" s="144">
        <v>0</v>
      </c>
      <c r="BK287" s="137">
        <f t="shared" si="187"/>
        <v>-30.000000000001137</v>
      </c>
      <c r="BL287" s="9"/>
      <c r="BM287" s="10" t="str">
        <f t="shared" si="188"/>
        <v>Unloading no. 271 Bill No 50 ,Deduction For Oil Deduction= 0 ,Bardana= 0 ,F.M=  Brokerage/Rate Difference 0 ,Shortage = 0 ,Greenish=  ,Moisture= 0</v>
      </c>
      <c r="BN287" s="9"/>
      <c r="BO287" s="13" t="str">
        <f t="shared" si="166"/>
        <v xml:space="preserve"> Party Condition 39.15  ,F.M% 0.43 ,Greenish 4 ,Moisture 4.9 ,Shortage in KG= 0  ,Oil% 39.57</v>
      </c>
      <c r="BP287" s="4">
        <f t="shared" si="189"/>
        <v>6490.8639717677261</v>
      </c>
      <c r="BX287" s="27">
        <v>39.67</v>
      </c>
      <c r="BY287" s="27">
        <v>39.57</v>
      </c>
    </row>
    <row r="288" spans="1:77" customFormat="1" ht="15.75" hidden="1" x14ac:dyDescent="0.3">
      <c r="A288" s="128" t="s">
        <v>558</v>
      </c>
      <c r="B288" s="130">
        <v>46130</v>
      </c>
      <c r="C288" s="167">
        <v>272</v>
      </c>
      <c r="D288" s="128" t="s">
        <v>586</v>
      </c>
      <c r="E288" s="130">
        <v>46132</v>
      </c>
      <c r="F288" s="128" t="s">
        <v>95</v>
      </c>
      <c r="G288" s="128" t="s">
        <v>96</v>
      </c>
      <c r="H288" s="128" t="s">
        <v>97</v>
      </c>
      <c r="I288" s="136"/>
      <c r="J288" s="128" t="s">
        <v>113</v>
      </c>
      <c r="K288" s="128">
        <v>0</v>
      </c>
      <c r="L288" s="130">
        <v>46130</v>
      </c>
      <c r="M288" s="136"/>
      <c r="N288" s="128">
        <v>95</v>
      </c>
      <c r="O288" s="130">
        <v>46131</v>
      </c>
      <c r="P288" s="128">
        <v>0</v>
      </c>
      <c r="Q288" s="128">
        <v>502</v>
      </c>
      <c r="R288" s="128">
        <v>0</v>
      </c>
      <c r="S288" s="128">
        <v>0</v>
      </c>
      <c r="T288" s="128">
        <v>502</v>
      </c>
      <c r="U288" s="128">
        <v>502</v>
      </c>
      <c r="V288" s="136"/>
      <c r="W288" s="128">
        <v>301.2</v>
      </c>
      <c r="X288" s="128">
        <v>305.10000000000002</v>
      </c>
      <c r="Y288" s="128">
        <v>2009098.38</v>
      </c>
      <c r="Z288" s="136"/>
      <c r="AA288" s="128">
        <v>50227.46</v>
      </c>
      <c r="AB288" s="128">
        <v>50227.46</v>
      </c>
      <c r="AC288" s="128">
        <v>2109553.2999999998</v>
      </c>
      <c r="AD288" s="143">
        <f t="shared" ref="AD288:AD351" si="194">SUM(AC288-AC288*0.1%)</f>
        <v>2107443.7467</v>
      </c>
      <c r="AE288" s="147">
        <v>40.58</v>
      </c>
      <c r="AF288" s="169">
        <v>39.72</v>
      </c>
      <c r="AG288" s="147">
        <v>40.46</v>
      </c>
      <c r="AH288" s="170">
        <v>4.1000000000000003E-3</v>
      </c>
      <c r="AI288" s="170">
        <v>3.9E-2</v>
      </c>
      <c r="AJ288" s="170">
        <v>5.8000000000000003E-2</v>
      </c>
      <c r="AK288" s="137">
        <f t="shared" si="190"/>
        <v>0</v>
      </c>
      <c r="AL288" s="136">
        <f>502*6</f>
        <v>3012</v>
      </c>
      <c r="AM288" s="136"/>
      <c r="AN288" s="165">
        <v>0</v>
      </c>
      <c r="AO288" s="140">
        <f t="shared" si="191"/>
        <v>0</v>
      </c>
      <c r="AP288" s="136"/>
      <c r="AQ288" s="137">
        <v>0</v>
      </c>
      <c r="AR288" s="155">
        <f t="shared" si="192"/>
        <v>3012</v>
      </c>
      <c r="AS288" s="155">
        <f t="shared" si="193"/>
        <v>3163</v>
      </c>
      <c r="AT288" s="137">
        <f>BK288</f>
        <v>0</v>
      </c>
      <c r="AU288" s="136" t="s">
        <v>585</v>
      </c>
      <c r="AV288" s="136"/>
      <c r="AW288" s="137">
        <f t="shared" si="179"/>
        <v>30120</v>
      </c>
      <c r="AX288" s="136"/>
      <c r="AY288" s="137">
        <f t="shared" si="180"/>
        <v>30120</v>
      </c>
      <c r="AZ288" s="137">
        <f t="shared" si="181"/>
        <v>30510.000000000004</v>
      </c>
      <c r="BA288" s="142">
        <f t="shared" si="182"/>
        <v>-390.00000000000364</v>
      </c>
      <c r="BB288" s="137"/>
      <c r="BC288" s="137">
        <v>0</v>
      </c>
      <c r="BD288" s="136"/>
      <c r="BE288" s="128">
        <v>305.10000000000002</v>
      </c>
      <c r="BF288" s="143">
        <f t="shared" si="183"/>
        <v>0.45765</v>
      </c>
      <c r="BG288" s="143">
        <f t="shared" si="184"/>
        <v>304.64235000000002</v>
      </c>
      <c r="BH288" s="143">
        <f t="shared" si="185"/>
        <v>305.10000000000002</v>
      </c>
      <c r="BI288" s="144">
        <f t="shared" si="186"/>
        <v>0</v>
      </c>
      <c r="BJ288" s="144">
        <v>0</v>
      </c>
      <c r="BK288" s="137">
        <f t="shared" si="187"/>
        <v>0</v>
      </c>
      <c r="BL288" s="9"/>
      <c r="BM288" s="10" t="str">
        <f t="shared" si="188"/>
        <v>Unloading no. 272 Bill No 95 ,Deduction For Oil Deduction= 0 ,Bardana= 3012 ,F.M=  Brokerage/Rate Difference 0 ,Shortage = 0 ,Greenish=  ,Moisture= 0</v>
      </c>
      <c r="BN288" s="9"/>
      <c r="BO288" s="13" t="str">
        <f t="shared" si="166"/>
        <v xml:space="preserve"> Party Condition 39.72  ,F.M% 0.41 ,Greenish 3.9 ,Moisture 5.8 ,Shortage in KG= 0  ,Oil% 40.46</v>
      </c>
      <c r="BP288" s="4">
        <f t="shared" si="189"/>
        <v>6575.1765978367739</v>
      </c>
      <c r="BX288" s="27">
        <v>40.58</v>
      </c>
      <c r="BY288" s="27">
        <v>40.46</v>
      </c>
    </row>
    <row r="289" spans="1:77" customFormat="1" ht="15.75" hidden="1" x14ac:dyDescent="0.3">
      <c r="A289" s="128" t="s">
        <v>558</v>
      </c>
      <c r="B289" s="130">
        <v>46130</v>
      </c>
      <c r="C289" s="167">
        <v>273</v>
      </c>
      <c r="D289" s="128" t="s">
        <v>587</v>
      </c>
      <c r="E289" s="130">
        <v>46132</v>
      </c>
      <c r="F289" s="128" t="s">
        <v>95</v>
      </c>
      <c r="G289" s="128" t="s">
        <v>96</v>
      </c>
      <c r="H289" s="128" t="s">
        <v>97</v>
      </c>
      <c r="I289" s="136"/>
      <c r="J289" s="128" t="s">
        <v>113</v>
      </c>
      <c r="K289" s="128">
        <v>0</v>
      </c>
      <c r="L289" s="130">
        <v>46130</v>
      </c>
      <c r="M289" s="136"/>
      <c r="N289" s="128">
        <v>96</v>
      </c>
      <c r="O289" s="130">
        <v>46131</v>
      </c>
      <c r="P289" s="128">
        <v>0</v>
      </c>
      <c r="Q289" s="128">
        <v>310</v>
      </c>
      <c r="R289" s="128">
        <v>142</v>
      </c>
      <c r="S289" s="128">
        <v>0</v>
      </c>
      <c r="T289" s="128">
        <v>452</v>
      </c>
      <c r="U289" s="128">
        <v>452</v>
      </c>
      <c r="V289" s="136"/>
      <c r="W289" s="128">
        <v>271.2</v>
      </c>
      <c r="X289" s="128">
        <v>274.89999999999998</v>
      </c>
      <c r="Y289" s="128">
        <v>1808988.98</v>
      </c>
      <c r="Z289" s="136"/>
      <c r="AA289" s="128">
        <v>45224.72</v>
      </c>
      <c r="AB289" s="128">
        <v>45224.72</v>
      </c>
      <c r="AC289" s="128">
        <v>1899438.43</v>
      </c>
      <c r="AD289" s="143">
        <f t="shared" si="194"/>
        <v>1897538.9915699998</v>
      </c>
      <c r="AE289" s="147">
        <v>39.590000000000003</v>
      </c>
      <c r="AF289" s="169">
        <v>39.72</v>
      </c>
      <c r="AG289" s="147">
        <v>39.53</v>
      </c>
      <c r="AH289" s="170">
        <v>4.3E-3</v>
      </c>
      <c r="AI289" s="170">
        <v>3.9E-2</v>
      </c>
      <c r="AJ289" s="170">
        <v>5.2999999999999999E-2</v>
      </c>
      <c r="AK289" s="137">
        <v>0</v>
      </c>
      <c r="AL289" s="136">
        <f>452*6</f>
        <v>2712</v>
      </c>
      <c r="AM289" s="136"/>
      <c r="AN289" s="165">
        <v>0</v>
      </c>
      <c r="AO289" s="140">
        <f t="shared" si="191"/>
        <v>0</v>
      </c>
      <c r="AP289" s="136"/>
      <c r="AQ289" s="137">
        <v>0</v>
      </c>
      <c r="AR289" s="155">
        <f t="shared" si="192"/>
        <v>2712</v>
      </c>
      <c r="AS289" s="155">
        <f t="shared" si="193"/>
        <v>2848</v>
      </c>
      <c r="AT289" s="137">
        <f t="shared" ref="AT289:AT290" si="195">BK289</f>
        <v>0</v>
      </c>
      <c r="AU289" s="136" t="s">
        <v>585</v>
      </c>
      <c r="AV289" s="136"/>
      <c r="AW289" s="137">
        <f t="shared" si="179"/>
        <v>27120</v>
      </c>
      <c r="AX289" s="136"/>
      <c r="AY289" s="137">
        <f t="shared" si="180"/>
        <v>27120</v>
      </c>
      <c r="AZ289" s="137">
        <f t="shared" si="181"/>
        <v>27489.999999999996</v>
      </c>
      <c r="BA289" s="142">
        <f t="shared" si="182"/>
        <v>-369.99999999999636</v>
      </c>
      <c r="BB289" s="137"/>
      <c r="BC289" s="137">
        <v>0</v>
      </c>
      <c r="BD289" s="136"/>
      <c r="BE289" s="128">
        <v>274.89999999999998</v>
      </c>
      <c r="BF289" s="143">
        <f t="shared" si="183"/>
        <v>0.41234999999999994</v>
      </c>
      <c r="BG289" s="143">
        <f t="shared" si="184"/>
        <v>274.48764999999997</v>
      </c>
      <c r="BH289" s="143">
        <f t="shared" si="185"/>
        <v>274.89999999999998</v>
      </c>
      <c r="BI289" s="144">
        <f t="shared" si="186"/>
        <v>0</v>
      </c>
      <c r="BJ289" s="144">
        <v>0</v>
      </c>
      <c r="BK289" s="137">
        <f t="shared" si="187"/>
        <v>0</v>
      </c>
      <c r="BL289" s="9"/>
      <c r="BM289" s="10" t="str">
        <f t="shared" si="188"/>
        <v>Unloading no. 273 Bill No 96 ,Deduction For Oil Deduction= 0 ,Bardana= 2712 ,F.M=  Brokerage/Rate Difference 0 ,Shortage = 0 ,Greenish=  ,Moisture= 0</v>
      </c>
      <c r="BN289" s="9"/>
      <c r="BO289" s="13" t="str">
        <f t="shared" si="166"/>
        <v xml:space="preserve"> Party Condition 39.72  ,F.M% 0.43 ,Greenish 3.9 ,Moisture 5.3 ,Shortage in KG= 0  ,Oil% 39.53</v>
      </c>
      <c r="BP289" s="4">
        <f t="shared" si="189"/>
        <v>6570.6692615496549</v>
      </c>
      <c r="BX289" s="27">
        <v>39.590000000000003</v>
      </c>
      <c r="BY289" s="27">
        <v>39.53</v>
      </c>
    </row>
    <row r="290" spans="1:77" customFormat="1" ht="15.75" hidden="1" x14ac:dyDescent="0.3">
      <c r="A290" s="128" t="s">
        <v>558</v>
      </c>
      <c r="B290" s="130">
        <v>46130</v>
      </c>
      <c r="C290" s="167">
        <v>274</v>
      </c>
      <c r="D290" s="128" t="s">
        <v>588</v>
      </c>
      <c r="E290" s="130">
        <v>46132</v>
      </c>
      <c r="F290" s="128" t="s">
        <v>95</v>
      </c>
      <c r="G290" s="128" t="s">
        <v>96</v>
      </c>
      <c r="H290" s="128" t="s">
        <v>97</v>
      </c>
      <c r="I290" s="136"/>
      <c r="J290" s="128" t="s">
        <v>113</v>
      </c>
      <c r="K290" s="128">
        <v>0</v>
      </c>
      <c r="L290" s="130">
        <v>46130</v>
      </c>
      <c r="M290" s="136"/>
      <c r="N290" s="128">
        <v>98</v>
      </c>
      <c r="O290" s="130">
        <v>46131</v>
      </c>
      <c r="P290" s="128">
        <v>0</v>
      </c>
      <c r="Q290" s="128">
        <v>520</v>
      </c>
      <c r="R290" s="128">
        <v>170</v>
      </c>
      <c r="S290" s="128">
        <v>0</v>
      </c>
      <c r="T290" s="128">
        <v>690</v>
      </c>
      <c r="U290" s="128">
        <v>690</v>
      </c>
      <c r="V290" s="136"/>
      <c r="W290" s="128">
        <v>414</v>
      </c>
      <c r="X290" s="128">
        <v>418.6</v>
      </c>
      <c r="Y290" s="128">
        <v>2761509.72</v>
      </c>
      <c r="Z290" s="136"/>
      <c r="AA290" s="128">
        <v>69037.740000000005</v>
      </c>
      <c r="AB290" s="128">
        <v>69037.740000000005</v>
      </c>
      <c r="AC290" s="128">
        <v>2899585.21</v>
      </c>
      <c r="AD290" s="143">
        <f t="shared" si="194"/>
        <v>2896685.6247899998</v>
      </c>
      <c r="AE290" s="147">
        <v>40.200000000000003</v>
      </c>
      <c r="AF290" s="169">
        <v>39.72</v>
      </c>
      <c r="AG290" s="147">
        <v>40.26</v>
      </c>
      <c r="AH290" s="170">
        <v>4.1999999999999997E-3</v>
      </c>
      <c r="AI290" s="170">
        <v>0.04</v>
      </c>
      <c r="AJ290" s="170">
        <v>5.6000000000000001E-2</v>
      </c>
      <c r="AK290" s="137">
        <f t="shared" si="190"/>
        <v>0</v>
      </c>
      <c r="AL290" s="136">
        <f>690*6</f>
        <v>4140</v>
      </c>
      <c r="AM290" s="136"/>
      <c r="AN290" s="165">
        <v>0</v>
      </c>
      <c r="AO290" s="140">
        <f t="shared" si="191"/>
        <v>0</v>
      </c>
      <c r="AP290" s="136"/>
      <c r="AQ290" s="137">
        <v>0</v>
      </c>
      <c r="AR290" s="155">
        <f t="shared" si="192"/>
        <v>4140</v>
      </c>
      <c r="AS290" s="155">
        <f t="shared" si="193"/>
        <v>4347</v>
      </c>
      <c r="AT290" s="137">
        <f t="shared" si="195"/>
        <v>0</v>
      </c>
      <c r="AU290" s="136" t="s">
        <v>585</v>
      </c>
      <c r="AV290" s="136"/>
      <c r="AW290" s="137">
        <f t="shared" si="179"/>
        <v>41400</v>
      </c>
      <c r="AX290" s="136"/>
      <c r="AY290" s="137">
        <f t="shared" si="180"/>
        <v>41400</v>
      </c>
      <c r="AZ290" s="137">
        <f t="shared" si="181"/>
        <v>41860</v>
      </c>
      <c r="BA290" s="142">
        <f t="shared" si="182"/>
        <v>-460</v>
      </c>
      <c r="BB290" s="137"/>
      <c r="BC290" s="137">
        <v>0</v>
      </c>
      <c r="BD290" s="136"/>
      <c r="BE290" s="128">
        <v>418.6</v>
      </c>
      <c r="BF290" s="143">
        <f t="shared" si="183"/>
        <v>0.62790000000000001</v>
      </c>
      <c r="BG290" s="143">
        <f t="shared" si="184"/>
        <v>417.97210000000001</v>
      </c>
      <c r="BH290" s="143">
        <f t="shared" si="185"/>
        <v>418.6</v>
      </c>
      <c r="BI290" s="144">
        <f t="shared" si="186"/>
        <v>0</v>
      </c>
      <c r="BJ290" s="144">
        <v>0</v>
      </c>
      <c r="BK290" s="137">
        <f t="shared" si="187"/>
        <v>0</v>
      </c>
      <c r="BL290" s="9"/>
      <c r="BM290" s="10" t="str">
        <f t="shared" si="188"/>
        <v>Unloading no. 274 Bill No 98 ,Deduction For Oil Deduction= 0 ,Bardana= 4140 ,F.M=  Brokerage/Rate Difference 0 ,Shortage = 0 ,Greenish=  ,Moisture= 0</v>
      </c>
      <c r="BN290" s="9"/>
      <c r="BO290" s="13" t="str">
        <f t="shared" si="166"/>
        <v xml:space="preserve"> Party Condition 39.72  ,F.M% 0.42 ,Greenish 4 ,Moisture 5.6 ,Shortage in KG= 0  ,Oil% 40.2</v>
      </c>
      <c r="BP290" s="4">
        <f t="shared" si="189"/>
        <v>6587.123076923077</v>
      </c>
      <c r="BX290" s="27">
        <v>40.200000000000003</v>
      </c>
      <c r="BY290" s="27">
        <v>40.26</v>
      </c>
    </row>
    <row r="291" spans="1:77" customFormat="1" ht="15.75" hidden="1" x14ac:dyDescent="0.3">
      <c r="A291" s="128" t="s">
        <v>589</v>
      </c>
      <c r="B291" s="130">
        <v>46130</v>
      </c>
      <c r="C291" s="167">
        <v>275</v>
      </c>
      <c r="D291" s="128" t="s">
        <v>590</v>
      </c>
      <c r="E291" s="130">
        <v>46132</v>
      </c>
      <c r="F291" s="128" t="s">
        <v>436</v>
      </c>
      <c r="G291" s="128" t="s">
        <v>437</v>
      </c>
      <c r="H291" s="128" t="s">
        <v>438</v>
      </c>
      <c r="I291" s="136"/>
      <c r="J291" s="128" t="s">
        <v>113</v>
      </c>
      <c r="K291" s="128">
        <v>0</v>
      </c>
      <c r="L291" s="130">
        <v>46130</v>
      </c>
      <c r="M291" s="136"/>
      <c r="N291" s="128">
        <v>51</v>
      </c>
      <c r="O291" s="130">
        <v>46131</v>
      </c>
      <c r="P291" s="128">
        <v>0</v>
      </c>
      <c r="Q291" s="128">
        <v>321</v>
      </c>
      <c r="R291" s="128">
        <v>200</v>
      </c>
      <c r="S291" s="128">
        <v>0</v>
      </c>
      <c r="T291" s="128">
        <v>521</v>
      </c>
      <c r="U291" s="128">
        <v>521</v>
      </c>
      <c r="V291" s="136"/>
      <c r="W291" s="128">
        <v>312.60000000000002</v>
      </c>
      <c r="X291" s="128">
        <v>317.3</v>
      </c>
      <c r="Y291" s="128">
        <v>2065302.35</v>
      </c>
      <c r="Z291" s="136"/>
      <c r="AA291" s="128">
        <v>51632.56</v>
      </c>
      <c r="AB291" s="128">
        <v>51632.56</v>
      </c>
      <c r="AC291" s="128">
        <v>2168567.4700000002</v>
      </c>
      <c r="AD291" s="143">
        <f t="shared" si="194"/>
        <v>2166398.9025300001</v>
      </c>
      <c r="AE291" s="147">
        <v>40.28</v>
      </c>
      <c r="AF291" s="169">
        <v>39.15</v>
      </c>
      <c r="AG291" s="147">
        <v>40.229999999999997</v>
      </c>
      <c r="AH291" s="170">
        <v>4.5999999999999999E-3</v>
      </c>
      <c r="AI291" s="170">
        <v>3.7999999999999999E-2</v>
      </c>
      <c r="AJ291" s="170">
        <v>5.0999999999999997E-2</v>
      </c>
      <c r="AK291" s="137">
        <f t="shared" si="190"/>
        <v>0</v>
      </c>
      <c r="AL291" s="136">
        <v>0</v>
      </c>
      <c r="AM291" s="136"/>
      <c r="AN291" s="165">
        <v>0</v>
      </c>
      <c r="AO291" s="140">
        <f t="shared" si="191"/>
        <v>0</v>
      </c>
      <c r="AP291" s="136"/>
      <c r="AQ291" s="137">
        <v>0</v>
      </c>
      <c r="AR291" s="155">
        <f t="shared" si="192"/>
        <v>0</v>
      </c>
      <c r="AS291" s="155">
        <f t="shared" si="193"/>
        <v>0</v>
      </c>
      <c r="AT291" s="137">
        <v>0</v>
      </c>
      <c r="AU291" s="136"/>
      <c r="AV291" s="136"/>
      <c r="AW291" s="137">
        <f t="shared" si="179"/>
        <v>31260.000000000004</v>
      </c>
      <c r="AX291" s="136"/>
      <c r="AY291" s="137">
        <f t="shared" si="180"/>
        <v>31260.000000000004</v>
      </c>
      <c r="AZ291" s="137">
        <f t="shared" si="181"/>
        <v>31730</v>
      </c>
      <c r="BA291" s="142">
        <f t="shared" si="182"/>
        <v>-469.99999999999636</v>
      </c>
      <c r="BB291" s="137"/>
      <c r="BC291" s="137">
        <v>0</v>
      </c>
      <c r="BD291" s="136"/>
      <c r="BE291" s="128">
        <v>317.2</v>
      </c>
      <c r="BF291" s="143">
        <f t="shared" si="183"/>
        <v>0.4758</v>
      </c>
      <c r="BG291" s="143">
        <f t="shared" si="184"/>
        <v>316.7242</v>
      </c>
      <c r="BH291" s="143">
        <f t="shared" si="185"/>
        <v>317.3</v>
      </c>
      <c r="BI291" s="144">
        <f t="shared" si="186"/>
        <v>-10.000000000002274</v>
      </c>
      <c r="BJ291" s="144">
        <v>0</v>
      </c>
      <c r="BK291" s="137">
        <f t="shared" si="187"/>
        <v>-10.000000000002274</v>
      </c>
      <c r="BL291" s="9"/>
      <c r="BM291" s="10" t="str">
        <f t="shared" si="188"/>
        <v>Unloading no. 275 Bill No 51 ,Deduction For Oil Deduction= 0 ,Bardana= 0 ,F.M=  Brokerage/Rate Difference 0 ,Shortage = 0 ,Greenish=  ,Moisture= 0</v>
      </c>
      <c r="BN291" s="9"/>
      <c r="BO291" s="13" t="str">
        <f t="shared" si="166"/>
        <v xml:space="preserve"> Party Condition 39.15  ,F.M% 0.46 ,Greenish 3.8 ,Moisture 5.1 ,Shortage in KG= 0  ,Oil% 40.23</v>
      </c>
      <c r="BP291" s="4">
        <f t="shared" si="189"/>
        <v>6508.9894421682948</v>
      </c>
      <c r="BX291" s="27">
        <v>40.28</v>
      </c>
      <c r="BY291" s="27">
        <v>40.229999999999997</v>
      </c>
    </row>
    <row r="292" spans="1:77" customFormat="1" ht="15.75" hidden="1" x14ac:dyDescent="0.3">
      <c r="A292" s="128" t="s">
        <v>560</v>
      </c>
      <c r="B292" s="130">
        <v>46129</v>
      </c>
      <c r="C292" s="167">
        <v>276</v>
      </c>
      <c r="D292" s="128" t="s">
        <v>591</v>
      </c>
      <c r="E292" s="130">
        <v>46132</v>
      </c>
      <c r="F292" s="128" t="s">
        <v>104</v>
      </c>
      <c r="G292" s="128" t="s">
        <v>105</v>
      </c>
      <c r="H292" s="128" t="s">
        <v>106</v>
      </c>
      <c r="I292" s="136"/>
      <c r="J292" s="128" t="s">
        <v>113</v>
      </c>
      <c r="K292" s="128">
        <v>0</v>
      </c>
      <c r="L292" s="130">
        <v>46129</v>
      </c>
      <c r="M292" s="136"/>
      <c r="N292" s="128" t="s">
        <v>592</v>
      </c>
      <c r="O292" s="130">
        <v>46131</v>
      </c>
      <c r="P292" s="128">
        <v>0</v>
      </c>
      <c r="Q292" s="128">
        <v>430</v>
      </c>
      <c r="R292" s="128">
        <v>165</v>
      </c>
      <c r="S292" s="128">
        <v>0</v>
      </c>
      <c r="T292" s="128">
        <v>595</v>
      </c>
      <c r="U292" s="128">
        <v>595</v>
      </c>
      <c r="V292" s="136"/>
      <c r="W292" s="128">
        <v>297.60000000000002</v>
      </c>
      <c r="X292" s="128">
        <v>302.60000000000002</v>
      </c>
      <c r="Y292" s="128">
        <v>2012153.15</v>
      </c>
      <c r="Z292" s="136"/>
      <c r="AA292" s="128">
        <v>50303.83</v>
      </c>
      <c r="AB292" s="128">
        <v>50303.83</v>
      </c>
      <c r="AC292" s="128">
        <v>2112760.81</v>
      </c>
      <c r="AD292" s="143">
        <f t="shared" si="194"/>
        <v>2110648.0491900002</v>
      </c>
      <c r="AE292" s="147">
        <v>40.700000000000003</v>
      </c>
      <c r="AF292" s="169">
        <v>39.4</v>
      </c>
      <c r="AG292" s="147">
        <v>40.71</v>
      </c>
      <c r="AH292" s="170">
        <v>4.4999999999999997E-3</v>
      </c>
      <c r="AI292" s="170">
        <v>3.9E-2</v>
      </c>
      <c r="AJ292" s="170">
        <v>5.3999999999999999E-2</v>
      </c>
      <c r="AK292" s="137">
        <f t="shared" si="190"/>
        <v>0</v>
      </c>
      <c r="AL292" s="136">
        <f>595*2</f>
        <v>1190</v>
      </c>
      <c r="AM292" s="136"/>
      <c r="AN292" s="165">
        <v>0</v>
      </c>
      <c r="AO292" s="140">
        <f t="shared" si="191"/>
        <v>0</v>
      </c>
      <c r="AP292" s="136"/>
      <c r="AQ292" s="137">
        <v>0</v>
      </c>
      <c r="AR292" s="155">
        <f t="shared" si="192"/>
        <v>1190</v>
      </c>
      <c r="AS292" s="155">
        <f t="shared" si="193"/>
        <v>1250</v>
      </c>
      <c r="AT292" s="137">
        <v>0</v>
      </c>
      <c r="AU292" s="136" t="s">
        <v>585</v>
      </c>
      <c r="AV292" s="136"/>
      <c r="AW292" s="137">
        <f t="shared" si="179"/>
        <v>29760.000000000004</v>
      </c>
      <c r="AX292" s="136"/>
      <c r="AY292" s="137">
        <f t="shared" si="180"/>
        <v>29760.000000000004</v>
      </c>
      <c r="AZ292" s="137">
        <f t="shared" si="181"/>
        <v>30260.000000000004</v>
      </c>
      <c r="BA292" s="142">
        <f t="shared" si="182"/>
        <v>-500</v>
      </c>
      <c r="BB292" s="137"/>
      <c r="BC292" s="137">
        <v>0</v>
      </c>
      <c r="BD292" s="136"/>
      <c r="BE292" s="128">
        <v>302.5</v>
      </c>
      <c r="BF292" s="143">
        <f t="shared" si="183"/>
        <v>0.45374999999999999</v>
      </c>
      <c r="BG292" s="143">
        <f t="shared" si="184"/>
        <v>302.04624999999999</v>
      </c>
      <c r="BH292" s="143">
        <f t="shared" si="185"/>
        <v>302.60000000000002</v>
      </c>
      <c r="BI292" s="144">
        <f t="shared" si="186"/>
        <v>-10.000000000002274</v>
      </c>
      <c r="BJ292" s="144">
        <v>0</v>
      </c>
      <c r="BK292" s="137">
        <f t="shared" si="187"/>
        <v>-10.000000000002274</v>
      </c>
      <c r="BL292" s="9"/>
      <c r="BM292" s="10" t="str">
        <f t="shared" si="188"/>
        <v>Unloading no. 276 Bill No MTC/2026-27/083 ,Deduction For Oil Deduction= 0 ,Bardana= 1190 ,F.M=  Brokerage/Rate Difference 0 ,Shortage = 0 ,Greenish=  ,Moisture= 0</v>
      </c>
      <c r="BN292" s="9"/>
      <c r="BO292" s="13" t="str">
        <f t="shared" si="166"/>
        <v xml:space="preserve"> Party Condition 39.4  ,F.M% 0.45 ,Greenish 3.9 ,Moisture 5.4 ,Shortage in KG= 0  ,Oil% 40.7</v>
      </c>
      <c r="BP292" s="4">
        <f t="shared" si="189"/>
        <v>6645.6151685393252</v>
      </c>
      <c r="BX292" s="27">
        <v>40.700000000000003</v>
      </c>
      <c r="BY292" s="27">
        <v>40.71</v>
      </c>
    </row>
    <row r="293" spans="1:77" customFormat="1" ht="15.75" hidden="1" x14ac:dyDescent="0.3">
      <c r="A293" s="128" t="s">
        <v>556</v>
      </c>
      <c r="B293" s="130">
        <v>46128</v>
      </c>
      <c r="C293" s="167">
        <v>277</v>
      </c>
      <c r="D293" s="128" t="s">
        <v>593</v>
      </c>
      <c r="E293" s="130">
        <v>46132</v>
      </c>
      <c r="F293" s="128" t="s">
        <v>104</v>
      </c>
      <c r="G293" s="128" t="s">
        <v>105</v>
      </c>
      <c r="H293" s="128" t="s">
        <v>106</v>
      </c>
      <c r="I293" s="136"/>
      <c r="J293" s="128" t="s">
        <v>113</v>
      </c>
      <c r="K293" s="128">
        <v>0</v>
      </c>
      <c r="L293" s="130">
        <v>46128</v>
      </c>
      <c r="M293" s="136"/>
      <c r="N293" s="128" t="s">
        <v>594</v>
      </c>
      <c r="O293" s="130">
        <v>46130</v>
      </c>
      <c r="P293" s="128">
        <v>0</v>
      </c>
      <c r="Q293" s="128">
        <v>384</v>
      </c>
      <c r="R293" s="128">
        <v>380</v>
      </c>
      <c r="S293" s="128">
        <v>0</v>
      </c>
      <c r="T293" s="128">
        <v>764</v>
      </c>
      <c r="U293" s="128">
        <v>764</v>
      </c>
      <c r="V293" s="136"/>
      <c r="W293" s="128">
        <v>382</v>
      </c>
      <c r="X293" s="128">
        <v>388.7</v>
      </c>
      <c r="Y293" s="128">
        <v>2553723.48</v>
      </c>
      <c r="Z293" s="136"/>
      <c r="AA293" s="128">
        <v>63843.09</v>
      </c>
      <c r="AB293" s="128">
        <v>63843.09</v>
      </c>
      <c r="AC293" s="128">
        <v>2681409.65</v>
      </c>
      <c r="AD293" s="143">
        <f t="shared" si="194"/>
        <v>2678728.2403500001</v>
      </c>
      <c r="AE293" s="147">
        <v>39.979999999999997</v>
      </c>
      <c r="AF293" s="169">
        <v>39.049999999999997</v>
      </c>
      <c r="AG293" s="147">
        <v>39.909999999999997</v>
      </c>
      <c r="AH293" s="170">
        <v>4.5999999999999999E-3</v>
      </c>
      <c r="AI293" s="170">
        <v>0.04</v>
      </c>
      <c r="AJ293" s="170">
        <v>5.6000000000000001E-2</v>
      </c>
      <c r="AK293" s="137">
        <f t="shared" si="190"/>
        <v>0</v>
      </c>
      <c r="AL293" s="136">
        <f>764*2</f>
        <v>1528</v>
      </c>
      <c r="AM293" s="136"/>
      <c r="AN293" s="165">
        <v>0</v>
      </c>
      <c r="AO293" s="140">
        <f t="shared" si="191"/>
        <v>0</v>
      </c>
      <c r="AP293" s="136"/>
      <c r="AQ293" s="137">
        <v>0</v>
      </c>
      <c r="AR293" s="155">
        <f t="shared" si="192"/>
        <v>1528</v>
      </c>
      <c r="AS293" s="155">
        <f t="shared" si="193"/>
        <v>1604</v>
      </c>
      <c r="AT293" s="137">
        <v>0</v>
      </c>
      <c r="AU293" s="136" t="s">
        <v>585</v>
      </c>
      <c r="AV293" s="136"/>
      <c r="AW293" s="137">
        <f t="shared" si="179"/>
        <v>38200</v>
      </c>
      <c r="AX293" s="136"/>
      <c r="AY293" s="137">
        <f t="shared" si="180"/>
        <v>38200</v>
      </c>
      <c r="AZ293" s="137">
        <f t="shared" si="181"/>
        <v>38870</v>
      </c>
      <c r="BA293" s="142">
        <f t="shared" si="182"/>
        <v>-670</v>
      </c>
      <c r="BB293" s="137"/>
      <c r="BC293" s="137">
        <v>0</v>
      </c>
      <c r="BD293" s="136"/>
      <c r="BE293" s="128">
        <v>388.55</v>
      </c>
      <c r="BF293" s="143">
        <f t="shared" si="183"/>
        <v>0.58282500000000004</v>
      </c>
      <c r="BG293" s="143">
        <f t="shared" si="184"/>
        <v>387.967175</v>
      </c>
      <c r="BH293" s="143">
        <f t="shared" si="185"/>
        <v>388.7</v>
      </c>
      <c r="BI293" s="144">
        <f t="shared" si="186"/>
        <v>-14.999999999997726</v>
      </c>
      <c r="BJ293" s="144">
        <v>0</v>
      </c>
      <c r="BK293" s="137">
        <f t="shared" si="187"/>
        <v>-14.999999999997726</v>
      </c>
      <c r="BL293" s="9"/>
      <c r="BM293" s="10" t="str">
        <f t="shared" si="188"/>
        <v>Unloading no. 277 Bill No MTC/2026-27/080 ,Deduction For Oil Deduction= 0 ,Bardana= 1528 ,F.M=  Brokerage/Rate Difference 0 ,Shortage = 0 ,Greenish=  ,Moisture= 0</v>
      </c>
      <c r="BN293" s="9"/>
      <c r="BO293" s="13" t="str">
        <f t="shared" si="166"/>
        <v xml:space="preserve"> Party Condition 39.05  ,F.M% 0.46 ,Greenish 4 ,Moisture 5.6 ,Shortage in KG= 0  ,Oil% 39.91</v>
      </c>
      <c r="BP293" s="4">
        <f t="shared" si="189"/>
        <v>6565.9775662464626</v>
      </c>
      <c r="BX293" s="27">
        <v>39.979999999999997</v>
      </c>
      <c r="BY293" s="27">
        <v>39.909999999999997</v>
      </c>
    </row>
    <row r="294" spans="1:77" customFormat="1" ht="15.75" hidden="1" x14ac:dyDescent="0.3">
      <c r="A294" s="128" t="s">
        <v>560</v>
      </c>
      <c r="B294" s="130">
        <v>46129</v>
      </c>
      <c r="C294" s="167">
        <v>278</v>
      </c>
      <c r="D294" s="128" t="s">
        <v>595</v>
      </c>
      <c r="E294" s="130">
        <v>46132</v>
      </c>
      <c r="F294" s="128" t="s">
        <v>104</v>
      </c>
      <c r="G294" s="128" t="s">
        <v>105</v>
      </c>
      <c r="H294" s="128" t="s">
        <v>106</v>
      </c>
      <c r="I294" s="136"/>
      <c r="J294" s="128" t="s">
        <v>113</v>
      </c>
      <c r="K294" s="128">
        <v>0</v>
      </c>
      <c r="L294" s="130">
        <v>46129</v>
      </c>
      <c r="M294" s="136"/>
      <c r="N294" s="128" t="s">
        <v>596</v>
      </c>
      <c r="O294" s="130">
        <v>46131</v>
      </c>
      <c r="P294" s="128">
        <v>0</v>
      </c>
      <c r="Q294" s="128">
        <v>426</v>
      </c>
      <c r="R294" s="128">
        <v>400</v>
      </c>
      <c r="S294" s="128">
        <v>0</v>
      </c>
      <c r="T294" s="128">
        <v>826</v>
      </c>
      <c r="U294" s="128">
        <v>826</v>
      </c>
      <c r="V294" s="136"/>
      <c r="W294" s="128">
        <v>413</v>
      </c>
      <c r="X294" s="128">
        <v>419.9</v>
      </c>
      <c r="Y294" s="128">
        <v>2793342.02</v>
      </c>
      <c r="Z294" s="136"/>
      <c r="AA294" s="128">
        <v>69833.55</v>
      </c>
      <c r="AB294" s="128">
        <v>69833.55</v>
      </c>
      <c r="AC294" s="128">
        <v>2933009.12</v>
      </c>
      <c r="AD294" s="143">
        <f t="shared" si="194"/>
        <v>2930076.1108800001</v>
      </c>
      <c r="AE294" s="173">
        <v>40.450000000000003</v>
      </c>
      <c r="AF294" s="169">
        <v>39.4</v>
      </c>
      <c r="AG294" s="147">
        <v>40.380000000000003</v>
      </c>
      <c r="AH294" s="170">
        <v>4.1000000000000003E-3</v>
      </c>
      <c r="AI294" s="170">
        <v>0.04</v>
      </c>
      <c r="AJ294" s="170">
        <v>0.05</v>
      </c>
      <c r="AK294" s="137">
        <f t="shared" si="190"/>
        <v>0</v>
      </c>
      <c r="AL294" s="136">
        <f>826*2</f>
        <v>1652</v>
      </c>
      <c r="AM294" s="136"/>
      <c r="AN294" s="165">
        <v>0</v>
      </c>
      <c r="AO294" s="140">
        <f t="shared" si="191"/>
        <v>0</v>
      </c>
      <c r="AP294" s="136"/>
      <c r="AQ294" s="137">
        <v>0</v>
      </c>
      <c r="AR294" s="155">
        <f t="shared" si="192"/>
        <v>1652</v>
      </c>
      <c r="AS294" s="155">
        <f t="shared" si="193"/>
        <v>1735</v>
      </c>
      <c r="AT294" s="137">
        <v>0</v>
      </c>
      <c r="AU294" s="136" t="s">
        <v>585</v>
      </c>
      <c r="AV294" s="136"/>
      <c r="AW294" s="137">
        <f t="shared" si="179"/>
        <v>41300</v>
      </c>
      <c r="AX294" s="136"/>
      <c r="AY294" s="137">
        <f t="shared" si="180"/>
        <v>41300</v>
      </c>
      <c r="AZ294" s="137">
        <f t="shared" si="181"/>
        <v>41990</v>
      </c>
      <c r="BA294" s="142">
        <f t="shared" si="182"/>
        <v>-690</v>
      </c>
      <c r="BB294" s="137"/>
      <c r="BC294" s="137">
        <v>0</v>
      </c>
      <c r="BD294" s="136"/>
      <c r="BE294" s="128">
        <v>419.5</v>
      </c>
      <c r="BF294" s="143">
        <f t="shared" si="183"/>
        <v>0.62924999999999998</v>
      </c>
      <c r="BG294" s="143">
        <f t="shared" si="184"/>
        <v>418.87074999999999</v>
      </c>
      <c r="BH294" s="143">
        <f t="shared" si="185"/>
        <v>419.9</v>
      </c>
      <c r="BI294" s="144">
        <f t="shared" si="186"/>
        <v>-39.999999999997726</v>
      </c>
      <c r="BJ294" s="144">
        <v>0</v>
      </c>
      <c r="BK294" s="137">
        <f t="shared" si="187"/>
        <v>-39.999999999997726</v>
      </c>
      <c r="BL294" s="9"/>
      <c r="BM294" s="10" t="str">
        <f t="shared" si="188"/>
        <v>Unloading no. 278 Bill No MTC/2026-27/086 ,Deduction For Oil Deduction= 0 ,Bardana= 1652 ,F.M=  Brokerage/Rate Difference 0 ,Shortage = 0 ,Greenish=  ,Moisture= 0</v>
      </c>
      <c r="BN294" s="9"/>
      <c r="BO294" s="13" t="str">
        <f t="shared" si="166"/>
        <v xml:space="preserve"> Party Condition 39.4  ,F.M% 0.41 ,Greenish 4 ,Moisture 5 ,Shortage in KG= 0  ,Oil% 40.38</v>
      </c>
      <c r="BP294" s="4">
        <f t="shared" si="189"/>
        <v>6648.4639676113366</v>
      </c>
      <c r="BX294" s="30">
        <v>40.450000000000003</v>
      </c>
      <c r="BY294" s="27">
        <v>40.380000000000003</v>
      </c>
    </row>
    <row r="295" spans="1:77" customFormat="1" ht="15.75" hidden="1" x14ac:dyDescent="0.3">
      <c r="A295" s="128" t="s">
        <v>560</v>
      </c>
      <c r="B295" s="130">
        <v>46129</v>
      </c>
      <c r="C295" s="167">
        <v>279</v>
      </c>
      <c r="D295" s="128" t="s">
        <v>597</v>
      </c>
      <c r="E295" s="130">
        <v>46132</v>
      </c>
      <c r="F295" s="128" t="s">
        <v>104</v>
      </c>
      <c r="G295" s="128" t="s">
        <v>105</v>
      </c>
      <c r="H295" s="128" t="s">
        <v>106</v>
      </c>
      <c r="I295" s="136"/>
      <c r="J295" s="128" t="s">
        <v>113</v>
      </c>
      <c r="K295" s="128">
        <v>0</v>
      </c>
      <c r="L295" s="130">
        <v>46129</v>
      </c>
      <c r="M295" s="136"/>
      <c r="N295" s="128" t="s">
        <v>598</v>
      </c>
      <c r="O295" s="130">
        <v>46131</v>
      </c>
      <c r="P295" s="128">
        <v>0</v>
      </c>
      <c r="Q295" s="128">
        <v>150</v>
      </c>
      <c r="R295" s="128">
        <v>150</v>
      </c>
      <c r="S295" s="128">
        <v>0</v>
      </c>
      <c r="T295" s="128">
        <v>300</v>
      </c>
      <c r="U295" s="128">
        <v>300</v>
      </c>
      <c r="V295" s="136"/>
      <c r="W295" s="128">
        <v>150</v>
      </c>
      <c r="X295" s="128">
        <v>152.30000000000001</v>
      </c>
      <c r="Y295" s="128">
        <v>1014531</v>
      </c>
      <c r="Z295" s="136"/>
      <c r="AA295" s="128">
        <v>25363.279999999999</v>
      </c>
      <c r="AB295" s="128">
        <v>25363.279999999999</v>
      </c>
      <c r="AC295" s="128">
        <v>1065257.55</v>
      </c>
      <c r="AD295" s="143">
        <f t="shared" si="194"/>
        <v>1064192.2924500001</v>
      </c>
      <c r="AE295" s="147">
        <v>40.25</v>
      </c>
      <c r="AF295" s="169">
        <v>39.4</v>
      </c>
      <c r="AG295" s="147">
        <v>40.21</v>
      </c>
      <c r="AH295" s="170">
        <v>4.3E-3</v>
      </c>
      <c r="AI295" s="170">
        <v>3.9199999999999999E-2</v>
      </c>
      <c r="AJ295" s="170">
        <v>5.3999999999999999E-2</v>
      </c>
      <c r="AK295" s="137">
        <f t="shared" si="190"/>
        <v>0</v>
      </c>
      <c r="AL295" s="136">
        <f>300*2</f>
        <v>600</v>
      </c>
      <c r="AM295" s="136"/>
      <c r="AN295" s="165">
        <v>0</v>
      </c>
      <c r="AO295" s="140">
        <f t="shared" si="191"/>
        <v>0</v>
      </c>
      <c r="AP295" s="136"/>
      <c r="AQ295" s="137">
        <v>0</v>
      </c>
      <c r="AR295" s="155">
        <f t="shared" si="192"/>
        <v>600</v>
      </c>
      <c r="AS295" s="155">
        <f t="shared" si="193"/>
        <v>630</v>
      </c>
      <c r="AT295" s="137">
        <v>0</v>
      </c>
      <c r="AU295" s="136" t="s">
        <v>585</v>
      </c>
      <c r="AV295" s="136"/>
      <c r="AW295" s="137">
        <f t="shared" si="179"/>
        <v>15000</v>
      </c>
      <c r="AX295" s="136"/>
      <c r="AY295" s="137">
        <f t="shared" si="180"/>
        <v>15000</v>
      </c>
      <c r="AZ295" s="137">
        <f t="shared" si="181"/>
        <v>15230.000000000002</v>
      </c>
      <c r="BA295" s="142">
        <f t="shared" si="182"/>
        <v>-230.00000000000182</v>
      </c>
      <c r="BB295" s="137"/>
      <c r="BC295" s="137">
        <v>0</v>
      </c>
      <c r="BD295" s="136"/>
      <c r="BE295" s="128">
        <v>152.44999999999999</v>
      </c>
      <c r="BF295" s="143">
        <f t="shared" si="183"/>
        <v>0.22867499999999996</v>
      </c>
      <c r="BG295" s="143">
        <f t="shared" si="184"/>
        <v>152.22132499999998</v>
      </c>
      <c r="BH295" s="143">
        <f t="shared" si="185"/>
        <v>152.30000000000001</v>
      </c>
      <c r="BI295" s="144">
        <f t="shared" si="186"/>
        <v>14.999999999997726</v>
      </c>
      <c r="BJ295" s="144">
        <v>0</v>
      </c>
      <c r="BK295" s="137">
        <f t="shared" si="187"/>
        <v>14.999999999997726</v>
      </c>
      <c r="BL295" s="9"/>
      <c r="BM295" s="10" t="str">
        <f t="shared" si="188"/>
        <v>Unloading no. 279 Bill No MTC/2026-27/084 ,Deduction For Oil Deduction= 0 ,Bardana= 600 ,F.M=  Brokerage/Rate Difference 0 ,Shortage = 0 ,Greenish=  ,Moisture= 0</v>
      </c>
      <c r="BN295" s="9"/>
      <c r="BO295" s="13" t="str">
        <f t="shared" si="166"/>
        <v xml:space="preserve"> Party Condition 39.4  ,F.M% 0.43 ,Greenish 3.92 ,Moisture 5.4 ,Shortage in KG= 0  ,Oil% 40.21</v>
      </c>
      <c r="BP295" s="4">
        <f t="shared" si="189"/>
        <v>6657.4589625738672</v>
      </c>
      <c r="BX295" s="27">
        <v>40.25</v>
      </c>
      <c r="BY295" s="27">
        <v>40.21</v>
      </c>
    </row>
    <row r="296" spans="1:77" customFormat="1" ht="15.75" hidden="1" x14ac:dyDescent="0.3">
      <c r="A296" s="128" t="s">
        <v>560</v>
      </c>
      <c r="B296" s="130">
        <v>46129</v>
      </c>
      <c r="C296" s="167">
        <v>280</v>
      </c>
      <c r="D296" s="128" t="s">
        <v>599</v>
      </c>
      <c r="E296" s="130">
        <v>46132</v>
      </c>
      <c r="F296" s="128" t="s">
        <v>104</v>
      </c>
      <c r="G296" s="128" t="s">
        <v>105</v>
      </c>
      <c r="H296" s="128" t="s">
        <v>106</v>
      </c>
      <c r="I296" s="136"/>
      <c r="J296" s="128" t="s">
        <v>113</v>
      </c>
      <c r="K296" s="128">
        <v>0</v>
      </c>
      <c r="L296" s="130">
        <v>46129</v>
      </c>
      <c r="M296" s="136"/>
      <c r="N296" s="128" t="s">
        <v>600</v>
      </c>
      <c r="O296" s="130">
        <v>46131</v>
      </c>
      <c r="P296" s="128">
        <v>0</v>
      </c>
      <c r="Q296" s="128">
        <v>550</v>
      </c>
      <c r="R296" s="128">
        <v>80</v>
      </c>
      <c r="S296" s="128">
        <v>0</v>
      </c>
      <c r="T296" s="128">
        <v>630</v>
      </c>
      <c r="U296" s="128">
        <v>630</v>
      </c>
      <c r="V296" s="136"/>
      <c r="W296" s="128">
        <v>315</v>
      </c>
      <c r="X296" s="128">
        <v>320.8</v>
      </c>
      <c r="Y296" s="128">
        <v>2130515.1</v>
      </c>
      <c r="Z296" s="136"/>
      <c r="AA296" s="128">
        <v>53262.879999999997</v>
      </c>
      <c r="AB296" s="128">
        <v>53262.879999999997</v>
      </c>
      <c r="AC296" s="128">
        <v>2237040.86</v>
      </c>
      <c r="AD296" s="143">
        <f t="shared" si="194"/>
        <v>2234803.8191399998</v>
      </c>
      <c r="AE296" s="147">
        <v>39.880000000000003</v>
      </c>
      <c r="AF296" s="169">
        <v>39.4</v>
      </c>
      <c r="AG296" s="147">
        <v>39.81</v>
      </c>
      <c r="AH296" s="170">
        <v>4.0000000000000001E-3</v>
      </c>
      <c r="AI296" s="170">
        <v>3.7999999999999999E-2</v>
      </c>
      <c r="AJ296" s="170">
        <v>5.1999999999999998E-2</v>
      </c>
      <c r="AK296" s="137">
        <f t="shared" si="190"/>
        <v>0</v>
      </c>
      <c r="AL296" s="136">
        <f>630*2</f>
        <v>1260</v>
      </c>
      <c r="AM296" s="136"/>
      <c r="AN296" s="165">
        <v>0</v>
      </c>
      <c r="AO296" s="140">
        <f t="shared" si="191"/>
        <v>0</v>
      </c>
      <c r="AP296" s="136"/>
      <c r="AQ296" s="137">
        <v>0</v>
      </c>
      <c r="AR296" s="155">
        <f t="shared" si="192"/>
        <v>1260</v>
      </c>
      <c r="AS296" s="155">
        <f t="shared" si="193"/>
        <v>1323</v>
      </c>
      <c r="AT296" s="137">
        <v>0</v>
      </c>
      <c r="AU296" s="136" t="s">
        <v>585</v>
      </c>
      <c r="AV296" s="136"/>
      <c r="AW296" s="137">
        <f t="shared" si="179"/>
        <v>31500</v>
      </c>
      <c r="AX296" s="136"/>
      <c r="AY296" s="137">
        <f t="shared" si="180"/>
        <v>31500</v>
      </c>
      <c r="AZ296" s="137">
        <f t="shared" si="181"/>
        <v>32080</v>
      </c>
      <c r="BA296" s="142">
        <f t="shared" si="182"/>
        <v>-580</v>
      </c>
      <c r="BB296" s="137"/>
      <c r="BC296" s="137">
        <v>0</v>
      </c>
      <c r="BD296" s="136"/>
      <c r="BE296" s="128">
        <v>320.45</v>
      </c>
      <c r="BF296" s="143">
        <f t="shared" si="183"/>
        <v>0.48067499999999996</v>
      </c>
      <c r="BG296" s="143">
        <f t="shared" si="184"/>
        <v>319.96932499999997</v>
      </c>
      <c r="BH296" s="143">
        <f t="shared" si="185"/>
        <v>320.8</v>
      </c>
      <c r="BI296" s="144">
        <f t="shared" si="186"/>
        <v>-35.000000000002274</v>
      </c>
      <c r="BJ296" s="144">
        <v>0</v>
      </c>
      <c r="BK296" s="137">
        <f t="shared" si="187"/>
        <v>-35.000000000002274</v>
      </c>
      <c r="BL296" s="9"/>
      <c r="BM296" s="10" t="str">
        <f t="shared" si="188"/>
        <v>Unloading no. 280 Bill No MTC/2026-27/085 ,Deduction For Oil Deduction= 0 ,Bardana= 1260 ,F.M=  Brokerage/Rate Difference 0 ,Shortage = 0 ,Greenish=  ,Moisture= 0</v>
      </c>
      <c r="BN296" s="9"/>
      <c r="BO296" s="13" t="str">
        <f t="shared" si="166"/>
        <v xml:space="preserve"> Party Condition 39.4  ,F.M% 0.4 ,Greenish 3.8 ,Moisture 5.2 ,Shortage in KG= 0  ,Oil% 39.81</v>
      </c>
      <c r="BP296" s="4">
        <f t="shared" si="189"/>
        <v>6637.3288653366581</v>
      </c>
      <c r="BX296" s="27">
        <v>39.880000000000003</v>
      </c>
      <c r="BY296" s="27">
        <v>39.81</v>
      </c>
    </row>
    <row r="297" spans="1:77" customFormat="1" ht="15.75" hidden="1" x14ac:dyDescent="0.3">
      <c r="A297" s="128" t="s">
        <v>601</v>
      </c>
      <c r="B297" s="130">
        <v>46132</v>
      </c>
      <c r="C297" s="128">
        <v>281</v>
      </c>
      <c r="D297" s="128" t="s">
        <v>602</v>
      </c>
      <c r="E297" s="130">
        <v>46133</v>
      </c>
      <c r="F297" s="128" t="s">
        <v>98</v>
      </c>
      <c r="G297" s="128" t="s">
        <v>99</v>
      </c>
      <c r="H297" s="128" t="s">
        <v>100</v>
      </c>
      <c r="I297" s="136"/>
      <c r="J297" s="128" t="s">
        <v>113</v>
      </c>
      <c r="K297" s="128">
        <v>0</v>
      </c>
      <c r="L297" s="130">
        <v>46132</v>
      </c>
      <c r="M297" s="136"/>
      <c r="N297" s="128">
        <v>68</v>
      </c>
      <c r="O297" s="130">
        <v>46132</v>
      </c>
      <c r="P297" s="128">
        <v>0</v>
      </c>
      <c r="Q297" s="128">
        <v>400</v>
      </c>
      <c r="R297" s="128">
        <v>113</v>
      </c>
      <c r="S297" s="128">
        <v>0</v>
      </c>
      <c r="T297" s="128">
        <v>513</v>
      </c>
      <c r="U297" s="128">
        <v>513</v>
      </c>
      <c r="V297" s="136"/>
      <c r="W297" s="128">
        <v>307.8</v>
      </c>
      <c r="X297" s="128">
        <v>310.8</v>
      </c>
      <c r="Y297" s="128">
        <v>2082102.84</v>
      </c>
      <c r="Z297" s="136"/>
      <c r="AA297" s="128">
        <v>52052.57</v>
      </c>
      <c r="AB297" s="128">
        <v>52052.57</v>
      </c>
      <c r="AC297" s="128">
        <v>2186207.98</v>
      </c>
      <c r="AD297" s="143">
        <f t="shared" si="194"/>
        <v>2184021.77202</v>
      </c>
      <c r="AE297" s="147">
        <v>39.71</v>
      </c>
      <c r="AF297" s="169">
        <v>39.39</v>
      </c>
      <c r="AG297" s="147">
        <v>39.840000000000003</v>
      </c>
      <c r="AH297" s="170">
        <v>4.1000000000000003E-3</v>
      </c>
      <c r="AI297" s="170">
        <v>4.1000000000000002E-2</v>
      </c>
      <c r="AJ297" s="170">
        <v>5.1999999999999998E-2</v>
      </c>
      <c r="AK297" s="137">
        <f t="shared" ref="AK297" si="196">+IF(AF297=42,IF(MIN(AE297,AG297)&lt;AF297,Y297*((AF297-MIN(AE297,AG297))/AF297)),IF(MIN(AE297,AG297)&lt;AF297,Y297*((AF297-MIN(AE297,AG297))/AF297),0))</f>
        <v>0</v>
      </c>
      <c r="AL297" s="136">
        <f>513*0.5</f>
        <v>256.5</v>
      </c>
      <c r="AM297" s="136"/>
      <c r="AN297" s="165">
        <v>0</v>
      </c>
      <c r="AO297" s="140">
        <f t="shared" ref="AO297" si="197">AT297*Y297/AW297</f>
        <v>5005.7053333333333</v>
      </c>
      <c r="AP297" s="136"/>
      <c r="AQ297" s="137">
        <v>0</v>
      </c>
      <c r="AR297" s="155">
        <f t="shared" ref="AR297" si="198">SUM(AK297:AQ297)</f>
        <v>5262.2053333333333</v>
      </c>
      <c r="AS297" s="155">
        <f t="shared" ref="AS297" si="199">ROUND(AR297*1.05,0)</f>
        <v>5525</v>
      </c>
      <c r="AT297" s="137">
        <v>74</v>
      </c>
      <c r="AU297" s="136"/>
      <c r="AV297" s="136"/>
      <c r="AW297" s="137">
        <f t="shared" si="179"/>
        <v>30780</v>
      </c>
      <c r="AX297" s="136"/>
      <c r="AY297" s="137">
        <f t="shared" si="180"/>
        <v>30780</v>
      </c>
      <c r="AZ297" s="137">
        <f t="shared" si="181"/>
        <v>31080</v>
      </c>
      <c r="BA297" s="142">
        <f t="shared" si="182"/>
        <v>-300</v>
      </c>
      <c r="BB297" s="137"/>
      <c r="BC297" s="137">
        <v>0</v>
      </c>
      <c r="BD297" s="136"/>
      <c r="BE297" s="128">
        <v>311.60000000000002</v>
      </c>
      <c r="BF297" s="143">
        <f t="shared" si="183"/>
        <v>0.46740000000000004</v>
      </c>
      <c r="BG297" s="143">
        <f t="shared" si="184"/>
        <v>311.13260000000002</v>
      </c>
      <c r="BH297" s="143">
        <f t="shared" si="185"/>
        <v>310.8</v>
      </c>
      <c r="BI297" s="144">
        <f t="shared" si="186"/>
        <v>80.000000000001137</v>
      </c>
      <c r="BJ297" s="144">
        <v>0</v>
      </c>
      <c r="BK297" s="137">
        <f t="shared" si="187"/>
        <v>80.000000000001137</v>
      </c>
      <c r="BL297" s="9"/>
      <c r="BM297" s="10" t="str">
        <f t="shared" si="188"/>
        <v>Unloading no. 281 Bill No 68 ,Deduction For Oil Deduction= 0 ,Bardana= 256.5 ,F.M=  Brokerage/Rate Difference 0 ,Shortage = 5005.70533333333 ,Greenish=  ,Moisture= 0</v>
      </c>
      <c r="BN297" s="9"/>
      <c r="BO297" s="13" t="str">
        <f t="shared" si="166"/>
        <v xml:space="preserve"> Party Condition 39.39  ,F.M% 0.41 ,Greenish 4.1 ,Moisture 5.2 ,Shortage in KG= 74  ,Oil% 39.71</v>
      </c>
      <c r="BP297" s="4">
        <f t="shared" si="189"/>
        <v>6682.2414242814248</v>
      </c>
      <c r="BX297" s="27">
        <v>39.71</v>
      </c>
      <c r="BY297" s="27">
        <v>39.840000000000003</v>
      </c>
    </row>
    <row r="298" spans="1:77" customFormat="1" ht="15.75" hidden="1" x14ac:dyDescent="0.3">
      <c r="A298" s="128" t="s">
        <v>603</v>
      </c>
      <c r="B298" s="130">
        <v>46132</v>
      </c>
      <c r="C298" s="128">
        <v>282</v>
      </c>
      <c r="D298" s="128" t="s">
        <v>604</v>
      </c>
      <c r="E298" s="130">
        <v>46133</v>
      </c>
      <c r="F298" s="128" t="s">
        <v>98</v>
      </c>
      <c r="G298" s="128" t="s">
        <v>99</v>
      </c>
      <c r="H298" s="128" t="s">
        <v>100</v>
      </c>
      <c r="I298" s="136"/>
      <c r="J298" s="128" t="s">
        <v>113</v>
      </c>
      <c r="K298" s="128">
        <v>0</v>
      </c>
      <c r="L298" s="130">
        <v>46132</v>
      </c>
      <c r="M298" s="136"/>
      <c r="N298" s="128">
        <v>69</v>
      </c>
      <c r="O298" s="130">
        <v>46132</v>
      </c>
      <c r="P298" s="128">
        <v>0</v>
      </c>
      <c r="Q298" s="128">
        <v>400</v>
      </c>
      <c r="R298" s="128">
        <v>236</v>
      </c>
      <c r="S298" s="128">
        <v>0</v>
      </c>
      <c r="T298" s="128">
        <v>636</v>
      </c>
      <c r="U298" s="128">
        <v>636</v>
      </c>
      <c r="V298" s="136"/>
      <c r="W298" s="128">
        <v>381.6</v>
      </c>
      <c r="X298" s="128">
        <v>385.7</v>
      </c>
      <c r="Y298" s="128">
        <v>2562160.34</v>
      </c>
      <c r="Z298" s="136"/>
      <c r="AA298" s="128">
        <v>64054.01</v>
      </c>
      <c r="AB298" s="128">
        <v>64054.01</v>
      </c>
      <c r="AC298" s="128">
        <v>2690268.36</v>
      </c>
      <c r="AD298" s="143">
        <f t="shared" si="194"/>
        <v>2687578.0916399998</v>
      </c>
      <c r="AE298" s="147">
        <v>39.770000000000003</v>
      </c>
      <c r="AF298" s="169">
        <v>39.159999999999997</v>
      </c>
      <c r="AG298" s="147">
        <v>39.630000000000003</v>
      </c>
      <c r="AH298" s="170">
        <v>4.1999999999999997E-3</v>
      </c>
      <c r="AI298" s="170">
        <v>4.2999999999999997E-2</v>
      </c>
      <c r="AJ298" s="170">
        <v>5.6000000000000001E-2</v>
      </c>
      <c r="AK298" s="137">
        <f t="shared" ref="AK298:AK310" si="200">+IF(AF298=42,IF(MIN(AE298,AG298)&lt;AF298,Y298*((AF298-MIN(AE298,AG298))/AF298)),IF(MIN(AE298,AG298)&lt;AF298,Y298*((AF298-MIN(AE298,AG298))/AF298),0))</f>
        <v>0</v>
      </c>
      <c r="AL298" s="136">
        <f>636*0.5</f>
        <v>318</v>
      </c>
      <c r="AM298" s="136"/>
      <c r="AN298" s="165">
        <v>0</v>
      </c>
      <c r="AO298" s="140">
        <f t="shared" ref="AO298:AO310" si="201">AT298*Y298/AW298</f>
        <v>3692.841160901467</v>
      </c>
      <c r="AP298" s="136"/>
      <c r="AQ298" s="137">
        <v>0</v>
      </c>
      <c r="AR298" s="155">
        <f t="shared" ref="AR298:AR310" si="202">SUM(AK298:AQ298)</f>
        <v>4010.841160901467</v>
      </c>
      <c r="AS298" s="155">
        <f t="shared" ref="AS298:AS310" si="203">ROUND(AR298*1.05,0)</f>
        <v>4211</v>
      </c>
      <c r="AT298" s="137">
        <v>55</v>
      </c>
      <c r="AU298" s="136"/>
      <c r="AV298" s="136"/>
      <c r="AW298" s="137">
        <f t="shared" si="179"/>
        <v>38160</v>
      </c>
      <c r="AX298" s="136"/>
      <c r="AY298" s="137">
        <f t="shared" si="180"/>
        <v>38160</v>
      </c>
      <c r="AZ298" s="137">
        <f t="shared" si="181"/>
        <v>38570</v>
      </c>
      <c r="BA298" s="142">
        <f t="shared" si="182"/>
        <v>-410</v>
      </c>
      <c r="BB298" s="137"/>
      <c r="BC298" s="137">
        <v>0</v>
      </c>
      <c r="BD298" s="136"/>
      <c r="BE298" s="128">
        <v>386.5</v>
      </c>
      <c r="BF298" s="143">
        <f t="shared" si="183"/>
        <v>0.57974999999999999</v>
      </c>
      <c r="BG298" s="143">
        <f t="shared" si="184"/>
        <v>385.92025000000001</v>
      </c>
      <c r="BH298" s="143">
        <f t="shared" si="185"/>
        <v>385.7</v>
      </c>
      <c r="BI298" s="144">
        <f t="shared" si="186"/>
        <v>80.000000000001137</v>
      </c>
      <c r="BJ298" s="144">
        <v>0</v>
      </c>
      <c r="BK298" s="137">
        <f t="shared" si="187"/>
        <v>80.000000000001137</v>
      </c>
      <c r="BL298" s="9"/>
      <c r="BM298" s="10" t="str">
        <f t="shared" si="188"/>
        <v>Unloading no. 282 Bill No 69 ,Deduction For Oil Deduction= 0 ,Bardana= 318 ,F.M=  Brokerage/Rate Difference 0 ,Shortage = 3692.84116090147 ,Greenish=  ,Moisture= 0</v>
      </c>
      <c r="BN298" s="9"/>
      <c r="BO298" s="13" t="str">
        <f t="shared" si="166"/>
        <v xml:space="preserve"> Party Condition 39.16  ,F.M% 0.42 ,Greenish 4.3 ,Moisture 5.6 ,Shortage in KG= 55  ,Oil% 39.63</v>
      </c>
      <c r="BP298" s="4">
        <f t="shared" si="189"/>
        <v>6632.4850890305897</v>
      </c>
      <c r="BX298" s="27">
        <v>39.770000000000003</v>
      </c>
      <c r="BY298" s="27">
        <v>39.630000000000003</v>
      </c>
    </row>
    <row r="299" spans="1:77" customFormat="1" ht="15.75" hidden="1" x14ac:dyDescent="0.3">
      <c r="A299" s="128" t="s">
        <v>605</v>
      </c>
      <c r="B299" s="130">
        <v>46132</v>
      </c>
      <c r="C299" s="128">
        <v>283</v>
      </c>
      <c r="D299" s="128" t="s">
        <v>606</v>
      </c>
      <c r="E299" s="130">
        <v>46133</v>
      </c>
      <c r="F299" s="128" t="s">
        <v>98</v>
      </c>
      <c r="G299" s="128" t="s">
        <v>99</v>
      </c>
      <c r="H299" s="128" t="s">
        <v>100</v>
      </c>
      <c r="I299" s="136"/>
      <c r="J299" s="128" t="s">
        <v>113</v>
      </c>
      <c r="K299" s="128">
        <v>0</v>
      </c>
      <c r="L299" s="130">
        <v>46132</v>
      </c>
      <c r="M299" s="136"/>
      <c r="N299" s="128">
        <v>70</v>
      </c>
      <c r="O299" s="130">
        <v>46132</v>
      </c>
      <c r="P299" s="128">
        <v>0</v>
      </c>
      <c r="Q299" s="128">
        <v>260</v>
      </c>
      <c r="R299" s="128">
        <v>200</v>
      </c>
      <c r="S299" s="128">
        <v>0</v>
      </c>
      <c r="T299" s="128">
        <v>460</v>
      </c>
      <c r="U299" s="128">
        <v>460</v>
      </c>
      <c r="V299" s="136"/>
      <c r="W299" s="128">
        <v>276</v>
      </c>
      <c r="X299" s="128">
        <v>278.8</v>
      </c>
      <c r="Y299" s="128">
        <v>1862085.52</v>
      </c>
      <c r="Z299" s="136"/>
      <c r="AA299" s="128">
        <v>46552.14</v>
      </c>
      <c r="AB299" s="128">
        <v>46552.14</v>
      </c>
      <c r="AC299" s="128">
        <v>1955189.8</v>
      </c>
      <c r="AD299" s="143">
        <f t="shared" si="194"/>
        <v>1953234.6102</v>
      </c>
      <c r="AE299" s="147">
        <v>40.299999999999997</v>
      </c>
      <c r="AF299" s="169">
        <v>39.43</v>
      </c>
      <c r="AG299" s="147">
        <v>40.36</v>
      </c>
      <c r="AH299" s="170">
        <v>4.1999999999999997E-3</v>
      </c>
      <c r="AI299" s="170">
        <v>4.2000000000000003E-2</v>
      </c>
      <c r="AJ299" s="170">
        <v>0.06</v>
      </c>
      <c r="AK299" s="137">
        <f t="shared" si="200"/>
        <v>0</v>
      </c>
      <c r="AL299" s="136">
        <f>460*0.5</f>
        <v>230</v>
      </c>
      <c r="AM299" s="136"/>
      <c r="AN299" s="165">
        <v>0</v>
      </c>
      <c r="AO299" s="140">
        <f t="shared" si="201"/>
        <v>3778.1445333333336</v>
      </c>
      <c r="AP299" s="136"/>
      <c r="AQ299" s="137">
        <v>0</v>
      </c>
      <c r="AR299" s="155">
        <f t="shared" si="202"/>
        <v>4008.1445333333336</v>
      </c>
      <c r="AS299" s="155">
        <f t="shared" si="203"/>
        <v>4209</v>
      </c>
      <c r="AT299" s="137">
        <v>56</v>
      </c>
      <c r="AU299" s="136"/>
      <c r="AV299" s="136"/>
      <c r="AW299" s="137">
        <f t="shared" si="179"/>
        <v>27600</v>
      </c>
      <c r="AX299" s="136"/>
      <c r="AY299" s="137">
        <f t="shared" si="180"/>
        <v>27600</v>
      </c>
      <c r="AZ299" s="137">
        <f t="shared" si="181"/>
        <v>27880</v>
      </c>
      <c r="BA299" s="142">
        <f t="shared" si="182"/>
        <v>-280</v>
      </c>
      <c r="BB299" s="137"/>
      <c r="BC299" s="137">
        <v>0</v>
      </c>
      <c r="BD299" s="136"/>
      <c r="BE299" s="128">
        <v>279.39999999999998</v>
      </c>
      <c r="BF299" s="143">
        <f t="shared" si="183"/>
        <v>0.41909999999999997</v>
      </c>
      <c r="BG299" s="143">
        <f t="shared" si="184"/>
        <v>278.98089999999996</v>
      </c>
      <c r="BH299" s="143">
        <f t="shared" si="185"/>
        <v>278.8</v>
      </c>
      <c r="BI299" s="144">
        <f t="shared" si="186"/>
        <v>59.999999999996589</v>
      </c>
      <c r="BJ299" s="144">
        <v>0</v>
      </c>
      <c r="BK299" s="137">
        <f t="shared" si="187"/>
        <v>59.999999999996589</v>
      </c>
      <c r="BL299" s="9"/>
      <c r="BM299" s="10" t="str">
        <f t="shared" si="188"/>
        <v>Unloading no. 283 Bill No 70 ,Deduction For Oil Deduction= 0 ,Bardana= 230 ,F.M=  Brokerage/Rate Difference 0 ,Shortage = 3778.14453333333 ,Greenish=  ,Moisture= 0</v>
      </c>
      <c r="BN299" s="9"/>
      <c r="BO299" s="13" t="str">
        <f t="shared" si="166"/>
        <v xml:space="preserve"> Party Condition 39.43  ,F.M% 0.42 ,Greenish 4.2 ,Moisture 6 ,Shortage in KG= 56  ,Oil% 40.3</v>
      </c>
      <c r="BP299" s="4">
        <f t="shared" si="189"/>
        <v>6664.5529966523191</v>
      </c>
      <c r="BX299" s="27">
        <v>40.299999999999997</v>
      </c>
      <c r="BY299" s="27">
        <v>40.36</v>
      </c>
    </row>
    <row r="300" spans="1:77" customFormat="1" ht="15.75" hidden="1" x14ac:dyDescent="0.3">
      <c r="A300" s="128" t="s">
        <v>607</v>
      </c>
      <c r="B300" s="130">
        <v>46132</v>
      </c>
      <c r="C300" s="128">
        <v>284</v>
      </c>
      <c r="D300" s="128" t="s">
        <v>608</v>
      </c>
      <c r="E300" s="130">
        <v>46133</v>
      </c>
      <c r="F300" s="128" t="s">
        <v>436</v>
      </c>
      <c r="G300" s="128" t="s">
        <v>437</v>
      </c>
      <c r="H300" s="128" t="s">
        <v>438</v>
      </c>
      <c r="I300" s="136"/>
      <c r="J300" s="128" t="s">
        <v>113</v>
      </c>
      <c r="K300" s="128">
        <v>0</v>
      </c>
      <c r="L300" s="130">
        <v>46132</v>
      </c>
      <c r="M300" s="136"/>
      <c r="N300" s="128">
        <v>52</v>
      </c>
      <c r="O300" s="130">
        <v>46132</v>
      </c>
      <c r="P300" s="128">
        <v>0</v>
      </c>
      <c r="Q300" s="128">
        <v>400</v>
      </c>
      <c r="R300" s="128">
        <v>118</v>
      </c>
      <c r="S300" s="128">
        <v>0</v>
      </c>
      <c r="T300" s="128">
        <v>518</v>
      </c>
      <c r="U300" s="128">
        <v>518</v>
      </c>
      <c r="V300" s="136"/>
      <c r="W300" s="128">
        <v>310.8</v>
      </c>
      <c r="X300" s="128">
        <v>316.10000000000002</v>
      </c>
      <c r="Y300" s="128">
        <v>2115949.19</v>
      </c>
      <c r="Z300" s="136"/>
      <c r="AA300" s="128">
        <v>52898.73</v>
      </c>
      <c r="AB300" s="128">
        <v>52898.73</v>
      </c>
      <c r="AC300" s="128">
        <v>2221746.65</v>
      </c>
      <c r="AD300" s="143">
        <f t="shared" si="194"/>
        <v>2219524.9033499998</v>
      </c>
      <c r="AE300" s="147">
        <v>40.44</v>
      </c>
      <c r="AF300" s="169">
        <v>39.6</v>
      </c>
      <c r="AG300" s="147">
        <v>40.39</v>
      </c>
      <c r="AH300" s="170">
        <v>4.1999999999999997E-3</v>
      </c>
      <c r="AI300" s="170">
        <v>4.3999999999999997E-2</v>
      </c>
      <c r="AJ300" s="170">
        <v>5.1999999999999998E-2</v>
      </c>
      <c r="AK300" s="137">
        <f t="shared" si="200"/>
        <v>0</v>
      </c>
      <c r="AL300" s="136">
        <v>0</v>
      </c>
      <c r="AM300" s="136"/>
      <c r="AN300" s="165">
        <v>0</v>
      </c>
      <c r="AO300" s="140">
        <f t="shared" si="201"/>
        <v>0</v>
      </c>
      <c r="AP300" s="136"/>
      <c r="AQ300" s="137">
        <v>0</v>
      </c>
      <c r="AR300" s="155">
        <f t="shared" si="202"/>
        <v>0</v>
      </c>
      <c r="AS300" s="155">
        <f t="shared" si="203"/>
        <v>0</v>
      </c>
      <c r="AT300" s="137">
        <v>0</v>
      </c>
      <c r="AU300" s="136"/>
      <c r="AV300" s="136"/>
      <c r="AW300" s="137">
        <f t="shared" si="179"/>
        <v>31080</v>
      </c>
      <c r="AX300" s="136"/>
      <c r="AY300" s="137">
        <f t="shared" si="180"/>
        <v>31080</v>
      </c>
      <c r="AZ300" s="137">
        <f t="shared" si="181"/>
        <v>31610.000000000004</v>
      </c>
      <c r="BA300" s="142">
        <f t="shared" si="182"/>
        <v>-530.00000000000364</v>
      </c>
      <c r="BB300" s="137"/>
      <c r="BC300" s="137">
        <v>0</v>
      </c>
      <c r="BD300" s="136"/>
      <c r="BE300" s="128">
        <v>315.89999999999998</v>
      </c>
      <c r="BF300" s="143">
        <f t="shared" si="183"/>
        <v>0.47384999999999999</v>
      </c>
      <c r="BG300" s="143">
        <f t="shared" si="184"/>
        <v>315.42614999999995</v>
      </c>
      <c r="BH300" s="143">
        <f t="shared" si="185"/>
        <v>316.10000000000002</v>
      </c>
      <c r="BI300" s="144">
        <f t="shared" si="186"/>
        <v>-20.000000000004547</v>
      </c>
      <c r="BJ300" s="144">
        <v>0</v>
      </c>
      <c r="BK300" s="137">
        <f t="shared" si="187"/>
        <v>-20.000000000004547</v>
      </c>
      <c r="BL300" s="9"/>
      <c r="BM300" s="10" t="str">
        <f t="shared" si="188"/>
        <v>Unloading no. 284 Bill No 52 ,Deduction For Oil Deduction= 0 ,Bardana= 0 ,F.M=  Brokerage/Rate Difference 0 ,Shortage = 0 ,Greenish=  ,Moisture= 0</v>
      </c>
      <c r="BN300" s="9"/>
      <c r="BO300" s="13" t="str">
        <f t="shared" si="166"/>
        <v xml:space="preserve"> Party Condition 39.6  ,F.M% 0.42 ,Greenish 4.4 ,Moisture 5.2 ,Shortage in KG= 0  ,Oil% 40.39</v>
      </c>
      <c r="BP300" s="4">
        <f t="shared" si="189"/>
        <v>6693.9234103131912</v>
      </c>
      <c r="BX300" s="27">
        <v>40.44</v>
      </c>
      <c r="BY300" s="27">
        <v>40.39</v>
      </c>
    </row>
    <row r="301" spans="1:77" customFormat="1" ht="15.75" hidden="1" x14ac:dyDescent="0.3">
      <c r="A301" s="128" t="s">
        <v>609</v>
      </c>
      <c r="B301" s="130">
        <v>46132</v>
      </c>
      <c r="C301" s="128">
        <v>285</v>
      </c>
      <c r="D301" s="128" t="s">
        <v>610</v>
      </c>
      <c r="E301" s="130">
        <v>46133</v>
      </c>
      <c r="F301" s="128" t="s">
        <v>436</v>
      </c>
      <c r="G301" s="128" t="s">
        <v>437</v>
      </c>
      <c r="H301" s="128" t="s">
        <v>438</v>
      </c>
      <c r="I301" s="136"/>
      <c r="J301" s="128" t="s">
        <v>113</v>
      </c>
      <c r="K301" s="128">
        <v>0</v>
      </c>
      <c r="L301" s="130">
        <v>46132</v>
      </c>
      <c r="M301" s="136"/>
      <c r="N301" s="128">
        <v>53</v>
      </c>
      <c r="O301" s="130">
        <v>46132</v>
      </c>
      <c r="P301" s="128">
        <v>0</v>
      </c>
      <c r="Q301" s="128">
        <v>500</v>
      </c>
      <c r="R301" s="128">
        <v>86</v>
      </c>
      <c r="S301" s="128">
        <v>0</v>
      </c>
      <c r="T301" s="128">
        <v>586</v>
      </c>
      <c r="U301" s="128">
        <v>586</v>
      </c>
      <c r="V301" s="136"/>
      <c r="W301" s="128">
        <v>351.6</v>
      </c>
      <c r="X301" s="128">
        <v>357.3</v>
      </c>
      <c r="Y301" s="128">
        <v>2390139.2999999998</v>
      </c>
      <c r="Z301" s="136"/>
      <c r="AA301" s="128">
        <v>59753.48</v>
      </c>
      <c r="AB301" s="128">
        <v>59753.48</v>
      </c>
      <c r="AC301" s="128">
        <v>2509646.27</v>
      </c>
      <c r="AD301" s="143">
        <f t="shared" si="194"/>
        <v>2507136.6237300001</v>
      </c>
      <c r="AE301" s="147">
        <v>40.049999999999997</v>
      </c>
      <c r="AF301" s="169">
        <v>39.4</v>
      </c>
      <c r="AG301" s="147">
        <v>39.950000000000003</v>
      </c>
      <c r="AH301" s="170">
        <v>4.7000000000000002E-3</v>
      </c>
      <c r="AI301" s="170">
        <v>3.9199999999999999E-2</v>
      </c>
      <c r="AJ301" s="170">
        <v>0.05</v>
      </c>
      <c r="AK301" s="137">
        <f t="shared" si="200"/>
        <v>0</v>
      </c>
      <c r="AL301" s="136">
        <v>0</v>
      </c>
      <c r="AM301" s="136"/>
      <c r="AN301" s="165">
        <v>0</v>
      </c>
      <c r="AO301" s="140">
        <f t="shared" si="201"/>
        <v>0</v>
      </c>
      <c r="AP301" s="136"/>
      <c r="AQ301" s="137">
        <v>0</v>
      </c>
      <c r="AR301" s="155">
        <f t="shared" si="202"/>
        <v>0</v>
      </c>
      <c r="AS301" s="155">
        <f t="shared" si="203"/>
        <v>0</v>
      </c>
      <c r="AT301" s="137">
        <v>0</v>
      </c>
      <c r="AU301" s="136"/>
      <c r="AV301" s="136"/>
      <c r="AW301" s="137">
        <f t="shared" si="179"/>
        <v>35160</v>
      </c>
      <c r="AX301" s="136"/>
      <c r="AY301" s="137">
        <f t="shared" si="180"/>
        <v>35160</v>
      </c>
      <c r="AZ301" s="137">
        <f t="shared" si="181"/>
        <v>35730</v>
      </c>
      <c r="BA301" s="142">
        <f t="shared" si="182"/>
        <v>-570</v>
      </c>
      <c r="BB301" s="137"/>
      <c r="BC301" s="137">
        <v>0</v>
      </c>
      <c r="BD301" s="136"/>
      <c r="BE301" s="128">
        <v>357.1</v>
      </c>
      <c r="BF301" s="143">
        <f t="shared" si="183"/>
        <v>0.53565000000000007</v>
      </c>
      <c r="BG301" s="143">
        <f t="shared" si="184"/>
        <v>356.56435000000005</v>
      </c>
      <c r="BH301" s="143">
        <f t="shared" si="185"/>
        <v>357.3</v>
      </c>
      <c r="BI301" s="144">
        <f t="shared" si="186"/>
        <v>-19.999999999998863</v>
      </c>
      <c r="BJ301" s="144">
        <v>0</v>
      </c>
      <c r="BK301" s="137">
        <f t="shared" si="187"/>
        <v>-19.999999999998863</v>
      </c>
      <c r="BL301" s="9"/>
      <c r="BM301" s="10" t="str">
        <f t="shared" si="188"/>
        <v>Unloading no. 285 Bill No 53 ,Deduction For Oil Deduction= 0 ,Bardana= 0 ,F.M=  Brokerage/Rate Difference 0 ,Shortage = 0 ,Greenish=  ,Moisture= 0</v>
      </c>
      <c r="BN301" s="9"/>
      <c r="BO301" s="13" t="str">
        <f t="shared" si="166"/>
        <v xml:space="preserve"> Party Condition 39.4  ,F.M% 0.47 ,Greenish 3.92 ,Moisture 5 ,Shortage in KG= 0  ,Oil% 39.95</v>
      </c>
      <c r="BP301" s="4">
        <f t="shared" si="189"/>
        <v>6689.4466834592768</v>
      </c>
      <c r="BX301" s="27">
        <v>40.049999999999997</v>
      </c>
      <c r="BY301" s="27">
        <v>39.950000000000003</v>
      </c>
    </row>
    <row r="302" spans="1:77" customFormat="1" ht="15.75" hidden="1" x14ac:dyDescent="0.3">
      <c r="A302" s="128" t="s">
        <v>611</v>
      </c>
      <c r="B302" s="130">
        <v>46132</v>
      </c>
      <c r="C302" s="128">
        <v>286</v>
      </c>
      <c r="D302" s="128" t="s">
        <v>612</v>
      </c>
      <c r="E302" s="130">
        <v>46133</v>
      </c>
      <c r="F302" s="128" t="s">
        <v>95</v>
      </c>
      <c r="G302" s="128" t="s">
        <v>96</v>
      </c>
      <c r="H302" s="128" t="s">
        <v>97</v>
      </c>
      <c r="I302" s="136"/>
      <c r="J302" s="128" t="s">
        <v>113</v>
      </c>
      <c r="K302" s="128">
        <v>0</v>
      </c>
      <c r="L302" s="130">
        <v>46132</v>
      </c>
      <c r="M302" s="136"/>
      <c r="N302" s="128">
        <v>103</v>
      </c>
      <c r="O302" s="130">
        <v>46132</v>
      </c>
      <c r="P302" s="128">
        <v>0</v>
      </c>
      <c r="Q302" s="128">
        <v>300</v>
      </c>
      <c r="R302" s="128">
        <v>140</v>
      </c>
      <c r="S302" s="128">
        <v>0</v>
      </c>
      <c r="T302" s="128">
        <v>440</v>
      </c>
      <c r="U302" s="128">
        <v>440</v>
      </c>
      <c r="V302" s="136"/>
      <c r="W302" s="128">
        <v>264</v>
      </c>
      <c r="X302" s="128">
        <v>267.2</v>
      </c>
      <c r="Y302" s="128">
        <v>1781429.76</v>
      </c>
      <c r="Z302" s="136"/>
      <c r="AA302" s="128">
        <v>44535.74</v>
      </c>
      <c r="AB302" s="128">
        <v>44535.74</v>
      </c>
      <c r="AC302" s="128">
        <v>1870501.25</v>
      </c>
      <c r="AD302" s="143">
        <f t="shared" si="194"/>
        <v>1868630.74875</v>
      </c>
      <c r="AE302" s="147">
        <v>39.799999999999997</v>
      </c>
      <c r="AF302" s="169">
        <v>39.479999999999997</v>
      </c>
      <c r="AG302" s="147">
        <v>39.86</v>
      </c>
      <c r="AH302" s="170">
        <v>4.4000000000000003E-3</v>
      </c>
      <c r="AI302" s="170">
        <v>4.3999999999999997E-2</v>
      </c>
      <c r="AJ302" s="170">
        <v>4.9000000000000002E-2</v>
      </c>
      <c r="AK302" s="137">
        <f t="shared" si="200"/>
        <v>0</v>
      </c>
      <c r="AL302" s="136">
        <v>0</v>
      </c>
      <c r="AM302" s="136"/>
      <c r="AN302" s="165">
        <v>0</v>
      </c>
      <c r="AO302" s="140">
        <f t="shared" si="201"/>
        <v>0</v>
      </c>
      <c r="AP302" s="136"/>
      <c r="AQ302" s="137">
        <v>0</v>
      </c>
      <c r="AR302" s="155">
        <f t="shared" si="202"/>
        <v>0</v>
      </c>
      <c r="AS302" s="155">
        <f t="shared" si="203"/>
        <v>0</v>
      </c>
      <c r="AT302" s="137">
        <v>0</v>
      </c>
      <c r="AU302" s="136" t="s">
        <v>664</v>
      </c>
      <c r="AV302" s="136"/>
      <c r="AW302" s="137">
        <f t="shared" si="179"/>
        <v>26400</v>
      </c>
      <c r="AX302" s="136"/>
      <c r="AY302" s="137">
        <f t="shared" si="180"/>
        <v>26400</v>
      </c>
      <c r="AZ302" s="137">
        <f t="shared" si="181"/>
        <v>26720</v>
      </c>
      <c r="BA302" s="142">
        <f t="shared" si="182"/>
        <v>-320</v>
      </c>
      <c r="BB302" s="137"/>
      <c r="BC302" s="137">
        <v>0</v>
      </c>
      <c r="BD302" s="136"/>
      <c r="BE302" s="128">
        <v>267.3</v>
      </c>
      <c r="BF302" s="143">
        <f t="shared" si="183"/>
        <v>0.40094999999999997</v>
      </c>
      <c r="BG302" s="143">
        <f t="shared" si="184"/>
        <v>266.89904999999999</v>
      </c>
      <c r="BH302" s="143">
        <f t="shared" si="185"/>
        <v>267.2</v>
      </c>
      <c r="BI302" s="144">
        <f t="shared" si="186"/>
        <v>10.000000000002274</v>
      </c>
      <c r="BJ302" s="144">
        <v>0</v>
      </c>
      <c r="BK302" s="137">
        <f t="shared" si="187"/>
        <v>10.000000000002274</v>
      </c>
      <c r="BL302" s="9"/>
      <c r="BM302" s="10" t="str">
        <f t="shared" si="188"/>
        <v>Unloading no. 286 Bill No 103 ,Deduction For Oil Deduction= 0 ,Bardana= 0 ,F.M=  Brokerage/Rate Difference 0 ,Shortage = 0 ,Greenish=  ,Moisture= 0</v>
      </c>
      <c r="BN302" s="9"/>
      <c r="BO302" s="13" t="str">
        <f t="shared" si="166"/>
        <v xml:space="preserve"> Party Condition 39.48  ,F.M% 0.44 ,Greenish 4.4 ,Moisture 4.9 ,Shortage in KG= 0  ,Oil% 39.8</v>
      </c>
      <c r="BP302" s="4">
        <f t="shared" si="189"/>
        <v>6667.02754491018</v>
      </c>
      <c r="BX302" s="27">
        <v>39.799999999999997</v>
      </c>
      <c r="BY302" s="27">
        <v>39.86</v>
      </c>
    </row>
    <row r="303" spans="1:77" customFormat="1" ht="15.75" hidden="1" x14ac:dyDescent="0.3">
      <c r="A303" s="128" t="s">
        <v>611</v>
      </c>
      <c r="B303" s="130">
        <v>46132</v>
      </c>
      <c r="C303" s="128">
        <v>287</v>
      </c>
      <c r="D303" s="128" t="s">
        <v>616</v>
      </c>
      <c r="E303" s="130">
        <v>46134</v>
      </c>
      <c r="F303" s="128" t="s">
        <v>95</v>
      </c>
      <c r="G303" s="128" t="s">
        <v>96</v>
      </c>
      <c r="H303" s="128" t="s">
        <v>97</v>
      </c>
      <c r="I303" s="136"/>
      <c r="J303" s="128" t="s">
        <v>113</v>
      </c>
      <c r="K303" s="128">
        <v>0</v>
      </c>
      <c r="L303" s="130">
        <v>46132</v>
      </c>
      <c r="M303" s="136"/>
      <c r="N303" s="128">
        <v>102</v>
      </c>
      <c r="O303" s="130">
        <v>46132</v>
      </c>
      <c r="P303" s="128">
        <v>0</v>
      </c>
      <c r="Q303" s="128">
        <v>400</v>
      </c>
      <c r="R303" s="128">
        <v>27</v>
      </c>
      <c r="S303" s="128">
        <v>427</v>
      </c>
      <c r="T303" s="128">
        <v>427</v>
      </c>
      <c r="U303" s="128">
        <v>0</v>
      </c>
      <c r="V303" s="128">
        <v>0</v>
      </c>
      <c r="W303" s="128">
        <v>256.2</v>
      </c>
      <c r="X303" s="128">
        <v>258.8</v>
      </c>
      <c r="Y303" s="128">
        <v>1728796.61</v>
      </c>
      <c r="Z303" s="136"/>
      <c r="AA303" s="128">
        <v>43219.92</v>
      </c>
      <c r="AB303" s="128">
        <v>43219.92</v>
      </c>
      <c r="AC303" s="128">
        <v>1815236.44</v>
      </c>
      <c r="AD303" s="143">
        <f t="shared" si="194"/>
        <v>1813421.2035600001</v>
      </c>
      <c r="AE303" s="147">
        <v>39.9</v>
      </c>
      <c r="AF303" s="169">
        <v>39.479999999999997</v>
      </c>
      <c r="AG303" s="147">
        <v>39.880000000000003</v>
      </c>
      <c r="AH303" s="170">
        <v>4.4000000000000003E-3</v>
      </c>
      <c r="AI303" s="170">
        <v>3.9E-2</v>
      </c>
      <c r="AJ303" s="170">
        <v>5.0999999999999997E-2</v>
      </c>
      <c r="AK303" s="137">
        <f t="shared" si="200"/>
        <v>0</v>
      </c>
      <c r="AL303" s="136">
        <v>0</v>
      </c>
      <c r="AM303" s="136"/>
      <c r="AN303" s="165">
        <v>0</v>
      </c>
      <c r="AO303" s="140">
        <f t="shared" si="201"/>
        <v>1349.5680015612804</v>
      </c>
      <c r="AP303" s="136"/>
      <c r="AQ303" s="137">
        <v>0</v>
      </c>
      <c r="AR303" s="155">
        <f t="shared" si="202"/>
        <v>1349.5680015612804</v>
      </c>
      <c r="AS303" s="155">
        <f t="shared" si="203"/>
        <v>1417</v>
      </c>
      <c r="AT303" s="137">
        <v>20</v>
      </c>
      <c r="AU303" s="136" t="s">
        <v>664</v>
      </c>
      <c r="AV303" s="136"/>
      <c r="AW303" s="137">
        <f t="shared" ref="AW303:AW326" si="204">W303*100</f>
        <v>25620</v>
      </c>
      <c r="AX303" s="136"/>
      <c r="AY303" s="137">
        <f t="shared" ref="AY303:AY326" si="205">+AW303+AX303</f>
        <v>25620</v>
      </c>
      <c r="AZ303" s="137">
        <f t="shared" ref="AZ303:AZ326" si="206">X303*100</f>
        <v>25880</v>
      </c>
      <c r="BA303" s="142">
        <f t="shared" ref="BA303:BA326" si="207">AY303-AZ303</f>
        <v>-260</v>
      </c>
      <c r="BB303" s="137"/>
      <c r="BC303" s="137">
        <v>0</v>
      </c>
      <c r="BD303" s="136"/>
      <c r="BE303" s="128">
        <v>259.10000000000002</v>
      </c>
      <c r="BF303" s="143">
        <f t="shared" ref="BF303:BF326" si="208">+BE303*0.15/100</f>
        <v>0.38865</v>
      </c>
      <c r="BG303" s="143">
        <f t="shared" ref="BG303:BG326" si="209">BE303-BF303</f>
        <v>258.71135000000004</v>
      </c>
      <c r="BH303" s="143">
        <f t="shared" ref="BH303:BH326" si="210">X303</f>
        <v>258.8</v>
      </c>
      <c r="BI303" s="144">
        <f t="shared" ref="BI303:BI326" si="211">(BE303-BH303)*100</f>
        <v>30.000000000001137</v>
      </c>
      <c r="BJ303" s="144">
        <v>0</v>
      </c>
      <c r="BK303" s="137">
        <f t="shared" ref="BK303:BK326" si="212">BI303</f>
        <v>30.000000000001137</v>
      </c>
      <c r="BL303" s="9"/>
      <c r="BM303" s="10" t="str">
        <f t="shared" ref="BM303:BM326" si="213">+$C$1&amp;" "&amp;C303 &amp;" "&amp;$N$1&amp;" "&amp;N303&amp;" "&amp;$BM$1&amp;" "&amp;$AK$1&amp;" "&amp;AK303&amp;" "&amp;$AL$1&amp;" "&amp;AL303&amp;" "&amp;$AM$1&amp;" "&amp;AM303&amp;" "&amp;$AN$1&amp;" "&amp;AN303&amp;" "&amp;$AO$1&amp;" "&amp;AO303&amp;" "&amp;$AP$1&amp;" "&amp;AP303&amp;" "&amp;$AQ$1&amp;" "&amp;AQ303</f>
        <v>Unloading no. 287 Bill No 102 ,Deduction For Oil Deduction= 0 ,Bardana= 0 ,F.M=  Brokerage/Rate Difference 0 ,Shortage = 1349.56800156128 ,Greenish=  ,Moisture= 0</v>
      </c>
      <c r="BN303" s="9"/>
      <c r="BO303" s="13" t="str">
        <f t="shared" si="166"/>
        <v xml:space="preserve"> Party Condition 39.48  ,F.M% 0.44 ,Greenish 3.9 ,Moisture 5.1 ,Shortage in KG= 20  ,Oil% 39.88</v>
      </c>
      <c r="BP303" s="4">
        <f t="shared" ref="BP303:BP326" si="214">(Y303-AR303)/X303</f>
        <v>6674.8340108131324</v>
      </c>
      <c r="BX303" s="27">
        <v>39.9</v>
      </c>
      <c r="BY303" s="27">
        <v>39.880000000000003</v>
      </c>
    </row>
    <row r="304" spans="1:77" customFormat="1" ht="15.75" hidden="1" x14ac:dyDescent="0.3">
      <c r="A304" s="128" t="s">
        <v>613</v>
      </c>
      <c r="B304" s="130">
        <v>46132</v>
      </c>
      <c r="C304" s="128">
        <v>288</v>
      </c>
      <c r="D304" s="128" t="s">
        <v>617</v>
      </c>
      <c r="E304" s="130">
        <v>46134</v>
      </c>
      <c r="F304" s="128" t="s">
        <v>467</v>
      </c>
      <c r="G304" s="128" t="s">
        <v>468</v>
      </c>
      <c r="H304" s="128" t="s">
        <v>506</v>
      </c>
      <c r="I304" s="136"/>
      <c r="J304" s="128" t="s">
        <v>113</v>
      </c>
      <c r="K304" s="128">
        <v>0</v>
      </c>
      <c r="L304" s="130">
        <v>46132</v>
      </c>
      <c r="M304" s="136"/>
      <c r="N304" s="128" t="s">
        <v>624</v>
      </c>
      <c r="O304" s="130">
        <v>46133</v>
      </c>
      <c r="P304" s="128">
        <v>0</v>
      </c>
      <c r="Q304" s="128">
        <v>300</v>
      </c>
      <c r="R304" s="128">
        <v>153</v>
      </c>
      <c r="S304" s="128">
        <v>453</v>
      </c>
      <c r="T304" s="128">
        <v>453</v>
      </c>
      <c r="U304" s="128">
        <v>0</v>
      </c>
      <c r="V304" s="128">
        <v>0</v>
      </c>
      <c r="W304" s="128">
        <v>271.8</v>
      </c>
      <c r="X304" s="128">
        <v>275.5</v>
      </c>
      <c r="Y304" s="128">
        <v>1821514.81</v>
      </c>
      <c r="Z304" s="136"/>
      <c r="AA304" s="128">
        <v>45537.87</v>
      </c>
      <c r="AB304" s="128">
        <v>45537.87</v>
      </c>
      <c r="AC304" s="128">
        <v>1912590.55</v>
      </c>
      <c r="AD304" s="143">
        <f t="shared" si="194"/>
        <v>1910677.95945</v>
      </c>
      <c r="AE304" s="147">
        <v>39.86</v>
      </c>
      <c r="AF304" s="169">
        <v>38.85</v>
      </c>
      <c r="AG304" s="147">
        <v>39.97</v>
      </c>
      <c r="AH304" s="170">
        <v>3.7000000000000002E-3</v>
      </c>
      <c r="AI304" s="170">
        <v>3.9E-2</v>
      </c>
      <c r="AJ304" s="170">
        <v>4.8000000000000001E-2</v>
      </c>
      <c r="AK304" s="137">
        <f t="shared" si="200"/>
        <v>0</v>
      </c>
      <c r="AL304" s="136">
        <v>0</v>
      </c>
      <c r="AM304" s="136"/>
      <c r="AN304" s="165">
        <v>0</v>
      </c>
      <c r="AO304" s="140">
        <f t="shared" si="201"/>
        <v>0</v>
      </c>
      <c r="AP304" s="136"/>
      <c r="AQ304" s="137">
        <v>0</v>
      </c>
      <c r="AR304" s="155">
        <f t="shared" si="202"/>
        <v>0</v>
      </c>
      <c r="AS304" s="155">
        <f t="shared" si="203"/>
        <v>0</v>
      </c>
      <c r="AT304" s="137">
        <v>0</v>
      </c>
      <c r="AU304" s="136"/>
      <c r="AV304" s="136"/>
      <c r="AW304" s="137">
        <f t="shared" si="204"/>
        <v>27180</v>
      </c>
      <c r="AX304" s="136"/>
      <c r="AY304" s="137">
        <f t="shared" si="205"/>
        <v>27180</v>
      </c>
      <c r="AZ304" s="137">
        <f t="shared" si="206"/>
        <v>27550</v>
      </c>
      <c r="BA304" s="142">
        <f t="shared" si="207"/>
        <v>-370</v>
      </c>
      <c r="BB304" s="137"/>
      <c r="BC304" s="137">
        <v>0</v>
      </c>
      <c r="BD304" s="136"/>
      <c r="BE304" s="128">
        <v>275.45</v>
      </c>
      <c r="BF304" s="143">
        <f t="shared" si="208"/>
        <v>0.41317499999999996</v>
      </c>
      <c r="BG304" s="143">
        <f t="shared" si="209"/>
        <v>275.03682499999996</v>
      </c>
      <c r="BH304" s="143">
        <f t="shared" si="210"/>
        <v>275.5</v>
      </c>
      <c r="BI304" s="144">
        <f t="shared" si="211"/>
        <v>-5.0000000000011369</v>
      </c>
      <c r="BJ304" s="144">
        <v>0</v>
      </c>
      <c r="BK304" s="137">
        <f t="shared" si="212"/>
        <v>-5.0000000000011369</v>
      </c>
      <c r="BL304" s="9"/>
      <c r="BM304" s="10" t="str">
        <f t="shared" si="213"/>
        <v>Unloading no. 288 Bill No GDS/26-27/125 ,Deduction For Oil Deduction= 0 ,Bardana= 0 ,F.M=  Brokerage/Rate Difference 0 ,Shortage = 0 ,Greenish=  ,Moisture= 0</v>
      </c>
      <c r="BN304" s="9"/>
      <c r="BO304" s="13" t="str">
        <f t="shared" si="166"/>
        <v xml:space="preserve"> Party Condition 38.85  ,F.M% 0.37 ,Greenish 3.9 ,Moisture 4.8 ,Shortage in KG= 0  ,Oil% 39.86</v>
      </c>
      <c r="BP304" s="4">
        <f t="shared" si="214"/>
        <v>6611.669001814882</v>
      </c>
      <c r="BX304" s="27">
        <v>39.86</v>
      </c>
      <c r="BY304" s="27">
        <v>39.97</v>
      </c>
    </row>
    <row r="305" spans="1:77" customFormat="1" ht="15.75" hidden="1" x14ac:dyDescent="0.3">
      <c r="A305" s="128" t="s">
        <v>614</v>
      </c>
      <c r="B305" s="130">
        <v>46132</v>
      </c>
      <c r="C305" s="128">
        <v>289</v>
      </c>
      <c r="D305" s="128" t="s">
        <v>618</v>
      </c>
      <c r="E305" s="130">
        <v>46134</v>
      </c>
      <c r="F305" s="128" t="s">
        <v>101</v>
      </c>
      <c r="G305" s="128" t="s">
        <v>102</v>
      </c>
      <c r="H305" s="128" t="s">
        <v>103</v>
      </c>
      <c r="I305" s="136"/>
      <c r="J305" s="128" t="s">
        <v>113</v>
      </c>
      <c r="K305" s="128">
        <v>0</v>
      </c>
      <c r="L305" s="130">
        <v>46132</v>
      </c>
      <c r="M305" s="136"/>
      <c r="N305" s="128" t="s">
        <v>625</v>
      </c>
      <c r="O305" s="130">
        <v>46133</v>
      </c>
      <c r="P305" s="128">
        <v>0</v>
      </c>
      <c r="Q305" s="128">
        <v>470</v>
      </c>
      <c r="R305" s="128">
        <v>38</v>
      </c>
      <c r="S305" s="128">
        <v>508</v>
      </c>
      <c r="T305" s="128">
        <v>508</v>
      </c>
      <c r="U305" s="128">
        <v>0</v>
      </c>
      <c r="V305" s="128">
        <v>0</v>
      </c>
      <c r="W305" s="128">
        <v>304.8</v>
      </c>
      <c r="X305" s="128">
        <v>309.60000000000002</v>
      </c>
      <c r="Y305" s="128">
        <v>2071040.82</v>
      </c>
      <c r="Z305" s="136"/>
      <c r="AA305" s="128">
        <v>51776.02</v>
      </c>
      <c r="AB305" s="128">
        <v>51776.02</v>
      </c>
      <c r="AC305" s="128">
        <v>2174592.86</v>
      </c>
      <c r="AD305" s="143">
        <f t="shared" si="194"/>
        <v>2172418.2671399997</v>
      </c>
      <c r="AE305" s="173">
        <v>39.5</v>
      </c>
      <c r="AF305" s="169">
        <v>39.65</v>
      </c>
      <c r="AG305" s="173">
        <v>39.44</v>
      </c>
      <c r="AH305" s="170">
        <v>4.0000000000000001E-3</v>
      </c>
      <c r="AI305" s="170">
        <v>0.04</v>
      </c>
      <c r="AJ305" s="170">
        <v>5.6000000000000001E-2</v>
      </c>
      <c r="AK305" s="137">
        <v>0</v>
      </c>
      <c r="AL305" s="136">
        <v>0</v>
      </c>
      <c r="AM305" s="136"/>
      <c r="AN305" s="165">
        <v>0</v>
      </c>
      <c r="AO305" s="140">
        <f t="shared" si="201"/>
        <v>0</v>
      </c>
      <c r="AP305" s="136"/>
      <c r="AQ305" s="137">
        <v>0</v>
      </c>
      <c r="AR305" s="155">
        <f t="shared" si="202"/>
        <v>0</v>
      </c>
      <c r="AS305" s="155">
        <f t="shared" si="203"/>
        <v>0</v>
      </c>
      <c r="AT305" s="137">
        <v>0</v>
      </c>
      <c r="AU305" s="136"/>
      <c r="AV305" s="136"/>
      <c r="AW305" s="137">
        <f t="shared" si="204"/>
        <v>30480</v>
      </c>
      <c r="AX305" s="136"/>
      <c r="AY305" s="137">
        <f t="shared" si="205"/>
        <v>30480</v>
      </c>
      <c r="AZ305" s="137">
        <f t="shared" si="206"/>
        <v>30960.000000000004</v>
      </c>
      <c r="BA305" s="142">
        <f t="shared" si="207"/>
        <v>-480.00000000000364</v>
      </c>
      <c r="BB305" s="137"/>
      <c r="BC305" s="137">
        <v>0</v>
      </c>
      <c r="BD305" s="136"/>
      <c r="BE305" s="128">
        <v>309.39999999999998</v>
      </c>
      <c r="BF305" s="143">
        <f t="shared" si="208"/>
        <v>0.46409999999999996</v>
      </c>
      <c r="BG305" s="143">
        <f t="shared" si="209"/>
        <v>308.9359</v>
      </c>
      <c r="BH305" s="143">
        <f t="shared" si="210"/>
        <v>309.60000000000002</v>
      </c>
      <c r="BI305" s="144">
        <f t="shared" si="211"/>
        <v>-20.000000000004547</v>
      </c>
      <c r="BJ305" s="144">
        <v>0</v>
      </c>
      <c r="BK305" s="137">
        <f t="shared" si="212"/>
        <v>-20.000000000004547</v>
      </c>
      <c r="BL305" s="9"/>
      <c r="BM305" s="10" t="str">
        <f t="shared" si="213"/>
        <v>Unloading no. 289 Bill No L/PB/26-27/36 ,Deduction For Oil Deduction= 0 ,Bardana= 0 ,F.M=  Brokerage/Rate Difference 0 ,Shortage = 0 ,Greenish=  ,Moisture= 0</v>
      </c>
      <c r="BN305" s="9"/>
      <c r="BO305" s="13" t="str">
        <f t="shared" si="166"/>
        <v xml:space="preserve"> Party Condition 39.65  ,F.M% 0.4 ,Greenish 4 ,Moisture 5.6 ,Shortage in KG= 0  ,Oil% 39.44</v>
      </c>
      <c r="BP305" s="4">
        <f t="shared" si="214"/>
        <v>6689.4083333333328</v>
      </c>
      <c r="BX305" s="30">
        <v>39.5</v>
      </c>
      <c r="BY305" s="30">
        <v>39.44</v>
      </c>
    </row>
    <row r="306" spans="1:77" customFormat="1" ht="15.75" hidden="1" x14ac:dyDescent="0.3">
      <c r="A306" s="128" t="s">
        <v>614</v>
      </c>
      <c r="B306" s="130">
        <v>46132</v>
      </c>
      <c r="C306" s="128">
        <v>290</v>
      </c>
      <c r="D306" s="128" t="s">
        <v>619</v>
      </c>
      <c r="E306" s="130">
        <v>46134</v>
      </c>
      <c r="F306" s="128" t="s">
        <v>101</v>
      </c>
      <c r="G306" s="128" t="s">
        <v>102</v>
      </c>
      <c r="H306" s="128" t="s">
        <v>103</v>
      </c>
      <c r="I306" s="136"/>
      <c r="J306" s="128" t="s">
        <v>113</v>
      </c>
      <c r="K306" s="128">
        <v>0</v>
      </c>
      <c r="L306" s="130">
        <v>46132</v>
      </c>
      <c r="M306" s="136"/>
      <c r="N306" s="128" t="s">
        <v>626</v>
      </c>
      <c r="O306" s="130">
        <v>46133</v>
      </c>
      <c r="P306" s="128">
        <v>0</v>
      </c>
      <c r="Q306" s="128">
        <v>500</v>
      </c>
      <c r="R306" s="128">
        <v>95</v>
      </c>
      <c r="S306" s="128">
        <v>595</v>
      </c>
      <c r="T306" s="128">
        <v>595</v>
      </c>
      <c r="U306" s="128">
        <v>0</v>
      </c>
      <c r="V306" s="128">
        <v>0</v>
      </c>
      <c r="W306" s="128">
        <v>357</v>
      </c>
      <c r="X306" s="128">
        <v>362.1</v>
      </c>
      <c r="Y306" s="128">
        <v>2425726.94</v>
      </c>
      <c r="Z306" s="136"/>
      <c r="AA306" s="128">
        <v>60643.17</v>
      </c>
      <c r="AB306" s="128">
        <v>60643.17</v>
      </c>
      <c r="AC306" s="128">
        <v>2547013.29</v>
      </c>
      <c r="AD306" s="143">
        <f t="shared" si="194"/>
        <v>2544466.2767099999</v>
      </c>
      <c r="AE306" s="173">
        <v>39.75</v>
      </c>
      <c r="AF306" s="169">
        <v>39.65</v>
      </c>
      <c r="AG306" s="173">
        <v>39.67</v>
      </c>
      <c r="AH306" s="170">
        <v>4.1000000000000003E-3</v>
      </c>
      <c r="AI306" s="170">
        <v>3.9E-2</v>
      </c>
      <c r="AJ306" s="170">
        <v>5.0999999999999997E-2</v>
      </c>
      <c r="AK306" s="137">
        <f t="shared" si="200"/>
        <v>0</v>
      </c>
      <c r="AL306" s="136">
        <v>0</v>
      </c>
      <c r="AM306" s="136"/>
      <c r="AN306" s="165">
        <v>0</v>
      </c>
      <c r="AO306" s="140">
        <f t="shared" si="201"/>
        <v>0</v>
      </c>
      <c r="AP306" s="136"/>
      <c r="AQ306" s="137">
        <v>0</v>
      </c>
      <c r="AR306" s="155">
        <f t="shared" si="202"/>
        <v>0</v>
      </c>
      <c r="AS306" s="155">
        <f t="shared" si="203"/>
        <v>0</v>
      </c>
      <c r="AT306" s="137">
        <v>0</v>
      </c>
      <c r="AU306" s="136"/>
      <c r="AV306" s="136"/>
      <c r="AW306" s="137">
        <f t="shared" si="204"/>
        <v>35700</v>
      </c>
      <c r="AX306" s="136"/>
      <c r="AY306" s="137">
        <f t="shared" si="205"/>
        <v>35700</v>
      </c>
      <c r="AZ306" s="137">
        <f t="shared" si="206"/>
        <v>36210</v>
      </c>
      <c r="BA306" s="142">
        <f t="shared" si="207"/>
        <v>-510</v>
      </c>
      <c r="BB306" s="137"/>
      <c r="BC306" s="137">
        <v>0</v>
      </c>
      <c r="BD306" s="136"/>
      <c r="BE306" s="128">
        <v>362</v>
      </c>
      <c r="BF306" s="143">
        <f t="shared" si="208"/>
        <v>0.54299999999999993</v>
      </c>
      <c r="BG306" s="143">
        <f t="shared" si="209"/>
        <v>361.45699999999999</v>
      </c>
      <c r="BH306" s="143">
        <f t="shared" si="210"/>
        <v>362.1</v>
      </c>
      <c r="BI306" s="144">
        <f t="shared" si="211"/>
        <v>-10.000000000002274</v>
      </c>
      <c r="BJ306" s="144">
        <v>0</v>
      </c>
      <c r="BK306" s="137">
        <f t="shared" si="212"/>
        <v>-10.000000000002274</v>
      </c>
      <c r="BL306" s="9"/>
      <c r="BM306" s="10" t="str">
        <f t="shared" si="213"/>
        <v>Unloading no. 290 Bill No L/PB/26-27/38 ,Deduction For Oil Deduction= 0 ,Bardana= 0 ,F.M=  Brokerage/Rate Difference 0 ,Shortage = 0 ,Greenish=  ,Moisture= 0</v>
      </c>
      <c r="BN306" s="9"/>
      <c r="BO306" s="13" t="str">
        <f t="shared" si="166"/>
        <v xml:space="preserve"> Party Condition 39.65  ,F.M% 0.41 ,Greenish 3.9 ,Moisture 5.1 ,Shortage in KG= 0  ,Oil% 39.67</v>
      </c>
      <c r="BP306" s="4">
        <f t="shared" si="214"/>
        <v>6699.0525821596239</v>
      </c>
      <c r="BX306" s="30">
        <v>39.75</v>
      </c>
      <c r="BY306" s="30">
        <v>39.67</v>
      </c>
    </row>
    <row r="307" spans="1:77" customFormat="1" ht="15.75" hidden="1" x14ac:dyDescent="0.3">
      <c r="A307" s="128" t="s">
        <v>615</v>
      </c>
      <c r="B307" s="130">
        <v>46132</v>
      </c>
      <c r="C307" s="128">
        <v>291</v>
      </c>
      <c r="D307" s="128" t="s">
        <v>620</v>
      </c>
      <c r="E307" s="130">
        <v>46134</v>
      </c>
      <c r="F307" s="128" t="s">
        <v>98</v>
      </c>
      <c r="G307" s="128" t="s">
        <v>99</v>
      </c>
      <c r="H307" s="128" t="s">
        <v>100</v>
      </c>
      <c r="I307" s="136"/>
      <c r="J307" s="128" t="s">
        <v>113</v>
      </c>
      <c r="K307" s="128">
        <v>0</v>
      </c>
      <c r="L307" s="130">
        <v>46132</v>
      </c>
      <c r="M307" s="136"/>
      <c r="N307" s="128">
        <v>72</v>
      </c>
      <c r="O307" s="130">
        <v>46133</v>
      </c>
      <c r="P307" s="128">
        <v>0</v>
      </c>
      <c r="Q307" s="128">
        <v>460</v>
      </c>
      <c r="R307" s="128">
        <v>60</v>
      </c>
      <c r="S307" s="128">
        <v>520</v>
      </c>
      <c r="T307" s="128">
        <v>520</v>
      </c>
      <c r="U307" s="128">
        <v>0</v>
      </c>
      <c r="V307" s="128">
        <v>0</v>
      </c>
      <c r="W307" s="128">
        <v>312</v>
      </c>
      <c r="X307" s="128">
        <v>315</v>
      </c>
      <c r="Y307" s="128">
        <v>2093871.52</v>
      </c>
      <c r="Z307" s="136"/>
      <c r="AA307" s="128">
        <v>52346.79</v>
      </c>
      <c r="AB307" s="128">
        <v>52346.79</v>
      </c>
      <c r="AC307" s="128">
        <v>2198565.1</v>
      </c>
      <c r="AD307" s="143">
        <f t="shared" si="194"/>
        <v>2196366.5349000003</v>
      </c>
      <c r="AE307" s="173">
        <v>39</v>
      </c>
      <c r="AF307" s="169">
        <v>39.020000000000003</v>
      </c>
      <c r="AG307" s="173">
        <v>39.03</v>
      </c>
      <c r="AH307" s="170">
        <v>4.5999999999999999E-3</v>
      </c>
      <c r="AI307" s="170">
        <v>3.6999999999999998E-2</v>
      </c>
      <c r="AJ307" s="170">
        <v>5.0999999999999997E-2</v>
      </c>
      <c r="AK307" s="137">
        <v>0</v>
      </c>
      <c r="AL307" s="136">
        <f>520*0.5</f>
        <v>260</v>
      </c>
      <c r="AM307" s="136"/>
      <c r="AN307" s="165">
        <v>0</v>
      </c>
      <c r="AO307" s="140">
        <f t="shared" si="201"/>
        <v>5368.9013333333332</v>
      </c>
      <c r="AP307" s="136"/>
      <c r="AQ307" s="137">
        <v>0</v>
      </c>
      <c r="AR307" s="155">
        <f t="shared" si="202"/>
        <v>5628.9013333333332</v>
      </c>
      <c r="AS307" s="155">
        <f t="shared" si="203"/>
        <v>5910</v>
      </c>
      <c r="AT307" s="137">
        <v>80</v>
      </c>
      <c r="AU307" s="136"/>
      <c r="AV307" s="136"/>
      <c r="AW307" s="137">
        <f t="shared" si="204"/>
        <v>31200</v>
      </c>
      <c r="AX307" s="136"/>
      <c r="AY307" s="137">
        <f t="shared" si="205"/>
        <v>31200</v>
      </c>
      <c r="AZ307" s="137">
        <f t="shared" si="206"/>
        <v>31500</v>
      </c>
      <c r="BA307" s="142">
        <f t="shared" si="207"/>
        <v>-300</v>
      </c>
      <c r="BB307" s="137"/>
      <c r="BC307" s="137">
        <v>0</v>
      </c>
      <c r="BD307" s="136"/>
      <c r="BE307" s="128">
        <v>315.7</v>
      </c>
      <c r="BF307" s="143">
        <f t="shared" si="208"/>
        <v>0.47354999999999997</v>
      </c>
      <c r="BG307" s="143">
        <f t="shared" si="209"/>
        <v>315.22645</v>
      </c>
      <c r="BH307" s="143">
        <f t="shared" si="210"/>
        <v>315</v>
      </c>
      <c r="BI307" s="144">
        <f t="shared" si="211"/>
        <v>69.999999999998863</v>
      </c>
      <c r="BJ307" s="144">
        <v>0</v>
      </c>
      <c r="BK307" s="137">
        <f t="shared" si="212"/>
        <v>69.999999999998863</v>
      </c>
      <c r="BL307" s="9"/>
      <c r="BM307" s="10" t="str">
        <f t="shared" si="213"/>
        <v>Unloading no. 291 Bill No 72 ,Deduction For Oil Deduction= 0 ,Bardana= 260 ,F.M=  Brokerage/Rate Difference 0 ,Shortage = 5368.90133333333 ,Greenish=  ,Moisture= 0</v>
      </c>
      <c r="BN307" s="9"/>
      <c r="BO307" s="13" t="str">
        <f t="shared" si="166"/>
        <v xml:space="preserve"> Party Condition 39.02  ,F.M% 0.46 ,Greenish 3.7 ,Moisture 5.1 ,Shortage in KG= 80  ,Oil% 39</v>
      </c>
      <c r="BP307" s="4">
        <f t="shared" si="214"/>
        <v>6629.341646560847</v>
      </c>
      <c r="BX307" s="30">
        <v>39</v>
      </c>
      <c r="BY307" s="30">
        <v>39.03</v>
      </c>
    </row>
    <row r="308" spans="1:77" customFormat="1" ht="15.75" hidden="1" x14ac:dyDescent="0.3">
      <c r="A308" s="128" t="s">
        <v>614</v>
      </c>
      <c r="B308" s="130">
        <v>46132</v>
      </c>
      <c r="C308" s="128">
        <v>292</v>
      </c>
      <c r="D308" s="128" t="s">
        <v>621</v>
      </c>
      <c r="E308" s="130">
        <v>46134</v>
      </c>
      <c r="F308" s="128" t="s">
        <v>101</v>
      </c>
      <c r="G308" s="128" t="s">
        <v>102</v>
      </c>
      <c r="H308" s="128" t="s">
        <v>103</v>
      </c>
      <c r="I308" s="136"/>
      <c r="J308" s="128" t="s">
        <v>113</v>
      </c>
      <c r="K308" s="128">
        <v>0</v>
      </c>
      <c r="L308" s="130">
        <v>46132</v>
      </c>
      <c r="M308" s="136"/>
      <c r="N308" s="128" t="s">
        <v>627</v>
      </c>
      <c r="O308" s="130">
        <v>46133</v>
      </c>
      <c r="P308" s="128">
        <v>0</v>
      </c>
      <c r="Q308" s="128">
        <v>400</v>
      </c>
      <c r="R308" s="128">
        <v>196</v>
      </c>
      <c r="S308" s="128">
        <v>596</v>
      </c>
      <c r="T308" s="128">
        <v>596</v>
      </c>
      <c r="U308" s="128">
        <v>0</v>
      </c>
      <c r="V308" s="128">
        <v>0</v>
      </c>
      <c r="W308" s="128">
        <v>357.6</v>
      </c>
      <c r="X308" s="128">
        <v>363</v>
      </c>
      <c r="Y308" s="128">
        <v>2429803.79</v>
      </c>
      <c r="Z308" s="136"/>
      <c r="AA308" s="128">
        <v>60745.09</v>
      </c>
      <c r="AB308" s="128">
        <v>60745.09</v>
      </c>
      <c r="AC308" s="128">
        <v>2551293.98</v>
      </c>
      <c r="AD308" s="143">
        <f t="shared" si="194"/>
        <v>2548742.6860199999</v>
      </c>
      <c r="AE308" s="173">
        <v>40.1</v>
      </c>
      <c r="AF308" s="169">
        <v>39.65</v>
      </c>
      <c r="AG308" s="173">
        <v>40.06</v>
      </c>
      <c r="AH308" s="170">
        <v>4.1999999999999997E-3</v>
      </c>
      <c r="AI308" s="170">
        <v>3.7999999999999999E-2</v>
      </c>
      <c r="AJ308" s="170">
        <v>5.3999999999999999E-2</v>
      </c>
      <c r="AK308" s="137">
        <f t="shared" si="200"/>
        <v>0</v>
      </c>
      <c r="AL308" s="136">
        <v>0</v>
      </c>
      <c r="AM308" s="136"/>
      <c r="AN308" s="165">
        <v>0</v>
      </c>
      <c r="AO308" s="140">
        <f t="shared" si="201"/>
        <v>0</v>
      </c>
      <c r="AP308" s="136"/>
      <c r="AQ308" s="137">
        <v>0</v>
      </c>
      <c r="AR308" s="155">
        <f t="shared" si="202"/>
        <v>0</v>
      </c>
      <c r="AS308" s="155">
        <f t="shared" si="203"/>
        <v>0</v>
      </c>
      <c r="AT308" s="137">
        <v>0</v>
      </c>
      <c r="AU308" s="136"/>
      <c r="AV308" s="136"/>
      <c r="AW308" s="137">
        <f t="shared" si="204"/>
        <v>35760</v>
      </c>
      <c r="AX308" s="136"/>
      <c r="AY308" s="137">
        <f t="shared" si="205"/>
        <v>35760</v>
      </c>
      <c r="AZ308" s="137">
        <f t="shared" si="206"/>
        <v>36300</v>
      </c>
      <c r="BA308" s="142">
        <f t="shared" si="207"/>
        <v>-540</v>
      </c>
      <c r="BB308" s="137"/>
      <c r="BC308" s="137">
        <v>0</v>
      </c>
      <c r="BD308" s="136"/>
      <c r="BE308" s="128">
        <v>363.5</v>
      </c>
      <c r="BF308" s="143">
        <f t="shared" si="208"/>
        <v>0.54525000000000001</v>
      </c>
      <c r="BG308" s="143">
        <f t="shared" si="209"/>
        <v>362.95474999999999</v>
      </c>
      <c r="BH308" s="143">
        <f t="shared" si="210"/>
        <v>363</v>
      </c>
      <c r="BI308" s="144">
        <f t="shared" si="211"/>
        <v>50</v>
      </c>
      <c r="BJ308" s="144">
        <v>0</v>
      </c>
      <c r="BK308" s="137">
        <f t="shared" si="212"/>
        <v>50</v>
      </c>
      <c r="BL308" s="9"/>
      <c r="BM308" s="10" t="str">
        <f t="shared" si="213"/>
        <v>Unloading no. 292 Bill No L/PB/26-27/39 ,Deduction For Oil Deduction= 0 ,Bardana= 0 ,F.M=  Brokerage/Rate Difference 0 ,Shortage = 0 ,Greenish=  ,Moisture= 0</v>
      </c>
      <c r="BN308" s="9"/>
      <c r="BO308" s="13" t="str">
        <f t="shared" si="166"/>
        <v xml:space="preserve"> Party Condition 39.65  ,F.M% 0.42 ,Greenish 3.8 ,Moisture 5.4 ,Shortage in KG= 0  ,Oil% 40.06</v>
      </c>
      <c r="BP308" s="4">
        <f t="shared" si="214"/>
        <v>6693.6743526170803</v>
      </c>
      <c r="BX308" s="30">
        <v>40.1</v>
      </c>
      <c r="BY308" s="30">
        <v>40.06</v>
      </c>
    </row>
    <row r="309" spans="1:77" customFormat="1" ht="15.75" hidden="1" x14ac:dyDescent="0.3">
      <c r="A309" s="128" t="s">
        <v>614</v>
      </c>
      <c r="B309" s="130">
        <v>46132</v>
      </c>
      <c r="C309" s="128">
        <v>293</v>
      </c>
      <c r="D309" s="128" t="s">
        <v>622</v>
      </c>
      <c r="E309" s="130">
        <v>46134</v>
      </c>
      <c r="F309" s="128" t="s">
        <v>101</v>
      </c>
      <c r="G309" s="128" t="s">
        <v>102</v>
      </c>
      <c r="H309" s="128" t="s">
        <v>103</v>
      </c>
      <c r="I309" s="136"/>
      <c r="J309" s="128" t="s">
        <v>113</v>
      </c>
      <c r="K309" s="128">
        <v>0</v>
      </c>
      <c r="L309" s="130">
        <v>46132</v>
      </c>
      <c r="M309" s="136"/>
      <c r="N309" s="128" t="s">
        <v>628</v>
      </c>
      <c r="O309" s="130">
        <v>46133</v>
      </c>
      <c r="P309" s="128">
        <v>0</v>
      </c>
      <c r="Q309" s="128">
        <v>380</v>
      </c>
      <c r="R309" s="128">
        <v>120</v>
      </c>
      <c r="S309" s="128">
        <v>500</v>
      </c>
      <c r="T309" s="128">
        <v>500</v>
      </c>
      <c r="U309" s="128">
        <v>0</v>
      </c>
      <c r="V309" s="128">
        <v>0</v>
      </c>
      <c r="W309" s="128">
        <v>300</v>
      </c>
      <c r="X309" s="128">
        <v>304.2</v>
      </c>
      <c r="Y309" s="128">
        <v>2038426</v>
      </c>
      <c r="Z309" s="136"/>
      <c r="AA309" s="128">
        <v>50960.65</v>
      </c>
      <c r="AB309" s="128">
        <v>50960.65</v>
      </c>
      <c r="AC309" s="128">
        <v>2140347.2999999998</v>
      </c>
      <c r="AD309" s="143">
        <f t="shared" si="194"/>
        <v>2138206.9526999998</v>
      </c>
      <c r="AE309" s="147">
        <v>40.090000000000003</v>
      </c>
      <c r="AF309" s="169">
        <v>39.65</v>
      </c>
      <c r="AG309" s="147">
        <v>40.04</v>
      </c>
      <c r="AH309" s="170">
        <v>4.4000000000000003E-3</v>
      </c>
      <c r="AI309" s="170">
        <v>3.9100000000000003E-2</v>
      </c>
      <c r="AJ309" s="170">
        <v>5.5E-2</v>
      </c>
      <c r="AK309" s="137">
        <f t="shared" si="200"/>
        <v>0</v>
      </c>
      <c r="AL309" s="136">
        <v>0</v>
      </c>
      <c r="AM309" s="136"/>
      <c r="AN309" s="165">
        <v>0</v>
      </c>
      <c r="AO309" s="140">
        <f t="shared" si="201"/>
        <v>0</v>
      </c>
      <c r="AP309" s="136"/>
      <c r="AQ309" s="137">
        <v>0</v>
      </c>
      <c r="AR309" s="155">
        <f t="shared" si="202"/>
        <v>0</v>
      </c>
      <c r="AS309" s="155">
        <f t="shared" si="203"/>
        <v>0</v>
      </c>
      <c r="AT309" s="137">
        <v>0</v>
      </c>
      <c r="AU309" s="136"/>
      <c r="AV309" s="136"/>
      <c r="AW309" s="137">
        <f t="shared" si="204"/>
        <v>30000</v>
      </c>
      <c r="AX309" s="136"/>
      <c r="AY309" s="137">
        <f t="shared" si="205"/>
        <v>30000</v>
      </c>
      <c r="AZ309" s="137">
        <f t="shared" si="206"/>
        <v>30420</v>
      </c>
      <c r="BA309" s="142">
        <f t="shared" si="207"/>
        <v>-420</v>
      </c>
      <c r="BB309" s="137"/>
      <c r="BC309" s="137">
        <v>0</v>
      </c>
      <c r="BD309" s="136"/>
      <c r="BE309" s="128">
        <v>304.3</v>
      </c>
      <c r="BF309" s="143">
        <f t="shared" si="208"/>
        <v>0.45645000000000002</v>
      </c>
      <c r="BG309" s="143">
        <f t="shared" si="209"/>
        <v>303.84354999999999</v>
      </c>
      <c r="BH309" s="143">
        <f t="shared" si="210"/>
        <v>304.2</v>
      </c>
      <c r="BI309" s="144">
        <f t="shared" si="211"/>
        <v>10.000000000002274</v>
      </c>
      <c r="BJ309" s="144">
        <v>0</v>
      </c>
      <c r="BK309" s="137">
        <f t="shared" si="212"/>
        <v>10.000000000002274</v>
      </c>
      <c r="BL309" s="9"/>
      <c r="BM309" s="10" t="str">
        <f t="shared" si="213"/>
        <v>Unloading no. 293 Bill No L/PB/26-27/40 ,Deduction For Oil Deduction= 0 ,Bardana= 0 ,F.M=  Brokerage/Rate Difference 0 ,Shortage = 0 ,Greenish=  ,Moisture= 0</v>
      </c>
      <c r="BN309" s="9"/>
      <c r="BO309" s="13" t="str">
        <f t="shared" si="166"/>
        <v xml:space="preserve"> Party Condition 39.65  ,F.M% 0.44 ,Greenish 3.91 ,Moisture 5.5 ,Shortage in KG= 0  ,Oil% 40.04</v>
      </c>
      <c r="BP309" s="4">
        <f t="shared" si="214"/>
        <v>6700.9401709401709</v>
      </c>
      <c r="BX309" s="27">
        <v>40.090000000000003</v>
      </c>
      <c r="BY309" s="27">
        <v>40.04</v>
      </c>
    </row>
    <row r="310" spans="1:77" customFormat="1" ht="15.75" hidden="1" x14ac:dyDescent="0.3">
      <c r="A310" s="174" t="s">
        <v>614</v>
      </c>
      <c r="B310" s="175">
        <v>46132</v>
      </c>
      <c r="C310" s="174">
        <v>294</v>
      </c>
      <c r="D310" s="174" t="s">
        <v>623</v>
      </c>
      <c r="E310" s="175">
        <v>46134</v>
      </c>
      <c r="F310" s="174" t="s">
        <v>101</v>
      </c>
      <c r="G310" s="174" t="s">
        <v>102</v>
      </c>
      <c r="H310" s="174" t="s">
        <v>103</v>
      </c>
      <c r="I310" s="176"/>
      <c r="J310" s="174" t="s">
        <v>113</v>
      </c>
      <c r="K310" s="174">
        <v>0</v>
      </c>
      <c r="L310" s="175">
        <v>46132</v>
      </c>
      <c r="M310" s="176"/>
      <c r="N310" s="174" t="s">
        <v>629</v>
      </c>
      <c r="O310" s="175">
        <v>46133</v>
      </c>
      <c r="P310" s="174">
        <v>0</v>
      </c>
      <c r="Q310" s="174">
        <v>370</v>
      </c>
      <c r="R310" s="174">
        <v>134</v>
      </c>
      <c r="S310" s="174">
        <v>504</v>
      </c>
      <c r="T310" s="174">
        <v>504</v>
      </c>
      <c r="U310" s="174">
        <v>0</v>
      </c>
      <c r="V310" s="174">
        <v>0</v>
      </c>
      <c r="W310" s="174">
        <v>302.39999999999998</v>
      </c>
      <c r="X310" s="174">
        <v>306</v>
      </c>
      <c r="Y310" s="174">
        <v>2054733.41</v>
      </c>
      <c r="Z310" s="176"/>
      <c r="AA310" s="174">
        <v>51368.34</v>
      </c>
      <c r="AB310" s="174">
        <v>51368.34</v>
      </c>
      <c r="AC310" s="174">
        <v>2157470.08</v>
      </c>
      <c r="AD310" s="177">
        <f t="shared" si="194"/>
        <v>2155312.6099200002</v>
      </c>
      <c r="AE310" s="178">
        <v>39.75</v>
      </c>
      <c r="AF310" s="179">
        <v>39.65</v>
      </c>
      <c r="AG310" s="178">
        <v>39.79</v>
      </c>
      <c r="AH310" s="180">
        <v>4.3E-3</v>
      </c>
      <c r="AI310" s="180">
        <v>3.8800000000000001E-2</v>
      </c>
      <c r="AJ310" s="180">
        <v>5.3999999999999999E-2</v>
      </c>
      <c r="AK310" s="181">
        <f t="shared" si="200"/>
        <v>0</v>
      </c>
      <c r="AL310" s="176">
        <v>0</v>
      </c>
      <c r="AM310" s="176"/>
      <c r="AN310" s="182">
        <v>0</v>
      </c>
      <c r="AO310" s="183">
        <f t="shared" si="201"/>
        <v>543.58026719576719</v>
      </c>
      <c r="AP310" s="176"/>
      <c r="AQ310" s="181">
        <v>0</v>
      </c>
      <c r="AR310" s="184">
        <f t="shared" si="202"/>
        <v>543.58026719576719</v>
      </c>
      <c r="AS310" s="184">
        <f t="shared" si="203"/>
        <v>571</v>
      </c>
      <c r="AT310" s="181">
        <v>8</v>
      </c>
      <c r="AU310" s="176"/>
      <c r="AV310" s="176"/>
      <c r="AW310" s="181">
        <f t="shared" si="204"/>
        <v>30239.999999999996</v>
      </c>
      <c r="AX310" s="176"/>
      <c r="AY310" s="181">
        <f t="shared" si="205"/>
        <v>30239.999999999996</v>
      </c>
      <c r="AZ310" s="181">
        <f t="shared" si="206"/>
        <v>30600</v>
      </c>
      <c r="BA310" s="185">
        <f t="shared" si="207"/>
        <v>-360.00000000000364</v>
      </c>
      <c r="BB310" s="181"/>
      <c r="BC310" s="181">
        <v>0</v>
      </c>
      <c r="BD310" s="176"/>
      <c r="BE310" s="174">
        <v>306.2</v>
      </c>
      <c r="BF310" s="177">
        <f t="shared" si="208"/>
        <v>0.45929999999999999</v>
      </c>
      <c r="BG310" s="177">
        <f t="shared" si="209"/>
        <v>305.7407</v>
      </c>
      <c r="BH310" s="177">
        <f t="shared" si="210"/>
        <v>306</v>
      </c>
      <c r="BI310" s="186">
        <f t="shared" si="211"/>
        <v>19.999999999998863</v>
      </c>
      <c r="BJ310" s="186">
        <v>0</v>
      </c>
      <c r="BK310" s="181">
        <f t="shared" si="212"/>
        <v>19.999999999998863</v>
      </c>
      <c r="BL310" s="21"/>
      <c r="BM310" s="22" t="str">
        <f t="shared" si="213"/>
        <v>Unloading no. 294 Bill No L/PB/26-27/37 ,Deduction For Oil Deduction= 0 ,Bardana= 0 ,F.M=  Brokerage/Rate Difference 0 ,Shortage = 543.580267195767 ,Greenish=  ,Moisture= 0</v>
      </c>
      <c r="BN310" s="21"/>
      <c r="BO310" s="13" t="str">
        <f t="shared" si="166"/>
        <v xml:space="preserve"> Party Condition 39.65  ,F.M% 0.43 ,Greenish 3.88 ,Moisture 5.4 ,Shortage in KG= 8  ,Oil% 39.75</v>
      </c>
      <c r="BP310" s="23">
        <f t="shared" si="214"/>
        <v>6713.0386592575296</v>
      </c>
      <c r="BX310" s="27">
        <v>39.75</v>
      </c>
      <c r="BY310" s="27">
        <v>39.79</v>
      </c>
    </row>
    <row r="311" spans="1:77" customFormat="1" ht="15.75" hidden="1" x14ac:dyDescent="0.3">
      <c r="A311" s="128" t="s">
        <v>630</v>
      </c>
      <c r="B311" s="130">
        <v>46133</v>
      </c>
      <c r="C311" s="138">
        <v>295</v>
      </c>
      <c r="D311" s="128" t="s">
        <v>640</v>
      </c>
      <c r="E311" s="130">
        <v>46135</v>
      </c>
      <c r="F311" s="128" t="s">
        <v>95</v>
      </c>
      <c r="G311" s="128" t="s">
        <v>96</v>
      </c>
      <c r="H311" s="128" t="s">
        <v>97</v>
      </c>
      <c r="I311" s="136"/>
      <c r="J311" s="128" t="s">
        <v>113</v>
      </c>
      <c r="K311" s="128">
        <v>0</v>
      </c>
      <c r="L311" s="130">
        <v>46133</v>
      </c>
      <c r="M311" s="136"/>
      <c r="N311" s="128">
        <v>105</v>
      </c>
      <c r="O311" s="130">
        <v>46133</v>
      </c>
      <c r="P311" s="128">
        <v>0</v>
      </c>
      <c r="Q311" s="128">
        <v>450</v>
      </c>
      <c r="R311" s="128">
        <v>43</v>
      </c>
      <c r="S311" s="128">
        <v>493</v>
      </c>
      <c r="T311" s="128">
        <v>493</v>
      </c>
      <c r="U311" s="128">
        <v>0</v>
      </c>
      <c r="V311" s="128">
        <v>0</v>
      </c>
      <c r="W311" s="169">
        <v>295.8</v>
      </c>
      <c r="X311" s="169">
        <v>298.8</v>
      </c>
      <c r="Y311" s="169">
        <v>2022346.15</v>
      </c>
      <c r="Z311" s="165"/>
      <c r="AA311" s="169">
        <v>50558.65</v>
      </c>
      <c r="AB311" s="169">
        <v>50558.65</v>
      </c>
      <c r="AC311" s="169">
        <v>2123463.46</v>
      </c>
      <c r="AD311" s="143">
        <f t="shared" si="194"/>
        <v>2121339.9965399997</v>
      </c>
      <c r="AE311" s="173">
        <v>40.35</v>
      </c>
      <c r="AF311" s="169">
        <v>40.1</v>
      </c>
      <c r="AG311" s="173">
        <v>40.25</v>
      </c>
      <c r="AH311" s="170">
        <v>4.4999999999999997E-3</v>
      </c>
      <c r="AI311" s="170">
        <v>3.9E-2</v>
      </c>
      <c r="AJ311" s="170">
        <v>0.05</v>
      </c>
      <c r="AK311" s="137">
        <f t="shared" ref="AK311:AK326" si="215">+IF(AF311=42,IF(MIN(AE311,AG311)&lt;AF311,Y311*((AF311-MIN(AE311,AG311))/AF311)),IF(MIN(AE311,AG311)&lt;AF311,Y311*((AF311-MIN(AE311,AG311))/AF311),0))</f>
        <v>0</v>
      </c>
      <c r="AL311" s="136">
        <v>0</v>
      </c>
      <c r="AM311" s="136"/>
      <c r="AN311" s="165">
        <v>0</v>
      </c>
      <c r="AO311" s="140">
        <f t="shared" ref="AO311:AO326" si="216">AT311*Y311/AW311</f>
        <v>1572.4801031102095</v>
      </c>
      <c r="AP311" s="136"/>
      <c r="AQ311" s="137">
        <v>0</v>
      </c>
      <c r="AR311" s="155">
        <f t="shared" ref="AR311:AR326" si="217">SUM(AK311:AQ311)</f>
        <v>1572.4801031102095</v>
      </c>
      <c r="AS311" s="155">
        <f t="shared" ref="AS311:AS326" si="218">ROUND(AR311*1.05,0)</f>
        <v>1651</v>
      </c>
      <c r="AT311" s="137">
        <v>23</v>
      </c>
      <c r="AU311" s="136" t="s">
        <v>664</v>
      </c>
      <c r="AV311" s="136"/>
      <c r="AW311" s="137">
        <f t="shared" si="204"/>
        <v>29580</v>
      </c>
      <c r="AX311" s="136"/>
      <c r="AY311" s="137">
        <f t="shared" si="205"/>
        <v>29580</v>
      </c>
      <c r="AZ311" s="137">
        <f t="shared" si="206"/>
        <v>29880</v>
      </c>
      <c r="BA311" s="142">
        <f t="shared" si="207"/>
        <v>-300</v>
      </c>
      <c r="BB311" s="137"/>
      <c r="BC311" s="137">
        <v>0</v>
      </c>
      <c r="BD311" s="136"/>
      <c r="BE311" s="128">
        <v>299.10000000000002</v>
      </c>
      <c r="BF311" s="143">
        <f t="shared" si="208"/>
        <v>0.44864999999999999</v>
      </c>
      <c r="BG311" s="143">
        <f t="shared" si="209"/>
        <v>298.65135000000004</v>
      </c>
      <c r="BH311" s="143">
        <f t="shared" si="210"/>
        <v>298.8</v>
      </c>
      <c r="BI311" s="144">
        <f t="shared" si="211"/>
        <v>30.000000000001137</v>
      </c>
      <c r="BJ311" s="144">
        <v>0</v>
      </c>
      <c r="BK311" s="137">
        <f t="shared" si="212"/>
        <v>30.000000000001137</v>
      </c>
      <c r="BL311" s="9"/>
      <c r="BM311" s="10" t="str">
        <f t="shared" si="213"/>
        <v>Unloading no. 295 Bill No 105 ,Deduction For Oil Deduction= 0 ,Bardana= 0 ,F.M=  Brokerage/Rate Difference 0 ,Shortage = 1572.48010311021 ,Greenish=  ,Moisture= 0</v>
      </c>
      <c r="BN311" s="9"/>
      <c r="BO311" s="13" t="str">
        <f t="shared" si="166"/>
        <v xml:space="preserve"> Party Condition 40.1  ,F.M% 0.45 ,Greenish 3.9 ,Moisture 5 ,Shortage in KG= 23  ,Oil% 40.25</v>
      </c>
      <c r="BP311" s="24">
        <f t="shared" si="214"/>
        <v>6762.9640893470205</v>
      </c>
      <c r="BX311" s="30">
        <v>40.35</v>
      </c>
      <c r="BY311" s="30">
        <v>40.25</v>
      </c>
    </row>
    <row r="312" spans="1:77" customFormat="1" ht="15.75" hidden="1" x14ac:dyDescent="0.3">
      <c r="A312" s="128" t="s">
        <v>631</v>
      </c>
      <c r="B312" s="130">
        <v>46133</v>
      </c>
      <c r="C312" s="138">
        <v>296</v>
      </c>
      <c r="D312" s="128" t="s">
        <v>641</v>
      </c>
      <c r="E312" s="130">
        <v>46135</v>
      </c>
      <c r="F312" s="128" t="s">
        <v>98</v>
      </c>
      <c r="G312" s="128" t="s">
        <v>99</v>
      </c>
      <c r="H312" s="128" t="s">
        <v>100</v>
      </c>
      <c r="I312" s="136"/>
      <c r="J312" s="128" t="s">
        <v>113</v>
      </c>
      <c r="K312" s="128">
        <v>0</v>
      </c>
      <c r="L312" s="130">
        <v>46133</v>
      </c>
      <c r="M312" s="136"/>
      <c r="N312" s="128">
        <v>74</v>
      </c>
      <c r="O312" s="130">
        <v>46133</v>
      </c>
      <c r="P312" s="128">
        <v>0</v>
      </c>
      <c r="Q312" s="128">
        <v>350</v>
      </c>
      <c r="R312" s="128">
        <v>62</v>
      </c>
      <c r="S312" s="128">
        <v>412</v>
      </c>
      <c r="T312" s="128">
        <v>412</v>
      </c>
      <c r="U312" s="128">
        <v>0</v>
      </c>
      <c r="V312" s="128">
        <v>0</v>
      </c>
      <c r="W312" s="169">
        <v>247.2</v>
      </c>
      <c r="X312" s="169">
        <v>249.4</v>
      </c>
      <c r="Y312" s="169">
        <v>1688988.23</v>
      </c>
      <c r="Z312" s="165"/>
      <c r="AA312" s="169">
        <v>42224.71</v>
      </c>
      <c r="AB312" s="169">
        <v>42224.71</v>
      </c>
      <c r="AC312" s="169">
        <v>1773437.64</v>
      </c>
      <c r="AD312" s="143">
        <f t="shared" si="194"/>
        <v>1771664.20236</v>
      </c>
      <c r="AE312" s="173">
        <v>40.44</v>
      </c>
      <c r="AF312" s="169">
        <v>40.03</v>
      </c>
      <c r="AG312" s="173">
        <v>40.67</v>
      </c>
      <c r="AH312" s="170">
        <v>4.7999999999999996E-3</v>
      </c>
      <c r="AI312" s="170">
        <v>3.9E-2</v>
      </c>
      <c r="AJ312" s="170">
        <v>5.0999999999999997E-2</v>
      </c>
      <c r="AK312" s="137">
        <f t="shared" si="215"/>
        <v>0</v>
      </c>
      <c r="AL312" s="136">
        <f>412*0.5</f>
        <v>206</v>
      </c>
      <c r="AM312" s="136"/>
      <c r="AN312" s="165">
        <v>0</v>
      </c>
      <c r="AO312" s="140">
        <f t="shared" si="216"/>
        <v>5534.3060934466021</v>
      </c>
      <c r="AP312" s="136"/>
      <c r="AQ312" s="137">
        <v>0</v>
      </c>
      <c r="AR312" s="155">
        <f t="shared" si="217"/>
        <v>5740.3060934466021</v>
      </c>
      <c r="AS312" s="155">
        <f t="shared" si="218"/>
        <v>6027</v>
      </c>
      <c r="AT312" s="137">
        <v>81</v>
      </c>
      <c r="AU312" s="136"/>
      <c r="AV312" s="136"/>
      <c r="AW312" s="137">
        <f t="shared" si="204"/>
        <v>24720</v>
      </c>
      <c r="AX312" s="136"/>
      <c r="AY312" s="137">
        <f t="shared" si="205"/>
        <v>24720</v>
      </c>
      <c r="AZ312" s="137">
        <f t="shared" si="206"/>
        <v>24940</v>
      </c>
      <c r="BA312" s="142">
        <f t="shared" si="207"/>
        <v>-220</v>
      </c>
      <c r="BB312" s="137"/>
      <c r="BC312" s="137">
        <v>0</v>
      </c>
      <c r="BD312" s="136"/>
      <c r="BE312" s="128">
        <v>250.2</v>
      </c>
      <c r="BF312" s="143">
        <f t="shared" si="208"/>
        <v>0.37529999999999997</v>
      </c>
      <c r="BG312" s="143">
        <f t="shared" si="209"/>
        <v>249.82469999999998</v>
      </c>
      <c r="BH312" s="143">
        <f t="shared" si="210"/>
        <v>249.4</v>
      </c>
      <c r="BI312" s="144">
        <f t="shared" si="211"/>
        <v>79.999999999998295</v>
      </c>
      <c r="BJ312" s="144">
        <v>0</v>
      </c>
      <c r="BK312" s="137">
        <f t="shared" si="212"/>
        <v>79.999999999998295</v>
      </c>
      <c r="BL312" s="9"/>
      <c r="BM312" s="10" t="str">
        <f t="shared" si="213"/>
        <v>Unloading no. 296 Bill No 74 ,Deduction For Oil Deduction= 0 ,Bardana= 206 ,F.M=  Brokerage/Rate Difference 0 ,Shortage = 5534.3060934466 ,Greenish=  ,Moisture= 0</v>
      </c>
      <c r="BN312" s="9"/>
      <c r="BO312" s="13" t="str">
        <f t="shared" si="166"/>
        <v xml:space="preserve"> Party Condition 40.03  ,F.M% 0.48 ,Greenish 3.9 ,Moisture 5.1 ,Shortage in KG= 81  ,Oil% 40.44</v>
      </c>
      <c r="BP312" s="24">
        <f t="shared" si="214"/>
        <v>6749.1897510286817</v>
      </c>
      <c r="BX312" s="30">
        <v>40.44</v>
      </c>
      <c r="BY312" s="30">
        <v>40.67</v>
      </c>
    </row>
    <row r="313" spans="1:77" customFormat="1" ht="15.75" hidden="1" x14ac:dyDescent="0.3">
      <c r="A313" s="128" t="s">
        <v>630</v>
      </c>
      <c r="B313" s="130">
        <v>46133</v>
      </c>
      <c r="C313" s="138">
        <v>297</v>
      </c>
      <c r="D313" s="128" t="s">
        <v>642</v>
      </c>
      <c r="E313" s="130">
        <v>46135</v>
      </c>
      <c r="F313" s="128" t="s">
        <v>95</v>
      </c>
      <c r="G313" s="128" t="s">
        <v>96</v>
      </c>
      <c r="H313" s="128" t="s">
        <v>97</v>
      </c>
      <c r="I313" s="136"/>
      <c r="J313" s="128" t="s">
        <v>113</v>
      </c>
      <c r="K313" s="128">
        <v>0</v>
      </c>
      <c r="L313" s="130">
        <v>46133</v>
      </c>
      <c r="M313" s="136"/>
      <c r="N313" s="128">
        <v>106</v>
      </c>
      <c r="O313" s="130">
        <v>46133</v>
      </c>
      <c r="P313" s="128">
        <v>0</v>
      </c>
      <c r="Q313" s="128">
        <v>550</v>
      </c>
      <c r="R313" s="128">
        <v>71</v>
      </c>
      <c r="S313" s="128">
        <v>621</v>
      </c>
      <c r="T313" s="128">
        <v>621</v>
      </c>
      <c r="U313" s="128">
        <v>0</v>
      </c>
      <c r="V313" s="128">
        <v>0</v>
      </c>
      <c r="W313" s="169">
        <v>372.6</v>
      </c>
      <c r="X313" s="169">
        <v>377</v>
      </c>
      <c r="Y313" s="169">
        <v>2547414.04</v>
      </c>
      <c r="Z313" s="165"/>
      <c r="AA313" s="169">
        <v>63685.35</v>
      </c>
      <c r="AB313" s="169">
        <v>63685.35</v>
      </c>
      <c r="AC313" s="169">
        <v>2674784.7400000002</v>
      </c>
      <c r="AD313" s="143">
        <f t="shared" si="194"/>
        <v>2672109.9552600002</v>
      </c>
      <c r="AE313" s="173">
        <v>40.24</v>
      </c>
      <c r="AF313" s="169">
        <v>40.1</v>
      </c>
      <c r="AG313" s="173">
        <v>40.14</v>
      </c>
      <c r="AH313" s="170">
        <v>4.4000000000000003E-3</v>
      </c>
      <c r="AI313" s="170">
        <v>0.04</v>
      </c>
      <c r="AJ313" s="170">
        <v>5.2999999999999999E-2</v>
      </c>
      <c r="AK313" s="137">
        <f t="shared" si="215"/>
        <v>0</v>
      </c>
      <c r="AL313" s="136">
        <v>0</v>
      </c>
      <c r="AM313" s="136"/>
      <c r="AN313" s="165">
        <v>0</v>
      </c>
      <c r="AO313" s="140">
        <f t="shared" si="216"/>
        <v>0</v>
      </c>
      <c r="AP313" s="136"/>
      <c r="AQ313" s="137">
        <v>0</v>
      </c>
      <c r="AR313" s="155">
        <f t="shared" si="217"/>
        <v>0</v>
      </c>
      <c r="AS313" s="155">
        <f t="shared" si="218"/>
        <v>0</v>
      </c>
      <c r="AT313" s="137">
        <v>0</v>
      </c>
      <c r="AU313" s="136" t="s">
        <v>664</v>
      </c>
      <c r="AV313" s="136"/>
      <c r="AW313" s="137">
        <f t="shared" si="204"/>
        <v>37260</v>
      </c>
      <c r="AX313" s="136"/>
      <c r="AY313" s="137">
        <f t="shared" si="205"/>
        <v>37260</v>
      </c>
      <c r="AZ313" s="137">
        <f t="shared" si="206"/>
        <v>37700</v>
      </c>
      <c r="BA313" s="142">
        <f t="shared" si="207"/>
        <v>-440</v>
      </c>
      <c r="BB313" s="137"/>
      <c r="BC313" s="137">
        <v>0</v>
      </c>
      <c r="BD313" s="136"/>
      <c r="BE313" s="128">
        <v>376.8</v>
      </c>
      <c r="BF313" s="143">
        <f t="shared" si="208"/>
        <v>0.56520000000000004</v>
      </c>
      <c r="BG313" s="143">
        <f t="shared" si="209"/>
        <v>376.23480000000001</v>
      </c>
      <c r="BH313" s="143">
        <f t="shared" si="210"/>
        <v>377</v>
      </c>
      <c r="BI313" s="144">
        <f t="shared" si="211"/>
        <v>-19.999999999998863</v>
      </c>
      <c r="BJ313" s="144">
        <v>0</v>
      </c>
      <c r="BK313" s="137">
        <f t="shared" si="212"/>
        <v>-19.999999999998863</v>
      </c>
      <c r="BL313" s="9"/>
      <c r="BM313" s="10" t="str">
        <f t="shared" si="213"/>
        <v>Unloading no. 297 Bill No 106 ,Deduction For Oil Deduction= 0 ,Bardana= 0 ,F.M=  Brokerage/Rate Difference 0 ,Shortage = 0 ,Greenish=  ,Moisture= 0</v>
      </c>
      <c r="BN313" s="9"/>
      <c r="BO313" s="13" t="str">
        <f t="shared" si="166"/>
        <v xml:space="preserve"> Party Condition 40.1  ,F.M% 0.44 ,Greenish 4 ,Moisture 5.3 ,Shortage in KG= 0  ,Oil% 40.14</v>
      </c>
      <c r="BP313" s="24">
        <f t="shared" si="214"/>
        <v>6757.0664190981433</v>
      </c>
      <c r="BX313" s="30">
        <v>40.24</v>
      </c>
      <c r="BY313" s="30">
        <v>40.14</v>
      </c>
    </row>
    <row r="314" spans="1:77" customFormat="1" ht="15.75" hidden="1" x14ac:dyDescent="0.3">
      <c r="A314" s="128" t="s">
        <v>614</v>
      </c>
      <c r="B314" s="130">
        <v>46132</v>
      </c>
      <c r="C314" s="138">
        <v>298</v>
      </c>
      <c r="D314" s="128" t="s">
        <v>643</v>
      </c>
      <c r="E314" s="130">
        <v>46135</v>
      </c>
      <c r="F314" s="128" t="s">
        <v>101</v>
      </c>
      <c r="G314" s="128" t="s">
        <v>102</v>
      </c>
      <c r="H314" s="128" t="s">
        <v>103</v>
      </c>
      <c r="I314" s="136"/>
      <c r="J314" s="128" t="s">
        <v>113</v>
      </c>
      <c r="K314" s="128">
        <v>0</v>
      </c>
      <c r="L314" s="130">
        <v>46132</v>
      </c>
      <c r="M314" s="136"/>
      <c r="N314" s="128" t="s">
        <v>654</v>
      </c>
      <c r="O314" s="130">
        <v>46133</v>
      </c>
      <c r="P314" s="128">
        <v>0</v>
      </c>
      <c r="Q314" s="128">
        <v>590</v>
      </c>
      <c r="R314" s="128">
        <v>0</v>
      </c>
      <c r="S314" s="128">
        <v>590</v>
      </c>
      <c r="T314" s="128">
        <v>590</v>
      </c>
      <c r="U314" s="128">
        <v>0</v>
      </c>
      <c r="V314" s="128">
        <v>0</v>
      </c>
      <c r="W314" s="169">
        <v>354</v>
      </c>
      <c r="X314" s="169">
        <v>359.2</v>
      </c>
      <c r="Y314" s="169">
        <v>2405342.6800000002</v>
      </c>
      <c r="Z314" s="165"/>
      <c r="AA314" s="169">
        <v>60133.57</v>
      </c>
      <c r="AB314" s="169">
        <v>60133.57</v>
      </c>
      <c r="AC314" s="169">
        <v>2525609.81</v>
      </c>
      <c r="AD314" s="143">
        <f t="shared" si="194"/>
        <v>2523084.2001900002</v>
      </c>
      <c r="AE314" s="173">
        <v>39.700000000000003</v>
      </c>
      <c r="AF314" s="169">
        <v>39.65</v>
      </c>
      <c r="AG314" s="173">
        <v>39.68</v>
      </c>
      <c r="AH314" s="170">
        <v>4.1000000000000003E-3</v>
      </c>
      <c r="AI314" s="170">
        <v>3.9E-2</v>
      </c>
      <c r="AJ314" s="170">
        <v>5.3999999999999999E-2</v>
      </c>
      <c r="AK314" s="137">
        <f t="shared" si="215"/>
        <v>0</v>
      </c>
      <c r="AL314" s="136">
        <v>0</v>
      </c>
      <c r="AM314" s="136"/>
      <c r="AN314" s="165">
        <v>0</v>
      </c>
      <c r="AO314" s="140">
        <f t="shared" si="216"/>
        <v>0</v>
      </c>
      <c r="AP314" s="136"/>
      <c r="AQ314" s="137">
        <v>0</v>
      </c>
      <c r="AR314" s="155">
        <f t="shared" si="217"/>
        <v>0</v>
      </c>
      <c r="AS314" s="155">
        <f t="shared" si="218"/>
        <v>0</v>
      </c>
      <c r="AT314" s="137">
        <v>0</v>
      </c>
      <c r="AU314" s="136"/>
      <c r="AV314" s="136"/>
      <c r="AW314" s="137">
        <f t="shared" si="204"/>
        <v>35400</v>
      </c>
      <c r="AX314" s="136"/>
      <c r="AY314" s="137">
        <f t="shared" si="205"/>
        <v>35400</v>
      </c>
      <c r="AZ314" s="137">
        <f t="shared" si="206"/>
        <v>35920</v>
      </c>
      <c r="BA314" s="142">
        <f t="shared" si="207"/>
        <v>-520</v>
      </c>
      <c r="BB314" s="137"/>
      <c r="BC314" s="137">
        <v>0</v>
      </c>
      <c r="BD314" s="136"/>
      <c r="BE314" s="128">
        <v>359.2</v>
      </c>
      <c r="BF314" s="143">
        <f t="shared" si="208"/>
        <v>0.53879999999999995</v>
      </c>
      <c r="BG314" s="143">
        <f t="shared" si="209"/>
        <v>358.66120000000001</v>
      </c>
      <c r="BH314" s="143">
        <f t="shared" si="210"/>
        <v>359.2</v>
      </c>
      <c r="BI314" s="144">
        <f t="shared" si="211"/>
        <v>0</v>
      </c>
      <c r="BJ314" s="144">
        <v>0</v>
      </c>
      <c r="BK314" s="137">
        <f t="shared" si="212"/>
        <v>0</v>
      </c>
      <c r="BL314" s="9"/>
      <c r="BM314" s="10" t="str">
        <f t="shared" si="213"/>
        <v>Unloading no. 298 Bill No L/PB/26-27/41 ,Deduction For Oil Deduction= 0 ,Bardana= 0 ,F.M=  Brokerage/Rate Difference 0 ,Shortage = 0 ,Greenish=  ,Moisture= 0</v>
      </c>
      <c r="BN314" s="9"/>
      <c r="BO314" s="13" t="str">
        <f t="shared" si="166"/>
        <v xml:space="preserve"> Party Condition 39.65  ,F.M% 0.41 ,Greenish 3.9 ,Moisture 5.4 ,Shortage in KG= 0  ,Oil% 39.68</v>
      </c>
      <c r="BP314" s="24">
        <f t="shared" si="214"/>
        <v>6696.3883073496663</v>
      </c>
      <c r="BX314" s="30">
        <v>39.700000000000003</v>
      </c>
      <c r="BY314" s="30">
        <v>39.68</v>
      </c>
    </row>
    <row r="315" spans="1:77" customFormat="1" ht="15.75" hidden="1" x14ac:dyDescent="0.3">
      <c r="A315" s="128" t="s">
        <v>632</v>
      </c>
      <c r="B315" s="130">
        <v>46132</v>
      </c>
      <c r="C315" s="138">
        <v>299</v>
      </c>
      <c r="D315" s="128" t="s">
        <v>665</v>
      </c>
      <c r="E315" s="130">
        <v>46135</v>
      </c>
      <c r="F315" s="128" t="s">
        <v>467</v>
      </c>
      <c r="G315" s="128" t="s">
        <v>468</v>
      </c>
      <c r="H315" s="128" t="s">
        <v>506</v>
      </c>
      <c r="I315" s="136"/>
      <c r="J315" s="128" t="s">
        <v>113</v>
      </c>
      <c r="K315" s="128">
        <v>0</v>
      </c>
      <c r="L315" s="130">
        <v>46132</v>
      </c>
      <c r="M315" s="136"/>
      <c r="N315" s="128" t="s">
        <v>655</v>
      </c>
      <c r="O315" s="130">
        <v>46133</v>
      </c>
      <c r="P315" s="128">
        <v>0</v>
      </c>
      <c r="Q315" s="128">
        <v>190</v>
      </c>
      <c r="R315" s="128">
        <v>73</v>
      </c>
      <c r="S315" s="128">
        <v>263</v>
      </c>
      <c r="T315" s="128">
        <v>263</v>
      </c>
      <c r="U315" s="128">
        <v>0</v>
      </c>
      <c r="V315" s="128">
        <v>0</v>
      </c>
      <c r="W315" s="169">
        <v>157.80000000000001</v>
      </c>
      <c r="X315" s="169">
        <v>159.80000000000001</v>
      </c>
      <c r="Y315" s="169">
        <v>1054717</v>
      </c>
      <c r="Z315" s="165"/>
      <c r="AA315" s="169">
        <v>26367.93</v>
      </c>
      <c r="AB315" s="169">
        <v>26367.93</v>
      </c>
      <c r="AC315" s="169">
        <v>1107452.8500000001</v>
      </c>
      <c r="AD315" s="143">
        <f t="shared" si="194"/>
        <v>1106345.3971500001</v>
      </c>
      <c r="AE315" s="173">
        <v>39.15</v>
      </c>
      <c r="AF315" s="169">
        <v>38.700000000000003</v>
      </c>
      <c r="AG315" s="173">
        <v>39.020000000000003</v>
      </c>
      <c r="AH315" s="170">
        <v>4.7000000000000002E-3</v>
      </c>
      <c r="AI315" s="170">
        <v>3.7999999999999999E-2</v>
      </c>
      <c r="AJ315" s="170">
        <v>4.8000000000000001E-2</v>
      </c>
      <c r="AK315" s="137">
        <f t="shared" si="215"/>
        <v>0</v>
      </c>
      <c r="AL315" s="136">
        <v>0</v>
      </c>
      <c r="AM315" s="136"/>
      <c r="AN315" s="165">
        <v>0</v>
      </c>
      <c r="AO315" s="140">
        <f t="shared" si="216"/>
        <v>0</v>
      </c>
      <c r="AP315" s="136"/>
      <c r="AQ315" s="137">
        <v>0</v>
      </c>
      <c r="AR315" s="155">
        <f t="shared" si="217"/>
        <v>0</v>
      </c>
      <c r="AS315" s="155">
        <f t="shared" si="218"/>
        <v>0</v>
      </c>
      <c r="AT315" s="137">
        <v>0</v>
      </c>
      <c r="AU315" s="136"/>
      <c r="AV315" s="136"/>
      <c r="AW315" s="137">
        <f t="shared" si="204"/>
        <v>15780.000000000002</v>
      </c>
      <c r="AX315" s="136"/>
      <c r="AY315" s="137">
        <f t="shared" si="205"/>
        <v>15780.000000000002</v>
      </c>
      <c r="AZ315" s="137">
        <f t="shared" si="206"/>
        <v>15980.000000000002</v>
      </c>
      <c r="BA315" s="142">
        <f t="shared" si="207"/>
        <v>-200</v>
      </c>
      <c r="BB315" s="137"/>
      <c r="BC315" s="137">
        <v>0</v>
      </c>
      <c r="BD315" s="136"/>
      <c r="BE315" s="128">
        <v>160.05000000000001</v>
      </c>
      <c r="BF315" s="143">
        <f t="shared" si="208"/>
        <v>0.24007500000000001</v>
      </c>
      <c r="BG315" s="143">
        <f t="shared" si="209"/>
        <v>159.80992500000002</v>
      </c>
      <c r="BH315" s="143">
        <f t="shared" si="210"/>
        <v>159.80000000000001</v>
      </c>
      <c r="BI315" s="144">
        <f t="shared" si="211"/>
        <v>25</v>
      </c>
      <c r="BJ315" s="144">
        <v>0</v>
      </c>
      <c r="BK315" s="137">
        <f t="shared" si="212"/>
        <v>25</v>
      </c>
      <c r="BL315" s="9"/>
      <c r="BM315" s="10" t="str">
        <f t="shared" si="213"/>
        <v>Unloading no. 299 Bill No GDS/26-27/126 ,Deduction For Oil Deduction= 0 ,Bardana= 0 ,F.M=  Brokerage/Rate Difference 0 ,Shortage = 0 ,Greenish=  ,Moisture= 0</v>
      </c>
      <c r="BN315" s="9"/>
      <c r="BO315" s="13" t="str">
        <f t="shared" si="166"/>
        <v xml:space="preserve"> Party Condition 38.7  ,F.M% 0.47 ,Greenish 3.8 ,Moisture 4.8 ,Shortage in KG= 0  ,Oil% 39.02</v>
      </c>
      <c r="BP315" s="24">
        <f t="shared" si="214"/>
        <v>6600.2315394242796</v>
      </c>
      <c r="BX315" s="30">
        <v>39.15</v>
      </c>
      <c r="BY315" s="30">
        <v>39.020000000000003</v>
      </c>
    </row>
    <row r="316" spans="1:77" customFormat="1" ht="15.75" hidden="1" x14ac:dyDescent="0.3">
      <c r="A316" s="128" t="s">
        <v>633</v>
      </c>
      <c r="B316" s="130">
        <v>46132</v>
      </c>
      <c r="C316" s="138">
        <v>300</v>
      </c>
      <c r="D316" s="128" t="s">
        <v>645</v>
      </c>
      <c r="E316" s="130">
        <v>46135</v>
      </c>
      <c r="F316" s="128" t="s">
        <v>104</v>
      </c>
      <c r="G316" s="128" t="s">
        <v>105</v>
      </c>
      <c r="H316" s="128" t="s">
        <v>106</v>
      </c>
      <c r="I316" s="136"/>
      <c r="J316" s="128" t="s">
        <v>113</v>
      </c>
      <c r="K316" s="128">
        <v>0</v>
      </c>
      <c r="L316" s="130">
        <v>46132</v>
      </c>
      <c r="M316" s="136"/>
      <c r="N316" s="128" t="s">
        <v>656</v>
      </c>
      <c r="O316" s="130">
        <v>46133</v>
      </c>
      <c r="P316" s="128">
        <v>0</v>
      </c>
      <c r="Q316" s="128">
        <v>340</v>
      </c>
      <c r="R316" s="128">
        <v>75</v>
      </c>
      <c r="S316" s="128">
        <v>415</v>
      </c>
      <c r="T316" s="128">
        <v>415</v>
      </c>
      <c r="U316" s="128">
        <v>0</v>
      </c>
      <c r="V316" s="128">
        <v>0</v>
      </c>
      <c r="W316" s="169">
        <v>207.5</v>
      </c>
      <c r="X316" s="169">
        <v>211.3</v>
      </c>
      <c r="Y316" s="169">
        <v>1414471.48</v>
      </c>
      <c r="Z316" s="165"/>
      <c r="AA316" s="169">
        <v>35361.79</v>
      </c>
      <c r="AB316" s="169">
        <v>35361.79</v>
      </c>
      <c r="AC316" s="169">
        <v>1485195.05</v>
      </c>
      <c r="AD316" s="143">
        <f t="shared" si="194"/>
        <v>1483709.8549500001</v>
      </c>
      <c r="AE316" s="173">
        <v>40.06</v>
      </c>
      <c r="AF316" s="169">
        <v>39.700000000000003</v>
      </c>
      <c r="AG316" s="173">
        <v>40.01</v>
      </c>
      <c r="AH316" s="170">
        <v>4.5999999999999999E-3</v>
      </c>
      <c r="AI316" s="170">
        <v>3.8800000000000001E-2</v>
      </c>
      <c r="AJ316" s="170">
        <v>0.05</v>
      </c>
      <c r="AK316" s="137">
        <f t="shared" si="215"/>
        <v>0</v>
      </c>
      <c r="AL316" s="136">
        <v>0</v>
      </c>
      <c r="AM316" s="136"/>
      <c r="AN316" s="165">
        <v>0</v>
      </c>
      <c r="AO316" s="140">
        <f t="shared" si="216"/>
        <v>0</v>
      </c>
      <c r="AP316" s="136"/>
      <c r="AQ316" s="137">
        <v>0</v>
      </c>
      <c r="AR316" s="155">
        <f t="shared" si="217"/>
        <v>0</v>
      </c>
      <c r="AS316" s="155">
        <f t="shared" si="218"/>
        <v>0</v>
      </c>
      <c r="AT316" s="137">
        <v>0</v>
      </c>
      <c r="AU316" s="136" t="s">
        <v>666</v>
      </c>
      <c r="AV316" s="136"/>
      <c r="AW316" s="137">
        <f t="shared" si="204"/>
        <v>20750</v>
      </c>
      <c r="AX316" s="136"/>
      <c r="AY316" s="137">
        <f t="shared" si="205"/>
        <v>20750</v>
      </c>
      <c r="AZ316" s="137">
        <f t="shared" si="206"/>
        <v>21130</v>
      </c>
      <c r="BA316" s="142">
        <f t="shared" si="207"/>
        <v>-380</v>
      </c>
      <c r="BB316" s="137"/>
      <c r="BC316" s="137">
        <v>0</v>
      </c>
      <c r="BD316" s="136"/>
      <c r="BE316" s="128">
        <v>211.3</v>
      </c>
      <c r="BF316" s="143">
        <f t="shared" si="208"/>
        <v>0.31695000000000001</v>
      </c>
      <c r="BG316" s="143">
        <f t="shared" si="209"/>
        <v>210.98305000000002</v>
      </c>
      <c r="BH316" s="143">
        <f t="shared" si="210"/>
        <v>211.3</v>
      </c>
      <c r="BI316" s="144">
        <f t="shared" si="211"/>
        <v>0</v>
      </c>
      <c r="BJ316" s="144">
        <v>0</v>
      </c>
      <c r="BK316" s="137">
        <f t="shared" si="212"/>
        <v>0</v>
      </c>
      <c r="BL316" s="9"/>
      <c r="BM316" s="10" t="str">
        <f t="shared" si="213"/>
        <v>Unloading no. 300 Bill No MTC/2026-27/090 ,Deduction For Oil Deduction= 0 ,Bardana= 0 ,F.M=  Brokerage/Rate Difference 0 ,Shortage = 0 ,Greenish=  ,Moisture= 0</v>
      </c>
      <c r="BN316" s="9"/>
      <c r="BO316" s="13" t="str">
        <f t="shared" si="166"/>
        <v xml:space="preserve"> Party Condition 39.7  ,F.M% 0.46 ,Greenish 3.88 ,Moisture 5 ,Shortage in KG= 0  ,Oil% 40.01</v>
      </c>
      <c r="BP316" s="24">
        <f t="shared" si="214"/>
        <v>6694.1385707524842</v>
      </c>
      <c r="BX316" s="30">
        <v>40.06</v>
      </c>
      <c r="BY316" s="30">
        <v>40.01</v>
      </c>
    </row>
    <row r="317" spans="1:77" customFormat="1" ht="15.75" hidden="1" x14ac:dyDescent="0.3">
      <c r="A317" s="163" t="s">
        <v>634</v>
      </c>
      <c r="B317" s="166">
        <v>46132</v>
      </c>
      <c r="C317" s="187">
        <v>301</v>
      </c>
      <c r="D317" s="163" t="s">
        <v>646</v>
      </c>
      <c r="E317" s="166">
        <v>46135</v>
      </c>
      <c r="F317" s="163" t="s">
        <v>436</v>
      </c>
      <c r="G317" s="163" t="s">
        <v>437</v>
      </c>
      <c r="H317" s="163" t="s">
        <v>438</v>
      </c>
      <c r="I317" s="157"/>
      <c r="J317" s="163" t="s">
        <v>113</v>
      </c>
      <c r="K317" s="163">
        <v>0</v>
      </c>
      <c r="L317" s="166">
        <v>46132</v>
      </c>
      <c r="M317" s="157"/>
      <c r="N317" s="163">
        <v>54</v>
      </c>
      <c r="O317" s="166">
        <v>46133</v>
      </c>
      <c r="P317" s="163">
        <v>0</v>
      </c>
      <c r="Q317" s="163">
        <v>450</v>
      </c>
      <c r="R317" s="163">
        <v>55</v>
      </c>
      <c r="S317" s="163">
        <v>505</v>
      </c>
      <c r="T317" s="163">
        <v>505</v>
      </c>
      <c r="U317" s="163">
        <v>0</v>
      </c>
      <c r="V317" s="163">
        <v>0</v>
      </c>
      <c r="W317" s="169">
        <v>303</v>
      </c>
      <c r="X317" s="169">
        <v>307.39999999999998</v>
      </c>
      <c r="Y317" s="169">
        <v>2064137</v>
      </c>
      <c r="Z317" s="165"/>
      <c r="AA317" s="169">
        <v>51603.43</v>
      </c>
      <c r="AB317" s="169">
        <v>51603.43</v>
      </c>
      <c r="AC317" s="169">
        <v>2167343.85</v>
      </c>
      <c r="AD317" s="143">
        <f t="shared" si="194"/>
        <v>2165176.5061500003</v>
      </c>
      <c r="AE317" s="173">
        <v>40.659999999999997</v>
      </c>
      <c r="AF317" s="169">
        <v>39.75</v>
      </c>
      <c r="AG317" s="173">
        <v>40.58</v>
      </c>
      <c r="AH317" s="170">
        <v>4.1000000000000003E-3</v>
      </c>
      <c r="AI317" s="170">
        <v>3.6999999999999998E-2</v>
      </c>
      <c r="AJ317" s="170">
        <v>0.05</v>
      </c>
      <c r="AK317" s="137">
        <f t="shared" si="215"/>
        <v>0</v>
      </c>
      <c r="AL317" s="136">
        <v>0</v>
      </c>
      <c r="AM317" s="136"/>
      <c r="AN317" s="165">
        <v>0</v>
      </c>
      <c r="AO317" s="140">
        <f t="shared" si="216"/>
        <v>0</v>
      </c>
      <c r="AP317" s="136"/>
      <c r="AQ317" s="137">
        <v>0</v>
      </c>
      <c r="AR317" s="155">
        <f t="shared" si="217"/>
        <v>0</v>
      </c>
      <c r="AS317" s="155">
        <f t="shared" si="218"/>
        <v>0</v>
      </c>
      <c r="AT317" s="137">
        <v>0</v>
      </c>
      <c r="AU317" s="136"/>
      <c r="AV317" s="136"/>
      <c r="AW317" s="137">
        <f t="shared" si="204"/>
        <v>30300</v>
      </c>
      <c r="AX317" s="136"/>
      <c r="AY317" s="137">
        <f t="shared" si="205"/>
        <v>30300</v>
      </c>
      <c r="AZ317" s="137">
        <f t="shared" si="206"/>
        <v>30739.999999999996</v>
      </c>
      <c r="BA317" s="142">
        <f t="shared" si="207"/>
        <v>-439.99999999999636</v>
      </c>
      <c r="BB317" s="137"/>
      <c r="BC317" s="137">
        <v>0</v>
      </c>
      <c r="BD317" s="136"/>
      <c r="BE317" s="128">
        <v>307.55</v>
      </c>
      <c r="BF317" s="143">
        <f t="shared" si="208"/>
        <v>0.46132499999999999</v>
      </c>
      <c r="BG317" s="143">
        <f t="shared" si="209"/>
        <v>307.08867500000002</v>
      </c>
      <c r="BH317" s="143">
        <f t="shared" si="210"/>
        <v>307.39999999999998</v>
      </c>
      <c r="BI317" s="144">
        <f t="shared" si="211"/>
        <v>15.000000000003411</v>
      </c>
      <c r="BJ317" s="144">
        <v>0</v>
      </c>
      <c r="BK317" s="137">
        <f t="shared" si="212"/>
        <v>15.000000000003411</v>
      </c>
      <c r="BL317" s="9"/>
      <c r="BM317" s="10" t="str">
        <f t="shared" si="213"/>
        <v>Unloading no. 301 Bill No 54 ,Deduction For Oil Deduction= 0 ,Bardana= 0 ,F.M=  Brokerage/Rate Difference 0 ,Shortage = 0 ,Greenish=  ,Moisture= 0</v>
      </c>
      <c r="BN317" s="9"/>
      <c r="BO317" s="13" t="str">
        <f t="shared" si="166"/>
        <v xml:space="preserve"> Party Condition 39.75  ,F.M% 0.41 ,Greenish 3.7 ,Moisture 5 ,Shortage in KG= 0  ,Oil% 40.58</v>
      </c>
      <c r="BP317" s="24">
        <f t="shared" si="214"/>
        <v>6714.8243331164613</v>
      </c>
      <c r="BX317" s="30">
        <v>40.659999999999997</v>
      </c>
      <c r="BY317" s="30">
        <v>40.58</v>
      </c>
    </row>
    <row r="318" spans="1:77" customFormat="1" ht="15.75" hidden="1" x14ac:dyDescent="0.3">
      <c r="A318" s="163" t="s">
        <v>635</v>
      </c>
      <c r="B318" s="166">
        <v>46133</v>
      </c>
      <c r="C318" s="187">
        <v>302</v>
      </c>
      <c r="D318" s="163" t="s">
        <v>647</v>
      </c>
      <c r="E318" s="166">
        <v>46135</v>
      </c>
      <c r="F318" s="163" t="s">
        <v>110</v>
      </c>
      <c r="G318" s="163" t="s">
        <v>111</v>
      </c>
      <c r="H318" s="163" t="s">
        <v>112</v>
      </c>
      <c r="I318" s="157"/>
      <c r="J318" s="163" t="s">
        <v>113</v>
      </c>
      <c r="K318" s="163">
        <v>0</v>
      </c>
      <c r="L318" s="166">
        <v>46133</v>
      </c>
      <c r="M318" s="157"/>
      <c r="N318" s="163" t="s">
        <v>657</v>
      </c>
      <c r="O318" s="166">
        <v>46133</v>
      </c>
      <c r="P318" s="163">
        <v>0</v>
      </c>
      <c r="Q318" s="163">
        <v>400</v>
      </c>
      <c r="R318" s="163">
        <v>61</v>
      </c>
      <c r="S318" s="163">
        <v>461</v>
      </c>
      <c r="T318" s="163">
        <v>461</v>
      </c>
      <c r="U318" s="163">
        <v>0</v>
      </c>
      <c r="V318" s="163">
        <v>0</v>
      </c>
      <c r="W318" s="169">
        <v>276.60000000000002</v>
      </c>
      <c r="X318" s="169">
        <v>280.39999999999998</v>
      </c>
      <c r="Y318" s="169">
        <v>1879312.6</v>
      </c>
      <c r="Z318" s="165"/>
      <c r="AA318" s="169">
        <v>46982.82</v>
      </c>
      <c r="AB318" s="169">
        <v>46982.82</v>
      </c>
      <c r="AC318" s="169">
        <v>1973278.23</v>
      </c>
      <c r="AD318" s="143">
        <f t="shared" si="194"/>
        <v>1971304.9517699999</v>
      </c>
      <c r="AE318" s="173">
        <v>40.700000000000003</v>
      </c>
      <c r="AF318" s="169">
        <v>39.81</v>
      </c>
      <c r="AG318" s="173">
        <v>40.6</v>
      </c>
      <c r="AH318" s="170">
        <v>4.1999999999999997E-3</v>
      </c>
      <c r="AI318" s="170">
        <v>3.95E-2</v>
      </c>
      <c r="AJ318" s="170">
        <v>5.0999999999999997E-2</v>
      </c>
      <c r="AK318" s="137">
        <f t="shared" si="215"/>
        <v>0</v>
      </c>
      <c r="AL318" s="136">
        <f>461*5</f>
        <v>2305</v>
      </c>
      <c r="AM318" s="136"/>
      <c r="AN318" s="165">
        <v>0</v>
      </c>
      <c r="AO318" s="140">
        <f t="shared" si="216"/>
        <v>0</v>
      </c>
      <c r="AP318" s="136"/>
      <c r="AQ318" s="137">
        <v>0</v>
      </c>
      <c r="AR318" s="155">
        <f t="shared" si="217"/>
        <v>2305</v>
      </c>
      <c r="AS318" s="155">
        <f t="shared" si="218"/>
        <v>2420</v>
      </c>
      <c r="AT318" s="137">
        <v>0</v>
      </c>
      <c r="AU318" s="136"/>
      <c r="AV318" s="136"/>
      <c r="AW318" s="137">
        <f t="shared" si="204"/>
        <v>27660.000000000004</v>
      </c>
      <c r="AX318" s="136"/>
      <c r="AY318" s="137">
        <f t="shared" si="205"/>
        <v>27660.000000000004</v>
      </c>
      <c r="AZ318" s="137">
        <f t="shared" si="206"/>
        <v>28039.999999999996</v>
      </c>
      <c r="BA318" s="142">
        <f t="shared" si="207"/>
        <v>-379.99999999999272</v>
      </c>
      <c r="BB318" s="137"/>
      <c r="BC318" s="137">
        <v>0</v>
      </c>
      <c r="BD318" s="136"/>
      <c r="BE318" s="128">
        <v>280.95</v>
      </c>
      <c r="BF318" s="143">
        <f t="shared" si="208"/>
        <v>0.42142499999999999</v>
      </c>
      <c r="BG318" s="143">
        <f t="shared" si="209"/>
        <v>280.52857499999999</v>
      </c>
      <c r="BH318" s="143">
        <f t="shared" si="210"/>
        <v>280.39999999999998</v>
      </c>
      <c r="BI318" s="144">
        <f t="shared" si="211"/>
        <v>55.000000000001137</v>
      </c>
      <c r="BJ318" s="144">
        <v>0</v>
      </c>
      <c r="BK318" s="137">
        <f t="shared" si="212"/>
        <v>55.000000000001137</v>
      </c>
      <c r="BL318" s="9"/>
      <c r="BM318" s="10" t="str">
        <f t="shared" si="213"/>
        <v>Unloading no. 302 Bill No G1663 ,Deduction For Oil Deduction= 0 ,Bardana= 2305 ,F.M=  Brokerage/Rate Difference 0 ,Shortage = 0 ,Greenish=  ,Moisture= 0</v>
      </c>
      <c r="BN318" s="9"/>
      <c r="BO318" s="13" t="str">
        <f t="shared" si="166"/>
        <v xml:space="preserve"> Party Condition 39.81  ,F.M% 0.42 ,Greenish 3.95 ,Moisture 5.1 ,Shortage in KG= 0  ,Oil% 40.6</v>
      </c>
      <c r="BP318" s="24">
        <f t="shared" si="214"/>
        <v>6694.0356633380898</v>
      </c>
      <c r="BX318" s="30">
        <v>40.700000000000003</v>
      </c>
      <c r="BY318" s="30">
        <v>40.6</v>
      </c>
    </row>
    <row r="319" spans="1:77" customFormat="1" ht="15.75" hidden="1" x14ac:dyDescent="0.3">
      <c r="A319" s="163" t="s">
        <v>611</v>
      </c>
      <c r="B319" s="166">
        <v>46132</v>
      </c>
      <c r="C319" s="187">
        <v>303</v>
      </c>
      <c r="D319" s="163" t="s">
        <v>644</v>
      </c>
      <c r="E319" s="166">
        <v>46135</v>
      </c>
      <c r="F319" s="163" t="s">
        <v>95</v>
      </c>
      <c r="G319" s="163" t="s">
        <v>96</v>
      </c>
      <c r="H319" s="163" t="s">
        <v>97</v>
      </c>
      <c r="I319" s="157"/>
      <c r="J319" s="163" t="s">
        <v>113</v>
      </c>
      <c r="K319" s="163">
        <v>0</v>
      </c>
      <c r="L319" s="166">
        <v>46132</v>
      </c>
      <c r="M319" s="157"/>
      <c r="N319" s="163">
        <v>104</v>
      </c>
      <c r="O319" s="166">
        <v>46133</v>
      </c>
      <c r="P319" s="163">
        <v>0</v>
      </c>
      <c r="Q319" s="163">
        <v>490</v>
      </c>
      <c r="R319" s="163">
        <v>163</v>
      </c>
      <c r="S319" s="163">
        <v>653</v>
      </c>
      <c r="T319" s="163">
        <v>653</v>
      </c>
      <c r="U319" s="163">
        <v>0</v>
      </c>
      <c r="V319" s="163">
        <v>0</v>
      </c>
      <c r="W319" s="169">
        <v>391.8</v>
      </c>
      <c r="X319" s="169">
        <v>396.2</v>
      </c>
      <c r="Y319" s="169">
        <v>2643803.71</v>
      </c>
      <c r="Z319" s="165"/>
      <c r="AA319" s="169">
        <v>66095.09</v>
      </c>
      <c r="AB319" s="169">
        <v>66095.09</v>
      </c>
      <c r="AC319" s="169">
        <v>2775993.9</v>
      </c>
      <c r="AD319" s="143">
        <f t="shared" si="194"/>
        <v>2773217.9060999998</v>
      </c>
      <c r="AE319" s="173">
        <v>40.22</v>
      </c>
      <c r="AF319" s="169">
        <v>39.479999999999997</v>
      </c>
      <c r="AG319" s="173">
        <v>40.07</v>
      </c>
      <c r="AH319" s="170">
        <v>4.7999999999999996E-3</v>
      </c>
      <c r="AI319" s="170">
        <v>0.04</v>
      </c>
      <c r="AJ319" s="170">
        <v>5.0999999999999997E-2</v>
      </c>
      <c r="AK319" s="137">
        <f t="shared" si="215"/>
        <v>0</v>
      </c>
      <c r="AL319" s="136">
        <v>0</v>
      </c>
      <c r="AM319" s="136"/>
      <c r="AN319" s="165">
        <v>0</v>
      </c>
      <c r="AO319" s="140">
        <f t="shared" si="216"/>
        <v>0</v>
      </c>
      <c r="AP319" s="136"/>
      <c r="AQ319" s="137">
        <v>0</v>
      </c>
      <c r="AR319" s="155">
        <f t="shared" si="217"/>
        <v>0</v>
      </c>
      <c r="AS319" s="155">
        <f t="shared" si="218"/>
        <v>0</v>
      </c>
      <c r="AT319" s="137">
        <v>0</v>
      </c>
      <c r="AU319" s="136" t="s">
        <v>667</v>
      </c>
      <c r="AV319" s="136"/>
      <c r="AW319" s="137">
        <f t="shared" si="204"/>
        <v>39180</v>
      </c>
      <c r="AX319" s="136"/>
      <c r="AY319" s="137">
        <f t="shared" si="205"/>
        <v>39180</v>
      </c>
      <c r="AZ319" s="137">
        <f t="shared" si="206"/>
        <v>39620</v>
      </c>
      <c r="BA319" s="142">
        <f t="shared" si="207"/>
        <v>-440</v>
      </c>
      <c r="BB319" s="137"/>
      <c r="BC319" s="137">
        <v>0</v>
      </c>
      <c r="BD319" s="136"/>
      <c r="BE319" s="128">
        <v>397</v>
      </c>
      <c r="BF319" s="143">
        <f t="shared" si="208"/>
        <v>0.59549999999999992</v>
      </c>
      <c r="BG319" s="143">
        <f t="shared" si="209"/>
        <v>396.40449999999998</v>
      </c>
      <c r="BH319" s="143">
        <f t="shared" si="210"/>
        <v>396.2</v>
      </c>
      <c r="BI319" s="144">
        <f t="shared" si="211"/>
        <v>80.000000000001137</v>
      </c>
      <c r="BJ319" s="144">
        <v>0</v>
      </c>
      <c r="BK319" s="137">
        <f t="shared" si="212"/>
        <v>80.000000000001137</v>
      </c>
      <c r="BL319" s="9"/>
      <c r="BM319" s="10" t="str">
        <f t="shared" si="213"/>
        <v>Unloading no. 303 Bill No 104 ,Deduction For Oil Deduction= 0 ,Bardana= 0 ,F.M=  Brokerage/Rate Difference 0 ,Shortage = 0 ,Greenish=  ,Moisture= 0</v>
      </c>
      <c r="BN319" s="9"/>
      <c r="BO319" s="13" t="str">
        <f t="shared" si="166"/>
        <v xml:space="preserve"> Party Condition 39.48  ,F.M% 0.48 ,Greenish 4 ,Moisture 5.1 ,Shortage in KG= 0  ,Oil% 40.07</v>
      </c>
      <c r="BP319" s="24">
        <f t="shared" si="214"/>
        <v>6672.9018425037857</v>
      </c>
      <c r="BX319" s="30">
        <v>40.22</v>
      </c>
      <c r="BY319" s="30">
        <v>40.07</v>
      </c>
    </row>
    <row r="320" spans="1:77" customFormat="1" ht="15.75" hidden="1" x14ac:dyDescent="0.3">
      <c r="A320" s="163" t="s">
        <v>633</v>
      </c>
      <c r="B320" s="166">
        <v>46132</v>
      </c>
      <c r="C320" s="187">
        <v>304</v>
      </c>
      <c r="D320" s="163" t="s">
        <v>648</v>
      </c>
      <c r="E320" s="166">
        <v>46135</v>
      </c>
      <c r="F320" s="163" t="s">
        <v>104</v>
      </c>
      <c r="G320" s="163" t="s">
        <v>105</v>
      </c>
      <c r="H320" s="163" t="s">
        <v>106</v>
      </c>
      <c r="I320" s="157"/>
      <c r="J320" s="163" t="s">
        <v>113</v>
      </c>
      <c r="K320" s="163">
        <v>0</v>
      </c>
      <c r="L320" s="166">
        <v>46132</v>
      </c>
      <c r="M320" s="157"/>
      <c r="N320" s="163" t="s">
        <v>658</v>
      </c>
      <c r="O320" s="166">
        <v>46133</v>
      </c>
      <c r="P320" s="163">
        <v>0</v>
      </c>
      <c r="Q320" s="163">
        <v>610</v>
      </c>
      <c r="R320" s="163">
        <v>78</v>
      </c>
      <c r="S320" s="163">
        <v>688</v>
      </c>
      <c r="T320" s="163">
        <v>688</v>
      </c>
      <c r="U320" s="163">
        <v>0</v>
      </c>
      <c r="V320" s="163">
        <v>0</v>
      </c>
      <c r="W320" s="169">
        <v>344</v>
      </c>
      <c r="X320" s="169">
        <v>349.7</v>
      </c>
      <c r="Y320" s="169">
        <v>2344955.12</v>
      </c>
      <c r="Z320" s="165"/>
      <c r="AA320" s="169">
        <v>58623.88</v>
      </c>
      <c r="AB320" s="169">
        <v>58623.88</v>
      </c>
      <c r="AC320" s="169">
        <v>2462202.8799999999</v>
      </c>
      <c r="AD320" s="143">
        <f t="shared" si="194"/>
        <v>2459740.6771199997</v>
      </c>
      <c r="AE320" s="173">
        <v>40.76</v>
      </c>
      <c r="AF320" s="169">
        <v>39.700000000000003</v>
      </c>
      <c r="AG320" s="173">
        <v>40.450000000000003</v>
      </c>
      <c r="AH320" s="170">
        <v>4.1000000000000003E-3</v>
      </c>
      <c r="AI320" s="170">
        <v>3.78E-2</v>
      </c>
      <c r="AJ320" s="170">
        <v>4.1000000000000002E-2</v>
      </c>
      <c r="AK320" s="137">
        <f t="shared" si="215"/>
        <v>0</v>
      </c>
      <c r="AL320" s="136">
        <v>0</v>
      </c>
      <c r="AM320" s="136"/>
      <c r="AN320" s="165">
        <v>0</v>
      </c>
      <c r="AO320" s="140">
        <f t="shared" si="216"/>
        <v>0</v>
      </c>
      <c r="AP320" s="136"/>
      <c r="AQ320" s="137">
        <v>0</v>
      </c>
      <c r="AR320" s="155">
        <f t="shared" si="217"/>
        <v>0</v>
      </c>
      <c r="AS320" s="155">
        <f t="shared" si="218"/>
        <v>0</v>
      </c>
      <c r="AT320" s="137">
        <v>0</v>
      </c>
      <c r="AU320" s="136" t="s">
        <v>666</v>
      </c>
      <c r="AV320" s="136"/>
      <c r="AW320" s="137">
        <f t="shared" si="204"/>
        <v>34400</v>
      </c>
      <c r="AX320" s="136"/>
      <c r="AY320" s="137">
        <f t="shared" si="205"/>
        <v>34400</v>
      </c>
      <c r="AZ320" s="137">
        <f t="shared" si="206"/>
        <v>34970</v>
      </c>
      <c r="BA320" s="142">
        <f t="shared" si="207"/>
        <v>-570</v>
      </c>
      <c r="BB320" s="137"/>
      <c r="BC320" s="137">
        <v>0</v>
      </c>
      <c r="BD320" s="136"/>
      <c r="BE320" s="128">
        <v>349.65</v>
      </c>
      <c r="BF320" s="143">
        <f t="shared" si="208"/>
        <v>0.52447500000000002</v>
      </c>
      <c r="BG320" s="143">
        <f t="shared" si="209"/>
        <v>349.12552499999998</v>
      </c>
      <c r="BH320" s="143">
        <f t="shared" si="210"/>
        <v>349.7</v>
      </c>
      <c r="BI320" s="144">
        <f t="shared" si="211"/>
        <v>-5.0000000000011369</v>
      </c>
      <c r="BJ320" s="144">
        <v>0</v>
      </c>
      <c r="BK320" s="137">
        <f t="shared" si="212"/>
        <v>-5.0000000000011369</v>
      </c>
      <c r="BL320" s="9"/>
      <c r="BM320" s="10" t="str">
        <f t="shared" si="213"/>
        <v>Unloading no. 304 Bill No MTC/2026-27/089 ,Deduction For Oil Deduction= 0 ,Bardana= 0 ,F.M=  Brokerage/Rate Difference 0 ,Shortage = 0 ,Greenish=  ,Moisture= 0</v>
      </c>
      <c r="BN320" s="9"/>
      <c r="BO320" s="13" t="str">
        <f t="shared" si="166"/>
        <v xml:space="preserve"> Party Condition 39.7  ,F.M% 0.41 ,Greenish 3.78 ,Moisture 4.1 ,Shortage in KG= 0  ,Oil% 40.45</v>
      </c>
      <c r="BP320" s="24">
        <f t="shared" si="214"/>
        <v>6705.6194452387763</v>
      </c>
      <c r="BX320" s="30">
        <v>40.76</v>
      </c>
      <c r="BY320" s="30">
        <v>40.450000000000003</v>
      </c>
    </row>
    <row r="321" spans="1:77" customFormat="1" ht="15.75" hidden="1" x14ac:dyDescent="0.3">
      <c r="A321" s="163" t="s">
        <v>636</v>
      </c>
      <c r="B321" s="166">
        <v>46133</v>
      </c>
      <c r="C321" s="187">
        <v>305</v>
      </c>
      <c r="D321" s="163" t="s">
        <v>649</v>
      </c>
      <c r="E321" s="166">
        <v>46135</v>
      </c>
      <c r="F321" s="163" t="s">
        <v>98</v>
      </c>
      <c r="G321" s="163" t="s">
        <v>99</v>
      </c>
      <c r="H321" s="163" t="s">
        <v>100</v>
      </c>
      <c r="I321" s="157"/>
      <c r="J321" s="163" t="s">
        <v>113</v>
      </c>
      <c r="K321" s="163">
        <v>0</v>
      </c>
      <c r="L321" s="166">
        <v>46133</v>
      </c>
      <c r="M321" s="157"/>
      <c r="N321" s="163">
        <v>75</v>
      </c>
      <c r="O321" s="166">
        <v>46133</v>
      </c>
      <c r="P321" s="163">
        <v>0</v>
      </c>
      <c r="Q321" s="163">
        <v>340</v>
      </c>
      <c r="R321" s="163">
        <v>62</v>
      </c>
      <c r="S321" s="163">
        <v>402</v>
      </c>
      <c r="T321" s="163">
        <v>402</v>
      </c>
      <c r="U321" s="163">
        <v>0</v>
      </c>
      <c r="V321" s="163">
        <v>0</v>
      </c>
      <c r="W321" s="169">
        <v>241.2</v>
      </c>
      <c r="X321" s="169">
        <v>243.7</v>
      </c>
      <c r="Y321" s="169">
        <v>1649459.87</v>
      </c>
      <c r="Z321" s="165"/>
      <c r="AA321" s="169">
        <v>41236.5</v>
      </c>
      <c r="AB321" s="169">
        <v>41236.5</v>
      </c>
      <c r="AC321" s="169">
        <v>1731932.86</v>
      </c>
      <c r="AD321" s="143">
        <f t="shared" si="194"/>
        <v>1730200.92714</v>
      </c>
      <c r="AE321" s="173">
        <v>40.08</v>
      </c>
      <c r="AF321" s="169">
        <v>39.93</v>
      </c>
      <c r="AG321" s="173">
        <v>40.04</v>
      </c>
      <c r="AH321" s="170">
        <v>4.3E-3</v>
      </c>
      <c r="AI321" s="170">
        <v>4.0300000000000002E-2</v>
      </c>
      <c r="AJ321" s="170">
        <v>0.05</v>
      </c>
      <c r="AK321" s="137">
        <f t="shared" si="215"/>
        <v>0</v>
      </c>
      <c r="AL321" s="136">
        <f>402*0.5</f>
        <v>201</v>
      </c>
      <c r="AM321" s="136"/>
      <c r="AN321" s="165">
        <v>0</v>
      </c>
      <c r="AO321" s="140">
        <f t="shared" si="216"/>
        <v>3008.964936981758</v>
      </c>
      <c r="AP321" s="136"/>
      <c r="AQ321" s="137">
        <v>0</v>
      </c>
      <c r="AR321" s="155">
        <f t="shared" si="217"/>
        <v>3209.964936981758</v>
      </c>
      <c r="AS321" s="155">
        <f t="shared" si="218"/>
        <v>3370</v>
      </c>
      <c r="AT321" s="137">
        <v>44</v>
      </c>
      <c r="AU321" s="136"/>
      <c r="AV321" s="136"/>
      <c r="AW321" s="137">
        <f t="shared" si="204"/>
        <v>24120</v>
      </c>
      <c r="AX321" s="136"/>
      <c r="AY321" s="137">
        <f t="shared" si="205"/>
        <v>24120</v>
      </c>
      <c r="AZ321" s="137">
        <f t="shared" si="206"/>
        <v>24370</v>
      </c>
      <c r="BA321" s="142">
        <f t="shared" si="207"/>
        <v>-250</v>
      </c>
      <c r="BB321" s="137"/>
      <c r="BC321" s="137">
        <v>0</v>
      </c>
      <c r="BD321" s="136"/>
      <c r="BE321" s="128">
        <v>244.2</v>
      </c>
      <c r="BF321" s="143">
        <f t="shared" si="208"/>
        <v>0.36629999999999996</v>
      </c>
      <c r="BG321" s="143">
        <f t="shared" si="209"/>
        <v>243.83369999999999</v>
      </c>
      <c r="BH321" s="143">
        <f t="shared" si="210"/>
        <v>243.7</v>
      </c>
      <c r="BI321" s="144">
        <f t="shared" si="211"/>
        <v>50</v>
      </c>
      <c r="BJ321" s="144">
        <v>0</v>
      </c>
      <c r="BK321" s="137">
        <f t="shared" si="212"/>
        <v>50</v>
      </c>
      <c r="BL321" s="9"/>
      <c r="BM321" s="10" t="str">
        <f t="shared" si="213"/>
        <v>Unloading no. 305 Bill No 75 ,Deduction For Oil Deduction= 0 ,Bardana= 201 ,F.M=  Brokerage/Rate Difference 0 ,Shortage = 3008.96493698176 ,Greenish=  ,Moisture= 0</v>
      </c>
      <c r="BN321" s="9"/>
      <c r="BO321" s="13" t="str">
        <f t="shared" si="166"/>
        <v xml:space="preserve"> Party Condition 39.93  ,F.M% 0.43 ,Greenish 4.03 ,Moisture 5 ,Shortage in KG= 44  ,Oil% 40.04</v>
      </c>
      <c r="BP321" s="24">
        <f t="shared" si="214"/>
        <v>6755.2314528642528</v>
      </c>
      <c r="BX321" s="30">
        <v>40.08</v>
      </c>
      <c r="BY321" s="30">
        <v>40.04</v>
      </c>
    </row>
    <row r="322" spans="1:77" customFormat="1" ht="15.75" hidden="1" x14ac:dyDescent="0.3">
      <c r="A322" s="128" t="s">
        <v>637</v>
      </c>
      <c r="B322" s="130">
        <v>46130</v>
      </c>
      <c r="C322" s="138">
        <v>306</v>
      </c>
      <c r="D322" s="128" t="s">
        <v>650</v>
      </c>
      <c r="E322" s="130">
        <v>46135</v>
      </c>
      <c r="F322" s="128" t="s">
        <v>110</v>
      </c>
      <c r="G322" s="128" t="s">
        <v>111</v>
      </c>
      <c r="H322" s="128" t="s">
        <v>112</v>
      </c>
      <c r="I322" s="136"/>
      <c r="J322" s="128" t="s">
        <v>113</v>
      </c>
      <c r="K322" s="128">
        <v>0</v>
      </c>
      <c r="L322" s="130">
        <v>46130</v>
      </c>
      <c r="M322" s="136"/>
      <c r="N322" s="159" t="s">
        <v>659</v>
      </c>
      <c r="O322" s="130">
        <v>46133</v>
      </c>
      <c r="P322" s="128">
        <v>0</v>
      </c>
      <c r="Q322" s="128">
        <v>50</v>
      </c>
      <c r="R322" s="128">
        <v>0</v>
      </c>
      <c r="S322" s="128">
        <v>50</v>
      </c>
      <c r="T322" s="128">
        <v>50</v>
      </c>
      <c r="U322" s="128">
        <v>0</v>
      </c>
      <c r="V322" s="128">
        <v>0</v>
      </c>
      <c r="W322" s="169">
        <v>30</v>
      </c>
      <c r="X322" s="169">
        <v>30</v>
      </c>
      <c r="Y322" s="169">
        <v>200380</v>
      </c>
      <c r="Z322" s="165"/>
      <c r="AA322" s="169">
        <v>5009.5</v>
      </c>
      <c r="AB322" s="169">
        <v>5009.5</v>
      </c>
      <c r="AC322" s="169">
        <v>210399</v>
      </c>
      <c r="AD322" s="143">
        <f t="shared" si="194"/>
        <v>210188.601</v>
      </c>
      <c r="AE322" s="173">
        <v>40.17</v>
      </c>
      <c r="AF322" s="169">
        <v>39.82</v>
      </c>
      <c r="AG322" s="173">
        <v>40.06</v>
      </c>
      <c r="AH322" s="170">
        <v>4.4000000000000003E-3</v>
      </c>
      <c r="AI322" s="170">
        <v>3.7999999999999999E-2</v>
      </c>
      <c r="AJ322" s="170">
        <v>4.7E-2</v>
      </c>
      <c r="AK322" s="137">
        <f t="shared" si="215"/>
        <v>0</v>
      </c>
      <c r="AL322" s="136">
        <v>0</v>
      </c>
      <c r="AM322" s="136"/>
      <c r="AN322" s="165">
        <v>0</v>
      </c>
      <c r="AO322" s="140">
        <f t="shared" si="216"/>
        <v>0</v>
      </c>
      <c r="AP322" s="136"/>
      <c r="AQ322" s="137">
        <v>0</v>
      </c>
      <c r="AR322" s="155">
        <f t="shared" si="217"/>
        <v>0</v>
      </c>
      <c r="AS322" s="155">
        <f t="shared" si="218"/>
        <v>0</v>
      </c>
      <c r="AT322" s="137">
        <v>0</v>
      </c>
      <c r="AU322" s="136"/>
      <c r="AV322" s="136"/>
      <c r="AW322" s="137">
        <f t="shared" si="204"/>
        <v>3000</v>
      </c>
      <c r="AX322" s="136"/>
      <c r="AY322" s="137">
        <f t="shared" si="205"/>
        <v>3000</v>
      </c>
      <c r="AZ322" s="137">
        <f t="shared" si="206"/>
        <v>3000</v>
      </c>
      <c r="BA322" s="142">
        <f t="shared" si="207"/>
        <v>0</v>
      </c>
      <c r="BB322" s="137"/>
      <c r="BC322" s="137">
        <v>0</v>
      </c>
      <c r="BD322" s="136"/>
      <c r="BE322" s="128">
        <v>0</v>
      </c>
      <c r="BF322" s="143">
        <f t="shared" si="208"/>
        <v>0</v>
      </c>
      <c r="BG322" s="143">
        <f t="shared" si="209"/>
        <v>0</v>
      </c>
      <c r="BH322" s="143">
        <f t="shared" si="210"/>
        <v>30</v>
      </c>
      <c r="BI322" s="144">
        <f t="shared" si="211"/>
        <v>-3000</v>
      </c>
      <c r="BJ322" s="144">
        <v>0</v>
      </c>
      <c r="BK322" s="137">
        <f t="shared" si="212"/>
        <v>-3000</v>
      </c>
      <c r="BL322" s="9"/>
      <c r="BM322" s="10" t="str">
        <f t="shared" si="213"/>
        <v>Unloading no. 306 Bill No G1661/1661 ,Deduction For Oil Deduction= 0 ,Bardana= 0 ,F.M=  Brokerage/Rate Difference 0 ,Shortage = 0 ,Greenish=  ,Moisture= 0</v>
      </c>
      <c r="BN322" s="9"/>
      <c r="BO322" s="13" t="str">
        <f t="shared" si="166"/>
        <v xml:space="preserve"> Party Condition 39.82  ,F.M% 0.44 ,Greenish 3.8 ,Moisture 4.7 ,Shortage in KG= 0  ,Oil% 40.06</v>
      </c>
      <c r="BP322" s="24">
        <f t="shared" si="214"/>
        <v>6679.333333333333</v>
      </c>
      <c r="BX322" s="30">
        <v>40.17</v>
      </c>
      <c r="BY322" s="30">
        <v>40.06</v>
      </c>
    </row>
    <row r="323" spans="1:77" customFormat="1" ht="15.75" hidden="1" x14ac:dyDescent="0.3">
      <c r="A323" s="128" t="s">
        <v>638</v>
      </c>
      <c r="B323" s="130">
        <v>46133</v>
      </c>
      <c r="C323" s="138">
        <v>306</v>
      </c>
      <c r="D323" s="128" t="s">
        <v>650</v>
      </c>
      <c r="E323" s="130">
        <v>46135</v>
      </c>
      <c r="F323" s="128" t="s">
        <v>110</v>
      </c>
      <c r="G323" s="128" t="s">
        <v>111</v>
      </c>
      <c r="H323" s="128" t="s">
        <v>112</v>
      </c>
      <c r="I323" s="136"/>
      <c r="J323" s="128" t="s">
        <v>113</v>
      </c>
      <c r="K323" s="128">
        <v>0</v>
      </c>
      <c r="L323" s="130">
        <v>46133</v>
      </c>
      <c r="M323" s="136"/>
      <c r="N323" s="128" t="s">
        <v>660</v>
      </c>
      <c r="O323" s="130">
        <v>46133</v>
      </c>
      <c r="P323" s="128">
        <v>0</v>
      </c>
      <c r="Q323" s="128">
        <v>300</v>
      </c>
      <c r="R323" s="128">
        <v>70</v>
      </c>
      <c r="S323" s="128">
        <v>370</v>
      </c>
      <c r="T323" s="128">
        <v>370</v>
      </c>
      <c r="U323" s="128">
        <v>0</v>
      </c>
      <c r="V323" s="128">
        <v>0</v>
      </c>
      <c r="W323" s="169">
        <v>222</v>
      </c>
      <c r="X323" s="169">
        <v>256.3</v>
      </c>
      <c r="Y323" s="169">
        <v>1503902</v>
      </c>
      <c r="Z323" s="165"/>
      <c r="AA323" s="169">
        <v>37597.550000000003</v>
      </c>
      <c r="AB323" s="169">
        <v>37597.550000000003</v>
      </c>
      <c r="AC323" s="169">
        <v>1579097.1</v>
      </c>
      <c r="AD323" s="143">
        <f t="shared" si="194"/>
        <v>1577518.0029000002</v>
      </c>
      <c r="AE323" s="173">
        <v>40.17</v>
      </c>
      <c r="AF323" s="169">
        <v>39.65</v>
      </c>
      <c r="AG323" s="173">
        <v>40.06</v>
      </c>
      <c r="AH323" s="170">
        <v>4.4000000000000003E-3</v>
      </c>
      <c r="AI323" s="170">
        <v>3.7999999999999999E-2</v>
      </c>
      <c r="AJ323" s="170">
        <v>4.7E-2</v>
      </c>
      <c r="AK323" s="137">
        <f t="shared" si="215"/>
        <v>0</v>
      </c>
      <c r="AL323" s="136">
        <f>370*5</f>
        <v>1850</v>
      </c>
      <c r="AM323" s="136"/>
      <c r="AN323" s="165">
        <v>0</v>
      </c>
      <c r="AO323" s="140">
        <f t="shared" si="216"/>
        <v>0</v>
      </c>
      <c r="AP323" s="136"/>
      <c r="AQ323" s="137">
        <v>0</v>
      </c>
      <c r="AR323" s="155">
        <f t="shared" si="217"/>
        <v>1850</v>
      </c>
      <c r="AS323" s="155">
        <f t="shared" si="218"/>
        <v>1943</v>
      </c>
      <c r="AT323" s="137">
        <v>0</v>
      </c>
      <c r="AU323" s="136"/>
      <c r="AV323" s="136"/>
      <c r="AW323" s="137">
        <f t="shared" si="204"/>
        <v>22200</v>
      </c>
      <c r="AX323" s="136"/>
      <c r="AY323" s="137">
        <f t="shared" si="205"/>
        <v>22200</v>
      </c>
      <c r="AZ323" s="137">
        <f t="shared" si="206"/>
        <v>25630</v>
      </c>
      <c r="BA323" s="142">
        <f t="shared" si="207"/>
        <v>-3430</v>
      </c>
      <c r="BB323" s="137"/>
      <c r="BC323" s="137">
        <v>0</v>
      </c>
      <c r="BD323" s="136"/>
      <c r="BE323" s="128">
        <v>256.25</v>
      </c>
      <c r="BF323" s="143">
        <f t="shared" si="208"/>
        <v>0.38437500000000002</v>
      </c>
      <c r="BG323" s="143">
        <f t="shared" si="209"/>
        <v>255.86562499999999</v>
      </c>
      <c r="BH323" s="143">
        <f t="shared" si="210"/>
        <v>256.3</v>
      </c>
      <c r="BI323" s="144">
        <f t="shared" si="211"/>
        <v>-5.0000000000011369</v>
      </c>
      <c r="BJ323" s="144">
        <v>0</v>
      </c>
      <c r="BK323" s="137">
        <f t="shared" si="212"/>
        <v>-5.0000000000011369</v>
      </c>
      <c r="BL323" s="9"/>
      <c r="BM323" s="10" t="str">
        <f t="shared" si="213"/>
        <v>Unloading no. 306 Bill No G1661/1662 ,Deduction For Oil Deduction= 0 ,Bardana= 1850 ,F.M=  Brokerage/Rate Difference 0 ,Shortage = 0 ,Greenish=  ,Moisture= 0</v>
      </c>
      <c r="BN323" s="9"/>
      <c r="BO323" s="13" t="str">
        <f t="shared" ref="BO323:BO386" si="219">+" "&amp;$AF$1&amp;" "&amp;AF323&amp;" "&amp;" "&amp;$AH$1&amp;" "&amp;AH323*100&amp;" "&amp;$AI$1&amp;" "&amp;AI323*100&amp;" "&amp;$AJ$1&amp;" "&amp;AJ323*100&amp;" ,"&amp;$AT$1&amp;" "&amp;AT323&amp;" "&amp;IF(AE323&gt;AG323," ,Oil%"&amp;" "&amp;AG323," ,Oil%"&amp;" "&amp;AE323)</f>
        <v xml:space="preserve"> Party Condition 39.65  ,F.M% 0.44 ,Greenish 3.8 ,Moisture 4.7 ,Shortage in KG= 0  ,Oil% 40.06</v>
      </c>
      <c r="BP323" s="24">
        <f t="shared" si="214"/>
        <v>5860.5228248146705</v>
      </c>
      <c r="BX323" s="30">
        <v>40.17</v>
      </c>
      <c r="BY323" s="30">
        <v>40.06</v>
      </c>
    </row>
    <row r="324" spans="1:77" customFormat="1" ht="15.75" hidden="1" x14ac:dyDescent="0.3">
      <c r="A324" s="128" t="s">
        <v>639</v>
      </c>
      <c r="B324" s="130">
        <v>46133</v>
      </c>
      <c r="C324" s="138">
        <v>307</v>
      </c>
      <c r="D324" s="128" t="s">
        <v>651</v>
      </c>
      <c r="E324" s="130">
        <v>46135</v>
      </c>
      <c r="F324" s="128" t="s">
        <v>110</v>
      </c>
      <c r="G324" s="128" t="s">
        <v>111</v>
      </c>
      <c r="H324" s="128" t="s">
        <v>112</v>
      </c>
      <c r="I324" s="136"/>
      <c r="J324" s="128" t="s">
        <v>113</v>
      </c>
      <c r="K324" s="128">
        <v>0</v>
      </c>
      <c r="L324" s="130">
        <v>46133</v>
      </c>
      <c r="M324" s="136"/>
      <c r="N324" s="128" t="s">
        <v>661</v>
      </c>
      <c r="O324" s="130">
        <v>46133</v>
      </c>
      <c r="P324" s="128">
        <v>0</v>
      </c>
      <c r="Q324" s="128">
        <v>605</v>
      </c>
      <c r="R324" s="128">
        <v>210</v>
      </c>
      <c r="S324" s="128">
        <v>815</v>
      </c>
      <c r="T324" s="128">
        <v>815</v>
      </c>
      <c r="U324" s="128">
        <v>0</v>
      </c>
      <c r="V324" s="128">
        <v>0</v>
      </c>
      <c r="W324" s="169">
        <v>489</v>
      </c>
      <c r="X324" s="169">
        <v>496.1</v>
      </c>
      <c r="Y324" s="169">
        <v>3324385</v>
      </c>
      <c r="Z324" s="165"/>
      <c r="AA324" s="169">
        <v>83109.63</v>
      </c>
      <c r="AB324" s="169">
        <v>83109.63</v>
      </c>
      <c r="AC324" s="169">
        <v>3490604.25</v>
      </c>
      <c r="AD324" s="143">
        <f t="shared" si="194"/>
        <v>3487113.6457500001</v>
      </c>
      <c r="AE324" s="173">
        <v>40.770000000000003</v>
      </c>
      <c r="AF324" s="169">
        <v>39.75</v>
      </c>
      <c r="AG324" s="173">
        <v>40.54</v>
      </c>
      <c r="AH324" s="170">
        <v>4.4999999999999997E-3</v>
      </c>
      <c r="AI324" s="170">
        <v>3.78E-2</v>
      </c>
      <c r="AJ324" s="170">
        <v>4.2999999999999997E-2</v>
      </c>
      <c r="AK324" s="137">
        <f t="shared" si="215"/>
        <v>0</v>
      </c>
      <c r="AL324" s="136">
        <f>815*5</f>
        <v>4075</v>
      </c>
      <c r="AM324" s="136"/>
      <c r="AN324" s="165">
        <v>0</v>
      </c>
      <c r="AO324" s="140">
        <f t="shared" si="216"/>
        <v>0</v>
      </c>
      <c r="AP324" s="136"/>
      <c r="AQ324" s="137">
        <v>0</v>
      </c>
      <c r="AR324" s="155">
        <f t="shared" si="217"/>
        <v>4075</v>
      </c>
      <c r="AS324" s="155">
        <f t="shared" si="218"/>
        <v>4279</v>
      </c>
      <c r="AT324" s="137">
        <v>0</v>
      </c>
      <c r="AU324" s="136"/>
      <c r="AV324" s="136"/>
      <c r="AW324" s="137">
        <f t="shared" si="204"/>
        <v>48900</v>
      </c>
      <c r="AX324" s="136"/>
      <c r="AY324" s="137">
        <f t="shared" si="205"/>
        <v>48900</v>
      </c>
      <c r="AZ324" s="137">
        <f t="shared" si="206"/>
        <v>49610</v>
      </c>
      <c r="BA324" s="142">
        <f t="shared" si="207"/>
        <v>-710</v>
      </c>
      <c r="BB324" s="137"/>
      <c r="BC324" s="137">
        <v>0</v>
      </c>
      <c r="BD324" s="136"/>
      <c r="BE324" s="128">
        <v>496.3</v>
      </c>
      <c r="BF324" s="143">
        <f t="shared" si="208"/>
        <v>0.74444999999999995</v>
      </c>
      <c r="BG324" s="143">
        <f t="shared" si="209"/>
        <v>495.55555000000004</v>
      </c>
      <c r="BH324" s="143">
        <f t="shared" si="210"/>
        <v>496.1</v>
      </c>
      <c r="BI324" s="144">
        <f t="shared" si="211"/>
        <v>19.999999999998863</v>
      </c>
      <c r="BJ324" s="144">
        <v>0</v>
      </c>
      <c r="BK324" s="137">
        <f t="shared" si="212"/>
        <v>19.999999999998863</v>
      </c>
      <c r="BL324" s="9"/>
      <c r="BM324" s="10" t="str">
        <f t="shared" si="213"/>
        <v>Unloading no. 307 Bill No G1660 ,Deduction For Oil Deduction= 0 ,Bardana= 4075 ,F.M=  Brokerage/Rate Difference 0 ,Shortage = 0 ,Greenish=  ,Moisture= 0</v>
      </c>
      <c r="BN324" s="9"/>
      <c r="BO324" s="13" t="str">
        <f t="shared" si="219"/>
        <v xml:space="preserve"> Party Condition 39.75  ,F.M% 0.45 ,Greenish 3.78 ,Moisture 4.3 ,Shortage in KG= 0  ,Oil% 40.54</v>
      </c>
      <c r="BP324" s="24">
        <f t="shared" si="214"/>
        <v>6692.8240274138279</v>
      </c>
      <c r="BX324" s="30">
        <v>40.770000000000003</v>
      </c>
      <c r="BY324" s="30">
        <v>40.54</v>
      </c>
    </row>
    <row r="325" spans="1:77" customFormat="1" ht="15.75" hidden="1" x14ac:dyDescent="0.3">
      <c r="A325" s="128" t="s">
        <v>637</v>
      </c>
      <c r="B325" s="130">
        <v>46130</v>
      </c>
      <c r="C325" s="138">
        <v>308</v>
      </c>
      <c r="D325" s="128" t="s">
        <v>652</v>
      </c>
      <c r="E325" s="130">
        <v>46135</v>
      </c>
      <c r="F325" s="128" t="s">
        <v>110</v>
      </c>
      <c r="G325" s="128" t="s">
        <v>111</v>
      </c>
      <c r="H325" s="128" t="s">
        <v>112</v>
      </c>
      <c r="I325" s="136"/>
      <c r="J325" s="128" t="s">
        <v>113</v>
      </c>
      <c r="K325" s="128">
        <v>0</v>
      </c>
      <c r="L325" s="130">
        <v>46130</v>
      </c>
      <c r="M325" s="136"/>
      <c r="N325" s="128" t="s">
        <v>662</v>
      </c>
      <c r="O325" s="130">
        <v>46133</v>
      </c>
      <c r="P325" s="128">
        <v>0</v>
      </c>
      <c r="Q325" s="128">
        <v>600</v>
      </c>
      <c r="R325" s="128">
        <v>31</v>
      </c>
      <c r="S325" s="128">
        <v>631</v>
      </c>
      <c r="T325" s="128">
        <v>631</v>
      </c>
      <c r="U325" s="128">
        <v>0</v>
      </c>
      <c r="V325" s="128">
        <v>0</v>
      </c>
      <c r="W325" s="169">
        <v>378.6</v>
      </c>
      <c r="X325" s="169">
        <v>383.8</v>
      </c>
      <c r="Y325" s="169">
        <v>2528795.6</v>
      </c>
      <c r="Z325" s="165"/>
      <c r="AA325" s="169">
        <v>63219.89</v>
      </c>
      <c r="AB325" s="169">
        <v>63219.89</v>
      </c>
      <c r="AC325" s="169">
        <v>2655235.38</v>
      </c>
      <c r="AD325" s="143">
        <f t="shared" si="194"/>
        <v>2652580.1446199999</v>
      </c>
      <c r="AE325" s="173">
        <v>40.19</v>
      </c>
      <c r="AF325" s="169">
        <v>39.82</v>
      </c>
      <c r="AG325" s="173">
        <v>40.08</v>
      </c>
      <c r="AH325" s="170">
        <v>4.4000000000000003E-3</v>
      </c>
      <c r="AI325" s="170">
        <v>3.6499999999999998E-2</v>
      </c>
      <c r="AJ325" s="170">
        <v>4.4999999999999998E-2</v>
      </c>
      <c r="AK325" s="137">
        <f t="shared" si="215"/>
        <v>0</v>
      </c>
      <c r="AL325" s="136">
        <v>0</v>
      </c>
      <c r="AM325" s="136"/>
      <c r="AN325" s="165">
        <v>0</v>
      </c>
      <c r="AO325" s="140">
        <f t="shared" si="216"/>
        <v>0</v>
      </c>
      <c r="AP325" s="136"/>
      <c r="AQ325" s="137">
        <v>0</v>
      </c>
      <c r="AR325" s="155">
        <f t="shared" si="217"/>
        <v>0</v>
      </c>
      <c r="AS325" s="155">
        <f t="shared" si="218"/>
        <v>0</v>
      </c>
      <c r="AT325" s="137">
        <v>0</v>
      </c>
      <c r="AU325" s="136"/>
      <c r="AV325" s="136"/>
      <c r="AW325" s="137">
        <f t="shared" si="204"/>
        <v>37860</v>
      </c>
      <c r="AX325" s="136"/>
      <c r="AY325" s="137">
        <f t="shared" si="205"/>
        <v>37860</v>
      </c>
      <c r="AZ325" s="137">
        <f t="shared" si="206"/>
        <v>38380</v>
      </c>
      <c r="BA325" s="142">
        <f t="shared" si="207"/>
        <v>-520</v>
      </c>
      <c r="BB325" s="137"/>
      <c r="BC325" s="137">
        <v>0</v>
      </c>
      <c r="BD325" s="136"/>
      <c r="BE325" s="128">
        <v>383.4</v>
      </c>
      <c r="BF325" s="143">
        <f t="shared" si="208"/>
        <v>0.57509999999999994</v>
      </c>
      <c r="BG325" s="143">
        <f t="shared" si="209"/>
        <v>382.82489999999996</v>
      </c>
      <c r="BH325" s="143">
        <f t="shared" si="210"/>
        <v>383.8</v>
      </c>
      <c r="BI325" s="144">
        <f t="shared" si="211"/>
        <v>-40.000000000003411</v>
      </c>
      <c r="BJ325" s="144">
        <v>0</v>
      </c>
      <c r="BK325" s="137">
        <f t="shared" si="212"/>
        <v>-40.000000000003411</v>
      </c>
      <c r="BL325" s="9"/>
      <c r="BM325" s="10" t="str">
        <f t="shared" si="213"/>
        <v>Unloading no. 308 Bill No G1658 ,Deduction For Oil Deduction= 0 ,Bardana= 0 ,F.M=  Brokerage/Rate Difference 0 ,Shortage = 0 ,Greenish=  ,Moisture= 0</v>
      </c>
      <c r="BN325" s="9"/>
      <c r="BO325" s="13" t="str">
        <f t="shared" si="219"/>
        <v xml:space="preserve"> Party Condition 39.82  ,F.M% 0.44 ,Greenish 3.65 ,Moisture 4.5 ,Shortage in KG= 0  ,Oil% 40.08</v>
      </c>
      <c r="BP325" s="24">
        <f t="shared" si="214"/>
        <v>6588.8368942157376</v>
      </c>
      <c r="BX325" s="30">
        <v>40.19</v>
      </c>
      <c r="BY325" s="30">
        <v>40.08</v>
      </c>
    </row>
    <row r="326" spans="1:77" customFormat="1" ht="15.75" hidden="1" x14ac:dyDescent="0.3">
      <c r="A326" s="128" t="s">
        <v>633</v>
      </c>
      <c r="B326" s="130">
        <v>46132</v>
      </c>
      <c r="C326" s="138">
        <v>309</v>
      </c>
      <c r="D326" s="128" t="s">
        <v>653</v>
      </c>
      <c r="E326" s="130">
        <v>46135</v>
      </c>
      <c r="F326" s="128" t="s">
        <v>104</v>
      </c>
      <c r="G326" s="128" t="s">
        <v>105</v>
      </c>
      <c r="H326" s="128" t="s">
        <v>106</v>
      </c>
      <c r="I326" s="136"/>
      <c r="J326" s="128" t="s">
        <v>113</v>
      </c>
      <c r="K326" s="128">
        <v>0</v>
      </c>
      <c r="L326" s="130">
        <v>46132</v>
      </c>
      <c r="M326" s="136"/>
      <c r="N326" s="128" t="s">
        <v>663</v>
      </c>
      <c r="O326" s="130">
        <v>46133</v>
      </c>
      <c r="P326" s="128">
        <v>0</v>
      </c>
      <c r="Q326" s="128">
        <v>600</v>
      </c>
      <c r="R326" s="128">
        <v>13</v>
      </c>
      <c r="S326" s="128">
        <v>613</v>
      </c>
      <c r="T326" s="128">
        <v>613</v>
      </c>
      <c r="U326" s="128">
        <v>0</v>
      </c>
      <c r="V326" s="128">
        <v>0</v>
      </c>
      <c r="W326" s="169">
        <v>306.5</v>
      </c>
      <c r="X326" s="169">
        <v>311.3</v>
      </c>
      <c r="Y326" s="169">
        <v>2095457.75</v>
      </c>
      <c r="Z326" s="165"/>
      <c r="AA326" s="169">
        <v>52386.44</v>
      </c>
      <c r="AB326" s="169">
        <v>52386.44</v>
      </c>
      <c r="AC326" s="169">
        <v>2200230.64</v>
      </c>
      <c r="AD326" s="143">
        <f t="shared" si="194"/>
        <v>2198030.4093599999</v>
      </c>
      <c r="AE326" s="173">
        <v>40.159999999999997</v>
      </c>
      <c r="AF326" s="169">
        <v>39.700000000000003</v>
      </c>
      <c r="AG326" s="173">
        <v>39.979999999999997</v>
      </c>
      <c r="AH326" s="170">
        <v>4.3E-3</v>
      </c>
      <c r="AI326" s="170">
        <v>3.7600000000000001E-2</v>
      </c>
      <c r="AJ326" s="170">
        <v>4.9000000000000002E-2</v>
      </c>
      <c r="AK326" s="137">
        <f t="shared" si="215"/>
        <v>0</v>
      </c>
      <c r="AL326" s="136">
        <f>613*2</f>
        <v>1226</v>
      </c>
      <c r="AM326" s="136"/>
      <c r="AN326" s="165">
        <v>0</v>
      </c>
      <c r="AO326" s="140">
        <f t="shared" si="216"/>
        <v>0</v>
      </c>
      <c r="AP326" s="136"/>
      <c r="AQ326" s="137">
        <v>0</v>
      </c>
      <c r="AR326" s="155">
        <f t="shared" si="217"/>
        <v>1226</v>
      </c>
      <c r="AS326" s="155">
        <f t="shared" si="218"/>
        <v>1287</v>
      </c>
      <c r="AT326" s="137">
        <v>0</v>
      </c>
      <c r="AU326" s="136"/>
      <c r="AV326" s="136"/>
      <c r="AW326" s="137">
        <f t="shared" si="204"/>
        <v>30650</v>
      </c>
      <c r="AX326" s="136"/>
      <c r="AY326" s="137">
        <f t="shared" si="205"/>
        <v>30650</v>
      </c>
      <c r="AZ326" s="137">
        <f t="shared" si="206"/>
        <v>31130</v>
      </c>
      <c r="BA326" s="142">
        <f t="shared" si="207"/>
        <v>-480</v>
      </c>
      <c r="BB326" s="137"/>
      <c r="BC326" s="137">
        <v>0</v>
      </c>
      <c r="BD326" s="136"/>
      <c r="BE326" s="128">
        <v>311.85000000000002</v>
      </c>
      <c r="BF326" s="143">
        <f t="shared" si="208"/>
        <v>0.46777500000000005</v>
      </c>
      <c r="BG326" s="143">
        <f t="shared" si="209"/>
        <v>311.38222500000001</v>
      </c>
      <c r="BH326" s="143">
        <f t="shared" si="210"/>
        <v>311.3</v>
      </c>
      <c r="BI326" s="144">
        <f t="shared" si="211"/>
        <v>55.000000000001137</v>
      </c>
      <c r="BJ326" s="144">
        <v>0</v>
      </c>
      <c r="BK326" s="137">
        <f t="shared" si="212"/>
        <v>55.000000000001137</v>
      </c>
      <c r="BL326" s="9"/>
      <c r="BM326" s="10" t="str">
        <f t="shared" si="213"/>
        <v>Unloading no. 309 Bill No MTC/2026-27/091 ,Deduction For Oil Deduction= 0 ,Bardana= 1226 ,F.M=  Brokerage/Rate Difference 0 ,Shortage = 0 ,Greenish=  ,Moisture= 0</v>
      </c>
      <c r="BN326" s="9"/>
      <c r="BO326" s="13" t="str">
        <f t="shared" si="219"/>
        <v xml:space="preserve"> Party Condition 39.7  ,F.M% 0.43 ,Greenish 3.76 ,Moisture 4.9 ,Shortage in KG= 0  ,Oil% 39.98</v>
      </c>
      <c r="BP326" s="24">
        <f t="shared" si="214"/>
        <v>6727.3747189206551</v>
      </c>
      <c r="BX326" s="30">
        <v>40.159999999999997</v>
      </c>
      <c r="BY326" s="30">
        <v>39.979999999999997</v>
      </c>
    </row>
    <row r="327" spans="1:77" customFormat="1" ht="15.75" hidden="1" x14ac:dyDescent="0.3">
      <c r="A327" s="128" t="s">
        <v>668</v>
      </c>
      <c r="B327" s="130">
        <v>46133</v>
      </c>
      <c r="C327" s="138">
        <v>310</v>
      </c>
      <c r="D327" s="128" t="s">
        <v>690</v>
      </c>
      <c r="E327" s="130">
        <v>46136</v>
      </c>
      <c r="F327" s="128" t="s">
        <v>436</v>
      </c>
      <c r="G327" s="128" t="s">
        <v>437</v>
      </c>
      <c r="H327" s="128" t="s">
        <v>438</v>
      </c>
      <c r="I327" s="136"/>
      <c r="J327" s="128" t="s">
        <v>113</v>
      </c>
      <c r="K327" s="128">
        <v>0</v>
      </c>
      <c r="L327" s="130">
        <v>46133</v>
      </c>
      <c r="M327" s="136"/>
      <c r="N327" s="128">
        <v>56</v>
      </c>
      <c r="O327" s="130">
        <v>46133</v>
      </c>
      <c r="P327" s="128">
        <v>0</v>
      </c>
      <c r="Q327" s="128">
        <v>300</v>
      </c>
      <c r="R327" s="128">
        <v>217</v>
      </c>
      <c r="S327" s="128">
        <v>517</v>
      </c>
      <c r="T327" s="128">
        <v>517</v>
      </c>
      <c r="U327" s="128">
        <v>0</v>
      </c>
      <c r="V327" s="128">
        <v>0</v>
      </c>
      <c r="W327" s="169">
        <v>310.2</v>
      </c>
      <c r="X327" s="169">
        <v>315</v>
      </c>
      <c r="Y327" s="169">
        <v>2103656.46</v>
      </c>
      <c r="Z327" s="136"/>
      <c r="AA327" s="128">
        <v>52591.41</v>
      </c>
      <c r="AB327" s="128">
        <v>52591.41</v>
      </c>
      <c r="AC327" s="128">
        <v>2208839.2799999998</v>
      </c>
      <c r="AD327" s="143">
        <f t="shared" si="194"/>
        <v>2206630.4407199998</v>
      </c>
      <c r="AE327" s="147">
        <v>40.29</v>
      </c>
      <c r="AF327" s="169">
        <v>39.5</v>
      </c>
      <c r="AG327" s="147">
        <v>40.21</v>
      </c>
      <c r="AH327" s="170">
        <v>4.5999999999999999E-3</v>
      </c>
      <c r="AI327" s="170">
        <v>3.9E-2</v>
      </c>
      <c r="AJ327" s="170">
        <v>0.05</v>
      </c>
      <c r="AK327" s="137">
        <f t="shared" ref="AK327" si="220">+IF(AF327=42,IF(MIN(AE327,AG327)&lt;AF327,Y327*((AF327-MIN(AE327,AG327))/AF327)),IF(MIN(AE327,AG327)&lt;AF327,Y327*((AF327-MIN(AE327,AG327))/AF327),0))</f>
        <v>0</v>
      </c>
      <c r="AL327" s="136">
        <f>517*5</f>
        <v>2585</v>
      </c>
      <c r="AM327" s="136"/>
      <c r="AN327" s="165">
        <v>0</v>
      </c>
      <c r="AO327" s="140">
        <f t="shared" ref="AO327" si="221">AT327*Y327/AW327</f>
        <v>0</v>
      </c>
      <c r="AP327" s="136"/>
      <c r="AQ327" s="137">
        <v>0</v>
      </c>
      <c r="AR327" s="155">
        <f t="shared" ref="AR327" si="222">SUM(AK327:AQ327)</f>
        <v>2585</v>
      </c>
      <c r="AS327" s="155">
        <f t="shared" ref="AS327" si="223">ROUND(AR327*1.05,0)</f>
        <v>2714</v>
      </c>
      <c r="AT327" s="137">
        <v>0</v>
      </c>
      <c r="AU327" s="136"/>
      <c r="AV327" s="136"/>
      <c r="AW327" s="137">
        <f t="shared" ref="AW327" si="224">W327*100</f>
        <v>31020</v>
      </c>
      <c r="AX327" s="136"/>
      <c r="AY327" s="137">
        <f t="shared" ref="AY327" si="225">+AW327+AX327</f>
        <v>31020</v>
      </c>
      <c r="AZ327" s="137">
        <f t="shared" ref="AZ327" si="226">X327*100</f>
        <v>31500</v>
      </c>
      <c r="BA327" s="142">
        <f t="shared" ref="BA327" si="227">AY327-AZ327</f>
        <v>-480</v>
      </c>
      <c r="BB327" s="137"/>
      <c r="BC327" s="137">
        <v>0</v>
      </c>
      <c r="BD327" s="136"/>
      <c r="BE327" s="128">
        <v>315.14999999999998</v>
      </c>
      <c r="BF327" s="143">
        <f t="shared" ref="BF327:BF366" si="228">+BE327*0.15/100</f>
        <v>0.47272499999999995</v>
      </c>
      <c r="BG327" s="143">
        <f t="shared" ref="BG327:BG366" si="229">BE327-BF327</f>
        <v>314.67727499999995</v>
      </c>
      <c r="BH327" s="143">
        <f t="shared" ref="BH327:BH366" si="230">X327</f>
        <v>315</v>
      </c>
      <c r="BI327" s="144">
        <f t="shared" ref="BI327:BI366" si="231">(BE327-BH327)*100</f>
        <v>14.999999999997726</v>
      </c>
      <c r="BJ327" s="144">
        <v>0</v>
      </c>
      <c r="BK327" s="137">
        <f t="shared" ref="BK327:BK366" si="232">BI327</f>
        <v>14.999999999997726</v>
      </c>
      <c r="BL327" s="9"/>
      <c r="BM327" s="10" t="str">
        <f t="shared" ref="BM327:BM366" si="233">+$C$1&amp;" "&amp;C327 &amp;" "&amp;$N$1&amp;" "&amp;N327&amp;" "&amp;$BM$1&amp;" "&amp;$AK$1&amp;" "&amp;AK327&amp;" "&amp;$AL$1&amp;" "&amp;AL327&amp;" "&amp;$AM$1&amp;" "&amp;AM327&amp;" "&amp;$AN$1&amp;" "&amp;AN327&amp;" "&amp;$AO$1&amp;" "&amp;AO327&amp;" "&amp;$AP$1&amp;" "&amp;AP327&amp;" "&amp;$AQ$1&amp;" "&amp;AQ327</f>
        <v>Unloading no. 310 Bill No 56 ,Deduction For Oil Deduction= 0 ,Bardana= 2585 ,F.M=  Brokerage/Rate Difference 0 ,Shortage = 0 ,Greenish=  ,Moisture= 0</v>
      </c>
      <c r="BN327" s="9"/>
      <c r="BO327" s="13" t="str">
        <f t="shared" si="219"/>
        <v xml:space="preserve"> Party Condition 39.5  ,F.M% 0.46 ,Greenish 3.9 ,Moisture 5 ,Shortage in KG= 0  ,Oil% 40.21</v>
      </c>
      <c r="BP327" s="24">
        <f t="shared" ref="BP327:BP366" si="234">(Y327-AR327)/X327</f>
        <v>6670.068126984127</v>
      </c>
      <c r="BX327" s="27">
        <v>40.29</v>
      </c>
      <c r="BY327" s="27">
        <v>40.21</v>
      </c>
    </row>
    <row r="328" spans="1:77" customFormat="1" ht="15.75" hidden="1" x14ac:dyDescent="0.3">
      <c r="A328" s="128" t="s">
        <v>669</v>
      </c>
      <c r="B328" s="130">
        <v>46133</v>
      </c>
      <c r="C328" s="138">
        <v>311</v>
      </c>
      <c r="D328" s="128" t="s">
        <v>691</v>
      </c>
      <c r="E328" s="130">
        <v>46136</v>
      </c>
      <c r="F328" s="128" t="s">
        <v>98</v>
      </c>
      <c r="G328" s="128" t="s">
        <v>99</v>
      </c>
      <c r="H328" s="128" t="s">
        <v>199</v>
      </c>
      <c r="I328" s="136"/>
      <c r="J328" s="128" t="s">
        <v>113</v>
      </c>
      <c r="K328" s="128">
        <v>0</v>
      </c>
      <c r="L328" s="130">
        <v>46133</v>
      </c>
      <c r="M328" s="136"/>
      <c r="N328" s="128">
        <v>77</v>
      </c>
      <c r="O328" s="130">
        <v>46134</v>
      </c>
      <c r="P328" s="128">
        <v>0</v>
      </c>
      <c r="Q328" s="128">
        <v>287</v>
      </c>
      <c r="R328" s="128">
        <v>200</v>
      </c>
      <c r="S328" s="128">
        <v>487</v>
      </c>
      <c r="T328" s="128">
        <v>487</v>
      </c>
      <c r="U328" s="128">
        <v>0</v>
      </c>
      <c r="V328" s="128">
        <v>0</v>
      </c>
      <c r="W328" s="169">
        <v>292.2</v>
      </c>
      <c r="X328" s="169">
        <v>295.2</v>
      </c>
      <c r="Y328" s="169">
        <v>1986909.35</v>
      </c>
      <c r="Z328" s="136"/>
      <c r="AA328" s="128">
        <v>49672.73</v>
      </c>
      <c r="AB328" s="128">
        <v>49672.73</v>
      </c>
      <c r="AC328" s="128">
        <v>2086254.82</v>
      </c>
      <c r="AD328" s="143">
        <f t="shared" si="194"/>
        <v>2084168.5651800002</v>
      </c>
      <c r="AE328" s="147">
        <v>39.85</v>
      </c>
      <c r="AF328" s="169">
        <v>39.67</v>
      </c>
      <c r="AG328" s="147">
        <v>39.770000000000003</v>
      </c>
      <c r="AH328" s="170">
        <v>4.1000000000000003E-3</v>
      </c>
      <c r="AI328" s="170">
        <v>0.04</v>
      </c>
      <c r="AJ328" s="170">
        <v>5.1999999999999998E-2</v>
      </c>
      <c r="AK328" s="137">
        <f t="shared" ref="AK328:AK366" si="235">+IF(AF328=42,IF(MIN(AE328,AG328)&lt;AF328,Y328*((AF328-MIN(AE328,AG328))/AF328)),IF(MIN(AE328,AG328)&lt;AF328,Y328*((AF328-MIN(AE328,AG328))/AF328),0))</f>
        <v>0</v>
      </c>
      <c r="AL328" s="136">
        <f>487*0.5</f>
        <v>243.5</v>
      </c>
      <c r="AM328" s="136"/>
      <c r="AN328" s="165">
        <v>0</v>
      </c>
      <c r="AO328" s="140">
        <f t="shared" ref="AO328:AO366" si="236">AT328*Y328/AW328</f>
        <v>3807.9029295003425</v>
      </c>
      <c r="AP328" s="136"/>
      <c r="AQ328" s="137">
        <v>0</v>
      </c>
      <c r="AR328" s="155">
        <f t="shared" ref="AR328:AR366" si="237">SUM(AK328:AQ328)</f>
        <v>4051.4029295003425</v>
      </c>
      <c r="AS328" s="155">
        <f t="shared" ref="AS328:AS366" si="238">ROUND(AR328*1.05,0)</f>
        <v>4254</v>
      </c>
      <c r="AT328" s="137">
        <v>56</v>
      </c>
      <c r="AU328" s="136"/>
      <c r="AV328" s="136"/>
      <c r="AW328" s="137">
        <f t="shared" ref="AW328:AW366" si="239">W328*100</f>
        <v>29220</v>
      </c>
      <c r="AX328" s="136"/>
      <c r="AY328" s="137">
        <f t="shared" ref="AY328:AY366" si="240">+AW328+AX328</f>
        <v>29220</v>
      </c>
      <c r="AZ328" s="137">
        <f t="shared" ref="AZ328:AZ366" si="241">X328*100</f>
        <v>29520</v>
      </c>
      <c r="BA328" s="142">
        <f t="shared" ref="BA328:BA366" si="242">AY328-AZ328</f>
        <v>-300</v>
      </c>
      <c r="BB328" s="137"/>
      <c r="BC328" s="137">
        <v>0</v>
      </c>
      <c r="BD328" s="136"/>
      <c r="BE328" s="128">
        <v>295.8</v>
      </c>
      <c r="BF328" s="143">
        <f t="shared" si="228"/>
        <v>0.44369999999999998</v>
      </c>
      <c r="BG328" s="143">
        <f t="shared" si="229"/>
        <v>295.35630000000003</v>
      </c>
      <c r="BH328" s="143">
        <f t="shared" si="230"/>
        <v>295.2</v>
      </c>
      <c r="BI328" s="144">
        <f t="shared" si="231"/>
        <v>60.000000000002274</v>
      </c>
      <c r="BJ328" s="144">
        <v>0</v>
      </c>
      <c r="BK328" s="137">
        <f t="shared" si="232"/>
        <v>60.000000000002274</v>
      </c>
      <c r="BL328" s="9"/>
      <c r="BM328" s="10" t="str">
        <f t="shared" si="233"/>
        <v>Unloading no. 311 Bill No 77 ,Deduction For Oil Deduction= 0 ,Bardana= 243.5 ,F.M=  Brokerage/Rate Difference 0 ,Shortage = 3807.90292950034 ,Greenish=  ,Moisture= 0</v>
      </c>
      <c r="BN328" s="9"/>
      <c r="BO328" s="13" t="str">
        <f t="shared" si="219"/>
        <v xml:space="preserve"> Party Condition 39.67  ,F.M% 0.41 ,Greenish 4 ,Moisture 5.2 ,Shortage in KG= 56  ,Oil% 39.77</v>
      </c>
      <c r="BP328" s="24">
        <f t="shared" si="234"/>
        <v>6716.9984656859751</v>
      </c>
      <c r="BX328" s="27">
        <v>39.85</v>
      </c>
      <c r="BY328" s="27">
        <v>39.770000000000003</v>
      </c>
    </row>
    <row r="329" spans="1:77" customFormat="1" ht="15.75" hidden="1" x14ac:dyDescent="0.3">
      <c r="A329" s="128" t="s">
        <v>670</v>
      </c>
      <c r="B329" s="130">
        <v>46133</v>
      </c>
      <c r="C329" s="138">
        <v>312</v>
      </c>
      <c r="D329" s="128" t="s">
        <v>692</v>
      </c>
      <c r="E329" s="130">
        <v>46136</v>
      </c>
      <c r="F329" s="128" t="s">
        <v>110</v>
      </c>
      <c r="G329" s="128" t="s">
        <v>111</v>
      </c>
      <c r="H329" s="128" t="s">
        <v>112</v>
      </c>
      <c r="I329" s="136"/>
      <c r="J329" s="128" t="s">
        <v>113</v>
      </c>
      <c r="K329" s="128">
        <v>0</v>
      </c>
      <c r="L329" s="130">
        <v>46133</v>
      </c>
      <c r="M329" s="136"/>
      <c r="N329" s="128" t="s">
        <v>730</v>
      </c>
      <c r="O329" s="130">
        <v>46134</v>
      </c>
      <c r="P329" s="128">
        <v>0</v>
      </c>
      <c r="Q329" s="128">
        <v>300</v>
      </c>
      <c r="R329" s="128">
        <v>147</v>
      </c>
      <c r="S329" s="128">
        <v>447</v>
      </c>
      <c r="T329" s="128">
        <v>447</v>
      </c>
      <c r="U329" s="128">
        <v>0</v>
      </c>
      <c r="V329" s="128">
        <v>0</v>
      </c>
      <c r="W329" s="169">
        <v>268.2</v>
      </c>
      <c r="X329" s="169">
        <v>272</v>
      </c>
      <c r="Y329" s="169">
        <v>1819021.8</v>
      </c>
      <c r="Z329" s="136"/>
      <c r="AA329" s="128">
        <v>45475.55</v>
      </c>
      <c r="AB329" s="128">
        <v>45475.55</v>
      </c>
      <c r="AC329" s="128">
        <v>1909972.89</v>
      </c>
      <c r="AD329" s="143">
        <f t="shared" si="194"/>
        <v>1908062.9171099998</v>
      </c>
      <c r="AE329" s="147">
        <v>40.159999999999997</v>
      </c>
      <c r="AF329" s="169">
        <v>39.72</v>
      </c>
      <c r="AG329" s="147">
        <v>40.130000000000003</v>
      </c>
      <c r="AH329" s="170">
        <v>4.5999999999999999E-3</v>
      </c>
      <c r="AI329" s="170">
        <v>3.7199999999999997E-2</v>
      </c>
      <c r="AJ329" s="170">
        <v>5.3999999999999999E-2</v>
      </c>
      <c r="AK329" s="137">
        <f t="shared" si="235"/>
        <v>0</v>
      </c>
      <c r="AL329" s="136">
        <f>447*5</f>
        <v>2235</v>
      </c>
      <c r="AM329" s="136"/>
      <c r="AN329" s="165">
        <v>0</v>
      </c>
      <c r="AO329" s="140">
        <f t="shared" si="236"/>
        <v>0</v>
      </c>
      <c r="AP329" s="136"/>
      <c r="AQ329" s="137">
        <v>0</v>
      </c>
      <c r="AR329" s="155">
        <f t="shared" si="237"/>
        <v>2235</v>
      </c>
      <c r="AS329" s="155">
        <f t="shared" si="238"/>
        <v>2347</v>
      </c>
      <c r="AT329" s="137">
        <v>0</v>
      </c>
      <c r="AU329" s="136"/>
      <c r="AV329" s="136"/>
      <c r="AW329" s="137">
        <f t="shared" si="239"/>
        <v>26820</v>
      </c>
      <c r="AX329" s="136"/>
      <c r="AY329" s="137">
        <f t="shared" si="240"/>
        <v>26820</v>
      </c>
      <c r="AZ329" s="137">
        <f t="shared" si="241"/>
        <v>27200</v>
      </c>
      <c r="BA329" s="142">
        <f t="shared" si="242"/>
        <v>-380</v>
      </c>
      <c r="BB329" s="137"/>
      <c r="BC329" s="137">
        <v>0</v>
      </c>
      <c r="BD329" s="136"/>
      <c r="BE329" s="128">
        <v>271.64999999999998</v>
      </c>
      <c r="BF329" s="143">
        <f t="shared" si="228"/>
        <v>0.40747499999999998</v>
      </c>
      <c r="BG329" s="143">
        <f t="shared" si="229"/>
        <v>271.242525</v>
      </c>
      <c r="BH329" s="143">
        <f t="shared" si="230"/>
        <v>272</v>
      </c>
      <c r="BI329" s="144">
        <f t="shared" si="231"/>
        <v>-35.000000000002274</v>
      </c>
      <c r="BJ329" s="144">
        <v>0</v>
      </c>
      <c r="BK329" s="137">
        <f t="shared" si="232"/>
        <v>-35.000000000002274</v>
      </c>
      <c r="BL329" s="9"/>
      <c r="BM329" s="10" t="str">
        <f t="shared" si="233"/>
        <v>Unloading no. 312 Bill No G1664 ,Deduction For Oil Deduction= 0 ,Bardana= 2235 ,F.M=  Brokerage/Rate Difference 0 ,Shortage = 0 ,Greenish=  ,Moisture= 0</v>
      </c>
      <c r="BN329" s="9"/>
      <c r="BO329" s="13" t="str">
        <f t="shared" si="219"/>
        <v xml:space="preserve"> Party Condition 39.72  ,F.M% 0.46 ,Greenish 3.72 ,Moisture 5.4 ,Shortage in KG= 0  ,Oil% 40.13</v>
      </c>
      <c r="BP329" s="24">
        <f t="shared" si="234"/>
        <v>6679.3632352941177</v>
      </c>
      <c r="BX329" s="27">
        <v>40.159999999999997</v>
      </c>
      <c r="BY329" s="27">
        <v>40.130000000000003</v>
      </c>
    </row>
    <row r="330" spans="1:77" customFormat="1" ht="15.75" hidden="1" x14ac:dyDescent="0.3">
      <c r="A330" s="128" t="s">
        <v>630</v>
      </c>
      <c r="B330" s="130">
        <v>46133</v>
      </c>
      <c r="C330" s="138">
        <v>313</v>
      </c>
      <c r="D330" s="128" t="s">
        <v>693</v>
      </c>
      <c r="E330" s="130">
        <v>46136</v>
      </c>
      <c r="F330" s="128" t="s">
        <v>95</v>
      </c>
      <c r="G330" s="128" t="s">
        <v>96</v>
      </c>
      <c r="H330" s="128" t="s">
        <v>97</v>
      </c>
      <c r="I330" s="136"/>
      <c r="J330" s="128" t="s">
        <v>113</v>
      </c>
      <c r="K330" s="128">
        <v>0</v>
      </c>
      <c r="L330" s="130">
        <v>46133</v>
      </c>
      <c r="M330" s="136"/>
      <c r="N330" s="128">
        <v>110</v>
      </c>
      <c r="O330" s="130">
        <v>46134</v>
      </c>
      <c r="P330" s="128">
        <v>0</v>
      </c>
      <c r="Q330" s="128">
        <v>390</v>
      </c>
      <c r="R330" s="128">
        <v>64</v>
      </c>
      <c r="S330" s="128">
        <v>454</v>
      </c>
      <c r="T330" s="128">
        <v>454</v>
      </c>
      <c r="U330" s="128">
        <v>0</v>
      </c>
      <c r="V330" s="128">
        <v>0</v>
      </c>
      <c r="W330" s="169">
        <v>272.39999999999998</v>
      </c>
      <c r="X330" s="169">
        <v>276.2</v>
      </c>
      <c r="Y330" s="169">
        <v>1862363.39</v>
      </c>
      <c r="Z330" s="136"/>
      <c r="AA330" s="128">
        <v>46559.08</v>
      </c>
      <c r="AB330" s="128">
        <v>46559.08</v>
      </c>
      <c r="AC330" s="128">
        <v>1955481.56</v>
      </c>
      <c r="AD330" s="143">
        <f t="shared" si="194"/>
        <v>1953526.0784400001</v>
      </c>
      <c r="AE330" s="147">
        <v>41.06</v>
      </c>
      <c r="AF330" s="169">
        <v>40.1</v>
      </c>
      <c r="AG330" s="147">
        <v>40.909999999999997</v>
      </c>
      <c r="AH330" s="170">
        <v>4.1999999999999997E-3</v>
      </c>
      <c r="AI330" s="170">
        <v>3.61E-2</v>
      </c>
      <c r="AJ330" s="170">
        <v>4.4999999999999998E-2</v>
      </c>
      <c r="AK330" s="137">
        <f t="shared" si="235"/>
        <v>0</v>
      </c>
      <c r="AL330" s="136">
        <v>0</v>
      </c>
      <c r="AM330" s="136"/>
      <c r="AN330" s="165">
        <v>0</v>
      </c>
      <c r="AO330" s="140">
        <f t="shared" si="236"/>
        <v>0</v>
      </c>
      <c r="AP330" s="136"/>
      <c r="AQ330" s="137">
        <v>0</v>
      </c>
      <c r="AR330" s="155">
        <f t="shared" si="237"/>
        <v>0</v>
      </c>
      <c r="AS330" s="155">
        <f t="shared" si="238"/>
        <v>0</v>
      </c>
      <c r="AT330" s="137">
        <v>0</v>
      </c>
      <c r="AU330" s="136" t="s">
        <v>664</v>
      </c>
      <c r="AV330" s="136"/>
      <c r="AW330" s="137">
        <f t="shared" si="239"/>
        <v>27239.999999999996</v>
      </c>
      <c r="AX330" s="136"/>
      <c r="AY330" s="137">
        <f t="shared" si="240"/>
        <v>27239.999999999996</v>
      </c>
      <c r="AZ330" s="137">
        <f t="shared" si="241"/>
        <v>27620</v>
      </c>
      <c r="BA330" s="142">
        <f t="shared" si="242"/>
        <v>-380.00000000000364</v>
      </c>
      <c r="BB330" s="137"/>
      <c r="BC330" s="137">
        <v>0</v>
      </c>
      <c r="BD330" s="136"/>
      <c r="BE330" s="128">
        <v>276</v>
      </c>
      <c r="BF330" s="143">
        <f t="shared" si="228"/>
        <v>0.41399999999999998</v>
      </c>
      <c r="BG330" s="143">
        <f t="shared" si="229"/>
        <v>275.58600000000001</v>
      </c>
      <c r="BH330" s="143">
        <f t="shared" si="230"/>
        <v>276.2</v>
      </c>
      <c r="BI330" s="144">
        <f t="shared" si="231"/>
        <v>-19.999999999998863</v>
      </c>
      <c r="BJ330" s="144">
        <v>0</v>
      </c>
      <c r="BK330" s="137">
        <f t="shared" si="232"/>
        <v>-19.999999999998863</v>
      </c>
      <c r="BL330" s="9"/>
      <c r="BM330" s="10" t="str">
        <f t="shared" si="233"/>
        <v>Unloading no. 313 Bill No 110 ,Deduction For Oil Deduction= 0 ,Bardana= 0 ,F.M=  Brokerage/Rate Difference 0 ,Shortage = 0 ,Greenish=  ,Moisture= 0</v>
      </c>
      <c r="BN330" s="9"/>
      <c r="BO330" s="13" t="str">
        <f t="shared" si="219"/>
        <v xml:space="preserve"> Party Condition 40.1  ,F.M% 0.42 ,Greenish 3.61 ,Moisture 4.5 ,Shortage in KG= 0  ,Oil% 40.91</v>
      </c>
      <c r="BP330" s="24">
        <f t="shared" si="234"/>
        <v>6742.8073497465602</v>
      </c>
      <c r="BX330" s="27">
        <v>41.06</v>
      </c>
      <c r="BY330" s="27">
        <v>40.909999999999997</v>
      </c>
    </row>
    <row r="331" spans="1:77" customFormat="1" ht="15.75" hidden="1" x14ac:dyDescent="0.3">
      <c r="A331" s="163" t="s">
        <v>671</v>
      </c>
      <c r="B331" s="166">
        <v>46133</v>
      </c>
      <c r="C331" s="187">
        <v>314</v>
      </c>
      <c r="D331" s="163" t="s">
        <v>694</v>
      </c>
      <c r="E331" s="166">
        <v>46136</v>
      </c>
      <c r="F331" s="163" t="s">
        <v>101</v>
      </c>
      <c r="G331" s="163" t="s">
        <v>102</v>
      </c>
      <c r="H331" s="163" t="s">
        <v>103</v>
      </c>
      <c r="I331" s="157"/>
      <c r="J331" s="163" t="s">
        <v>113</v>
      </c>
      <c r="K331" s="163">
        <v>0</v>
      </c>
      <c r="L331" s="166">
        <v>46133</v>
      </c>
      <c r="M331" s="157"/>
      <c r="N331" s="163" t="s">
        <v>731</v>
      </c>
      <c r="O331" s="166">
        <v>46134</v>
      </c>
      <c r="P331" s="163">
        <v>0</v>
      </c>
      <c r="Q331" s="163">
        <v>400</v>
      </c>
      <c r="R331" s="163">
        <v>106</v>
      </c>
      <c r="S331" s="163">
        <v>506</v>
      </c>
      <c r="T331" s="163">
        <v>506</v>
      </c>
      <c r="U331" s="163">
        <v>0</v>
      </c>
      <c r="V331" s="163">
        <v>0</v>
      </c>
      <c r="W331" s="188">
        <v>303.60000000000002</v>
      </c>
      <c r="X331" s="188">
        <v>307.8</v>
      </c>
      <c r="Y331" s="169">
        <v>2070188.69</v>
      </c>
      <c r="Z331" s="136"/>
      <c r="AA331" s="128">
        <v>51754.720000000001</v>
      </c>
      <c r="AB331" s="128">
        <v>51754.720000000001</v>
      </c>
      <c r="AC331" s="128">
        <v>2173698.12</v>
      </c>
      <c r="AD331" s="143">
        <f t="shared" si="194"/>
        <v>2171524.4218800003</v>
      </c>
      <c r="AE331" s="147">
        <v>40.25</v>
      </c>
      <c r="AF331" s="169">
        <v>39.65</v>
      </c>
      <c r="AG331" s="147">
        <v>40.26</v>
      </c>
      <c r="AH331" s="170">
        <v>4.3E-3</v>
      </c>
      <c r="AI331" s="170">
        <v>0.05</v>
      </c>
      <c r="AJ331" s="170">
        <v>4.7E-2</v>
      </c>
      <c r="AK331" s="137">
        <f t="shared" si="235"/>
        <v>0</v>
      </c>
      <c r="AL331" s="136">
        <f>506*5</f>
        <v>2530</v>
      </c>
      <c r="AM331" s="136"/>
      <c r="AN331" s="165">
        <v>0</v>
      </c>
      <c r="AO331" s="140">
        <f t="shared" si="236"/>
        <v>0</v>
      </c>
      <c r="AP331" s="136"/>
      <c r="AQ331" s="137">
        <v>0</v>
      </c>
      <c r="AR331" s="155">
        <f t="shared" si="237"/>
        <v>2530</v>
      </c>
      <c r="AS331" s="155">
        <f t="shared" si="238"/>
        <v>2657</v>
      </c>
      <c r="AT331" s="137">
        <v>0</v>
      </c>
      <c r="AU331" s="136" t="s">
        <v>664</v>
      </c>
      <c r="AV331" s="136"/>
      <c r="AW331" s="137">
        <f t="shared" si="239"/>
        <v>30360.000000000004</v>
      </c>
      <c r="AX331" s="136"/>
      <c r="AY331" s="137">
        <f t="shared" si="240"/>
        <v>30360.000000000004</v>
      </c>
      <c r="AZ331" s="137">
        <f t="shared" si="241"/>
        <v>30780</v>
      </c>
      <c r="BA331" s="142">
        <f t="shared" si="242"/>
        <v>-419.99999999999636</v>
      </c>
      <c r="BB331" s="137"/>
      <c r="BC331" s="137">
        <v>0</v>
      </c>
      <c r="BD331" s="136"/>
      <c r="BE331" s="128">
        <v>307.7</v>
      </c>
      <c r="BF331" s="143">
        <f t="shared" si="228"/>
        <v>0.46154999999999996</v>
      </c>
      <c r="BG331" s="143">
        <f t="shared" si="229"/>
        <v>307.23845</v>
      </c>
      <c r="BH331" s="143">
        <f t="shared" si="230"/>
        <v>307.8</v>
      </c>
      <c r="BI331" s="144">
        <f t="shared" si="231"/>
        <v>-10.000000000002274</v>
      </c>
      <c r="BJ331" s="144">
        <v>0</v>
      </c>
      <c r="BK331" s="137">
        <f t="shared" si="232"/>
        <v>-10.000000000002274</v>
      </c>
      <c r="BL331" s="9"/>
      <c r="BM331" s="10" t="str">
        <f t="shared" si="233"/>
        <v>Unloading no. 314 Bill No L/PB/26-27/42 ,Deduction For Oil Deduction= 0 ,Bardana= 2530 ,F.M=  Brokerage/Rate Difference 0 ,Shortage = 0 ,Greenish=  ,Moisture= 0</v>
      </c>
      <c r="BN331" s="9"/>
      <c r="BO331" s="13" t="str">
        <f t="shared" si="219"/>
        <v xml:space="preserve"> Party Condition 39.65  ,F.M% 0.43 ,Greenish 5 ,Moisture 4.7 ,Shortage in KG= 0  ,Oil% 40.25</v>
      </c>
      <c r="BP331" s="24">
        <f t="shared" si="234"/>
        <v>6717.5396036387256</v>
      </c>
      <c r="BX331" s="27">
        <v>40.25</v>
      </c>
      <c r="BY331" s="27">
        <v>40.26</v>
      </c>
    </row>
    <row r="332" spans="1:77" customFormat="1" ht="15.75" hidden="1" x14ac:dyDescent="0.3">
      <c r="A332" s="163" t="s">
        <v>670</v>
      </c>
      <c r="B332" s="166">
        <v>46133</v>
      </c>
      <c r="C332" s="187">
        <v>315</v>
      </c>
      <c r="D332" s="163" t="s">
        <v>695</v>
      </c>
      <c r="E332" s="166">
        <v>46136</v>
      </c>
      <c r="F332" s="163" t="s">
        <v>110</v>
      </c>
      <c r="G332" s="163" t="s">
        <v>111</v>
      </c>
      <c r="H332" s="163" t="s">
        <v>112</v>
      </c>
      <c r="I332" s="157"/>
      <c r="J332" s="163" t="s">
        <v>113</v>
      </c>
      <c r="K332" s="163">
        <v>0</v>
      </c>
      <c r="L332" s="166">
        <v>46133</v>
      </c>
      <c r="M332" s="157"/>
      <c r="N332" s="163" t="s">
        <v>732</v>
      </c>
      <c r="O332" s="166">
        <v>46134</v>
      </c>
      <c r="P332" s="163">
        <v>0</v>
      </c>
      <c r="Q332" s="163">
        <v>270</v>
      </c>
      <c r="R332" s="163">
        <v>41</v>
      </c>
      <c r="S332" s="163">
        <v>311</v>
      </c>
      <c r="T332" s="163">
        <v>311</v>
      </c>
      <c r="U332" s="163">
        <v>0</v>
      </c>
      <c r="V332" s="163">
        <v>0</v>
      </c>
      <c r="W332" s="188">
        <v>186.6</v>
      </c>
      <c r="X332" s="188">
        <v>189.5</v>
      </c>
      <c r="Y332" s="169">
        <v>1265583.3999999999</v>
      </c>
      <c r="Z332" s="136"/>
      <c r="AA332" s="128">
        <v>31639.59</v>
      </c>
      <c r="AB332" s="128">
        <v>31639.59</v>
      </c>
      <c r="AC332" s="128">
        <v>1328862.57</v>
      </c>
      <c r="AD332" s="143">
        <f t="shared" si="194"/>
        <v>1327533.70743</v>
      </c>
      <c r="AE332" s="147">
        <v>40.65</v>
      </c>
      <c r="AF332" s="169">
        <v>39.72</v>
      </c>
      <c r="AG332" s="147">
        <v>40.659999999999997</v>
      </c>
      <c r="AH332" s="170">
        <v>4.5999999999999999E-3</v>
      </c>
      <c r="AI332" s="170">
        <v>4.1500000000000002E-2</v>
      </c>
      <c r="AJ332" s="170">
        <v>4.9000000000000002E-2</v>
      </c>
      <c r="AK332" s="137">
        <f t="shared" si="235"/>
        <v>0</v>
      </c>
      <c r="AL332" s="136">
        <f>311*5</f>
        <v>1555</v>
      </c>
      <c r="AM332" s="136"/>
      <c r="AN332" s="165">
        <v>0</v>
      </c>
      <c r="AO332" s="140">
        <f t="shared" si="236"/>
        <v>0</v>
      </c>
      <c r="AP332" s="136"/>
      <c r="AQ332" s="137">
        <v>0</v>
      </c>
      <c r="AR332" s="155">
        <f t="shared" si="237"/>
        <v>1555</v>
      </c>
      <c r="AS332" s="155">
        <f t="shared" si="238"/>
        <v>1633</v>
      </c>
      <c r="AT332" s="137">
        <v>0</v>
      </c>
      <c r="AU332" s="136"/>
      <c r="AV332" s="136"/>
      <c r="AW332" s="137">
        <f t="shared" si="239"/>
        <v>18660</v>
      </c>
      <c r="AX332" s="136"/>
      <c r="AY332" s="137">
        <f t="shared" si="240"/>
        <v>18660</v>
      </c>
      <c r="AZ332" s="137">
        <f t="shared" si="241"/>
        <v>18950</v>
      </c>
      <c r="BA332" s="142">
        <f t="shared" si="242"/>
        <v>-290</v>
      </c>
      <c r="BB332" s="137"/>
      <c r="BC332" s="137">
        <v>0</v>
      </c>
      <c r="BD332" s="136"/>
      <c r="BE332" s="128">
        <v>189.6</v>
      </c>
      <c r="BF332" s="143">
        <f t="shared" si="228"/>
        <v>0.28439999999999999</v>
      </c>
      <c r="BG332" s="143">
        <f t="shared" si="229"/>
        <v>189.31559999999999</v>
      </c>
      <c r="BH332" s="143">
        <f t="shared" si="230"/>
        <v>189.5</v>
      </c>
      <c r="BI332" s="144">
        <f t="shared" si="231"/>
        <v>9.9999999999994316</v>
      </c>
      <c r="BJ332" s="144">
        <v>0</v>
      </c>
      <c r="BK332" s="137">
        <f t="shared" si="232"/>
        <v>9.9999999999994316</v>
      </c>
      <c r="BL332" s="9"/>
      <c r="BM332" s="10" t="str">
        <f t="shared" si="233"/>
        <v>Unloading no. 315 Bill No G1665 ,Deduction For Oil Deduction= 0 ,Bardana= 1555 ,F.M=  Brokerage/Rate Difference 0 ,Shortage = 0 ,Greenish=  ,Moisture= 0</v>
      </c>
      <c r="BN332" s="9"/>
      <c r="BO332" s="13" t="str">
        <f t="shared" si="219"/>
        <v xml:space="preserve"> Party Condition 39.72  ,F.M% 0.46 ,Greenish 4.15 ,Moisture 4.9 ,Shortage in KG= 0  ,Oil% 40.65</v>
      </c>
      <c r="BP332" s="24">
        <f t="shared" si="234"/>
        <v>6670.3345646437992</v>
      </c>
      <c r="BX332" s="27">
        <v>40.65</v>
      </c>
      <c r="BY332" s="27">
        <v>40.659999999999997</v>
      </c>
    </row>
    <row r="333" spans="1:77" customFormat="1" ht="15.75" hidden="1" x14ac:dyDescent="0.3">
      <c r="A333" s="163" t="s">
        <v>672</v>
      </c>
      <c r="B333" s="166">
        <v>46134</v>
      </c>
      <c r="C333" s="187">
        <v>316</v>
      </c>
      <c r="D333" s="163" t="s">
        <v>696</v>
      </c>
      <c r="E333" s="166">
        <v>46136</v>
      </c>
      <c r="F333" s="163" t="s">
        <v>95</v>
      </c>
      <c r="G333" s="163" t="s">
        <v>96</v>
      </c>
      <c r="H333" s="163" t="s">
        <v>97</v>
      </c>
      <c r="I333" s="157"/>
      <c r="J333" s="163" t="s">
        <v>113</v>
      </c>
      <c r="K333" s="163">
        <v>0</v>
      </c>
      <c r="L333" s="166">
        <v>46134</v>
      </c>
      <c r="M333" s="157"/>
      <c r="N333" s="163">
        <v>112</v>
      </c>
      <c r="O333" s="166">
        <v>46134</v>
      </c>
      <c r="P333" s="163">
        <v>0</v>
      </c>
      <c r="Q333" s="163">
        <v>450</v>
      </c>
      <c r="R333" s="163">
        <v>0</v>
      </c>
      <c r="S333" s="163">
        <v>450</v>
      </c>
      <c r="T333" s="163">
        <v>450</v>
      </c>
      <c r="U333" s="163">
        <v>0</v>
      </c>
      <c r="V333" s="163">
        <v>0</v>
      </c>
      <c r="W333" s="188">
        <v>270</v>
      </c>
      <c r="X333" s="188">
        <v>273</v>
      </c>
      <c r="Y333" s="169">
        <v>1877731.2</v>
      </c>
      <c r="Z333" s="136"/>
      <c r="AA333" s="128">
        <v>46943.28</v>
      </c>
      <c r="AB333" s="128">
        <v>46943.28</v>
      </c>
      <c r="AC333" s="128">
        <v>1971617.76</v>
      </c>
      <c r="AD333" s="143">
        <f t="shared" si="194"/>
        <v>1969646.14224</v>
      </c>
      <c r="AE333" s="147">
        <v>40.36</v>
      </c>
      <c r="AF333" s="169">
        <v>40.090000000000003</v>
      </c>
      <c r="AG333" s="147">
        <v>40.299999999999997</v>
      </c>
      <c r="AH333" s="170">
        <v>4.4000000000000003E-3</v>
      </c>
      <c r="AI333" s="170">
        <v>3.9E-2</v>
      </c>
      <c r="AJ333" s="170">
        <v>0.05</v>
      </c>
      <c r="AK333" s="137">
        <f t="shared" si="235"/>
        <v>0</v>
      </c>
      <c r="AL333" s="136">
        <v>0</v>
      </c>
      <c r="AM333" s="136"/>
      <c r="AN333" s="165">
        <v>0</v>
      </c>
      <c r="AO333" s="140">
        <f t="shared" si="236"/>
        <v>0</v>
      </c>
      <c r="AP333" s="136"/>
      <c r="AQ333" s="137">
        <v>0</v>
      </c>
      <c r="AR333" s="155">
        <f t="shared" si="237"/>
        <v>0</v>
      </c>
      <c r="AS333" s="155">
        <f t="shared" si="238"/>
        <v>0</v>
      </c>
      <c r="AT333" s="137">
        <v>0</v>
      </c>
      <c r="AU333" s="136" t="s">
        <v>664</v>
      </c>
      <c r="AV333" s="136"/>
      <c r="AW333" s="137">
        <f t="shared" si="239"/>
        <v>27000</v>
      </c>
      <c r="AX333" s="136"/>
      <c r="AY333" s="137">
        <f t="shared" si="240"/>
        <v>27000</v>
      </c>
      <c r="AZ333" s="137">
        <f t="shared" si="241"/>
        <v>27300</v>
      </c>
      <c r="BA333" s="142">
        <f t="shared" si="242"/>
        <v>-300</v>
      </c>
      <c r="BB333" s="137"/>
      <c r="BC333" s="137">
        <v>0</v>
      </c>
      <c r="BD333" s="136"/>
      <c r="BE333" s="128">
        <v>273.3</v>
      </c>
      <c r="BF333" s="143">
        <f t="shared" si="228"/>
        <v>0.40994999999999998</v>
      </c>
      <c r="BG333" s="143">
        <f t="shared" si="229"/>
        <v>272.89005000000003</v>
      </c>
      <c r="BH333" s="143">
        <f t="shared" si="230"/>
        <v>273</v>
      </c>
      <c r="BI333" s="144">
        <f t="shared" si="231"/>
        <v>30.000000000001137</v>
      </c>
      <c r="BJ333" s="144">
        <v>0</v>
      </c>
      <c r="BK333" s="137">
        <f t="shared" si="232"/>
        <v>30.000000000001137</v>
      </c>
      <c r="BL333" s="9"/>
      <c r="BM333" s="10" t="str">
        <f t="shared" si="233"/>
        <v>Unloading no. 316 Bill No 112 ,Deduction For Oil Deduction= 0 ,Bardana= 0 ,F.M=  Brokerage/Rate Difference 0 ,Shortage = 0 ,Greenish=  ,Moisture= 0</v>
      </c>
      <c r="BN333" s="9"/>
      <c r="BO333" s="13" t="str">
        <f t="shared" si="219"/>
        <v xml:space="preserve"> Party Condition 40.09  ,F.M% 0.44 ,Greenish 3.9 ,Moisture 5 ,Shortage in KG= 0  ,Oil% 40.3</v>
      </c>
      <c r="BP333" s="24">
        <f t="shared" si="234"/>
        <v>6878.1362637362636</v>
      </c>
      <c r="BX333" s="27">
        <v>40.36</v>
      </c>
      <c r="BY333" s="27">
        <v>40.299999999999997</v>
      </c>
    </row>
    <row r="334" spans="1:77" customFormat="1" ht="15.75" hidden="1" x14ac:dyDescent="0.3">
      <c r="A334" s="163" t="s">
        <v>673</v>
      </c>
      <c r="B334" s="166">
        <v>46134</v>
      </c>
      <c r="C334" s="187">
        <v>317</v>
      </c>
      <c r="D334" s="163" t="s">
        <v>697</v>
      </c>
      <c r="E334" s="166">
        <v>46136</v>
      </c>
      <c r="F334" s="163" t="s">
        <v>110</v>
      </c>
      <c r="G334" s="163" t="s">
        <v>111</v>
      </c>
      <c r="H334" s="163" t="s">
        <v>112</v>
      </c>
      <c r="I334" s="157"/>
      <c r="J334" s="163" t="s">
        <v>113</v>
      </c>
      <c r="K334" s="163">
        <v>0</v>
      </c>
      <c r="L334" s="166">
        <v>46134</v>
      </c>
      <c r="M334" s="157"/>
      <c r="N334" s="163" t="s">
        <v>733</v>
      </c>
      <c r="O334" s="166">
        <v>46134</v>
      </c>
      <c r="P334" s="163">
        <v>0</v>
      </c>
      <c r="Q334" s="163">
        <v>300</v>
      </c>
      <c r="R334" s="163">
        <v>182</v>
      </c>
      <c r="S334" s="163">
        <v>482</v>
      </c>
      <c r="T334" s="163">
        <v>482</v>
      </c>
      <c r="U334" s="163">
        <v>0</v>
      </c>
      <c r="V334" s="163">
        <v>0</v>
      </c>
      <c r="W334" s="188">
        <v>289.2</v>
      </c>
      <c r="X334" s="188">
        <v>293.89999999999998</v>
      </c>
      <c r="Y334" s="169">
        <v>1960872.4</v>
      </c>
      <c r="Z334" s="136"/>
      <c r="AA334" s="128">
        <v>49021.81</v>
      </c>
      <c r="AB334" s="128">
        <v>49021.81</v>
      </c>
      <c r="AC334" s="128">
        <v>2058916.02</v>
      </c>
      <c r="AD334" s="143">
        <f t="shared" si="194"/>
        <v>2056857.1039800001</v>
      </c>
      <c r="AE334" s="147">
        <v>40.6</v>
      </c>
      <c r="AF334" s="169">
        <v>39.520000000000003</v>
      </c>
      <c r="AG334" s="147">
        <v>40.65</v>
      </c>
      <c r="AH334" s="170">
        <v>4.8999999999999998E-3</v>
      </c>
      <c r="AI334" s="170">
        <v>3.7999999999999999E-2</v>
      </c>
      <c r="AJ334" s="170">
        <v>0.05</v>
      </c>
      <c r="AK334" s="137">
        <f t="shared" si="235"/>
        <v>0</v>
      </c>
      <c r="AL334" s="136">
        <f>482*5</f>
        <v>2410</v>
      </c>
      <c r="AM334" s="136"/>
      <c r="AN334" s="165">
        <v>0</v>
      </c>
      <c r="AO334" s="140">
        <f t="shared" si="236"/>
        <v>0</v>
      </c>
      <c r="AP334" s="136"/>
      <c r="AQ334" s="137">
        <v>0</v>
      </c>
      <c r="AR334" s="155">
        <f t="shared" si="237"/>
        <v>2410</v>
      </c>
      <c r="AS334" s="155">
        <f t="shared" si="238"/>
        <v>2531</v>
      </c>
      <c r="AT334" s="137">
        <v>0</v>
      </c>
      <c r="AU334" s="136"/>
      <c r="AV334" s="136"/>
      <c r="AW334" s="137">
        <f t="shared" si="239"/>
        <v>28920</v>
      </c>
      <c r="AX334" s="136"/>
      <c r="AY334" s="137">
        <f t="shared" si="240"/>
        <v>28920</v>
      </c>
      <c r="AZ334" s="137">
        <f t="shared" si="241"/>
        <v>29389.999999999996</v>
      </c>
      <c r="BA334" s="142">
        <f t="shared" si="242"/>
        <v>-469.99999999999636</v>
      </c>
      <c r="BB334" s="137"/>
      <c r="BC334" s="137">
        <v>0</v>
      </c>
      <c r="BD334" s="136"/>
      <c r="BE334" s="128">
        <v>294.14999999999998</v>
      </c>
      <c r="BF334" s="143">
        <f t="shared" si="228"/>
        <v>0.44122499999999998</v>
      </c>
      <c r="BG334" s="143">
        <f t="shared" si="229"/>
        <v>293.708775</v>
      </c>
      <c r="BH334" s="143">
        <f t="shared" si="230"/>
        <v>293.89999999999998</v>
      </c>
      <c r="BI334" s="144">
        <f t="shared" si="231"/>
        <v>25</v>
      </c>
      <c r="BJ334" s="144">
        <v>0</v>
      </c>
      <c r="BK334" s="137">
        <f t="shared" si="232"/>
        <v>25</v>
      </c>
      <c r="BL334" s="9"/>
      <c r="BM334" s="10" t="str">
        <f t="shared" si="233"/>
        <v>Unloading no. 317 Bill No G1666 ,Deduction For Oil Deduction= 0 ,Bardana= 2410 ,F.M=  Brokerage/Rate Difference 0 ,Shortage = 0 ,Greenish=  ,Moisture= 0</v>
      </c>
      <c r="BN334" s="9"/>
      <c r="BO334" s="13" t="str">
        <f t="shared" si="219"/>
        <v xml:space="preserve"> Party Condition 39.52  ,F.M% 0.49 ,Greenish 3.8 ,Moisture 5 ,Shortage in KG= 0  ,Oil% 40.6</v>
      </c>
      <c r="BP334" s="24">
        <f t="shared" si="234"/>
        <v>6663.7033004423274</v>
      </c>
      <c r="BX334" s="27">
        <v>40.6</v>
      </c>
      <c r="BY334" s="27">
        <v>40.65</v>
      </c>
    </row>
    <row r="335" spans="1:77" customFormat="1" ht="15.75" hidden="1" x14ac:dyDescent="0.3">
      <c r="A335" s="163" t="s">
        <v>671</v>
      </c>
      <c r="B335" s="166">
        <v>46133</v>
      </c>
      <c r="C335" s="187">
        <v>318</v>
      </c>
      <c r="D335" s="163" t="s">
        <v>698</v>
      </c>
      <c r="E335" s="166">
        <v>46136</v>
      </c>
      <c r="F335" s="163" t="s">
        <v>101</v>
      </c>
      <c r="G335" s="163" t="s">
        <v>102</v>
      </c>
      <c r="H335" s="163" t="s">
        <v>103</v>
      </c>
      <c r="I335" s="157"/>
      <c r="J335" s="163" t="s">
        <v>113</v>
      </c>
      <c r="K335" s="163">
        <v>0</v>
      </c>
      <c r="L335" s="166">
        <v>46133</v>
      </c>
      <c r="M335" s="157"/>
      <c r="N335" s="163" t="s">
        <v>734</v>
      </c>
      <c r="O335" s="166">
        <v>46134</v>
      </c>
      <c r="P335" s="163">
        <v>0</v>
      </c>
      <c r="Q335" s="163">
        <v>729</v>
      </c>
      <c r="R335" s="163">
        <v>0</v>
      </c>
      <c r="S335" s="163">
        <v>729</v>
      </c>
      <c r="T335" s="163">
        <v>729</v>
      </c>
      <c r="U335" s="163">
        <v>0</v>
      </c>
      <c r="V335" s="163">
        <v>0</v>
      </c>
      <c r="W335" s="188">
        <v>437.4</v>
      </c>
      <c r="X335" s="188">
        <v>442.7</v>
      </c>
      <c r="Y335" s="169">
        <v>2982544.58</v>
      </c>
      <c r="Z335" s="136"/>
      <c r="AA335" s="128">
        <v>74563.61</v>
      </c>
      <c r="AB335" s="128">
        <v>74563.61</v>
      </c>
      <c r="AC335" s="128">
        <v>3131671.81</v>
      </c>
      <c r="AD335" s="143">
        <f t="shared" si="194"/>
        <v>3128540.1381899999</v>
      </c>
      <c r="AE335" s="147">
        <v>39.659999999999997</v>
      </c>
      <c r="AF335" s="169">
        <v>39.65</v>
      </c>
      <c r="AG335" s="147">
        <v>39.520000000000003</v>
      </c>
      <c r="AH335" s="170">
        <v>4.7000000000000002E-3</v>
      </c>
      <c r="AI335" s="170">
        <v>3.7999999999999999E-2</v>
      </c>
      <c r="AJ335" s="170">
        <v>5.0999999999999997E-2</v>
      </c>
      <c r="AK335" s="137">
        <v>0</v>
      </c>
      <c r="AL335" s="136">
        <f>729*5</f>
        <v>3645</v>
      </c>
      <c r="AM335" s="136"/>
      <c r="AN335" s="165">
        <v>0</v>
      </c>
      <c r="AO335" s="140">
        <f t="shared" si="236"/>
        <v>0</v>
      </c>
      <c r="AP335" s="136"/>
      <c r="AQ335" s="137">
        <v>0</v>
      </c>
      <c r="AR335" s="155">
        <f t="shared" si="237"/>
        <v>3645</v>
      </c>
      <c r="AS335" s="155">
        <f t="shared" si="238"/>
        <v>3827</v>
      </c>
      <c r="AT335" s="137">
        <v>0</v>
      </c>
      <c r="AU335" s="136" t="s">
        <v>664</v>
      </c>
      <c r="AV335" s="136"/>
      <c r="AW335" s="137">
        <f t="shared" si="239"/>
        <v>43740</v>
      </c>
      <c r="AX335" s="136"/>
      <c r="AY335" s="137">
        <f t="shared" si="240"/>
        <v>43740</v>
      </c>
      <c r="AZ335" s="137">
        <f t="shared" si="241"/>
        <v>44270</v>
      </c>
      <c r="BA335" s="142">
        <f t="shared" si="242"/>
        <v>-530</v>
      </c>
      <c r="BB335" s="137"/>
      <c r="BC335" s="137">
        <v>0</v>
      </c>
      <c r="BD335" s="136"/>
      <c r="BE335" s="128">
        <v>442.4</v>
      </c>
      <c r="BF335" s="143">
        <f t="shared" si="228"/>
        <v>0.66359999999999997</v>
      </c>
      <c r="BG335" s="143">
        <f t="shared" si="229"/>
        <v>441.7364</v>
      </c>
      <c r="BH335" s="143">
        <f t="shared" si="230"/>
        <v>442.7</v>
      </c>
      <c r="BI335" s="144">
        <f t="shared" si="231"/>
        <v>-30.000000000001137</v>
      </c>
      <c r="BJ335" s="144">
        <v>0</v>
      </c>
      <c r="BK335" s="137">
        <f t="shared" si="232"/>
        <v>-30.000000000001137</v>
      </c>
      <c r="BL335" s="9"/>
      <c r="BM335" s="10" t="str">
        <f t="shared" si="233"/>
        <v>Unloading no. 318 Bill No L/PB/26-27/48 ,Deduction For Oil Deduction= 0 ,Bardana= 3645 ,F.M=  Brokerage/Rate Difference 0 ,Shortage = 0 ,Greenish=  ,Moisture= 0</v>
      </c>
      <c r="BN335" s="9"/>
      <c r="BO335" s="13" t="str">
        <f t="shared" si="219"/>
        <v xml:space="preserve"> Party Condition 39.65  ,F.M% 0.47 ,Greenish 3.8 ,Moisture 5.1 ,Shortage in KG= 0  ,Oil% 39.52</v>
      </c>
      <c r="BP335" s="24">
        <f t="shared" si="234"/>
        <v>6728.9351253670657</v>
      </c>
      <c r="BX335" s="27">
        <v>39.659999999999997</v>
      </c>
      <c r="BY335" s="27">
        <v>39.520000000000003</v>
      </c>
    </row>
    <row r="336" spans="1:77" customFormat="1" ht="15.75" hidden="1" x14ac:dyDescent="0.3">
      <c r="A336" s="163" t="s">
        <v>671</v>
      </c>
      <c r="B336" s="166">
        <v>46133</v>
      </c>
      <c r="C336" s="187">
        <v>319</v>
      </c>
      <c r="D336" s="163" t="s">
        <v>699</v>
      </c>
      <c r="E336" s="166">
        <v>46136</v>
      </c>
      <c r="F336" s="163" t="s">
        <v>101</v>
      </c>
      <c r="G336" s="163" t="s">
        <v>102</v>
      </c>
      <c r="H336" s="163" t="s">
        <v>103</v>
      </c>
      <c r="I336" s="157"/>
      <c r="J336" s="163" t="s">
        <v>113</v>
      </c>
      <c r="K336" s="163">
        <v>0</v>
      </c>
      <c r="L336" s="166">
        <v>46133</v>
      </c>
      <c r="M336" s="157"/>
      <c r="N336" s="163" t="s">
        <v>735</v>
      </c>
      <c r="O336" s="166">
        <v>46134</v>
      </c>
      <c r="P336" s="163">
        <v>0</v>
      </c>
      <c r="Q336" s="163">
        <v>473</v>
      </c>
      <c r="R336" s="163">
        <v>30</v>
      </c>
      <c r="S336" s="163">
        <v>503</v>
      </c>
      <c r="T336" s="163">
        <v>503</v>
      </c>
      <c r="U336" s="163">
        <v>0</v>
      </c>
      <c r="V336" s="163">
        <v>0</v>
      </c>
      <c r="W336" s="188">
        <v>301.8</v>
      </c>
      <c r="X336" s="188">
        <v>306</v>
      </c>
      <c r="Y336" s="169">
        <v>2057914.85</v>
      </c>
      <c r="Z336" s="136"/>
      <c r="AA336" s="128">
        <v>51447.87</v>
      </c>
      <c r="AB336" s="128">
        <v>51447.87</v>
      </c>
      <c r="AC336" s="128">
        <v>2160810.59</v>
      </c>
      <c r="AD336" s="143">
        <f t="shared" si="194"/>
        <v>2158649.77941</v>
      </c>
      <c r="AE336" s="147">
        <v>40.61</v>
      </c>
      <c r="AF336" s="169">
        <v>39.65</v>
      </c>
      <c r="AG336" s="147">
        <v>40.4</v>
      </c>
      <c r="AH336" s="170">
        <v>4.1000000000000003E-3</v>
      </c>
      <c r="AI336" s="170">
        <v>3.9E-2</v>
      </c>
      <c r="AJ336" s="170">
        <v>0.05</v>
      </c>
      <c r="AK336" s="137">
        <f t="shared" si="235"/>
        <v>0</v>
      </c>
      <c r="AL336" s="136">
        <f>503*5</f>
        <v>2515</v>
      </c>
      <c r="AM336" s="136"/>
      <c r="AN336" s="165">
        <v>0</v>
      </c>
      <c r="AO336" s="140">
        <f t="shared" si="236"/>
        <v>0</v>
      </c>
      <c r="AP336" s="136"/>
      <c r="AQ336" s="137">
        <v>0</v>
      </c>
      <c r="AR336" s="155">
        <f t="shared" si="237"/>
        <v>2515</v>
      </c>
      <c r="AS336" s="155">
        <f t="shared" si="238"/>
        <v>2641</v>
      </c>
      <c r="AT336" s="137">
        <v>0</v>
      </c>
      <c r="AU336" s="136" t="s">
        <v>664</v>
      </c>
      <c r="AV336" s="136"/>
      <c r="AW336" s="137">
        <f t="shared" si="239"/>
        <v>30180</v>
      </c>
      <c r="AX336" s="136"/>
      <c r="AY336" s="137">
        <f t="shared" si="240"/>
        <v>30180</v>
      </c>
      <c r="AZ336" s="137">
        <f t="shared" si="241"/>
        <v>30600</v>
      </c>
      <c r="BA336" s="142">
        <f t="shared" si="242"/>
        <v>-420</v>
      </c>
      <c r="BB336" s="137"/>
      <c r="BC336" s="137">
        <v>0</v>
      </c>
      <c r="BD336" s="136"/>
      <c r="BE336" s="128">
        <v>306.2</v>
      </c>
      <c r="BF336" s="143">
        <f t="shared" si="228"/>
        <v>0.45929999999999999</v>
      </c>
      <c r="BG336" s="143">
        <f t="shared" si="229"/>
        <v>305.7407</v>
      </c>
      <c r="BH336" s="143">
        <f t="shared" si="230"/>
        <v>306</v>
      </c>
      <c r="BI336" s="144">
        <f t="shared" si="231"/>
        <v>19.999999999998863</v>
      </c>
      <c r="BJ336" s="144">
        <v>0</v>
      </c>
      <c r="BK336" s="137">
        <f t="shared" si="232"/>
        <v>19.999999999998863</v>
      </c>
      <c r="BL336" s="9"/>
      <c r="BM336" s="10" t="str">
        <f t="shared" si="233"/>
        <v>Unloading no. 319 Bill No L/PB/26-27/43 ,Deduction For Oil Deduction= 0 ,Bardana= 2515 ,F.M=  Brokerage/Rate Difference 0 ,Shortage = 0 ,Greenish=  ,Moisture= 0</v>
      </c>
      <c r="BN336" s="9"/>
      <c r="BO336" s="13" t="str">
        <f t="shared" si="219"/>
        <v xml:space="preserve"> Party Condition 39.65  ,F.M% 0.41 ,Greenish 3.9 ,Moisture 5 ,Shortage in KG= 0  ,Oil% 40.4</v>
      </c>
      <c r="BP336" s="24">
        <f t="shared" si="234"/>
        <v>6716.9929738562096</v>
      </c>
      <c r="BX336" s="27">
        <v>40.61</v>
      </c>
      <c r="BY336" s="27">
        <v>40.4</v>
      </c>
    </row>
    <row r="337" spans="1:77" customFormat="1" ht="15.75" hidden="1" x14ac:dyDescent="0.3">
      <c r="A337" s="163" t="s">
        <v>674</v>
      </c>
      <c r="B337" s="166">
        <v>46134</v>
      </c>
      <c r="C337" s="187">
        <v>320</v>
      </c>
      <c r="D337" s="163" t="s">
        <v>700</v>
      </c>
      <c r="E337" s="166">
        <v>46136</v>
      </c>
      <c r="F337" s="163" t="s">
        <v>110</v>
      </c>
      <c r="G337" s="163" t="s">
        <v>111</v>
      </c>
      <c r="H337" s="163" t="s">
        <v>112</v>
      </c>
      <c r="I337" s="157"/>
      <c r="J337" s="163" t="s">
        <v>113</v>
      </c>
      <c r="K337" s="163">
        <v>0</v>
      </c>
      <c r="L337" s="166">
        <v>46134</v>
      </c>
      <c r="M337" s="157"/>
      <c r="N337" s="163" t="s">
        <v>736</v>
      </c>
      <c r="O337" s="166">
        <v>46134</v>
      </c>
      <c r="P337" s="163">
        <v>0</v>
      </c>
      <c r="Q337" s="163">
        <v>400</v>
      </c>
      <c r="R337" s="163">
        <v>111</v>
      </c>
      <c r="S337" s="163">
        <v>511</v>
      </c>
      <c r="T337" s="163">
        <v>511</v>
      </c>
      <c r="U337" s="163">
        <v>0</v>
      </c>
      <c r="V337" s="163">
        <v>0</v>
      </c>
      <c r="W337" s="188">
        <v>306.60000000000002</v>
      </c>
      <c r="X337" s="188">
        <v>311</v>
      </c>
      <c r="Y337" s="169">
        <v>2079770</v>
      </c>
      <c r="Z337" s="136"/>
      <c r="AA337" s="128">
        <v>51994.25</v>
      </c>
      <c r="AB337" s="128">
        <v>51994.25</v>
      </c>
      <c r="AC337" s="128">
        <v>2183758.5</v>
      </c>
      <c r="AD337" s="143">
        <f t="shared" si="194"/>
        <v>2181574.7415</v>
      </c>
      <c r="AE337" s="147">
        <v>40.5</v>
      </c>
      <c r="AF337" s="169">
        <v>39.42</v>
      </c>
      <c r="AG337" s="147">
        <v>40.31</v>
      </c>
      <c r="AH337" s="170">
        <v>4.1999999999999997E-3</v>
      </c>
      <c r="AI337" s="170">
        <v>3.6999999999999998E-2</v>
      </c>
      <c r="AJ337" s="170">
        <v>5.3999999999999999E-2</v>
      </c>
      <c r="AK337" s="137">
        <f t="shared" si="235"/>
        <v>0</v>
      </c>
      <c r="AL337" s="136">
        <f>511*5</f>
        <v>2555</v>
      </c>
      <c r="AM337" s="136"/>
      <c r="AN337" s="165">
        <v>0</v>
      </c>
      <c r="AO337" s="140">
        <f t="shared" si="236"/>
        <v>0</v>
      </c>
      <c r="AP337" s="136"/>
      <c r="AQ337" s="137">
        <v>0</v>
      </c>
      <c r="AR337" s="155">
        <f t="shared" si="237"/>
        <v>2555</v>
      </c>
      <c r="AS337" s="155">
        <f t="shared" si="238"/>
        <v>2683</v>
      </c>
      <c r="AT337" s="137">
        <v>0</v>
      </c>
      <c r="AU337" s="136"/>
      <c r="AV337" s="136"/>
      <c r="AW337" s="137">
        <f t="shared" si="239"/>
        <v>30660.000000000004</v>
      </c>
      <c r="AX337" s="136"/>
      <c r="AY337" s="137">
        <f t="shared" si="240"/>
        <v>30660.000000000004</v>
      </c>
      <c r="AZ337" s="137">
        <f t="shared" si="241"/>
        <v>31100</v>
      </c>
      <c r="BA337" s="142">
        <f t="shared" si="242"/>
        <v>-439.99999999999636</v>
      </c>
      <c r="BB337" s="137"/>
      <c r="BC337" s="137">
        <v>0</v>
      </c>
      <c r="BD337" s="136"/>
      <c r="BE337" s="128">
        <v>311.55</v>
      </c>
      <c r="BF337" s="143">
        <f t="shared" si="228"/>
        <v>0.46732499999999999</v>
      </c>
      <c r="BG337" s="143">
        <f t="shared" si="229"/>
        <v>311.08267499999999</v>
      </c>
      <c r="BH337" s="143">
        <f t="shared" si="230"/>
        <v>311</v>
      </c>
      <c r="BI337" s="144">
        <f t="shared" si="231"/>
        <v>55.000000000001137</v>
      </c>
      <c r="BJ337" s="144">
        <v>0</v>
      </c>
      <c r="BK337" s="137">
        <f t="shared" si="232"/>
        <v>55.000000000001137</v>
      </c>
      <c r="BL337" s="9"/>
      <c r="BM337" s="10" t="str">
        <f t="shared" si="233"/>
        <v>Unloading no. 320 Bill No G1668 ,Deduction For Oil Deduction= 0 ,Bardana= 2555 ,F.M=  Brokerage/Rate Difference 0 ,Shortage = 0 ,Greenish=  ,Moisture= 0</v>
      </c>
      <c r="BN337" s="9"/>
      <c r="BO337" s="13" t="str">
        <f t="shared" si="219"/>
        <v xml:space="preserve"> Party Condition 39.42  ,F.M% 0.42 ,Greenish 3.7 ,Moisture 5.4 ,Shortage in KG= 0  ,Oil% 40.31</v>
      </c>
      <c r="BP337" s="24">
        <f t="shared" si="234"/>
        <v>6679.1479099678454</v>
      </c>
      <c r="BX337" s="27">
        <v>40.5</v>
      </c>
      <c r="BY337" s="27">
        <v>40.31</v>
      </c>
    </row>
    <row r="338" spans="1:77" customFormat="1" ht="15.75" hidden="1" x14ac:dyDescent="0.3">
      <c r="A338" s="163" t="s">
        <v>675</v>
      </c>
      <c r="B338" s="166">
        <v>46133</v>
      </c>
      <c r="C338" s="187">
        <v>321</v>
      </c>
      <c r="D338" s="163" t="s">
        <v>701</v>
      </c>
      <c r="E338" s="166">
        <v>46136</v>
      </c>
      <c r="F338" s="163" t="s">
        <v>104</v>
      </c>
      <c r="G338" s="163" t="s">
        <v>105</v>
      </c>
      <c r="H338" s="163" t="s">
        <v>106</v>
      </c>
      <c r="I338" s="157"/>
      <c r="J338" s="163" t="s">
        <v>113</v>
      </c>
      <c r="K338" s="163">
        <v>0</v>
      </c>
      <c r="L338" s="166">
        <v>46133</v>
      </c>
      <c r="M338" s="157"/>
      <c r="N338" s="163" t="s">
        <v>737</v>
      </c>
      <c r="O338" s="166">
        <v>46134</v>
      </c>
      <c r="P338" s="163">
        <v>0</v>
      </c>
      <c r="Q338" s="163">
        <v>602</v>
      </c>
      <c r="R338" s="163">
        <v>0</v>
      </c>
      <c r="S338" s="163">
        <v>602</v>
      </c>
      <c r="T338" s="163">
        <v>602</v>
      </c>
      <c r="U338" s="163">
        <v>0</v>
      </c>
      <c r="V338" s="163">
        <v>0</v>
      </c>
      <c r="W338" s="188">
        <v>301</v>
      </c>
      <c r="X338" s="188">
        <v>306.5</v>
      </c>
      <c r="Y338" s="169">
        <v>2023246.75</v>
      </c>
      <c r="Z338" s="136"/>
      <c r="AA338" s="128">
        <v>50581.17</v>
      </c>
      <c r="AB338" s="128">
        <v>50581.17</v>
      </c>
      <c r="AC338" s="128">
        <v>2124409.09</v>
      </c>
      <c r="AD338" s="143">
        <f t="shared" si="194"/>
        <v>2122284.6809099996</v>
      </c>
      <c r="AE338" s="147">
        <v>40.700000000000003</v>
      </c>
      <c r="AF338" s="169">
        <v>39</v>
      </c>
      <c r="AG338" s="147">
        <v>40.47</v>
      </c>
      <c r="AH338" s="170">
        <v>4.3E-3</v>
      </c>
      <c r="AI338" s="170">
        <v>3.9300000000000002E-2</v>
      </c>
      <c r="AJ338" s="170">
        <v>0.05</v>
      </c>
      <c r="AK338" s="137">
        <f t="shared" si="235"/>
        <v>0</v>
      </c>
      <c r="AL338" s="136">
        <f>602*2</f>
        <v>1204</v>
      </c>
      <c r="AM338" s="136"/>
      <c r="AN338" s="165">
        <v>0</v>
      </c>
      <c r="AO338" s="140">
        <f t="shared" si="236"/>
        <v>0</v>
      </c>
      <c r="AP338" s="136"/>
      <c r="AQ338" s="137">
        <v>0</v>
      </c>
      <c r="AR338" s="155">
        <f t="shared" si="237"/>
        <v>1204</v>
      </c>
      <c r="AS338" s="155">
        <f t="shared" si="238"/>
        <v>1264</v>
      </c>
      <c r="AT338" s="137">
        <v>0</v>
      </c>
      <c r="AU338" s="136"/>
      <c r="AV338" s="136"/>
      <c r="AW338" s="137">
        <f t="shared" si="239"/>
        <v>30100</v>
      </c>
      <c r="AX338" s="136"/>
      <c r="AY338" s="137">
        <f t="shared" si="240"/>
        <v>30100</v>
      </c>
      <c r="AZ338" s="137">
        <f t="shared" si="241"/>
        <v>30650</v>
      </c>
      <c r="BA338" s="142">
        <f t="shared" si="242"/>
        <v>-550</v>
      </c>
      <c r="BB338" s="137"/>
      <c r="BC338" s="137">
        <v>0</v>
      </c>
      <c r="BD338" s="136"/>
      <c r="BE338" s="128">
        <v>306.25</v>
      </c>
      <c r="BF338" s="143">
        <f t="shared" si="228"/>
        <v>0.45937499999999998</v>
      </c>
      <c r="BG338" s="143">
        <f t="shared" si="229"/>
        <v>305.79062499999998</v>
      </c>
      <c r="BH338" s="143">
        <f t="shared" si="230"/>
        <v>306.5</v>
      </c>
      <c r="BI338" s="144">
        <f t="shared" si="231"/>
        <v>-25</v>
      </c>
      <c r="BJ338" s="144">
        <v>0</v>
      </c>
      <c r="BK338" s="137">
        <f t="shared" si="232"/>
        <v>-25</v>
      </c>
      <c r="BL338" s="9"/>
      <c r="BM338" s="10" t="str">
        <f t="shared" si="233"/>
        <v>Unloading no. 321 Bill No MTC/2026-27/094 ,Deduction For Oil Deduction= 0 ,Bardana= 1204 ,F.M=  Brokerage/Rate Difference 0 ,Shortage = 0 ,Greenish=  ,Moisture= 0</v>
      </c>
      <c r="BN338" s="9"/>
      <c r="BO338" s="13" t="str">
        <f t="shared" si="219"/>
        <v xml:space="preserve"> Party Condition 39  ,F.M% 0.43 ,Greenish 3.93 ,Moisture 5 ,Shortage in KG= 0  ,Oil% 40.47</v>
      </c>
      <c r="BP338" s="24">
        <f t="shared" si="234"/>
        <v>6597.2030995106034</v>
      </c>
      <c r="BX338" s="27">
        <v>40.700000000000003</v>
      </c>
      <c r="BY338" s="27">
        <v>40.47</v>
      </c>
    </row>
    <row r="339" spans="1:77" customFormat="1" ht="15.75" hidden="1" x14ac:dyDescent="0.3">
      <c r="A339" s="163" t="s">
        <v>671</v>
      </c>
      <c r="B339" s="166">
        <v>46133</v>
      </c>
      <c r="C339" s="187">
        <v>322</v>
      </c>
      <c r="D339" s="163" t="s">
        <v>702</v>
      </c>
      <c r="E339" s="166">
        <v>46136</v>
      </c>
      <c r="F339" s="163" t="s">
        <v>101</v>
      </c>
      <c r="G339" s="163" t="s">
        <v>102</v>
      </c>
      <c r="H339" s="163" t="s">
        <v>103</v>
      </c>
      <c r="I339" s="157"/>
      <c r="J339" s="163" t="s">
        <v>113</v>
      </c>
      <c r="K339" s="163">
        <v>0</v>
      </c>
      <c r="L339" s="166">
        <v>46133</v>
      </c>
      <c r="M339" s="157"/>
      <c r="N339" s="163" t="s">
        <v>738</v>
      </c>
      <c r="O339" s="166">
        <v>46134</v>
      </c>
      <c r="P339" s="163">
        <v>0</v>
      </c>
      <c r="Q339" s="163">
        <v>461</v>
      </c>
      <c r="R339" s="163">
        <v>30</v>
      </c>
      <c r="S339" s="163">
        <v>491</v>
      </c>
      <c r="T339" s="163">
        <v>491</v>
      </c>
      <c r="U339" s="163">
        <v>0</v>
      </c>
      <c r="V339" s="163">
        <v>0</v>
      </c>
      <c r="W339" s="188">
        <v>294.60000000000002</v>
      </c>
      <c r="X339" s="188">
        <v>298.3</v>
      </c>
      <c r="Y339" s="169">
        <v>2008819.46</v>
      </c>
      <c r="Z339" s="136"/>
      <c r="AA339" s="128">
        <v>50220.49</v>
      </c>
      <c r="AB339" s="128">
        <v>50220.49</v>
      </c>
      <c r="AC339" s="128">
        <v>2109260.4300000002</v>
      </c>
      <c r="AD339" s="143">
        <f t="shared" si="194"/>
        <v>2107151.1695700004</v>
      </c>
      <c r="AE339" s="147">
        <v>39.61</v>
      </c>
      <c r="AF339" s="169">
        <v>39.65</v>
      </c>
      <c r="AG339" s="147">
        <v>39.5</v>
      </c>
      <c r="AH339" s="170">
        <v>4.3E-3</v>
      </c>
      <c r="AI339" s="170">
        <v>0.04</v>
      </c>
      <c r="AJ339" s="170">
        <v>5.3999999999999999E-2</v>
      </c>
      <c r="AK339" s="137">
        <v>0</v>
      </c>
      <c r="AL339" s="136">
        <f>491*5</f>
        <v>2455</v>
      </c>
      <c r="AM339" s="136"/>
      <c r="AN339" s="165">
        <v>0</v>
      </c>
      <c r="AO339" s="140">
        <f t="shared" si="236"/>
        <v>0</v>
      </c>
      <c r="AP339" s="136"/>
      <c r="AQ339" s="137">
        <v>0</v>
      </c>
      <c r="AR339" s="155">
        <f t="shared" si="237"/>
        <v>2455</v>
      </c>
      <c r="AS339" s="155">
        <f t="shared" si="238"/>
        <v>2578</v>
      </c>
      <c r="AT339" s="137">
        <v>0</v>
      </c>
      <c r="AU339" s="136" t="s">
        <v>664</v>
      </c>
      <c r="AV339" s="136"/>
      <c r="AW339" s="137">
        <f t="shared" si="239"/>
        <v>29460.000000000004</v>
      </c>
      <c r="AX339" s="136"/>
      <c r="AY339" s="137">
        <f t="shared" si="240"/>
        <v>29460.000000000004</v>
      </c>
      <c r="AZ339" s="137">
        <f t="shared" si="241"/>
        <v>29830</v>
      </c>
      <c r="BA339" s="142">
        <f t="shared" si="242"/>
        <v>-369.99999999999636</v>
      </c>
      <c r="BB339" s="137"/>
      <c r="BC339" s="137">
        <v>0</v>
      </c>
      <c r="BD339" s="136"/>
      <c r="BE339" s="128">
        <v>298.8</v>
      </c>
      <c r="BF339" s="143">
        <f t="shared" si="228"/>
        <v>0.44819999999999999</v>
      </c>
      <c r="BG339" s="143">
        <f t="shared" si="229"/>
        <v>298.35180000000003</v>
      </c>
      <c r="BH339" s="143">
        <f t="shared" si="230"/>
        <v>298.3</v>
      </c>
      <c r="BI339" s="144">
        <f t="shared" si="231"/>
        <v>50</v>
      </c>
      <c r="BJ339" s="144">
        <v>0</v>
      </c>
      <c r="BK339" s="137">
        <f t="shared" si="232"/>
        <v>50</v>
      </c>
      <c r="BL339" s="9"/>
      <c r="BM339" s="10" t="str">
        <f t="shared" si="233"/>
        <v>Unloading no. 322 Bill No L/PB/26-27/44 ,Deduction For Oil Deduction= 0 ,Bardana= 2455 ,F.M=  Brokerage/Rate Difference 0 ,Shortage = 0 ,Greenish=  ,Moisture= 0</v>
      </c>
      <c r="BN339" s="9"/>
      <c r="BO339" s="13" t="str">
        <f t="shared" si="219"/>
        <v xml:space="preserve"> Party Condition 39.65  ,F.M% 0.43 ,Greenish 4 ,Moisture 5.4 ,Shortage in KG= 0  ,Oil% 39.5</v>
      </c>
      <c r="BP339" s="24">
        <f t="shared" si="234"/>
        <v>6725.9955078779749</v>
      </c>
      <c r="BX339" s="27">
        <v>39.61</v>
      </c>
      <c r="BY339" s="27">
        <v>39.5</v>
      </c>
    </row>
    <row r="340" spans="1:77" customFormat="1" ht="15.75" hidden="1" x14ac:dyDescent="0.3">
      <c r="A340" s="163" t="s">
        <v>676</v>
      </c>
      <c r="B340" s="166">
        <v>46134</v>
      </c>
      <c r="C340" s="187">
        <v>323</v>
      </c>
      <c r="D340" s="163" t="s">
        <v>703</v>
      </c>
      <c r="E340" s="166">
        <v>46136</v>
      </c>
      <c r="F340" s="163" t="s">
        <v>110</v>
      </c>
      <c r="G340" s="163" t="s">
        <v>111</v>
      </c>
      <c r="H340" s="163" t="s">
        <v>112</v>
      </c>
      <c r="I340" s="157"/>
      <c r="J340" s="163" t="s">
        <v>113</v>
      </c>
      <c r="K340" s="163">
        <v>0</v>
      </c>
      <c r="L340" s="166">
        <v>46134</v>
      </c>
      <c r="M340" s="157"/>
      <c r="N340" s="163" t="s">
        <v>739</v>
      </c>
      <c r="O340" s="166">
        <v>46134</v>
      </c>
      <c r="P340" s="163">
        <v>0</v>
      </c>
      <c r="Q340" s="163">
        <v>300</v>
      </c>
      <c r="R340" s="163">
        <v>152</v>
      </c>
      <c r="S340" s="163">
        <v>452</v>
      </c>
      <c r="T340" s="163">
        <v>452</v>
      </c>
      <c r="U340" s="163">
        <v>0</v>
      </c>
      <c r="V340" s="163">
        <v>0</v>
      </c>
      <c r="W340" s="188">
        <v>271.2</v>
      </c>
      <c r="X340" s="188">
        <v>274.7</v>
      </c>
      <c r="Y340" s="169">
        <v>1848589.6</v>
      </c>
      <c r="Z340" s="136"/>
      <c r="AA340" s="128">
        <v>46214.74</v>
      </c>
      <c r="AB340" s="128">
        <v>46214.74</v>
      </c>
      <c r="AC340" s="128">
        <v>1941019.08</v>
      </c>
      <c r="AD340" s="143">
        <f t="shared" si="194"/>
        <v>1939078.0609200001</v>
      </c>
      <c r="AE340" s="147">
        <v>40.4</v>
      </c>
      <c r="AF340" s="169">
        <v>39.700000000000003</v>
      </c>
      <c r="AG340" s="147">
        <v>40.21</v>
      </c>
      <c r="AH340" s="170">
        <v>4.5999999999999999E-3</v>
      </c>
      <c r="AI340" s="170">
        <v>4.0099999999999997E-2</v>
      </c>
      <c r="AJ340" s="170">
        <v>5.5E-2</v>
      </c>
      <c r="AK340" s="137">
        <f t="shared" si="235"/>
        <v>0</v>
      </c>
      <c r="AL340" s="136">
        <f>452*5</f>
        <v>2260</v>
      </c>
      <c r="AM340" s="136"/>
      <c r="AN340" s="165">
        <v>0</v>
      </c>
      <c r="AO340" s="140">
        <f t="shared" si="236"/>
        <v>0</v>
      </c>
      <c r="AP340" s="136"/>
      <c r="AQ340" s="137">
        <v>0</v>
      </c>
      <c r="AR340" s="155">
        <f t="shared" si="237"/>
        <v>2260</v>
      </c>
      <c r="AS340" s="155">
        <f t="shared" si="238"/>
        <v>2373</v>
      </c>
      <c r="AT340" s="137">
        <v>0</v>
      </c>
      <c r="AU340" s="136"/>
      <c r="AV340" s="136"/>
      <c r="AW340" s="137">
        <f t="shared" si="239"/>
        <v>27120</v>
      </c>
      <c r="AX340" s="136"/>
      <c r="AY340" s="137">
        <f t="shared" si="240"/>
        <v>27120</v>
      </c>
      <c r="AZ340" s="137">
        <f t="shared" si="241"/>
        <v>27470</v>
      </c>
      <c r="BA340" s="142">
        <f t="shared" si="242"/>
        <v>-350</v>
      </c>
      <c r="BB340" s="137"/>
      <c r="BC340" s="137">
        <v>0</v>
      </c>
      <c r="BD340" s="136"/>
      <c r="BE340" s="128">
        <v>275.2</v>
      </c>
      <c r="BF340" s="143">
        <f t="shared" si="228"/>
        <v>0.41279999999999994</v>
      </c>
      <c r="BG340" s="143">
        <f t="shared" si="229"/>
        <v>274.78719999999998</v>
      </c>
      <c r="BH340" s="143">
        <f t="shared" si="230"/>
        <v>274.7</v>
      </c>
      <c r="BI340" s="144">
        <f t="shared" si="231"/>
        <v>50</v>
      </c>
      <c r="BJ340" s="144">
        <v>0</v>
      </c>
      <c r="BK340" s="137">
        <f t="shared" si="232"/>
        <v>50</v>
      </c>
      <c r="BL340" s="9"/>
      <c r="BM340" s="10" t="str">
        <f t="shared" si="233"/>
        <v>Unloading no. 323 Bill No G1669 ,Deduction For Oil Deduction= 0 ,Bardana= 2260 ,F.M=  Brokerage/Rate Difference 0 ,Shortage = 0 ,Greenish=  ,Moisture= 0</v>
      </c>
      <c r="BN340" s="9"/>
      <c r="BO340" s="13" t="str">
        <f t="shared" si="219"/>
        <v xml:space="preserve"> Party Condition 39.7  ,F.M% 0.46 ,Greenish 4.01 ,Moisture 5.5 ,Shortage in KG= 0  ,Oil% 40.21</v>
      </c>
      <c r="BP340" s="24">
        <f t="shared" si="234"/>
        <v>6721.2580997451769</v>
      </c>
      <c r="BX340" s="27">
        <v>40.4</v>
      </c>
      <c r="BY340" s="27">
        <v>40.21</v>
      </c>
    </row>
    <row r="341" spans="1:77" customFormat="1" ht="15.75" hidden="1" x14ac:dyDescent="0.3">
      <c r="A341" s="163" t="s">
        <v>677</v>
      </c>
      <c r="B341" s="166">
        <v>46133</v>
      </c>
      <c r="C341" s="187">
        <v>324</v>
      </c>
      <c r="D341" s="163" t="s">
        <v>704</v>
      </c>
      <c r="E341" s="166">
        <v>46136</v>
      </c>
      <c r="F341" s="163" t="s">
        <v>467</v>
      </c>
      <c r="G341" s="163" t="s">
        <v>468</v>
      </c>
      <c r="H341" s="163" t="s">
        <v>506</v>
      </c>
      <c r="I341" s="157"/>
      <c r="J341" s="163" t="s">
        <v>113</v>
      </c>
      <c r="K341" s="163">
        <v>0</v>
      </c>
      <c r="L341" s="166">
        <v>46133</v>
      </c>
      <c r="M341" s="157"/>
      <c r="N341" s="163" t="s">
        <v>740</v>
      </c>
      <c r="O341" s="166">
        <v>46134</v>
      </c>
      <c r="P341" s="163">
        <v>0</v>
      </c>
      <c r="Q341" s="163">
        <v>400</v>
      </c>
      <c r="R341" s="163">
        <v>86</v>
      </c>
      <c r="S341" s="163">
        <v>486</v>
      </c>
      <c r="T341" s="163">
        <v>486</v>
      </c>
      <c r="U341" s="163">
        <v>0</v>
      </c>
      <c r="V341" s="163">
        <v>0</v>
      </c>
      <c r="W341" s="188">
        <v>291.60000000000002</v>
      </c>
      <c r="X341" s="188">
        <v>295.5</v>
      </c>
      <c r="Y341" s="169">
        <v>1975853.41</v>
      </c>
      <c r="Z341" s="136"/>
      <c r="AA341" s="128">
        <v>49396.34</v>
      </c>
      <c r="AB341" s="128">
        <v>49396.34</v>
      </c>
      <c r="AC341" s="128">
        <v>2074646.08</v>
      </c>
      <c r="AD341" s="143">
        <f t="shared" si="194"/>
        <v>2072571.43392</v>
      </c>
      <c r="AE341" s="147">
        <v>40.700000000000003</v>
      </c>
      <c r="AF341" s="169">
        <v>39.4</v>
      </c>
      <c r="AG341" s="147">
        <v>40.57</v>
      </c>
      <c r="AH341" s="170">
        <v>4.1000000000000003E-3</v>
      </c>
      <c r="AI341" s="170">
        <v>4.0599999999999997E-2</v>
      </c>
      <c r="AJ341" s="170">
        <v>4.1000000000000002E-2</v>
      </c>
      <c r="AK341" s="137">
        <f t="shared" si="235"/>
        <v>0</v>
      </c>
      <c r="AL341" s="136">
        <v>0</v>
      </c>
      <c r="AM341" s="136"/>
      <c r="AN341" s="165">
        <v>0</v>
      </c>
      <c r="AO341" s="140">
        <f t="shared" si="236"/>
        <v>0</v>
      </c>
      <c r="AP341" s="136"/>
      <c r="AQ341" s="137">
        <v>0</v>
      </c>
      <c r="AR341" s="155">
        <f t="shared" si="237"/>
        <v>0</v>
      </c>
      <c r="AS341" s="155">
        <f t="shared" si="238"/>
        <v>0</v>
      </c>
      <c r="AT341" s="137">
        <v>0</v>
      </c>
      <c r="AU341" s="136"/>
      <c r="AV341" s="136"/>
      <c r="AW341" s="137">
        <f t="shared" si="239"/>
        <v>29160.000000000004</v>
      </c>
      <c r="AX341" s="136"/>
      <c r="AY341" s="137">
        <f t="shared" si="240"/>
        <v>29160.000000000004</v>
      </c>
      <c r="AZ341" s="137">
        <f t="shared" si="241"/>
        <v>29550</v>
      </c>
      <c r="BA341" s="142">
        <f t="shared" si="242"/>
        <v>-389.99999999999636</v>
      </c>
      <c r="BB341" s="137"/>
      <c r="BC341" s="137">
        <v>0</v>
      </c>
      <c r="BD341" s="136"/>
      <c r="BE341" s="128">
        <v>295.7</v>
      </c>
      <c r="BF341" s="143">
        <f t="shared" si="228"/>
        <v>0.44354999999999994</v>
      </c>
      <c r="BG341" s="143">
        <f t="shared" si="229"/>
        <v>295.25644999999997</v>
      </c>
      <c r="BH341" s="143">
        <f t="shared" si="230"/>
        <v>295.5</v>
      </c>
      <c r="BI341" s="144">
        <f t="shared" si="231"/>
        <v>19.999999999998863</v>
      </c>
      <c r="BJ341" s="144">
        <v>0</v>
      </c>
      <c r="BK341" s="137">
        <f t="shared" si="232"/>
        <v>19.999999999998863</v>
      </c>
      <c r="BL341" s="9"/>
      <c r="BM341" s="10" t="str">
        <f t="shared" si="233"/>
        <v>Unloading no. 324 Bill No GDS/26-27/135 ,Deduction For Oil Deduction= 0 ,Bardana= 0 ,F.M=  Brokerage/Rate Difference 0 ,Shortage = 0 ,Greenish=  ,Moisture= 0</v>
      </c>
      <c r="BN341" s="9"/>
      <c r="BO341" s="13" t="str">
        <f t="shared" si="219"/>
        <v xml:space="preserve"> Party Condition 39.4  ,F.M% 0.41 ,Greenish 4.06 ,Moisture 4.1 ,Shortage in KG= 0  ,Oil% 40.57</v>
      </c>
      <c r="BP341" s="24">
        <f t="shared" si="234"/>
        <v>6686.4751607445005</v>
      </c>
      <c r="BX341" s="27">
        <v>40.700000000000003</v>
      </c>
      <c r="BY341" s="27">
        <v>40.57</v>
      </c>
    </row>
    <row r="342" spans="1:77" customFormat="1" ht="15.75" hidden="1" x14ac:dyDescent="0.3">
      <c r="A342" s="163" t="s">
        <v>671</v>
      </c>
      <c r="B342" s="166">
        <v>46133</v>
      </c>
      <c r="C342" s="187">
        <v>325</v>
      </c>
      <c r="D342" s="163" t="s">
        <v>705</v>
      </c>
      <c r="E342" s="166">
        <v>46136</v>
      </c>
      <c r="F342" s="163" t="s">
        <v>101</v>
      </c>
      <c r="G342" s="163" t="s">
        <v>102</v>
      </c>
      <c r="H342" s="163" t="s">
        <v>103</v>
      </c>
      <c r="I342" s="157"/>
      <c r="J342" s="163" t="s">
        <v>113</v>
      </c>
      <c r="K342" s="163">
        <v>0</v>
      </c>
      <c r="L342" s="166">
        <v>46133</v>
      </c>
      <c r="M342" s="157"/>
      <c r="N342" s="163" t="s">
        <v>741</v>
      </c>
      <c r="O342" s="166">
        <v>46134</v>
      </c>
      <c r="P342" s="163">
        <v>0</v>
      </c>
      <c r="Q342" s="163">
        <v>599</v>
      </c>
      <c r="R342" s="163">
        <v>0</v>
      </c>
      <c r="S342" s="163">
        <v>599</v>
      </c>
      <c r="T342" s="163">
        <v>599</v>
      </c>
      <c r="U342" s="163">
        <v>0</v>
      </c>
      <c r="V342" s="163">
        <v>0</v>
      </c>
      <c r="W342" s="188">
        <v>359.4</v>
      </c>
      <c r="X342" s="188">
        <v>363.9</v>
      </c>
      <c r="Y342" s="169">
        <v>2450677.92</v>
      </c>
      <c r="Z342" s="136"/>
      <c r="AA342" s="128">
        <v>61266.95</v>
      </c>
      <c r="AB342" s="128">
        <v>61266.95</v>
      </c>
      <c r="AC342" s="128">
        <v>2573211.8199999998</v>
      </c>
      <c r="AD342" s="143">
        <f t="shared" si="194"/>
        <v>2570638.60818</v>
      </c>
      <c r="AE342" s="147">
        <v>39.450000000000003</v>
      </c>
      <c r="AF342" s="169">
        <v>39.65</v>
      </c>
      <c r="AG342" s="147">
        <v>39.32</v>
      </c>
      <c r="AH342" s="170">
        <v>4.4000000000000003E-3</v>
      </c>
      <c r="AI342" s="170">
        <v>3.6999999999999998E-2</v>
      </c>
      <c r="AJ342" s="170">
        <v>5.0999999999999997E-2</v>
      </c>
      <c r="AK342" s="137">
        <f t="shared" si="235"/>
        <v>20396.562764186529</v>
      </c>
      <c r="AL342" s="136">
        <f>599*5</f>
        <v>2995</v>
      </c>
      <c r="AM342" s="136"/>
      <c r="AN342" s="165">
        <v>0</v>
      </c>
      <c r="AO342" s="140">
        <f t="shared" si="236"/>
        <v>0</v>
      </c>
      <c r="AP342" s="136"/>
      <c r="AQ342" s="137">
        <v>0</v>
      </c>
      <c r="AR342" s="155">
        <f t="shared" si="237"/>
        <v>23391.562764186529</v>
      </c>
      <c r="AS342" s="155">
        <f t="shared" si="238"/>
        <v>24561</v>
      </c>
      <c r="AT342" s="137">
        <v>0</v>
      </c>
      <c r="AU342" s="136" t="s">
        <v>664</v>
      </c>
      <c r="AV342" s="136"/>
      <c r="AW342" s="137">
        <f t="shared" si="239"/>
        <v>35940</v>
      </c>
      <c r="AX342" s="136"/>
      <c r="AY342" s="137">
        <f t="shared" si="240"/>
        <v>35940</v>
      </c>
      <c r="AZ342" s="137">
        <f t="shared" si="241"/>
        <v>36390</v>
      </c>
      <c r="BA342" s="142">
        <f t="shared" si="242"/>
        <v>-450</v>
      </c>
      <c r="BB342" s="137"/>
      <c r="BC342" s="137">
        <v>0</v>
      </c>
      <c r="BD342" s="136"/>
      <c r="BE342" s="128">
        <v>364.6</v>
      </c>
      <c r="BF342" s="143">
        <f t="shared" si="228"/>
        <v>0.54690000000000005</v>
      </c>
      <c r="BG342" s="143">
        <f t="shared" si="229"/>
        <v>364.05310000000003</v>
      </c>
      <c r="BH342" s="143">
        <f t="shared" si="230"/>
        <v>363.9</v>
      </c>
      <c r="BI342" s="144">
        <f t="shared" si="231"/>
        <v>70.000000000004547</v>
      </c>
      <c r="BJ342" s="144">
        <v>0</v>
      </c>
      <c r="BK342" s="137">
        <f t="shared" si="232"/>
        <v>70.000000000004547</v>
      </c>
      <c r="BL342" s="9"/>
      <c r="BM342" s="10" t="str">
        <f t="shared" si="233"/>
        <v>Unloading no. 325 Bill No L/PB/26-27/46 ,Deduction For Oil Deduction= 20396.5627641865 ,Bardana= 2995 ,F.M=  Brokerage/Rate Difference 0 ,Shortage = 0 ,Greenish=  ,Moisture= 0</v>
      </c>
      <c r="BN342" s="9"/>
      <c r="BO342" s="13" t="str">
        <f t="shared" si="219"/>
        <v xml:space="preserve"> Party Condition 39.65  ,F.M% 0.44 ,Greenish 3.7 ,Moisture 5.1 ,Shortage in KG= 0  ,Oil% 39.32</v>
      </c>
      <c r="BP342" s="24">
        <f t="shared" si="234"/>
        <v>6670.2015862484577</v>
      </c>
      <c r="BX342" s="27">
        <v>39.450000000000003</v>
      </c>
      <c r="BY342" s="27">
        <v>39.32</v>
      </c>
    </row>
    <row r="343" spans="1:77" customFormat="1" ht="15.75" hidden="1" x14ac:dyDescent="0.3">
      <c r="A343" s="163" t="s">
        <v>678</v>
      </c>
      <c r="B343" s="166">
        <v>46133</v>
      </c>
      <c r="C343" s="187">
        <v>326</v>
      </c>
      <c r="D343" s="163" t="s">
        <v>706</v>
      </c>
      <c r="E343" s="166">
        <v>46136</v>
      </c>
      <c r="F343" s="163" t="s">
        <v>436</v>
      </c>
      <c r="G343" s="163" t="s">
        <v>437</v>
      </c>
      <c r="H343" s="163" t="s">
        <v>438</v>
      </c>
      <c r="I343" s="157"/>
      <c r="J343" s="163" t="s">
        <v>113</v>
      </c>
      <c r="K343" s="163">
        <v>0</v>
      </c>
      <c r="L343" s="166">
        <v>46133</v>
      </c>
      <c r="M343" s="157"/>
      <c r="N343" s="163">
        <v>57</v>
      </c>
      <c r="O343" s="166">
        <v>46134</v>
      </c>
      <c r="P343" s="163">
        <v>0</v>
      </c>
      <c r="Q343" s="163">
        <v>450</v>
      </c>
      <c r="R343" s="163">
        <v>68</v>
      </c>
      <c r="S343" s="163">
        <v>518</v>
      </c>
      <c r="T343" s="163">
        <v>518</v>
      </c>
      <c r="U343" s="163">
        <v>0</v>
      </c>
      <c r="V343" s="163">
        <v>0</v>
      </c>
      <c r="W343" s="188">
        <v>310.8</v>
      </c>
      <c r="X343" s="188">
        <v>315.39999999999998</v>
      </c>
      <c r="Y343" s="169">
        <v>2100107.7200000002</v>
      </c>
      <c r="Z343" s="136"/>
      <c r="AA343" s="128">
        <v>52502.69</v>
      </c>
      <c r="AB343" s="128">
        <v>52502.69</v>
      </c>
      <c r="AC343" s="128">
        <v>2205113.11</v>
      </c>
      <c r="AD343" s="143">
        <f t="shared" si="194"/>
        <v>2202907.9968900001</v>
      </c>
      <c r="AE343" s="147">
        <v>40.24</v>
      </c>
      <c r="AF343" s="169">
        <v>39.25</v>
      </c>
      <c r="AG343" s="147">
        <v>40.270000000000003</v>
      </c>
      <c r="AH343" s="170">
        <v>4.5999999999999999E-3</v>
      </c>
      <c r="AI343" s="170">
        <v>3.9E-2</v>
      </c>
      <c r="AJ343" s="170">
        <v>5.5E-2</v>
      </c>
      <c r="AK343" s="137">
        <f t="shared" si="235"/>
        <v>0</v>
      </c>
      <c r="AL343" s="136">
        <f>518*5</f>
        <v>2590</v>
      </c>
      <c r="AM343" s="136"/>
      <c r="AN343" s="165">
        <v>0</v>
      </c>
      <c r="AO343" s="140">
        <f t="shared" si="236"/>
        <v>0</v>
      </c>
      <c r="AP343" s="136"/>
      <c r="AQ343" s="137">
        <v>0</v>
      </c>
      <c r="AR343" s="155">
        <f t="shared" si="237"/>
        <v>2590</v>
      </c>
      <c r="AS343" s="155">
        <f t="shared" si="238"/>
        <v>2720</v>
      </c>
      <c r="AT343" s="137">
        <v>0</v>
      </c>
      <c r="AU343" s="136"/>
      <c r="AV343" s="136"/>
      <c r="AW343" s="137">
        <f t="shared" si="239"/>
        <v>31080</v>
      </c>
      <c r="AX343" s="136"/>
      <c r="AY343" s="137">
        <f t="shared" si="240"/>
        <v>31080</v>
      </c>
      <c r="AZ343" s="137">
        <f t="shared" si="241"/>
        <v>31539.999999999996</v>
      </c>
      <c r="BA343" s="142">
        <f t="shared" si="242"/>
        <v>-459.99999999999636</v>
      </c>
      <c r="BB343" s="137"/>
      <c r="BC343" s="137">
        <v>0</v>
      </c>
      <c r="BD343" s="136"/>
      <c r="BE343" s="128">
        <v>315.5</v>
      </c>
      <c r="BF343" s="143">
        <f t="shared" si="228"/>
        <v>0.47324999999999995</v>
      </c>
      <c r="BG343" s="143">
        <f t="shared" si="229"/>
        <v>315.02674999999999</v>
      </c>
      <c r="BH343" s="143">
        <f t="shared" si="230"/>
        <v>315.39999999999998</v>
      </c>
      <c r="BI343" s="144">
        <f t="shared" si="231"/>
        <v>10.000000000002274</v>
      </c>
      <c r="BJ343" s="144">
        <v>0</v>
      </c>
      <c r="BK343" s="137">
        <f t="shared" si="232"/>
        <v>10.000000000002274</v>
      </c>
      <c r="BL343" s="9"/>
      <c r="BM343" s="10" t="str">
        <f t="shared" si="233"/>
        <v>Unloading no. 326 Bill No 57 ,Deduction For Oil Deduction= 0 ,Bardana= 2590 ,F.M=  Brokerage/Rate Difference 0 ,Shortage = 0 ,Greenish=  ,Moisture= 0</v>
      </c>
      <c r="BN343" s="9"/>
      <c r="BO343" s="13" t="str">
        <f t="shared" si="219"/>
        <v xml:space="preserve"> Party Condition 39.25  ,F.M% 0.46 ,Greenish 3.9 ,Moisture 5.5 ,Shortage in KG= 0  ,Oil% 40.24</v>
      </c>
      <c r="BP343" s="24">
        <f t="shared" si="234"/>
        <v>6650.3415345592912</v>
      </c>
      <c r="BX343" s="27">
        <v>40.24</v>
      </c>
      <c r="BY343" s="27">
        <v>40.270000000000003</v>
      </c>
    </row>
    <row r="344" spans="1:77" customFormat="1" ht="15.75" hidden="1" x14ac:dyDescent="0.3">
      <c r="A344" s="163" t="s">
        <v>679</v>
      </c>
      <c r="B344" s="166">
        <v>46133</v>
      </c>
      <c r="C344" s="187">
        <v>327</v>
      </c>
      <c r="D344" s="163" t="s">
        <v>707</v>
      </c>
      <c r="E344" s="166">
        <v>46136</v>
      </c>
      <c r="F344" s="163" t="s">
        <v>110</v>
      </c>
      <c r="G344" s="163" t="s">
        <v>111</v>
      </c>
      <c r="H344" s="163" t="s">
        <v>112</v>
      </c>
      <c r="I344" s="157"/>
      <c r="J344" s="163" t="s">
        <v>113</v>
      </c>
      <c r="K344" s="163">
        <v>0</v>
      </c>
      <c r="L344" s="166">
        <v>46133</v>
      </c>
      <c r="M344" s="157"/>
      <c r="N344" s="163" t="s">
        <v>742</v>
      </c>
      <c r="O344" s="166">
        <v>46134</v>
      </c>
      <c r="P344" s="163">
        <v>0</v>
      </c>
      <c r="Q344" s="163">
        <v>500</v>
      </c>
      <c r="R344" s="163">
        <v>22</v>
      </c>
      <c r="S344" s="163">
        <v>522</v>
      </c>
      <c r="T344" s="163">
        <v>522</v>
      </c>
      <c r="U344" s="163">
        <v>0</v>
      </c>
      <c r="V344" s="163">
        <v>0</v>
      </c>
      <c r="W344" s="188">
        <v>313.2</v>
      </c>
      <c r="X344" s="188">
        <v>317.3</v>
      </c>
      <c r="Y344" s="169">
        <v>2132056.7999999998</v>
      </c>
      <c r="Z344" s="136"/>
      <c r="AA344" s="128">
        <v>53301.42</v>
      </c>
      <c r="AB344" s="128">
        <v>53301.42</v>
      </c>
      <c r="AC344" s="128">
        <v>2238659.64</v>
      </c>
      <c r="AD344" s="143">
        <f t="shared" si="194"/>
        <v>2236420.9803599999</v>
      </c>
      <c r="AE344" s="147">
        <v>40.1</v>
      </c>
      <c r="AF344" s="169">
        <v>39.520000000000003</v>
      </c>
      <c r="AG344" s="147">
        <v>39.9</v>
      </c>
      <c r="AH344" s="170">
        <v>4.1999999999999997E-3</v>
      </c>
      <c r="AI344" s="170">
        <v>0.04</v>
      </c>
      <c r="AJ344" s="170">
        <v>5.0999999999999997E-2</v>
      </c>
      <c r="AK344" s="137">
        <f t="shared" si="235"/>
        <v>0</v>
      </c>
      <c r="AL344" s="136">
        <f>522*5</f>
        <v>2610</v>
      </c>
      <c r="AM344" s="136"/>
      <c r="AN344" s="165">
        <v>0</v>
      </c>
      <c r="AO344" s="140">
        <f t="shared" si="236"/>
        <v>0</v>
      </c>
      <c r="AP344" s="136"/>
      <c r="AQ344" s="137">
        <v>0</v>
      </c>
      <c r="AR344" s="155">
        <f t="shared" si="237"/>
        <v>2610</v>
      </c>
      <c r="AS344" s="155">
        <f t="shared" si="238"/>
        <v>2741</v>
      </c>
      <c r="AT344" s="137">
        <v>0</v>
      </c>
      <c r="AU344" s="136"/>
      <c r="AV344" s="136"/>
      <c r="AW344" s="137">
        <f t="shared" si="239"/>
        <v>31320</v>
      </c>
      <c r="AX344" s="136"/>
      <c r="AY344" s="137">
        <f t="shared" si="240"/>
        <v>31320</v>
      </c>
      <c r="AZ344" s="137">
        <f t="shared" si="241"/>
        <v>31730</v>
      </c>
      <c r="BA344" s="142">
        <f t="shared" si="242"/>
        <v>-410</v>
      </c>
      <c r="BB344" s="137"/>
      <c r="BC344" s="137">
        <v>0</v>
      </c>
      <c r="BD344" s="136"/>
      <c r="BE344" s="128">
        <v>317.3</v>
      </c>
      <c r="BF344" s="143">
        <f t="shared" si="228"/>
        <v>0.47594999999999998</v>
      </c>
      <c r="BG344" s="143">
        <f t="shared" si="229"/>
        <v>316.82405</v>
      </c>
      <c r="BH344" s="143">
        <f t="shared" si="230"/>
        <v>317.3</v>
      </c>
      <c r="BI344" s="144">
        <f t="shared" si="231"/>
        <v>0</v>
      </c>
      <c r="BJ344" s="144">
        <v>0</v>
      </c>
      <c r="BK344" s="137">
        <f t="shared" si="232"/>
        <v>0</v>
      </c>
      <c r="BL344" s="9"/>
      <c r="BM344" s="10" t="str">
        <f t="shared" si="233"/>
        <v>Unloading no. 327 Bill No G1667 ,Deduction For Oil Deduction= 0 ,Bardana= 2610 ,F.M=  Brokerage/Rate Difference 0 ,Shortage = 0 ,Greenish=  ,Moisture= 0</v>
      </c>
      <c r="BN344" s="9"/>
      <c r="BO344" s="13" t="str">
        <f t="shared" si="219"/>
        <v xml:space="preserve"> Party Condition 39.52  ,F.M% 0.42 ,Greenish 4 ,Moisture 5.1 ,Shortage in KG= 0  ,Oil% 39.9</v>
      </c>
      <c r="BP344" s="24">
        <f t="shared" si="234"/>
        <v>6711.1465490072478</v>
      </c>
      <c r="BX344" s="27">
        <v>40.1</v>
      </c>
      <c r="BY344" s="27">
        <v>39.9</v>
      </c>
    </row>
    <row r="345" spans="1:77" customFormat="1" ht="15.75" hidden="1" x14ac:dyDescent="0.3">
      <c r="A345" s="163" t="s">
        <v>680</v>
      </c>
      <c r="B345" s="166">
        <v>46134</v>
      </c>
      <c r="C345" s="187">
        <v>328</v>
      </c>
      <c r="D345" s="163" t="s">
        <v>708</v>
      </c>
      <c r="E345" s="166">
        <v>46136</v>
      </c>
      <c r="F345" s="163" t="s">
        <v>107</v>
      </c>
      <c r="G345" s="163" t="s">
        <v>108</v>
      </c>
      <c r="H345" s="163" t="s">
        <v>109</v>
      </c>
      <c r="I345" s="157"/>
      <c r="J345" s="163" t="s">
        <v>113</v>
      </c>
      <c r="K345" s="163">
        <v>0</v>
      </c>
      <c r="L345" s="166">
        <v>46134</v>
      </c>
      <c r="M345" s="157"/>
      <c r="N345" s="163">
        <v>113</v>
      </c>
      <c r="O345" s="166">
        <v>46134</v>
      </c>
      <c r="P345" s="163">
        <v>0</v>
      </c>
      <c r="Q345" s="163">
        <v>306</v>
      </c>
      <c r="R345" s="163">
        <v>41</v>
      </c>
      <c r="S345" s="163">
        <v>347</v>
      </c>
      <c r="T345" s="163">
        <v>347</v>
      </c>
      <c r="U345" s="163">
        <v>0</v>
      </c>
      <c r="V345" s="163">
        <v>0</v>
      </c>
      <c r="W345" s="188">
        <v>208.2</v>
      </c>
      <c r="X345" s="188">
        <v>211.1</v>
      </c>
      <c r="Y345" s="169">
        <v>1439923.69</v>
      </c>
      <c r="Z345" s="136"/>
      <c r="AA345" s="128">
        <v>35998.089999999997</v>
      </c>
      <c r="AB345" s="128">
        <v>35998.089999999997</v>
      </c>
      <c r="AC345" s="128">
        <v>1511919.87</v>
      </c>
      <c r="AD345" s="143">
        <f t="shared" si="194"/>
        <v>1510407.95013</v>
      </c>
      <c r="AE345" s="178">
        <v>41.04</v>
      </c>
      <c r="AF345" s="169">
        <v>39.74</v>
      </c>
      <c r="AG345" s="147">
        <v>40.82</v>
      </c>
      <c r="AH345" s="170">
        <v>4.4000000000000003E-3</v>
      </c>
      <c r="AI345" s="170">
        <v>3.5499999999999997E-2</v>
      </c>
      <c r="AJ345" s="170">
        <v>4.1000000000000002E-2</v>
      </c>
      <c r="AK345" s="137">
        <f t="shared" si="235"/>
        <v>0</v>
      </c>
      <c r="AL345" s="136">
        <f>347*6</f>
        <v>2082</v>
      </c>
      <c r="AM345" s="136"/>
      <c r="AN345" s="165">
        <f>208.2*1.64</f>
        <v>341.44799999999998</v>
      </c>
      <c r="AO345" s="140">
        <f t="shared" si="236"/>
        <v>0</v>
      </c>
      <c r="AP345" s="136"/>
      <c r="AQ345" s="137">
        <v>0</v>
      </c>
      <c r="AR345" s="155">
        <f t="shared" si="237"/>
        <v>2423.4479999999999</v>
      </c>
      <c r="AS345" s="155">
        <f t="shared" si="238"/>
        <v>2545</v>
      </c>
      <c r="AT345" s="137">
        <v>0</v>
      </c>
      <c r="AU345" s="136"/>
      <c r="AV345" s="136"/>
      <c r="AW345" s="137">
        <f t="shared" si="239"/>
        <v>20820</v>
      </c>
      <c r="AX345" s="136"/>
      <c r="AY345" s="137">
        <f t="shared" si="240"/>
        <v>20820</v>
      </c>
      <c r="AZ345" s="137">
        <f t="shared" si="241"/>
        <v>21110</v>
      </c>
      <c r="BA345" s="142">
        <f t="shared" si="242"/>
        <v>-290</v>
      </c>
      <c r="BB345" s="137"/>
      <c r="BC345" s="137">
        <v>0</v>
      </c>
      <c r="BD345" s="136"/>
      <c r="BE345" s="128">
        <v>211.6</v>
      </c>
      <c r="BF345" s="143">
        <f t="shared" si="228"/>
        <v>0.31739999999999996</v>
      </c>
      <c r="BG345" s="143">
        <f t="shared" si="229"/>
        <v>211.2826</v>
      </c>
      <c r="BH345" s="143">
        <f t="shared" si="230"/>
        <v>211.1</v>
      </c>
      <c r="BI345" s="144">
        <f t="shared" si="231"/>
        <v>50</v>
      </c>
      <c r="BJ345" s="144">
        <v>0</v>
      </c>
      <c r="BK345" s="137">
        <f t="shared" si="232"/>
        <v>50</v>
      </c>
      <c r="BL345" s="9"/>
      <c r="BM345" s="10" t="str">
        <f t="shared" si="233"/>
        <v>Unloading no. 328 Bill No 113 ,Deduction For Oil Deduction= 0 ,Bardana= 2082 ,F.M=  Brokerage/Rate Difference 341.448 ,Shortage = 0 ,Greenish=  ,Moisture= 0</v>
      </c>
      <c r="BN345" s="9"/>
      <c r="BO345" s="13" t="str">
        <f t="shared" si="219"/>
        <v xml:space="preserve"> Party Condition 39.74  ,F.M% 0.44 ,Greenish 3.55 ,Moisture 4.1 ,Shortage in KG= 0  ,Oil% 40.82</v>
      </c>
      <c r="BP345" s="24">
        <f t="shared" si="234"/>
        <v>6809.5700710563706</v>
      </c>
      <c r="BX345" s="27">
        <v>41.04</v>
      </c>
      <c r="BY345" s="27">
        <v>40.82</v>
      </c>
    </row>
    <row r="346" spans="1:77" s="26" customFormat="1" ht="14.25" hidden="1" x14ac:dyDescent="0.3">
      <c r="A346" s="128" t="s">
        <v>675</v>
      </c>
      <c r="B346" s="130">
        <v>46133</v>
      </c>
      <c r="C346" s="138">
        <v>329</v>
      </c>
      <c r="D346" s="128" t="s">
        <v>709</v>
      </c>
      <c r="E346" s="130">
        <v>46137</v>
      </c>
      <c r="F346" s="128" t="s">
        <v>104</v>
      </c>
      <c r="G346" s="128" t="s">
        <v>105</v>
      </c>
      <c r="H346" s="128" t="s">
        <v>106</v>
      </c>
      <c r="I346" s="136"/>
      <c r="J346" s="128" t="s">
        <v>113</v>
      </c>
      <c r="K346" s="128">
        <v>0</v>
      </c>
      <c r="L346" s="130">
        <v>46133</v>
      </c>
      <c r="M346" s="136"/>
      <c r="N346" s="128" t="s">
        <v>743</v>
      </c>
      <c r="O346" s="130">
        <v>46134</v>
      </c>
      <c r="P346" s="128">
        <v>0</v>
      </c>
      <c r="Q346" s="128">
        <v>550</v>
      </c>
      <c r="R346" s="128">
        <v>56</v>
      </c>
      <c r="S346" s="128">
        <v>606</v>
      </c>
      <c r="T346" s="128">
        <v>606</v>
      </c>
      <c r="U346" s="128">
        <v>0</v>
      </c>
      <c r="V346" s="128">
        <v>0</v>
      </c>
      <c r="W346" s="169">
        <v>303</v>
      </c>
      <c r="X346" s="169">
        <v>308.39999999999998</v>
      </c>
      <c r="Y346" s="128">
        <v>2036690.25</v>
      </c>
      <c r="Z346" s="136"/>
      <c r="AA346" s="128">
        <v>50917.26</v>
      </c>
      <c r="AB346" s="128">
        <v>50917.26</v>
      </c>
      <c r="AC346" s="128">
        <v>2138524.7599999998</v>
      </c>
      <c r="AD346" s="143">
        <f t="shared" si="194"/>
        <v>2136386.2352399998</v>
      </c>
      <c r="AE346" s="147">
        <v>39.4</v>
      </c>
      <c r="AF346" s="169">
        <v>39</v>
      </c>
      <c r="AG346" s="147">
        <v>39.520000000000003</v>
      </c>
      <c r="AH346" s="170">
        <v>4.4000000000000003E-3</v>
      </c>
      <c r="AI346" s="170">
        <v>3.8399999999999997E-2</v>
      </c>
      <c r="AJ346" s="170">
        <v>4.9000000000000002E-2</v>
      </c>
      <c r="AK346" s="137">
        <f t="shared" si="235"/>
        <v>0</v>
      </c>
      <c r="AL346" s="136">
        <f>606*2</f>
        <v>1212</v>
      </c>
      <c r="AM346" s="136"/>
      <c r="AN346" s="165">
        <v>0</v>
      </c>
      <c r="AO346" s="140">
        <f t="shared" si="236"/>
        <v>0</v>
      </c>
      <c r="AP346" s="136"/>
      <c r="AQ346" s="137">
        <v>0</v>
      </c>
      <c r="AR346" s="155">
        <f t="shared" si="237"/>
        <v>1212</v>
      </c>
      <c r="AS346" s="155">
        <f t="shared" si="238"/>
        <v>1273</v>
      </c>
      <c r="AT346" s="137">
        <v>0</v>
      </c>
      <c r="AU346" s="136"/>
      <c r="AV346" s="136"/>
      <c r="AW346" s="137">
        <f t="shared" si="239"/>
        <v>30300</v>
      </c>
      <c r="AX346" s="136"/>
      <c r="AY346" s="137">
        <f t="shared" si="240"/>
        <v>30300</v>
      </c>
      <c r="AZ346" s="137">
        <f t="shared" si="241"/>
        <v>30839.999999999996</v>
      </c>
      <c r="BA346" s="142">
        <f t="shared" si="242"/>
        <v>-539.99999999999636</v>
      </c>
      <c r="BB346" s="137"/>
      <c r="BC346" s="137">
        <v>0</v>
      </c>
      <c r="BD346" s="136"/>
      <c r="BE346" s="128">
        <v>308.35000000000002</v>
      </c>
      <c r="BF346" s="143">
        <f t="shared" si="228"/>
        <v>0.46252500000000007</v>
      </c>
      <c r="BG346" s="143">
        <f t="shared" si="229"/>
        <v>307.88747499999999</v>
      </c>
      <c r="BH346" s="143">
        <f t="shared" si="230"/>
        <v>308.39999999999998</v>
      </c>
      <c r="BI346" s="144">
        <f t="shared" si="231"/>
        <v>-4.9999999999954525</v>
      </c>
      <c r="BJ346" s="144">
        <v>0</v>
      </c>
      <c r="BK346" s="137">
        <f t="shared" si="232"/>
        <v>-4.9999999999954525</v>
      </c>
      <c r="BL346" s="18"/>
      <c r="BM346" s="25" t="str">
        <f t="shared" si="233"/>
        <v>Unloading no. 329 Bill No MTC/2026-27/096 ,Deduction For Oil Deduction= 0 ,Bardana= 1212 ,F.M=  Brokerage/Rate Difference 0 ,Shortage = 0 ,Greenish=  ,Moisture= 0</v>
      </c>
      <c r="BN346" s="17"/>
      <c r="BO346" s="13" t="str">
        <f t="shared" si="219"/>
        <v xml:space="preserve"> Party Condition 39  ,F.M% 0.44 ,Greenish 3.84 ,Moisture 4.9 ,Shortage in KG= 0  ,Oil% 39.4</v>
      </c>
      <c r="BP346" s="19">
        <f t="shared" si="234"/>
        <v>6600.1240272373543</v>
      </c>
      <c r="BX346" s="27">
        <v>39.4</v>
      </c>
      <c r="BY346" s="27">
        <v>39.520000000000003</v>
      </c>
    </row>
    <row r="347" spans="1:77" s="26" customFormat="1" ht="14.25" hidden="1" x14ac:dyDescent="0.3">
      <c r="A347" s="128" t="s">
        <v>681</v>
      </c>
      <c r="B347" s="130">
        <v>46134</v>
      </c>
      <c r="C347" s="138">
        <v>330</v>
      </c>
      <c r="D347" s="128" t="s">
        <v>710</v>
      </c>
      <c r="E347" s="130">
        <v>46137</v>
      </c>
      <c r="F347" s="128" t="s">
        <v>98</v>
      </c>
      <c r="G347" s="128" t="s">
        <v>99</v>
      </c>
      <c r="H347" s="128" t="s">
        <v>199</v>
      </c>
      <c r="I347" s="136"/>
      <c r="J347" s="128" t="s">
        <v>113</v>
      </c>
      <c r="K347" s="128">
        <v>0</v>
      </c>
      <c r="L347" s="130">
        <v>46134</v>
      </c>
      <c r="M347" s="136"/>
      <c r="N347" s="128">
        <v>79</v>
      </c>
      <c r="O347" s="130">
        <v>46135</v>
      </c>
      <c r="P347" s="128">
        <v>0</v>
      </c>
      <c r="Q347" s="128">
        <v>362</v>
      </c>
      <c r="R347" s="128">
        <v>100</v>
      </c>
      <c r="S347" s="128">
        <v>462</v>
      </c>
      <c r="T347" s="128">
        <v>462</v>
      </c>
      <c r="U347" s="128">
        <v>0</v>
      </c>
      <c r="V347" s="128">
        <v>0</v>
      </c>
      <c r="W347" s="169">
        <v>277.2</v>
      </c>
      <c r="X347" s="169">
        <v>279.89999999999998</v>
      </c>
      <c r="Y347" s="128">
        <v>1906910.54</v>
      </c>
      <c r="Z347" s="136"/>
      <c r="AA347" s="128">
        <v>47672.76</v>
      </c>
      <c r="AB347" s="128">
        <v>47672.76</v>
      </c>
      <c r="AC347" s="128">
        <v>2002256.07</v>
      </c>
      <c r="AD347" s="143">
        <f t="shared" si="194"/>
        <v>2000253.8139300002</v>
      </c>
      <c r="AE347" s="147">
        <v>40.049999999999997</v>
      </c>
      <c r="AF347" s="169">
        <v>39.549999999999997</v>
      </c>
      <c r="AG347" s="147">
        <v>40.06</v>
      </c>
      <c r="AH347" s="170">
        <v>4.7000000000000002E-3</v>
      </c>
      <c r="AI347" s="170">
        <v>3.7600000000000001E-2</v>
      </c>
      <c r="AJ347" s="170">
        <v>4.8000000000000001E-2</v>
      </c>
      <c r="AK347" s="137">
        <f t="shared" si="235"/>
        <v>0</v>
      </c>
      <c r="AL347" s="136">
        <f>462*0.5</f>
        <v>231</v>
      </c>
      <c r="AM347" s="136"/>
      <c r="AN347" s="165">
        <v>0</v>
      </c>
      <c r="AO347" s="140">
        <f t="shared" si="236"/>
        <v>4677.8469235209232</v>
      </c>
      <c r="AP347" s="136"/>
      <c r="AQ347" s="137">
        <v>0</v>
      </c>
      <c r="AR347" s="155">
        <f t="shared" si="237"/>
        <v>4908.8469235209232</v>
      </c>
      <c r="AS347" s="155">
        <f t="shared" si="238"/>
        <v>5154</v>
      </c>
      <c r="AT347" s="137">
        <v>68</v>
      </c>
      <c r="AU347" s="136"/>
      <c r="AV347" s="136"/>
      <c r="AW347" s="137">
        <f t="shared" si="239"/>
        <v>27720</v>
      </c>
      <c r="AX347" s="136"/>
      <c r="AY347" s="137">
        <f t="shared" si="240"/>
        <v>27720</v>
      </c>
      <c r="AZ347" s="137">
        <f t="shared" si="241"/>
        <v>27989.999999999996</v>
      </c>
      <c r="BA347" s="142">
        <f t="shared" si="242"/>
        <v>-269.99999999999636</v>
      </c>
      <c r="BB347" s="137"/>
      <c r="BC347" s="137">
        <v>0</v>
      </c>
      <c r="BD347" s="136"/>
      <c r="BE347" s="128">
        <v>280.5</v>
      </c>
      <c r="BF347" s="143">
        <f t="shared" si="228"/>
        <v>0.42074999999999996</v>
      </c>
      <c r="BG347" s="143">
        <f t="shared" si="229"/>
        <v>280.07925</v>
      </c>
      <c r="BH347" s="143">
        <f t="shared" si="230"/>
        <v>279.89999999999998</v>
      </c>
      <c r="BI347" s="144">
        <f t="shared" si="231"/>
        <v>60.000000000002274</v>
      </c>
      <c r="BJ347" s="144">
        <v>0</v>
      </c>
      <c r="BK347" s="137">
        <f t="shared" si="232"/>
        <v>60.000000000002274</v>
      </c>
      <c r="BL347" s="18"/>
      <c r="BM347" s="25" t="str">
        <f t="shared" si="233"/>
        <v>Unloading no. 330 Bill No 79 ,Deduction For Oil Deduction= 0 ,Bardana= 231 ,F.M=  Brokerage/Rate Difference 0 ,Shortage = 4677.84692352092 ,Greenish=  ,Moisture= 0</v>
      </c>
      <c r="BN347" s="17"/>
      <c r="BO347" s="13" t="str">
        <f t="shared" si="219"/>
        <v xml:space="preserve"> Party Condition 39.55  ,F.M% 0.47 ,Greenish 3.76 ,Moisture 4.8 ,Shortage in KG= 68  ,Oil% 40.05</v>
      </c>
      <c r="BP347" s="19">
        <f t="shared" si="234"/>
        <v>6795.2900788727375</v>
      </c>
      <c r="BX347" s="27">
        <v>40.049999999999997</v>
      </c>
      <c r="BY347" s="27">
        <v>40.06</v>
      </c>
    </row>
    <row r="348" spans="1:77" s="26" customFormat="1" ht="14.25" hidden="1" x14ac:dyDescent="0.3">
      <c r="A348" s="128" t="s">
        <v>682</v>
      </c>
      <c r="B348" s="130">
        <v>46134</v>
      </c>
      <c r="C348" s="138">
        <v>331</v>
      </c>
      <c r="D348" s="128" t="s">
        <v>711</v>
      </c>
      <c r="E348" s="130">
        <v>46137</v>
      </c>
      <c r="F348" s="128" t="s">
        <v>200</v>
      </c>
      <c r="G348" s="128" t="s">
        <v>201</v>
      </c>
      <c r="H348" s="128" t="s">
        <v>202</v>
      </c>
      <c r="I348" s="136"/>
      <c r="J348" s="128" t="s">
        <v>113</v>
      </c>
      <c r="K348" s="128">
        <v>0</v>
      </c>
      <c r="L348" s="130">
        <v>46134</v>
      </c>
      <c r="M348" s="136"/>
      <c r="N348" s="128">
        <v>33</v>
      </c>
      <c r="O348" s="130">
        <v>46134</v>
      </c>
      <c r="P348" s="128">
        <v>0</v>
      </c>
      <c r="Q348" s="128">
        <v>0</v>
      </c>
      <c r="R348" s="128">
        <v>579</v>
      </c>
      <c r="S348" s="128">
        <v>579</v>
      </c>
      <c r="T348" s="128">
        <v>579</v>
      </c>
      <c r="U348" s="128">
        <v>0</v>
      </c>
      <c r="V348" s="128">
        <v>0</v>
      </c>
      <c r="W348" s="169">
        <v>347.4</v>
      </c>
      <c r="X348" s="169">
        <v>352.4</v>
      </c>
      <c r="Y348" s="128">
        <v>2380958</v>
      </c>
      <c r="Z348" s="136"/>
      <c r="AA348" s="128">
        <v>59523.95</v>
      </c>
      <c r="AB348" s="128">
        <v>59523.95</v>
      </c>
      <c r="AC348" s="128">
        <v>2500005.9</v>
      </c>
      <c r="AD348" s="143">
        <f t="shared" si="194"/>
        <v>2497505.8940999997</v>
      </c>
      <c r="AE348" s="147">
        <v>39.729999999999997</v>
      </c>
      <c r="AF348" s="169">
        <v>39.42</v>
      </c>
      <c r="AG348" s="147">
        <v>39.659999999999997</v>
      </c>
      <c r="AH348" s="170">
        <v>4.3E-3</v>
      </c>
      <c r="AI348" s="170">
        <v>3.6600000000000001E-2</v>
      </c>
      <c r="AJ348" s="170">
        <v>4.8000000000000001E-2</v>
      </c>
      <c r="AK348" s="137">
        <f t="shared" si="235"/>
        <v>0</v>
      </c>
      <c r="AL348" s="136">
        <v>0</v>
      </c>
      <c r="AM348" s="136"/>
      <c r="AN348" s="165">
        <v>0</v>
      </c>
      <c r="AO348" s="140">
        <f t="shared" si="236"/>
        <v>0</v>
      </c>
      <c r="AP348" s="136"/>
      <c r="AQ348" s="137">
        <v>0</v>
      </c>
      <c r="AR348" s="155">
        <f t="shared" si="237"/>
        <v>0</v>
      </c>
      <c r="AS348" s="155">
        <f t="shared" si="238"/>
        <v>0</v>
      </c>
      <c r="AT348" s="137">
        <v>0</v>
      </c>
      <c r="AU348" s="136"/>
      <c r="AV348" s="136"/>
      <c r="AW348" s="137">
        <f t="shared" si="239"/>
        <v>34740</v>
      </c>
      <c r="AX348" s="136"/>
      <c r="AY348" s="137">
        <f t="shared" si="240"/>
        <v>34740</v>
      </c>
      <c r="AZ348" s="137">
        <f t="shared" si="241"/>
        <v>35240</v>
      </c>
      <c r="BA348" s="142">
        <f t="shared" si="242"/>
        <v>-500</v>
      </c>
      <c r="BB348" s="137"/>
      <c r="BC348" s="137">
        <v>0</v>
      </c>
      <c r="BD348" s="136"/>
      <c r="BE348" s="128">
        <v>353.1</v>
      </c>
      <c r="BF348" s="143">
        <f t="shared" si="228"/>
        <v>0.52965000000000007</v>
      </c>
      <c r="BG348" s="143">
        <f t="shared" si="229"/>
        <v>352.57035000000002</v>
      </c>
      <c r="BH348" s="143">
        <f t="shared" si="230"/>
        <v>352.4</v>
      </c>
      <c r="BI348" s="144">
        <f t="shared" si="231"/>
        <v>70.000000000004547</v>
      </c>
      <c r="BJ348" s="144">
        <v>0</v>
      </c>
      <c r="BK348" s="137">
        <f t="shared" si="232"/>
        <v>70.000000000004547</v>
      </c>
      <c r="BL348" s="18"/>
      <c r="BM348" s="25" t="str">
        <f t="shared" si="233"/>
        <v>Unloading no. 331 Bill No 33 ,Deduction For Oil Deduction= 0 ,Bardana= 0 ,F.M=  Brokerage/Rate Difference 0 ,Shortage = 0 ,Greenish=  ,Moisture= 0</v>
      </c>
      <c r="BN348" s="17"/>
      <c r="BO348" s="13" t="str">
        <f t="shared" si="219"/>
        <v xml:space="preserve"> Party Condition 39.42  ,F.M% 0.43 ,Greenish 3.66 ,Moisture 4.8 ,Shortage in KG= 0  ,Oil% 39.66</v>
      </c>
      <c r="BP348" s="19">
        <f t="shared" si="234"/>
        <v>6756.407491486947</v>
      </c>
      <c r="BX348" s="27">
        <v>39.729999999999997</v>
      </c>
      <c r="BY348" s="27">
        <v>39.659999999999997</v>
      </c>
    </row>
    <row r="349" spans="1:77" s="26" customFormat="1" ht="14.25" hidden="1" x14ac:dyDescent="0.3">
      <c r="A349" s="128" t="s">
        <v>682</v>
      </c>
      <c r="B349" s="130">
        <v>46134</v>
      </c>
      <c r="C349" s="138">
        <v>332</v>
      </c>
      <c r="D349" s="128" t="s">
        <v>712</v>
      </c>
      <c r="E349" s="130">
        <v>46137</v>
      </c>
      <c r="F349" s="128" t="s">
        <v>200</v>
      </c>
      <c r="G349" s="128" t="s">
        <v>201</v>
      </c>
      <c r="H349" s="128" t="s">
        <v>202</v>
      </c>
      <c r="I349" s="136"/>
      <c r="J349" s="128" t="s">
        <v>113</v>
      </c>
      <c r="K349" s="128">
        <v>0</v>
      </c>
      <c r="L349" s="130">
        <v>46134</v>
      </c>
      <c r="M349" s="136"/>
      <c r="N349" s="128">
        <v>34</v>
      </c>
      <c r="O349" s="130">
        <v>46134</v>
      </c>
      <c r="P349" s="128">
        <v>0</v>
      </c>
      <c r="Q349" s="128">
        <v>0</v>
      </c>
      <c r="R349" s="128">
        <v>587</v>
      </c>
      <c r="S349" s="128">
        <v>587</v>
      </c>
      <c r="T349" s="128">
        <v>587</v>
      </c>
      <c r="U349" s="128">
        <v>0</v>
      </c>
      <c r="V349" s="128">
        <v>0</v>
      </c>
      <c r="W349" s="169">
        <v>352.2</v>
      </c>
      <c r="X349" s="169">
        <v>356.3</v>
      </c>
      <c r="Y349" s="128">
        <v>2413855.5299999998</v>
      </c>
      <c r="Z349" s="136"/>
      <c r="AA349" s="128">
        <v>60346.39</v>
      </c>
      <c r="AB349" s="128">
        <v>60346.39</v>
      </c>
      <c r="AC349" s="128">
        <v>2534548.31</v>
      </c>
      <c r="AD349" s="143">
        <f t="shared" si="194"/>
        <v>2532013.7616900001</v>
      </c>
      <c r="AE349" s="147">
        <v>39.6</v>
      </c>
      <c r="AF349" s="169">
        <v>39.42</v>
      </c>
      <c r="AG349" s="147">
        <v>39.549999999999997</v>
      </c>
      <c r="AH349" s="170">
        <v>4.1999999999999997E-3</v>
      </c>
      <c r="AI349" s="170">
        <v>3.5000000000000003E-2</v>
      </c>
      <c r="AJ349" s="170">
        <v>5.0999999999999997E-2</v>
      </c>
      <c r="AK349" s="137">
        <f t="shared" si="235"/>
        <v>0</v>
      </c>
      <c r="AL349" s="136">
        <v>0</v>
      </c>
      <c r="AM349" s="136"/>
      <c r="AN349" s="165">
        <v>0</v>
      </c>
      <c r="AO349" s="140">
        <f t="shared" si="236"/>
        <v>1302.1934999999999</v>
      </c>
      <c r="AP349" s="136"/>
      <c r="AQ349" s="137">
        <v>0</v>
      </c>
      <c r="AR349" s="155">
        <f t="shared" si="237"/>
        <v>1302.1934999999999</v>
      </c>
      <c r="AS349" s="155">
        <f t="shared" si="238"/>
        <v>1367</v>
      </c>
      <c r="AT349" s="137">
        <v>19</v>
      </c>
      <c r="AU349" s="136"/>
      <c r="AV349" s="136"/>
      <c r="AW349" s="137">
        <f t="shared" si="239"/>
        <v>35220</v>
      </c>
      <c r="AX349" s="136"/>
      <c r="AY349" s="137">
        <f t="shared" si="240"/>
        <v>35220</v>
      </c>
      <c r="AZ349" s="137">
        <f t="shared" si="241"/>
        <v>35630</v>
      </c>
      <c r="BA349" s="142">
        <f t="shared" si="242"/>
        <v>-410</v>
      </c>
      <c r="BB349" s="137"/>
      <c r="BC349" s="137">
        <v>0</v>
      </c>
      <c r="BD349" s="136"/>
      <c r="BE349" s="128">
        <v>356.9</v>
      </c>
      <c r="BF349" s="143">
        <f t="shared" si="228"/>
        <v>0.53534999999999999</v>
      </c>
      <c r="BG349" s="143">
        <f t="shared" si="229"/>
        <v>356.36464999999998</v>
      </c>
      <c r="BH349" s="143">
        <f t="shared" si="230"/>
        <v>356.3</v>
      </c>
      <c r="BI349" s="144">
        <f t="shared" si="231"/>
        <v>59.999999999996589</v>
      </c>
      <c r="BJ349" s="144">
        <v>0</v>
      </c>
      <c r="BK349" s="137">
        <f t="shared" si="232"/>
        <v>59.999999999996589</v>
      </c>
      <c r="BL349" s="18"/>
      <c r="BM349" s="25" t="str">
        <f t="shared" si="233"/>
        <v>Unloading no. 332 Bill No 34 ,Deduction For Oil Deduction= 0 ,Bardana= 0 ,F.M=  Brokerage/Rate Difference 0 ,Shortage = 1302.1935 ,Greenish=  ,Moisture= 0</v>
      </c>
      <c r="BN349" s="17"/>
      <c r="BO349" s="13" t="str">
        <f t="shared" si="219"/>
        <v xml:space="preserve"> Party Condition 39.42  ,F.M% 0.42 ,Greenish 3.5 ,Moisture 5.1 ,Shortage in KG= 19  ,Oil% 39.55</v>
      </c>
      <c r="BP349" s="19">
        <f t="shared" si="234"/>
        <v>6771.1292071288235</v>
      </c>
      <c r="BX349" s="27">
        <v>39.6</v>
      </c>
      <c r="BY349" s="27">
        <v>39.549999999999997</v>
      </c>
    </row>
    <row r="350" spans="1:77" s="26" customFormat="1" ht="14.25" hidden="1" x14ac:dyDescent="0.3">
      <c r="A350" s="163" t="s">
        <v>680</v>
      </c>
      <c r="B350" s="166">
        <v>46134</v>
      </c>
      <c r="C350" s="187">
        <v>333</v>
      </c>
      <c r="D350" s="163" t="s">
        <v>713</v>
      </c>
      <c r="E350" s="166">
        <v>46137</v>
      </c>
      <c r="F350" s="163" t="s">
        <v>107</v>
      </c>
      <c r="G350" s="163" t="s">
        <v>108</v>
      </c>
      <c r="H350" s="163" t="s">
        <v>109</v>
      </c>
      <c r="I350" s="157"/>
      <c r="J350" s="163" t="s">
        <v>113</v>
      </c>
      <c r="K350" s="163">
        <v>0</v>
      </c>
      <c r="L350" s="166">
        <v>46134</v>
      </c>
      <c r="M350" s="157"/>
      <c r="N350" s="163">
        <v>114</v>
      </c>
      <c r="O350" s="166">
        <v>46135</v>
      </c>
      <c r="P350" s="163">
        <v>0</v>
      </c>
      <c r="Q350" s="163">
        <v>160</v>
      </c>
      <c r="R350" s="163">
        <v>28</v>
      </c>
      <c r="S350" s="163">
        <v>188</v>
      </c>
      <c r="T350" s="163">
        <v>188</v>
      </c>
      <c r="U350" s="163">
        <v>0</v>
      </c>
      <c r="V350" s="163">
        <v>0</v>
      </c>
      <c r="W350" s="188">
        <v>112.8</v>
      </c>
      <c r="X350" s="169">
        <v>114</v>
      </c>
      <c r="Y350" s="128">
        <v>780131.57</v>
      </c>
      <c r="Z350" s="136"/>
      <c r="AA350" s="128">
        <v>19503.29</v>
      </c>
      <c r="AB350" s="128">
        <v>19503.29</v>
      </c>
      <c r="AC350" s="128">
        <v>819138.15</v>
      </c>
      <c r="AD350" s="143">
        <f t="shared" si="194"/>
        <v>818319.01185000001</v>
      </c>
      <c r="AE350" s="147">
        <v>40.200000000000003</v>
      </c>
      <c r="AF350" s="169">
        <v>39.74</v>
      </c>
      <c r="AG350" s="147">
        <v>40.04</v>
      </c>
      <c r="AH350" s="170">
        <v>4.7999999999999996E-3</v>
      </c>
      <c r="AI350" s="170">
        <v>3.5999999999999997E-2</v>
      </c>
      <c r="AJ350" s="170">
        <v>0.05</v>
      </c>
      <c r="AK350" s="137">
        <f t="shared" si="235"/>
        <v>0</v>
      </c>
      <c r="AL350" s="136">
        <f>188*6</f>
        <v>1128</v>
      </c>
      <c r="AM350" s="136"/>
      <c r="AN350" s="165">
        <f>112.8*1.64</f>
        <v>184.99199999999999</v>
      </c>
      <c r="AO350" s="140">
        <f t="shared" si="236"/>
        <v>1175.7302030141843</v>
      </c>
      <c r="AP350" s="136"/>
      <c r="AQ350" s="137">
        <v>0</v>
      </c>
      <c r="AR350" s="155">
        <f t="shared" si="237"/>
        <v>2488.7222030141843</v>
      </c>
      <c r="AS350" s="155">
        <f t="shared" si="238"/>
        <v>2613</v>
      </c>
      <c r="AT350" s="137">
        <v>17</v>
      </c>
      <c r="AU350" s="136"/>
      <c r="AV350" s="136"/>
      <c r="AW350" s="137">
        <f t="shared" si="239"/>
        <v>11280</v>
      </c>
      <c r="AX350" s="136"/>
      <c r="AY350" s="137">
        <f t="shared" si="240"/>
        <v>11280</v>
      </c>
      <c r="AZ350" s="137">
        <f t="shared" si="241"/>
        <v>11400</v>
      </c>
      <c r="BA350" s="142">
        <f t="shared" si="242"/>
        <v>-120</v>
      </c>
      <c r="BB350" s="137"/>
      <c r="BC350" s="137">
        <v>0</v>
      </c>
      <c r="BD350" s="136"/>
      <c r="BE350" s="128">
        <v>114.3</v>
      </c>
      <c r="BF350" s="143">
        <f t="shared" si="228"/>
        <v>0.17144999999999999</v>
      </c>
      <c r="BG350" s="143">
        <f t="shared" si="229"/>
        <v>114.12855</v>
      </c>
      <c r="BH350" s="143">
        <f t="shared" si="230"/>
        <v>114</v>
      </c>
      <c r="BI350" s="144">
        <f t="shared" si="231"/>
        <v>29.999999999999716</v>
      </c>
      <c r="BJ350" s="144">
        <v>0</v>
      </c>
      <c r="BK350" s="137">
        <f t="shared" si="232"/>
        <v>29.999999999999716</v>
      </c>
      <c r="BL350" s="18"/>
      <c r="BM350" s="25" t="str">
        <f t="shared" si="233"/>
        <v>Unloading no. 333 Bill No 114 ,Deduction For Oil Deduction= 0 ,Bardana= 1128 ,F.M=  Brokerage/Rate Difference 184.992 ,Shortage = 1175.73020301418 ,Greenish=  ,Moisture= 0</v>
      </c>
      <c r="BN350" s="17"/>
      <c r="BO350" s="13" t="str">
        <f t="shared" si="219"/>
        <v xml:space="preserve"> Party Condition 39.74  ,F.M% 0.48 ,Greenish 3.6 ,Moisture 5 ,Shortage in KG= 17  ,Oil% 40.04</v>
      </c>
      <c r="BP350" s="19">
        <f t="shared" si="234"/>
        <v>6821.4284894472439</v>
      </c>
      <c r="BX350" s="27">
        <v>40.200000000000003</v>
      </c>
      <c r="BY350" s="27">
        <v>40.04</v>
      </c>
    </row>
    <row r="351" spans="1:77" s="26" customFormat="1" ht="14.25" hidden="1" x14ac:dyDescent="0.3">
      <c r="A351" s="163" t="s">
        <v>672</v>
      </c>
      <c r="B351" s="166">
        <v>46134</v>
      </c>
      <c r="C351" s="187">
        <v>334</v>
      </c>
      <c r="D351" s="163" t="s">
        <v>714</v>
      </c>
      <c r="E351" s="166">
        <v>46137</v>
      </c>
      <c r="F351" s="163" t="s">
        <v>95</v>
      </c>
      <c r="G351" s="163" t="s">
        <v>96</v>
      </c>
      <c r="H351" s="163" t="s">
        <v>97</v>
      </c>
      <c r="I351" s="157"/>
      <c r="J351" s="163" t="s">
        <v>113</v>
      </c>
      <c r="K351" s="163">
        <v>0</v>
      </c>
      <c r="L351" s="166">
        <v>46134</v>
      </c>
      <c r="M351" s="157"/>
      <c r="N351" s="163">
        <v>115</v>
      </c>
      <c r="O351" s="166">
        <v>46135</v>
      </c>
      <c r="P351" s="163">
        <v>0</v>
      </c>
      <c r="Q351" s="163">
        <v>300</v>
      </c>
      <c r="R351" s="163">
        <v>116</v>
      </c>
      <c r="S351" s="163">
        <v>416</v>
      </c>
      <c r="T351" s="163">
        <v>416</v>
      </c>
      <c r="U351" s="163">
        <v>0</v>
      </c>
      <c r="V351" s="163">
        <v>0</v>
      </c>
      <c r="W351" s="188">
        <v>249.6</v>
      </c>
      <c r="X351" s="169">
        <v>252.5</v>
      </c>
      <c r="Y351" s="128">
        <v>1735858.18</v>
      </c>
      <c r="Z351" s="136"/>
      <c r="AA351" s="128">
        <v>43396.45</v>
      </c>
      <c r="AB351" s="128">
        <v>43396.45</v>
      </c>
      <c r="AC351" s="128">
        <v>1822651.09</v>
      </c>
      <c r="AD351" s="143">
        <f t="shared" si="194"/>
        <v>1820828.43891</v>
      </c>
      <c r="AE351" s="147">
        <v>40.49</v>
      </c>
      <c r="AF351" s="169">
        <v>40.090000000000003</v>
      </c>
      <c r="AG351" s="147">
        <v>40.42</v>
      </c>
      <c r="AH351" s="170">
        <v>4.0000000000000001E-3</v>
      </c>
      <c r="AI351" s="170">
        <v>3.6999999999999998E-2</v>
      </c>
      <c r="AJ351" s="170">
        <v>4.3999999999999997E-2</v>
      </c>
      <c r="AK351" s="137">
        <f t="shared" si="235"/>
        <v>0</v>
      </c>
      <c r="AL351" s="136">
        <v>0</v>
      </c>
      <c r="AM351" s="136"/>
      <c r="AN351" s="165">
        <v>0</v>
      </c>
      <c r="AO351" s="140">
        <f t="shared" si="236"/>
        <v>0</v>
      </c>
      <c r="AP351" s="136"/>
      <c r="AQ351" s="137">
        <v>0</v>
      </c>
      <c r="AR351" s="155">
        <f t="shared" si="237"/>
        <v>0</v>
      </c>
      <c r="AS351" s="155">
        <f t="shared" si="238"/>
        <v>0</v>
      </c>
      <c r="AT351" s="137">
        <v>0</v>
      </c>
      <c r="AU351" s="136" t="s">
        <v>664</v>
      </c>
      <c r="AV351" s="136"/>
      <c r="AW351" s="137">
        <f t="shared" si="239"/>
        <v>24960</v>
      </c>
      <c r="AX351" s="136"/>
      <c r="AY351" s="137">
        <f t="shared" si="240"/>
        <v>24960</v>
      </c>
      <c r="AZ351" s="137">
        <f t="shared" si="241"/>
        <v>25250</v>
      </c>
      <c r="BA351" s="142">
        <f t="shared" si="242"/>
        <v>-290</v>
      </c>
      <c r="BB351" s="137"/>
      <c r="BC351" s="137">
        <v>0</v>
      </c>
      <c r="BD351" s="136"/>
      <c r="BE351" s="128">
        <v>252.5</v>
      </c>
      <c r="BF351" s="143">
        <f t="shared" si="228"/>
        <v>0.37874999999999998</v>
      </c>
      <c r="BG351" s="143">
        <f t="shared" si="229"/>
        <v>252.12125</v>
      </c>
      <c r="BH351" s="143">
        <f t="shared" si="230"/>
        <v>252.5</v>
      </c>
      <c r="BI351" s="144">
        <f t="shared" si="231"/>
        <v>0</v>
      </c>
      <c r="BJ351" s="144">
        <v>0</v>
      </c>
      <c r="BK351" s="137">
        <f t="shared" si="232"/>
        <v>0</v>
      </c>
      <c r="BL351" s="18"/>
      <c r="BM351" s="25" t="str">
        <f t="shared" si="233"/>
        <v>Unloading no. 334 Bill No 115 ,Deduction For Oil Deduction= 0 ,Bardana= 0 ,F.M=  Brokerage/Rate Difference 0 ,Shortage = 0 ,Greenish=  ,Moisture= 0</v>
      </c>
      <c r="BN351" s="17"/>
      <c r="BO351" s="13" t="str">
        <f t="shared" si="219"/>
        <v xml:space="preserve"> Party Condition 40.09  ,F.M% 0.4 ,Greenish 3.7 ,Moisture 4.4 ,Shortage in KG= 0  ,Oil% 40.42</v>
      </c>
      <c r="BP351" s="19">
        <f t="shared" si="234"/>
        <v>6874.6858613861386</v>
      </c>
      <c r="BX351" s="27">
        <v>40.49</v>
      </c>
      <c r="BY351" s="27">
        <v>40.42</v>
      </c>
    </row>
    <row r="352" spans="1:77" s="26" customFormat="1" ht="14.25" hidden="1" x14ac:dyDescent="0.3">
      <c r="A352" s="163" t="s">
        <v>683</v>
      </c>
      <c r="B352" s="166">
        <v>46134</v>
      </c>
      <c r="C352" s="187">
        <v>335</v>
      </c>
      <c r="D352" s="163" t="s">
        <v>715</v>
      </c>
      <c r="E352" s="166">
        <v>46137</v>
      </c>
      <c r="F352" s="163" t="s">
        <v>436</v>
      </c>
      <c r="G352" s="163" t="s">
        <v>437</v>
      </c>
      <c r="H352" s="163" t="s">
        <v>438</v>
      </c>
      <c r="I352" s="157"/>
      <c r="J352" s="163" t="s">
        <v>113</v>
      </c>
      <c r="K352" s="163">
        <v>0</v>
      </c>
      <c r="L352" s="166">
        <v>46134</v>
      </c>
      <c r="M352" s="157"/>
      <c r="N352" s="163">
        <v>60</v>
      </c>
      <c r="O352" s="166">
        <v>46135</v>
      </c>
      <c r="P352" s="163">
        <v>0</v>
      </c>
      <c r="Q352" s="163">
        <v>400</v>
      </c>
      <c r="R352" s="163">
        <v>190</v>
      </c>
      <c r="S352" s="163">
        <v>590</v>
      </c>
      <c r="T352" s="163">
        <v>590</v>
      </c>
      <c r="U352" s="163">
        <v>0</v>
      </c>
      <c r="V352" s="163">
        <v>0</v>
      </c>
      <c r="W352" s="188">
        <v>354</v>
      </c>
      <c r="X352" s="169">
        <v>359.8</v>
      </c>
      <c r="Y352" s="128">
        <v>2426815.14</v>
      </c>
      <c r="Z352" s="136"/>
      <c r="AA352" s="128">
        <v>60670.38</v>
      </c>
      <c r="AB352" s="128">
        <v>60670.38</v>
      </c>
      <c r="AC352" s="128">
        <v>2548155.9</v>
      </c>
      <c r="AD352" s="143">
        <f t="shared" ref="AD352:AD415" si="243">SUM(AC352-AC352*0.1%)</f>
        <v>2545607.7440999998</v>
      </c>
      <c r="AE352" s="147">
        <v>40.4</v>
      </c>
      <c r="AF352" s="169">
        <v>39.75</v>
      </c>
      <c r="AG352" s="147">
        <v>40.479999999999997</v>
      </c>
      <c r="AH352" s="170">
        <v>4.1999999999999997E-3</v>
      </c>
      <c r="AI352" s="170">
        <v>3.6499999999999998E-2</v>
      </c>
      <c r="AJ352" s="170">
        <v>4.2999999999999997E-2</v>
      </c>
      <c r="AK352" s="137">
        <f t="shared" si="235"/>
        <v>0</v>
      </c>
      <c r="AL352" s="136">
        <v>0</v>
      </c>
      <c r="AM352" s="136"/>
      <c r="AN352" s="165">
        <v>0</v>
      </c>
      <c r="AO352" s="140">
        <f t="shared" si="236"/>
        <v>0</v>
      </c>
      <c r="AP352" s="136"/>
      <c r="AQ352" s="137">
        <v>0</v>
      </c>
      <c r="AR352" s="155">
        <f t="shared" si="237"/>
        <v>0</v>
      </c>
      <c r="AS352" s="155">
        <f t="shared" si="238"/>
        <v>0</v>
      </c>
      <c r="AT352" s="137">
        <v>0</v>
      </c>
      <c r="AU352" s="136"/>
      <c r="AV352" s="136"/>
      <c r="AW352" s="137">
        <f t="shared" si="239"/>
        <v>35400</v>
      </c>
      <c r="AX352" s="136"/>
      <c r="AY352" s="137">
        <f t="shared" si="240"/>
        <v>35400</v>
      </c>
      <c r="AZ352" s="137">
        <f t="shared" si="241"/>
        <v>35980</v>
      </c>
      <c r="BA352" s="142">
        <f t="shared" si="242"/>
        <v>-580</v>
      </c>
      <c r="BB352" s="137"/>
      <c r="BC352" s="137">
        <v>0</v>
      </c>
      <c r="BD352" s="136"/>
      <c r="BE352" s="128">
        <v>359.6</v>
      </c>
      <c r="BF352" s="143">
        <f t="shared" si="228"/>
        <v>0.5394000000000001</v>
      </c>
      <c r="BG352" s="143">
        <f t="shared" si="229"/>
        <v>359.06060000000002</v>
      </c>
      <c r="BH352" s="143">
        <f t="shared" si="230"/>
        <v>359.8</v>
      </c>
      <c r="BI352" s="144">
        <f t="shared" si="231"/>
        <v>-19.999999999998863</v>
      </c>
      <c r="BJ352" s="144">
        <v>0</v>
      </c>
      <c r="BK352" s="137">
        <f t="shared" si="232"/>
        <v>-19.999999999998863</v>
      </c>
      <c r="BL352" s="18"/>
      <c r="BM352" s="25" t="str">
        <f t="shared" si="233"/>
        <v>Unloading no. 335 Bill No 60 ,Deduction For Oil Deduction= 0 ,Bardana= 0 ,F.M=  Brokerage/Rate Difference 0 ,Shortage = 0 ,Greenish=  ,Moisture= 0</v>
      </c>
      <c r="BN352" s="17"/>
      <c r="BO352" s="13" t="str">
        <f t="shared" si="219"/>
        <v xml:space="preserve"> Party Condition 39.75  ,F.M% 0.42 ,Greenish 3.65 ,Moisture 4.3 ,Shortage in KG= 0  ,Oil% 40.4</v>
      </c>
      <c r="BP352" s="19">
        <f t="shared" si="234"/>
        <v>6744.9003335186217</v>
      </c>
      <c r="BX352" s="27">
        <v>40.4</v>
      </c>
      <c r="BY352" s="27">
        <v>40.479999999999997</v>
      </c>
    </row>
    <row r="353" spans="1:77" s="26" customFormat="1" ht="14.25" hidden="1" x14ac:dyDescent="0.3">
      <c r="A353" s="163" t="s">
        <v>684</v>
      </c>
      <c r="B353" s="166">
        <v>46134</v>
      </c>
      <c r="C353" s="187">
        <v>336</v>
      </c>
      <c r="D353" s="163" t="s">
        <v>716</v>
      </c>
      <c r="E353" s="166">
        <v>46137</v>
      </c>
      <c r="F353" s="163" t="s">
        <v>436</v>
      </c>
      <c r="G353" s="163" t="s">
        <v>437</v>
      </c>
      <c r="H353" s="163" t="s">
        <v>438</v>
      </c>
      <c r="I353" s="157"/>
      <c r="J353" s="163" t="s">
        <v>113</v>
      </c>
      <c r="K353" s="163">
        <v>0</v>
      </c>
      <c r="L353" s="166">
        <v>46134</v>
      </c>
      <c r="M353" s="157"/>
      <c r="N353" s="163">
        <v>59</v>
      </c>
      <c r="O353" s="166">
        <v>46135</v>
      </c>
      <c r="P353" s="163">
        <v>0</v>
      </c>
      <c r="Q353" s="163">
        <v>549</v>
      </c>
      <c r="R353" s="163">
        <v>120</v>
      </c>
      <c r="S353" s="163">
        <v>669</v>
      </c>
      <c r="T353" s="163">
        <v>669</v>
      </c>
      <c r="U353" s="163">
        <v>0</v>
      </c>
      <c r="V353" s="163">
        <v>0</v>
      </c>
      <c r="W353" s="188">
        <v>401.4</v>
      </c>
      <c r="X353" s="169">
        <v>407.7</v>
      </c>
      <c r="Y353" s="128">
        <v>2727645.46</v>
      </c>
      <c r="Z353" s="136"/>
      <c r="AA353" s="128">
        <v>68191.14</v>
      </c>
      <c r="AB353" s="128">
        <v>68191.14</v>
      </c>
      <c r="AC353" s="128">
        <v>2864027.73</v>
      </c>
      <c r="AD353" s="143">
        <f t="shared" si="243"/>
        <v>2861163.7022699998</v>
      </c>
      <c r="AE353" s="147">
        <v>40.42</v>
      </c>
      <c r="AF353" s="169">
        <v>39.200000000000003</v>
      </c>
      <c r="AG353" s="147">
        <v>40.39</v>
      </c>
      <c r="AH353" s="170">
        <v>4.7000000000000002E-3</v>
      </c>
      <c r="AI353" s="170">
        <v>3.8699999999999998E-2</v>
      </c>
      <c r="AJ353" s="170">
        <v>4.5999999999999999E-2</v>
      </c>
      <c r="AK353" s="137">
        <f t="shared" si="235"/>
        <v>0</v>
      </c>
      <c r="AL353" s="136">
        <v>0</v>
      </c>
      <c r="AM353" s="136"/>
      <c r="AN353" s="165">
        <v>0</v>
      </c>
      <c r="AO353" s="140">
        <f t="shared" si="236"/>
        <v>0</v>
      </c>
      <c r="AP353" s="136"/>
      <c r="AQ353" s="137">
        <v>0</v>
      </c>
      <c r="AR353" s="155">
        <f t="shared" si="237"/>
        <v>0</v>
      </c>
      <c r="AS353" s="155">
        <f t="shared" si="238"/>
        <v>0</v>
      </c>
      <c r="AT353" s="137">
        <v>0</v>
      </c>
      <c r="AU353" s="136"/>
      <c r="AV353" s="136"/>
      <c r="AW353" s="137">
        <f t="shared" si="239"/>
        <v>40140</v>
      </c>
      <c r="AX353" s="136"/>
      <c r="AY353" s="137">
        <f t="shared" si="240"/>
        <v>40140</v>
      </c>
      <c r="AZ353" s="137">
        <f t="shared" si="241"/>
        <v>40770</v>
      </c>
      <c r="BA353" s="142">
        <f t="shared" si="242"/>
        <v>-630</v>
      </c>
      <c r="BB353" s="137"/>
      <c r="BC353" s="137">
        <v>0</v>
      </c>
      <c r="BD353" s="136"/>
      <c r="BE353" s="128">
        <v>407.5</v>
      </c>
      <c r="BF353" s="143">
        <f t="shared" si="228"/>
        <v>0.61124999999999996</v>
      </c>
      <c r="BG353" s="143">
        <f t="shared" si="229"/>
        <v>406.88875000000002</v>
      </c>
      <c r="BH353" s="143">
        <f t="shared" si="230"/>
        <v>407.7</v>
      </c>
      <c r="BI353" s="144">
        <f t="shared" si="231"/>
        <v>-19.999999999998863</v>
      </c>
      <c r="BJ353" s="144">
        <v>0</v>
      </c>
      <c r="BK353" s="137">
        <f t="shared" si="232"/>
        <v>-19.999999999998863</v>
      </c>
      <c r="BL353" s="18"/>
      <c r="BM353" s="25" t="str">
        <f t="shared" si="233"/>
        <v>Unloading no. 336 Bill No 59 ,Deduction For Oil Deduction= 0 ,Bardana= 0 ,F.M=  Brokerage/Rate Difference 0 ,Shortage = 0 ,Greenish=  ,Moisture= 0</v>
      </c>
      <c r="BN353" s="17"/>
      <c r="BO353" s="13" t="str">
        <f t="shared" si="219"/>
        <v xml:space="preserve"> Party Condition 39.2  ,F.M% 0.47 ,Greenish 3.87 ,Moisture 4.6 ,Shortage in KG= 0  ,Oil% 40.39</v>
      </c>
      <c r="BP353" s="19">
        <f t="shared" si="234"/>
        <v>6690.3248957566839</v>
      </c>
      <c r="BX353" s="27">
        <v>40.42</v>
      </c>
      <c r="BY353" s="27">
        <v>40.39</v>
      </c>
    </row>
    <row r="354" spans="1:77" s="26" customFormat="1" ht="14.25" hidden="1" x14ac:dyDescent="0.3">
      <c r="A354" s="163" t="s">
        <v>685</v>
      </c>
      <c r="B354" s="166">
        <v>46134</v>
      </c>
      <c r="C354" s="187">
        <v>337</v>
      </c>
      <c r="D354" s="163" t="s">
        <v>717</v>
      </c>
      <c r="E354" s="166">
        <v>46137</v>
      </c>
      <c r="F354" s="163" t="s">
        <v>101</v>
      </c>
      <c r="G354" s="163" t="s">
        <v>102</v>
      </c>
      <c r="H354" s="163" t="s">
        <v>103</v>
      </c>
      <c r="I354" s="157"/>
      <c r="J354" s="163" t="s">
        <v>113</v>
      </c>
      <c r="K354" s="163">
        <v>0</v>
      </c>
      <c r="L354" s="166">
        <v>46134</v>
      </c>
      <c r="M354" s="157"/>
      <c r="N354" s="163" t="s">
        <v>744</v>
      </c>
      <c r="O354" s="166">
        <v>46135</v>
      </c>
      <c r="P354" s="163">
        <v>0</v>
      </c>
      <c r="Q354" s="163">
        <v>440</v>
      </c>
      <c r="R354" s="163">
        <v>56</v>
      </c>
      <c r="S354" s="163">
        <v>496</v>
      </c>
      <c r="T354" s="163">
        <v>496</v>
      </c>
      <c r="U354" s="163">
        <v>0</v>
      </c>
      <c r="V354" s="163">
        <v>0</v>
      </c>
      <c r="W354" s="188">
        <v>297.60000000000002</v>
      </c>
      <c r="X354" s="169">
        <v>301.7</v>
      </c>
      <c r="Y354" s="128">
        <v>2061022.85</v>
      </c>
      <c r="Z354" s="136"/>
      <c r="AA354" s="128">
        <v>51525.57</v>
      </c>
      <c r="AB354" s="128">
        <v>51525.57</v>
      </c>
      <c r="AC354" s="128">
        <v>2164073.9900000002</v>
      </c>
      <c r="AD354" s="143">
        <f t="shared" si="243"/>
        <v>2161909.9160100003</v>
      </c>
      <c r="AE354" s="147">
        <v>39.83</v>
      </c>
      <c r="AF354" s="169">
        <v>39.799999999999997</v>
      </c>
      <c r="AG354" s="147">
        <v>39.75</v>
      </c>
      <c r="AH354" s="170">
        <v>4.7000000000000002E-3</v>
      </c>
      <c r="AI354" s="170">
        <v>4.0599999999999997E-2</v>
      </c>
      <c r="AJ354" s="170">
        <v>4.5999999999999999E-2</v>
      </c>
      <c r="AK354" s="137">
        <v>0</v>
      </c>
      <c r="AL354" s="136">
        <v>0</v>
      </c>
      <c r="AM354" s="136"/>
      <c r="AN354" s="165">
        <v>0</v>
      </c>
      <c r="AO354" s="140">
        <f t="shared" si="236"/>
        <v>0</v>
      </c>
      <c r="AP354" s="136"/>
      <c r="AQ354" s="137">
        <v>0</v>
      </c>
      <c r="AR354" s="155">
        <f t="shared" si="237"/>
        <v>0</v>
      </c>
      <c r="AS354" s="155">
        <f t="shared" si="238"/>
        <v>0</v>
      </c>
      <c r="AT354" s="137">
        <v>0</v>
      </c>
      <c r="AU354" s="136" t="s">
        <v>664</v>
      </c>
      <c r="AV354" s="136"/>
      <c r="AW354" s="137">
        <f t="shared" si="239"/>
        <v>29760.000000000004</v>
      </c>
      <c r="AX354" s="136"/>
      <c r="AY354" s="137">
        <f t="shared" si="240"/>
        <v>29760.000000000004</v>
      </c>
      <c r="AZ354" s="137">
        <f t="shared" si="241"/>
        <v>30170</v>
      </c>
      <c r="BA354" s="142">
        <f t="shared" si="242"/>
        <v>-409.99999999999636</v>
      </c>
      <c r="BB354" s="137"/>
      <c r="BC354" s="137">
        <v>0</v>
      </c>
      <c r="BD354" s="136"/>
      <c r="BE354" s="128">
        <v>301.5</v>
      </c>
      <c r="BF354" s="143">
        <f t="shared" si="228"/>
        <v>0.45225000000000004</v>
      </c>
      <c r="BG354" s="143">
        <f t="shared" si="229"/>
        <v>301.04775000000001</v>
      </c>
      <c r="BH354" s="143">
        <f t="shared" si="230"/>
        <v>301.7</v>
      </c>
      <c r="BI354" s="144">
        <f t="shared" si="231"/>
        <v>-19.999999999998863</v>
      </c>
      <c r="BJ354" s="144">
        <v>0</v>
      </c>
      <c r="BK354" s="137">
        <f t="shared" si="232"/>
        <v>-19.999999999998863</v>
      </c>
      <c r="BL354" s="18"/>
      <c r="BM354" s="25" t="str">
        <f t="shared" si="233"/>
        <v>Unloading no. 337 Bill No L/PB/26-27/49 ,Deduction For Oil Deduction= 0 ,Bardana= 0 ,F.M=  Brokerage/Rate Difference 0 ,Shortage = 0 ,Greenish=  ,Moisture= 0</v>
      </c>
      <c r="BN354" s="17"/>
      <c r="BO354" s="13" t="str">
        <f t="shared" si="219"/>
        <v xml:space="preserve"> Party Condition 39.8  ,F.M% 0.47 ,Greenish 4.06 ,Moisture 4.6 ,Shortage in KG= 0  ,Oil% 39.75</v>
      </c>
      <c r="BP354" s="19">
        <f t="shared" si="234"/>
        <v>6831.3650977792513</v>
      </c>
      <c r="BX354" s="27">
        <v>39.83</v>
      </c>
      <c r="BY354" s="27">
        <v>39.75</v>
      </c>
    </row>
    <row r="355" spans="1:77" s="26" customFormat="1" ht="14.25" hidden="1" x14ac:dyDescent="0.3">
      <c r="A355" s="163" t="s">
        <v>672</v>
      </c>
      <c r="B355" s="166">
        <v>46134</v>
      </c>
      <c r="C355" s="187">
        <v>338</v>
      </c>
      <c r="D355" s="163" t="s">
        <v>718</v>
      </c>
      <c r="E355" s="166">
        <v>46137</v>
      </c>
      <c r="F355" s="163" t="s">
        <v>95</v>
      </c>
      <c r="G355" s="163" t="s">
        <v>96</v>
      </c>
      <c r="H355" s="163" t="s">
        <v>97</v>
      </c>
      <c r="I355" s="157"/>
      <c r="J355" s="163" t="s">
        <v>113</v>
      </c>
      <c r="K355" s="163">
        <v>0</v>
      </c>
      <c r="L355" s="166">
        <v>46134</v>
      </c>
      <c r="M355" s="157"/>
      <c r="N355" s="163">
        <v>117</v>
      </c>
      <c r="O355" s="166">
        <v>46135</v>
      </c>
      <c r="P355" s="163">
        <v>0</v>
      </c>
      <c r="Q355" s="163">
        <v>350</v>
      </c>
      <c r="R355" s="163">
        <v>65</v>
      </c>
      <c r="S355" s="163">
        <v>415</v>
      </c>
      <c r="T355" s="163">
        <v>415</v>
      </c>
      <c r="U355" s="163">
        <v>0</v>
      </c>
      <c r="V355" s="163">
        <v>0</v>
      </c>
      <c r="W355" s="188">
        <v>249</v>
      </c>
      <c r="X355" s="169">
        <v>252.1</v>
      </c>
      <c r="Y355" s="128">
        <v>1731685.44</v>
      </c>
      <c r="Z355" s="136"/>
      <c r="AA355" s="128">
        <v>43292.14</v>
      </c>
      <c r="AB355" s="128">
        <v>43292.14</v>
      </c>
      <c r="AC355" s="128">
        <v>1818269.71</v>
      </c>
      <c r="AD355" s="143">
        <f t="shared" si="243"/>
        <v>1816451.4402900001</v>
      </c>
      <c r="AE355" s="147">
        <v>40.03</v>
      </c>
      <c r="AF355" s="169">
        <v>40.090000000000003</v>
      </c>
      <c r="AG355" s="147">
        <v>40.090000000000003</v>
      </c>
      <c r="AH355" s="170">
        <v>4.7999999999999996E-3</v>
      </c>
      <c r="AI355" s="170">
        <v>3.6499999999999998E-2</v>
      </c>
      <c r="AJ355" s="170">
        <v>0.05</v>
      </c>
      <c r="AK355" s="137">
        <v>0</v>
      </c>
      <c r="AL355" s="136">
        <v>0</v>
      </c>
      <c r="AM355" s="136"/>
      <c r="AN355" s="165">
        <v>0</v>
      </c>
      <c r="AO355" s="140">
        <f t="shared" si="236"/>
        <v>0</v>
      </c>
      <c r="AP355" s="136"/>
      <c r="AQ355" s="137">
        <v>0</v>
      </c>
      <c r="AR355" s="155">
        <f t="shared" si="237"/>
        <v>0</v>
      </c>
      <c r="AS355" s="155">
        <f t="shared" si="238"/>
        <v>0</v>
      </c>
      <c r="AT355" s="137">
        <v>0</v>
      </c>
      <c r="AU355" s="136"/>
      <c r="AV355" s="136"/>
      <c r="AW355" s="137">
        <f t="shared" si="239"/>
        <v>24900</v>
      </c>
      <c r="AX355" s="136"/>
      <c r="AY355" s="137">
        <f t="shared" si="240"/>
        <v>24900</v>
      </c>
      <c r="AZ355" s="137">
        <f t="shared" si="241"/>
        <v>25210</v>
      </c>
      <c r="BA355" s="142">
        <f t="shared" si="242"/>
        <v>-310</v>
      </c>
      <c r="BB355" s="137"/>
      <c r="BC355" s="137">
        <v>0</v>
      </c>
      <c r="BD355" s="136"/>
      <c r="BE355" s="128">
        <v>252.3</v>
      </c>
      <c r="BF355" s="143">
        <f t="shared" si="228"/>
        <v>0.37845000000000001</v>
      </c>
      <c r="BG355" s="143">
        <f t="shared" si="229"/>
        <v>251.92155000000002</v>
      </c>
      <c r="BH355" s="143">
        <f t="shared" si="230"/>
        <v>252.1</v>
      </c>
      <c r="BI355" s="144">
        <f t="shared" si="231"/>
        <v>20.000000000001705</v>
      </c>
      <c r="BJ355" s="144">
        <v>0</v>
      </c>
      <c r="BK355" s="137">
        <f t="shared" si="232"/>
        <v>20.000000000001705</v>
      </c>
      <c r="BL355" s="18"/>
      <c r="BM355" s="25" t="str">
        <f t="shared" si="233"/>
        <v>Unloading no. 338 Bill No 117 ,Deduction For Oil Deduction= 0 ,Bardana= 0 ,F.M=  Brokerage/Rate Difference 0 ,Shortage = 0 ,Greenish=  ,Moisture= 0</v>
      </c>
      <c r="BN355" s="17"/>
      <c r="BO355" s="13" t="str">
        <f t="shared" si="219"/>
        <v xml:space="preserve"> Party Condition 40.09  ,F.M% 0.48 ,Greenish 3.65 ,Moisture 5 ,Shortage in KG= 0  ,Oil% 40.03</v>
      </c>
      <c r="BP355" s="19">
        <f t="shared" si="234"/>
        <v>6869.0418088060296</v>
      </c>
      <c r="BX355" s="27">
        <v>40.03</v>
      </c>
      <c r="BY355" s="27">
        <v>40.090000000000003</v>
      </c>
    </row>
    <row r="356" spans="1:77" s="26" customFormat="1" ht="14.25" hidden="1" x14ac:dyDescent="0.3">
      <c r="A356" s="163" t="s">
        <v>671</v>
      </c>
      <c r="B356" s="166">
        <v>46133</v>
      </c>
      <c r="C356" s="187">
        <v>339</v>
      </c>
      <c r="D356" s="163" t="s">
        <v>719</v>
      </c>
      <c r="E356" s="166">
        <v>46137</v>
      </c>
      <c r="F356" s="163" t="s">
        <v>101</v>
      </c>
      <c r="G356" s="163" t="s">
        <v>102</v>
      </c>
      <c r="H356" s="163" t="s">
        <v>103</v>
      </c>
      <c r="I356" s="157"/>
      <c r="J356" s="163" t="s">
        <v>113</v>
      </c>
      <c r="K356" s="163">
        <v>0</v>
      </c>
      <c r="L356" s="166">
        <v>46133</v>
      </c>
      <c r="M356" s="157"/>
      <c r="N356" s="163" t="s">
        <v>745</v>
      </c>
      <c r="O356" s="166">
        <v>46134</v>
      </c>
      <c r="P356" s="163">
        <v>0</v>
      </c>
      <c r="Q356" s="163">
        <v>500</v>
      </c>
      <c r="R356" s="163">
        <v>97</v>
      </c>
      <c r="S356" s="163">
        <v>597</v>
      </c>
      <c r="T356" s="163">
        <v>591</v>
      </c>
      <c r="U356" s="163">
        <v>0</v>
      </c>
      <c r="V356" s="163">
        <v>0</v>
      </c>
      <c r="W356" s="188">
        <v>358.2</v>
      </c>
      <c r="X356" s="169">
        <v>363.5</v>
      </c>
      <c r="Y356" s="128">
        <v>2442495.35</v>
      </c>
      <c r="Z356" s="136"/>
      <c r="AA356" s="128">
        <v>61062.38</v>
      </c>
      <c r="AB356" s="128">
        <v>61062.38</v>
      </c>
      <c r="AC356" s="128">
        <v>2564620.12</v>
      </c>
      <c r="AD356" s="143">
        <f t="shared" si="243"/>
        <v>2562055.49988</v>
      </c>
      <c r="AE356" s="147">
        <v>40.049999999999997</v>
      </c>
      <c r="AF356" s="169">
        <v>39.65</v>
      </c>
      <c r="AG356" s="147">
        <v>40.01</v>
      </c>
      <c r="AH356" s="170">
        <v>4.4000000000000003E-3</v>
      </c>
      <c r="AI356" s="170">
        <v>4.07E-2</v>
      </c>
      <c r="AJ356" s="170">
        <v>5.3999999999999999E-2</v>
      </c>
      <c r="AK356" s="137">
        <f t="shared" si="235"/>
        <v>0</v>
      </c>
      <c r="AL356" s="136">
        <f>597*5</f>
        <v>2985</v>
      </c>
      <c r="AM356" s="136"/>
      <c r="AN356" s="165">
        <v>0</v>
      </c>
      <c r="AO356" s="140">
        <f t="shared" si="236"/>
        <v>0</v>
      </c>
      <c r="AP356" s="136"/>
      <c r="AQ356" s="137">
        <v>0</v>
      </c>
      <c r="AR356" s="155">
        <f t="shared" si="237"/>
        <v>2985</v>
      </c>
      <c r="AS356" s="155">
        <f t="shared" si="238"/>
        <v>3134</v>
      </c>
      <c r="AT356" s="137">
        <v>0</v>
      </c>
      <c r="AU356" s="136" t="s">
        <v>664</v>
      </c>
      <c r="AV356" s="136"/>
      <c r="AW356" s="137">
        <f t="shared" si="239"/>
        <v>35820</v>
      </c>
      <c r="AX356" s="136"/>
      <c r="AY356" s="137">
        <f t="shared" si="240"/>
        <v>35820</v>
      </c>
      <c r="AZ356" s="137">
        <f t="shared" si="241"/>
        <v>36350</v>
      </c>
      <c r="BA356" s="142">
        <f t="shared" si="242"/>
        <v>-530</v>
      </c>
      <c r="BB356" s="137"/>
      <c r="BC356" s="137">
        <v>0</v>
      </c>
      <c r="BD356" s="136"/>
      <c r="BE356" s="128">
        <v>363.4</v>
      </c>
      <c r="BF356" s="143">
        <f t="shared" si="228"/>
        <v>0.54510000000000003</v>
      </c>
      <c r="BG356" s="143">
        <f t="shared" si="229"/>
        <v>362.85489999999999</v>
      </c>
      <c r="BH356" s="143">
        <f t="shared" si="230"/>
        <v>363.5</v>
      </c>
      <c r="BI356" s="144">
        <f t="shared" si="231"/>
        <v>-10.000000000002274</v>
      </c>
      <c r="BJ356" s="144">
        <v>0</v>
      </c>
      <c r="BK356" s="137">
        <f t="shared" si="232"/>
        <v>-10.000000000002274</v>
      </c>
      <c r="BL356" s="18"/>
      <c r="BM356" s="25" t="str">
        <f t="shared" si="233"/>
        <v>Unloading no. 339 Bill No L/PB/26-27/47 ,Deduction For Oil Deduction= 0 ,Bardana= 2985 ,F.M=  Brokerage/Rate Difference 0 ,Shortage = 0 ,Greenish=  ,Moisture= 0</v>
      </c>
      <c r="BN356" s="17"/>
      <c r="BO356" s="13" t="str">
        <f t="shared" si="219"/>
        <v xml:space="preserve"> Party Condition 39.65  ,F.M% 0.44 ,Greenish 4.07 ,Moisture 5.4 ,Shortage in KG= 0  ,Oil% 40.01</v>
      </c>
      <c r="BP356" s="19">
        <f t="shared" si="234"/>
        <v>6711.1701513067401</v>
      </c>
      <c r="BX356" s="27">
        <v>40.049999999999997</v>
      </c>
      <c r="BY356" s="27">
        <v>40.01</v>
      </c>
    </row>
    <row r="357" spans="1:77" s="26" customFormat="1" ht="14.25" hidden="1" x14ac:dyDescent="0.3">
      <c r="A357" s="163" t="s">
        <v>672</v>
      </c>
      <c r="B357" s="166">
        <v>46134</v>
      </c>
      <c r="C357" s="187">
        <v>340</v>
      </c>
      <c r="D357" s="163" t="s">
        <v>720</v>
      </c>
      <c r="E357" s="166">
        <v>46137</v>
      </c>
      <c r="F357" s="163" t="s">
        <v>95</v>
      </c>
      <c r="G357" s="163" t="s">
        <v>96</v>
      </c>
      <c r="H357" s="163" t="s">
        <v>97</v>
      </c>
      <c r="I357" s="157"/>
      <c r="J357" s="163" t="s">
        <v>113</v>
      </c>
      <c r="K357" s="163">
        <v>0</v>
      </c>
      <c r="L357" s="166">
        <v>46134</v>
      </c>
      <c r="M357" s="157"/>
      <c r="N357" s="163">
        <v>114</v>
      </c>
      <c r="O357" s="166">
        <v>46135</v>
      </c>
      <c r="P357" s="163">
        <v>0</v>
      </c>
      <c r="Q357" s="163">
        <v>390</v>
      </c>
      <c r="R357" s="163">
        <v>44</v>
      </c>
      <c r="S357" s="163">
        <v>434</v>
      </c>
      <c r="T357" s="163">
        <v>434</v>
      </c>
      <c r="U357" s="163">
        <v>0</v>
      </c>
      <c r="V357" s="163">
        <v>0</v>
      </c>
      <c r="W357" s="188">
        <v>260.39999999999998</v>
      </c>
      <c r="X357" s="169">
        <v>263.5</v>
      </c>
      <c r="Y357" s="128">
        <v>1810967.42</v>
      </c>
      <c r="Z357" s="136"/>
      <c r="AA357" s="128">
        <v>45274.19</v>
      </c>
      <c r="AB357" s="128">
        <v>45274.19</v>
      </c>
      <c r="AC357" s="128">
        <v>1901515.79</v>
      </c>
      <c r="AD357" s="143">
        <f t="shared" si="243"/>
        <v>1899614.2742099999</v>
      </c>
      <c r="AE357" s="147">
        <v>40.33</v>
      </c>
      <c r="AF357" s="169">
        <v>40.090000000000003</v>
      </c>
      <c r="AG357" s="147">
        <v>40.21</v>
      </c>
      <c r="AH357" s="170">
        <v>4.1999999999999997E-3</v>
      </c>
      <c r="AI357" s="170">
        <v>3.9E-2</v>
      </c>
      <c r="AJ357" s="170">
        <v>5.2999999999999999E-2</v>
      </c>
      <c r="AK357" s="137">
        <f t="shared" si="235"/>
        <v>0</v>
      </c>
      <c r="AL357" s="136">
        <v>0</v>
      </c>
      <c r="AM357" s="136"/>
      <c r="AN357" s="165">
        <v>0</v>
      </c>
      <c r="AO357" s="140">
        <f t="shared" si="236"/>
        <v>0</v>
      </c>
      <c r="AP357" s="136"/>
      <c r="AQ357" s="137">
        <v>0</v>
      </c>
      <c r="AR357" s="155">
        <f t="shared" si="237"/>
        <v>0</v>
      </c>
      <c r="AS357" s="155">
        <f t="shared" si="238"/>
        <v>0</v>
      </c>
      <c r="AT357" s="137">
        <v>0</v>
      </c>
      <c r="AU357" s="136" t="s">
        <v>664</v>
      </c>
      <c r="AV357" s="136"/>
      <c r="AW357" s="137">
        <f t="shared" si="239"/>
        <v>26039.999999999996</v>
      </c>
      <c r="AX357" s="136"/>
      <c r="AY357" s="137">
        <f t="shared" si="240"/>
        <v>26039.999999999996</v>
      </c>
      <c r="AZ357" s="137">
        <f t="shared" si="241"/>
        <v>26350</v>
      </c>
      <c r="BA357" s="142">
        <f t="shared" si="242"/>
        <v>-310.00000000000364</v>
      </c>
      <c r="BB357" s="137"/>
      <c r="BC357" s="137">
        <v>0</v>
      </c>
      <c r="BD357" s="136"/>
      <c r="BE357" s="128">
        <v>263.60000000000002</v>
      </c>
      <c r="BF357" s="143">
        <f t="shared" si="228"/>
        <v>0.39539999999999997</v>
      </c>
      <c r="BG357" s="143">
        <f t="shared" si="229"/>
        <v>263.20460000000003</v>
      </c>
      <c r="BH357" s="143">
        <f t="shared" si="230"/>
        <v>263.5</v>
      </c>
      <c r="BI357" s="144">
        <f t="shared" si="231"/>
        <v>10.000000000002274</v>
      </c>
      <c r="BJ357" s="144">
        <v>0</v>
      </c>
      <c r="BK357" s="137">
        <f t="shared" si="232"/>
        <v>10.000000000002274</v>
      </c>
      <c r="BL357" s="18"/>
      <c r="BM357" s="25" t="str">
        <f t="shared" si="233"/>
        <v>Unloading no. 340 Bill No 114 ,Deduction For Oil Deduction= 0 ,Bardana= 0 ,F.M=  Brokerage/Rate Difference 0 ,Shortage = 0 ,Greenish=  ,Moisture= 0</v>
      </c>
      <c r="BN357" s="17"/>
      <c r="BO357" s="13" t="str">
        <f t="shared" si="219"/>
        <v xml:space="preserve"> Party Condition 40.09  ,F.M% 0.42 ,Greenish 3.9 ,Moisture 5.3 ,Shortage in KG= 0  ,Oil% 40.21</v>
      </c>
      <c r="BP357" s="19">
        <f t="shared" si="234"/>
        <v>6872.7416318785572</v>
      </c>
      <c r="BX357" s="27">
        <v>40.33</v>
      </c>
      <c r="BY357" s="27">
        <v>40.21</v>
      </c>
    </row>
    <row r="358" spans="1:77" s="26" customFormat="1" ht="14.25" hidden="1" x14ac:dyDescent="0.3">
      <c r="A358" s="163" t="s">
        <v>686</v>
      </c>
      <c r="B358" s="166">
        <v>46134</v>
      </c>
      <c r="C358" s="187">
        <v>341</v>
      </c>
      <c r="D358" s="163" t="s">
        <v>721</v>
      </c>
      <c r="E358" s="166">
        <v>46137</v>
      </c>
      <c r="F358" s="163" t="s">
        <v>98</v>
      </c>
      <c r="G358" s="163" t="s">
        <v>99</v>
      </c>
      <c r="H358" s="163" t="s">
        <v>199</v>
      </c>
      <c r="I358" s="157"/>
      <c r="J358" s="163" t="s">
        <v>113</v>
      </c>
      <c r="K358" s="163">
        <v>0</v>
      </c>
      <c r="L358" s="166">
        <v>46134</v>
      </c>
      <c r="M358" s="157"/>
      <c r="N358" s="163">
        <v>81</v>
      </c>
      <c r="O358" s="166">
        <v>46135</v>
      </c>
      <c r="P358" s="163">
        <v>0</v>
      </c>
      <c r="Q358" s="163">
        <v>400</v>
      </c>
      <c r="R358" s="163">
        <v>42</v>
      </c>
      <c r="S358" s="163">
        <v>442</v>
      </c>
      <c r="T358" s="163">
        <v>442</v>
      </c>
      <c r="U358" s="163">
        <v>0</v>
      </c>
      <c r="V358" s="163">
        <v>0</v>
      </c>
      <c r="W358" s="188">
        <v>265.2</v>
      </c>
      <c r="X358" s="169">
        <v>267.3</v>
      </c>
      <c r="Y358" s="128">
        <v>1820453.91</v>
      </c>
      <c r="Z358" s="136"/>
      <c r="AA358" s="128">
        <v>45511.35</v>
      </c>
      <c r="AB358" s="128">
        <v>45511.35</v>
      </c>
      <c r="AC358" s="128">
        <v>1911476.61</v>
      </c>
      <c r="AD358" s="143">
        <f t="shared" si="243"/>
        <v>1909565.1333900001</v>
      </c>
      <c r="AE358" s="147">
        <v>39.75</v>
      </c>
      <c r="AF358" s="169">
        <v>39.29</v>
      </c>
      <c r="AG358" s="147">
        <v>39.78</v>
      </c>
      <c r="AH358" s="170">
        <v>4.4999999999999997E-3</v>
      </c>
      <c r="AI358" s="170">
        <v>3.7600000000000001E-2</v>
      </c>
      <c r="AJ358" s="170">
        <v>5.1999999999999998E-2</v>
      </c>
      <c r="AK358" s="137">
        <f t="shared" si="235"/>
        <v>0</v>
      </c>
      <c r="AL358" s="136">
        <f>442*0.5</f>
        <v>221</v>
      </c>
      <c r="AM358" s="136"/>
      <c r="AN358" s="165">
        <v>0</v>
      </c>
      <c r="AO358" s="140">
        <f t="shared" si="236"/>
        <v>7756.8360418552029</v>
      </c>
      <c r="AP358" s="136"/>
      <c r="AQ358" s="137">
        <v>0</v>
      </c>
      <c r="AR358" s="155">
        <f t="shared" si="237"/>
        <v>7977.8360418552029</v>
      </c>
      <c r="AS358" s="155">
        <f t="shared" si="238"/>
        <v>8377</v>
      </c>
      <c r="AT358" s="137">
        <v>113</v>
      </c>
      <c r="AU358" s="136"/>
      <c r="AV358" s="136"/>
      <c r="AW358" s="137">
        <f t="shared" si="239"/>
        <v>26520</v>
      </c>
      <c r="AX358" s="136"/>
      <c r="AY358" s="137">
        <f t="shared" si="240"/>
        <v>26520</v>
      </c>
      <c r="AZ358" s="137">
        <f t="shared" si="241"/>
        <v>26730</v>
      </c>
      <c r="BA358" s="142">
        <f t="shared" si="242"/>
        <v>-210</v>
      </c>
      <c r="BB358" s="137"/>
      <c r="BC358" s="137">
        <v>0</v>
      </c>
      <c r="BD358" s="136"/>
      <c r="BE358" s="128">
        <v>268.10000000000002</v>
      </c>
      <c r="BF358" s="143">
        <f t="shared" si="228"/>
        <v>0.40215000000000001</v>
      </c>
      <c r="BG358" s="143">
        <f t="shared" si="229"/>
        <v>267.69785000000002</v>
      </c>
      <c r="BH358" s="143">
        <f t="shared" si="230"/>
        <v>267.3</v>
      </c>
      <c r="BI358" s="144">
        <f t="shared" si="231"/>
        <v>80.000000000001137</v>
      </c>
      <c r="BJ358" s="144">
        <v>0</v>
      </c>
      <c r="BK358" s="137">
        <f t="shared" si="232"/>
        <v>80.000000000001137</v>
      </c>
      <c r="BL358" s="18"/>
      <c r="BM358" s="25" t="str">
        <f t="shared" si="233"/>
        <v>Unloading no. 341 Bill No 81 ,Deduction For Oil Deduction= 0 ,Bardana= 221 ,F.M=  Brokerage/Rate Difference 0 ,Shortage = 7756.8360418552 ,Greenish=  ,Moisture= 0</v>
      </c>
      <c r="BN358" s="17"/>
      <c r="BO358" s="13" t="str">
        <f t="shared" si="219"/>
        <v xml:space="preserve"> Party Condition 39.29  ,F.M% 0.45 ,Greenish 3.76 ,Moisture 5.2 ,Shortage in KG= 113  ,Oil% 39.75</v>
      </c>
      <c r="BP358" s="19">
        <f t="shared" si="234"/>
        <v>6780.6811595890185</v>
      </c>
      <c r="BX358" s="27">
        <v>39.75</v>
      </c>
      <c r="BY358" s="27">
        <v>39.78</v>
      </c>
    </row>
    <row r="359" spans="1:77" s="26" customFormat="1" ht="14.25" hidden="1" x14ac:dyDescent="0.3">
      <c r="A359" s="163" t="s">
        <v>672</v>
      </c>
      <c r="B359" s="166">
        <v>46134</v>
      </c>
      <c r="C359" s="187">
        <v>342</v>
      </c>
      <c r="D359" s="163" t="s">
        <v>722</v>
      </c>
      <c r="E359" s="166">
        <v>46137</v>
      </c>
      <c r="F359" s="163" t="s">
        <v>95</v>
      </c>
      <c r="G359" s="163" t="s">
        <v>96</v>
      </c>
      <c r="H359" s="163" t="s">
        <v>97</v>
      </c>
      <c r="I359" s="157"/>
      <c r="J359" s="163" t="s">
        <v>113</v>
      </c>
      <c r="K359" s="163">
        <v>0</v>
      </c>
      <c r="L359" s="166">
        <v>46134</v>
      </c>
      <c r="M359" s="157"/>
      <c r="N359" s="163">
        <v>116</v>
      </c>
      <c r="O359" s="166">
        <v>46135</v>
      </c>
      <c r="P359" s="163">
        <v>0</v>
      </c>
      <c r="Q359" s="163">
        <v>400</v>
      </c>
      <c r="R359" s="163">
        <v>17</v>
      </c>
      <c r="S359" s="163">
        <v>417</v>
      </c>
      <c r="T359" s="163">
        <v>417</v>
      </c>
      <c r="U359" s="163">
        <v>0</v>
      </c>
      <c r="V359" s="163">
        <v>0</v>
      </c>
      <c r="W359" s="188">
        <v>250.2</v>
      </c>
      <c r="X359" s="169">
        <v>253.3</v>
      </c>
      <c r="Y359" s="128">
        <v>1740030.91</v>
      </c>
      <c r="Z359" s="136"/>
      <c r="AA359" s="128">
        <v>43500.77</v>
      </c>
      <c r="AB359" s="128">
        <v>43500.77</v>
      </c>
      <c r="AC359" s="128">
        <v>1827032.46</v>
      </c>
      <c r="AD359" s="143">
        <f t="shared" si="243"/>
        <v>1825205.4275400001</v>
      </c>
      <c r="AE359" s="147">
        <v>39.799999999999997</v>
      </c>
      <c r="AF359" s="169">
        <v>40.090000000000003</v>
      </c>
      <c r="AG359" s="147">
        <v>39.69</v>
      </c>
      <c r="AH359" s="170">
        <v>4.4000000000000003E-3</v>
      </c>
      <c r="AI359" s="170">
        <v>3.9300000000000002E-2</v>
      </c>
      <c r="AJ359" s="170">
        <v>0.05</v>
      </c>
      <c r="AK359" s="137">
        <f t="shared" si="235"/>
        <v>17361.246295834619</v>
      </c>
      <c r="AL359" s="136">
        <v>0</v>
      </c>
      <c r="AM359" s="136"/>
      <c r="AN359" s="165">
        <v>0</v>
      </c>
      <c r="AO359" s="140">
        <f t="shared" si="236"/>
        <v>0</v>
      </c>
      <c r="AP359" s="136"/>
      <c r="AQ359" s="137">
        <v>0</v>
      </c>
      <c r="AR359" s="155">
        <f t="shared" si="237"/>
        <v>17361.246295834619</v>
      </c>
      <c r="AS359" s="155">
        <f t="shared" si="238"/>
        <v>18229</v>
      </c>
      <c r="AT359" s="137">
        <v>0</v>
      </c>
      <c r="AU359" s="136" t="s">
        <v>664</v>
      </c>
      <c r="AV359" s="136"/>
      <c r="AW359" s="137">
        <f t="shared" si="239"/>
        <v>25020</v>
      </c>
      <c r="AX359" s="136"/>
      <c r="AY359" s="137">
        <f t="shared" si="240"/>
        <v>25020</v>
      </c>
      <c r="AZ359" s="137">
        <f t="shared" si="241"/>
        <v>25330</v>
      </c>
      <c r="BA359" s="142">
        <f t="shared" si="242"/>
        <v>-310</v>
      </c>
      <c r="BB359" s="137"/>
      <c r="BC359" s="137">
        <v>0</v>
      </c>
      <c r="BD359" s="136"/>
      <c r="BE359" s="128">
        <v>253.4</v>
      </c>
      <c r="BF359" s="143">
        <f t="shared" si="228"/>
        <v>0.38009999999999999</v>
      </c>
      <c r="BG359" s="143">
        <f t="shared" si="229"/>
        <v>253.01990000000001</v>
      </c>
      <c r="BH359" s="143">
        <f t="shared" si="230"/>
        <v>253.3</v>
      </c>
      <c r="BI359" s="144">
        <f t="shared" si="231"/>
        <v>9.9999999999994316</v>
      </c>
      <c r="BJ359" s="144">
        <v>0</v>
      </c>
      <c r="BK359" s="137">
        <f t="shared" si="232"/>
        <v>9.9999999999994316</v>
      </c>
      <c r="BL359" s="18"/>
      <c r="BM359" s="25" t="str">
        <f t="shared" si="233"/>
        <v>Unloading no. 342 Bill No 116 ,Deduction For Oil Deduction= 17361.2462958346 ,Bardana= 0 ,F.M=  Brokerage/Rate Difference 0 ,Shortage = 0 ,Greenish=  ,Moisture= 0</v>
      </c>
      <c r="BN359" s="17"/>
      <c r="BO359" s="13" t="str">
        <f t="shared" si="219"/>
        <v xml:space="preserve"> Party Condition 40.09  ,F.M% 0.44 ,Greenish 3.93 ,Moisture 5 ,Shortage in KG= 0  ,Oil% 39.69</v>
      </c>
      <c r="BP359" s="19">
        <f t="shared" si="234"/>
        <v>6800.9066865541463</v>
      </c>
      <c r="BX359" s="27">
        <v>39.799999999999997</v>
      </c>
      <c r="BY359" s="27">
        <v>39.69</v>
      </c>
    </row>
    <row r="360" spans="1:77" s="26" customFormat="1" ht="14.25" hidden="1" x14ac:dyDescent="0.3">
      <c r="A360" s="163" t="s">
        <v>687</v>
      </c>
      <c r="B360" s="166">
        <v>46134</v>
      </c>
      <c r="C360" s="187">
        <v>343</v>
      </c>
      <c r="D360" s="163" t="s">
        <v>723</v>
      </c>
      <c r="E360" s="166">
        <v>46137</v>
      </c>
      <c r="F360" s="163" t="s">
        <v>98</v>
      </c>
      <c r="G360" s="163" t="s">
        <v>99</v>
      </c>
      <c r="H360" s="163" t="s">
        <v>199</v>
      </c>
      <c r="I360" s="157"/>
      <c r="J360" s="163" t="s">
        <v>113</v>
      </c>
      <c r="K360" s="163">
        <v>0</v>
      </c>
      <c r="L360" s="166">
        <v>46134</v>
      </c>
      <c r="M360" s="157"/>
      <c r="N360" s="163">
        <v>83</v>
      </c>
      <c r="O360" s="166">
        <v>46135</v>
      </c>
      <c r="P360" s="163">
        <v>0</v>
      </c>
      <c r="Q360" s="163">
        <v>403</v>
      </c>
      <c r="R360" s="163">
        <v>40</v>
      </c>
      <c r="S360" s="163">
        <v>443</v>
      </c>
      <c r="T360" s="163">
        <v>443</v>
      </c>
      <c r="U360" s="163">
        <v>0</v>
      </c>
      <c r="V360" s="163">
        <v>0</v>
      </c>
      <c r="W360" s="188">
        <v>265.8</v>
      </c>
      <c r="X360" s="169">
        <v>268.5</v>
      </c>
      <c r="Y360" s="128">
        <v>1808584.71</v>
      </c>
      <c r="Z360" s="136"/>
      <c r="AA360" s="128">
        <v>45214.62</v>
      </c>
      <c r="AB360" s="128">
        <v>45214.62</v>
      </c>
      <c r="AC360" s="128">
        <v>1899013.95</v>
      </c>
      <c r="AD360" s="143">
        <f t="shared" si="243"/>
        <v>1897114.9360499999</v>
      </c>
      <c r="AE360" s="147">
        <v>39.049999999999997</v>
      </c>
      <c r="AF360" s="169">
        <v>38.9</v>
      </c>
      <c r="AG360" s="147">
        <v>38.97</v>
      </c>
      <c r="AH360" s="170">
        <v>4.5999999999999999E-3</v>
      </c>
      <c r="AI360" s="170">
        <v>3.7100000000000001E-2</v>
      </c>
      <c r="AJ360" s="170">
        <v>4.8000000000000001E-2</v>
      </c>
      <c r="AK360" s="137">
        <f t="shared" si="235"/>
        <v>0</v>
      </c>
      <c r="AL360" s="136">
        <f>443*0.5</f>
        <v>221.5</v>
      </c>
      <c r="AM360" s="136"/>
      <c r="AN360" s="165">
        <v>0</v>
      </c>
      <c r="AO360" s="140">
        <f t="shared" si="236"/>
        <v>3674.3255959367948</v>
      </c>
      <c r="AP360" s="136"/>
      <c r="AQ360" s="137">
        <v>0</v>
      </c>
      <c r="AR360" s="155">
        <f t="shared" si="237"/>
        <v>3895.8255959367948</v>
      </c>
      <c r="AS360" s="155">
        <f t="shared" si="238"/>
        <v>4091</v>
      </c>
      <c r="AT360" s="137">
        <v>54</v>
      </c>
      <c r="AU360" s="136"/>
      <c r="AV360" s="136"/>
      <c r="AW360" s="137">
        <f t="shared" si="239"/>
        <v>26580</v>
      </c>
      <c r="AX360" s="136"/>
      <c r="AY360" s="137">
        <f t="shared" si="240"/>
        <v>26580</v>
      </c>
      <c r="AZ360" s="137">
        <f t="shared" si="241"/>
        <v>26850</v>
      </c>
      <c r="BA360" s="142">
        <f t="shared" si="242"/>
        <v>-270</v>
      </c>
      <c r="BB360" s="137"/>
      <c r="BC360" s="137">
        <v>0</v>
      </c>
      <c r="BD360" s="136"/>
      <c r="BE360" s="128">
        <v>269.14999999999998</v>
      </c>
      <c r="BF360" s="143">
        <f t="shared" si="228"/>
        <v>0.40372499999999995</v>
      </c>
      <c r="BG360" s="143">
        <f t="shared" si="229"/>
        <v>268.74627499999997</v>
      </c>
      <c r="BH360" s="143">
        <f t="shared" si="230"/>
        <v>268.5</v>
      </c>
      <c r="BI360" s="144">
        <f t="shared" si="231"/>
        <v>64.999999999997726</v>
      </c>
      <c r="BJ360" s="144">
        <v>0</v>
      </c>
      <c r="BK360" s="137">
        <f t="shared" si="232"/>
        <v>64.999999999997726</v>
      </c>
      <c r="BL360" s="18"/>
      <c r="BM360" s="25" t="str">
        <f t="shared" si="233"/>
        <v>Unloading no. 343 Bill No 83 ,Deduction For Oil Deduction= 0 ,Bardana= 221.5 ,F.M=  Brokerage/Rate Difference 0 ,Shortage = 3674.32559593679 ,Greenish=  ,Moisture= 0</v>
      </c>
      <c r="BN360" s="17"/>
      <c r="BO360" s="13" t="str">
        <f t="shared" si="219"/>
        <v xml:space="preserve"> Party Condition 38.9  ,F.M% 0.46 ,Greenish 3.71 ,Moisture 4.8 ,Shortage in KG= 54  ,Oil% 38.97</v>
      </c>
      <c r="BP360" s="19">
        <f t="shared" si="234"/>
        <v>6721.3738711510732</v>
      </c>
      <c r="BX360" s="27">
        <v>39.049999999999997</v>
      </c>
      <c r="BY360" s="27">
        <v>38.97</v>
      </c>
    </row>
    <row r="361" spans="1:77" s="26" customFormat="1" ht="14.25" hidden="1" x14ac:dyDescent="0.3">
      <c r="A361" s="163" t="s">
        <v>688</v>
      </c>
      <c r="B361" s="166">
        <v>46134</v>
      </c>
      <c r="C361" s="187">
        <v>344</v>
      </c>
      <c r="D361" s="163" t="s">
        <v>724</v>
      </c>
      <c r="E361" s="166">
        <v>46137</v>
      </c>
      <c r="F361" s="163" t="s">
        <v>98</v>
      </c>
      <c r="G361" s="163" t="s">
        <v>99</v>
      </c>
      <c r="H361" s="163" t="s">
        <v>199</v>
      </c>
      <c r="I361" s="157"/>
      <c r="J361" s="163" t="s">
        <v>113</v>
      </c>
      <c r="K361" s="163">
        <v>0</v>
      </c>
      <c r="L361" s="166">
        <v>46134</v>
      </c>
      <c r="M361" s="157"/>
      <c r="N361" s="163">
        <v>82</v>
      </c>
      <c r="O361" s="166">
        <v>46135</v>
      </c>
      <c r="P361" s="163">
        <v>0</v>
      </c>
      <c r="Q361" s="163">
        <v>395</v>
      </c>
      <c r="R361" s="163">
        <v>14</v>
      </c>
      <c r="S361" s="163">
        <v>409</v>
      </c>
      <c r="T361" s="163">
        <v>409</v>
      </c>
      <c r="U361" s="163">
        <v>0</v>
      </c>
      <c r="V361" s="163">
        <v>0</v>
      </c>
      <c r="W361" s="188">
        <v>245.4</v>
      </c>
      <c r="X361" s="169">
        <v>247.5</v>
      </c>
      <c r="Y361" s="128">
        <v>1681489.8</v>
      </c>
      <c r="Z361" s="136"/>
      <c r="AA361" s="128">
        <v>42037.25</v>
      </c>
      <c r="AB361" s="128">
        <v>42037.25</v>
      </c>
      <c r="AC361" s="128">
        <v>1765564.29</v>
      </c>
      <c r="AD361" s="143">
        <f t="shared" si="243"/>
        <v>1763798.7257100001</v>
      </c>
      <c r="AE361" s="147">
        <v>40</v>
      </c>
      <c r="AF361" s="169">
        <v>39.39</v>
      </c>
      <c r="AG361" s="147">
        <v>39.82</v>
      </c>
      <c r="AH361" s="170">
        <v>4.1000000000000003E-3</v>
      </c>
      <c r="AI361" s="170">
        <v>3.7600000000000001E-2</v>
      </c>
      <c r="AJ361" s="170">
        <v>5.0999999999999997E-2</v>
      </c>
      <c r="AK361" s="137">
        <f t="shared" si="235"/>
        <v>0</v>
      </c>
      <c r="AL361" s="136">
        <f>409.5</f>
        <v>409.5</v>
      </c>
      <c r="AM361" s="136"/>
      <c r="AN361" s="165">
        <v>0</v>
      </c>
      <c r="AO361" s="140">
        <f t="shared" si="236"/>
        <v>6098.3126405867979</v>
      </c>
      <c r="AP361" s="136"/>
      <c r="AQ361" s="137">
        <v>0</v>
      </c>
      <c r="AR361" s="155">
        <f t="shared" si="237"/>
        <v>6507.8126405867979</v>
      </c>
      <c r="AS361" s="155">
        <f t="shared" si="238"/>
        <v>6833</v>
      </c>
      <c r="AT361" s="137">
        <v>89</v>
      </c>
      <c r="AU361" s="136"/>
      <c r="AV361" s="136"/>
      <c r="AW361" s="137">
        <f t="shared" si="239"/>
        <v>24540</v>
      </c>
      <c r="AX361" s="136"/>
      <c r="AY361" s="137">
        <f t="shared" si="240"/>
        <v>24540</v>
      </c>
      <c r="AZ361" s="137">
        <f t="shared" si="241"/>
        <v>24750</v>
      </c>
      <c r="BA361" s="142">
        <f t="shared" si="242"/>
        <v>-210</v>
      </c>
      <c r="BB361" s="137"/>
      <c r="BC361" s="137">
        <v>0</v>
      </c>
      <c r="BD361" s="136"/>
      <c r="BE361" s="128">
        <v>248.25</v>
      </c>
      <c r="BF361" s="143">
        <f t="shared" si="228"/>
        <v>0.37237499999999996</v>
      </c>
      <c r="BG361" s="143">
        <f t="shared" si="229"/>
        <v>247.87762499999999</v>
      </c>
      <c r="BH361" s="143">
        <f t="shared" si="230"/>
        <v>247.5</v>
      </c>
      <c r="BI361" s="144">
        <f t="shared" si="231"/>
        <v>75</v>
      </c>
      <c r="BJ361" s="144">
        <v>0</v>
      </c>
      <c r="BK361" s="137">
        <f t="shared" si="232"/>
        <v>75</v>
      </c>
      <c r="BL361" s="18"/>
      <c r="BM361" s="25" t="str">
        <f t="shared" si="233"/>
        <v>Unloading no. 344 Bill No 82 ,Deduction For Oil Deduction= 0 ,Bardana= 409.5 ,F.M=  Brokerage/Rate Difference 0 ,Shortage = 6098.3126405868 ,Greenish=  ,Moisture= 0</v>
      </c>
      <c r="BN361" s="17"/>
      <c r="BO361" s="13" t="str">
        <f t="shared" si="219"/>
        <v xml:space="preserve"> Party Condition 39.39  ,F.M% 0.41 ,Greenish 3.76 ,Moisture 5.1 ,Shortage in KG= 89  ,Oil% 39.82</v>
      </c>
      <c r="BP361" s="19">
        <f t="shared" si="234"/>
        <v>6767.6039893309626</v>
      </c>
      <c r="BX361" s="27">
        <v>40</v>
      </c>
      <c r="BY361" s="27">
        <v>39.82</v>
      </c>
    </row>
    <row r="362" spans="1:77" s="26" customFormat="1" ht="14.25" hidden="1" x14ac:dyDescent="0.3">
      <c r="A362" s="128" t="s">
        <v>689</v>
      </c>
      <c r="B362" s="130">
        <v>46134</v>
      </c>
      <c r="C362" s="138">
        <v>345</v>
      </c>
      <c r="D362" s="128" t="s">
        <v>725</v>
      </c>
      <c r="E362" s="130">
        <v>46137</v>
      </c>
      <c r="F362" s="128" t="s">
        <v>467</v>
      </c>
      <c r="G362" s="128" t="s">
        <v>468</v>
      </c>
      <c r="H362" s="128" t="s">
        <v>506</v>
      </c>
      <c r="I362" s="136"/>
      <c r="J362" s="128" t="s">
        <v>113</v>
      </c>
      <c r="K362" s="128">
        <v>0</v>
      </c>
      <c r="L362" s="130">
        <v>46134</v>
      </c>
      <c r="M362" s="136"/>
      <c r="N362" s="128" t="s">
        <v>746</v>
      </c>
      <c r="O362" s="130">
        <v>46135</v>
      </c>
      <c r="P362" s="128">
        <v>0</v>
      </c>
      <c r="Q362" s="128">
        <v>400</v>
      </c>
      <c r="R362" s="128">
        <v>35</v>
      </c>
      <c r="S362" s="128">
        <v>435</v>
      </c>
      <c r="T362" s="128">
        <v>435</v>
      </c>
      <c r="U362" s="128">
        <v>0</v>
      </c>
      <c r="V362" s="128">
        <v>0</v>
      </c>
      <c r="W362" s="169">
        <v>261</v>
      </c>
      <c r="X362" s="169">
        <v>263.89999999999998</v>
      </c>
      <c r="Y362" s="128">
        <v>1773175</v>
      </c>
      <c r="Z362" s="136"/>
      <c r="AA362" s="128">
        <v>44329.38</v>
      </c>
      <c r="AB362" s="128">
        <v>44329.38</v>
      </c>
      <c r="AC362" s="128">
        <v>1861833.75</v>
      </c>
      <c r="AD362" s="143">
        <f t="shared" si="243"/>
        <v>1859971.91625</v>
      </c>
      <c r="AE362" s="147">
        <v>40.020000000000003</v>
      </c>
      <c r="AF362" s="169">
        <v>39</v>
      </c>
      <c r="AG362" s="147">
        <v>40.07</v>
      </c>
      <c r="AH362" s="170">
        <v>4.4000000000000003E-3</v>
      </c>
      <c r="AI362" s="170">
        <v>4.02E-2</v>
      </c>
      <c r="AJ362" s="170">
        <v>5.6000000000000001E-2</v>
      </c>
      <c r="AK362" s="137">
        <f t="shared" si="235"/>
        <v>0</v>
      </c>
      <c r="AL362" s="136">
        <v>0</v>
      </c>
      <c r="AM362" s="136"/>
      <c r="AN362" s="165">
        <v>0</v>
      </c>
      <c r="AO362" s="140">
        <f t="shared" si="236"/>
        <v>1902.2567049808429</v>
      </c>
      <c r="AP362" s="136"/>
      <c r="AQ362" s="137">
        <v>0</v>
      </c>
      <c r="AR362" s="155">
        <f t="shared" si="237"/>
        <v>1902.2567049808429</v>
      </c>
      <c r="AS362" s="155">
        <f t="shared" si="238"/>
        <v>1997</v>
      </c>
      <c r="AT362" s="137">
        <v>28</v>
      </c>
      <c r="AU362" s="136"/>
      <c r="AV362" s="136"/>
      <c r="AW362" s="137">
        <f t="shared" si="239"/>
        <v>26100</v>
      </c>
      <c r="AX362" s="136"/>
      <c r="AY362" s="137">
        <f t="shared" si="240"/>
        <v>26100</v>
      </c>
      <c r="AZ362" s="137">
        <f t="shared" si="241"/>
        <v>26389.999999999996</v>
      </c>
      <c r="BA362" s="142">
        <f t="shared" si="242"/>
        <v>-289.99999999999636</v>
      </c>
      <c r="BB362" s="137"/>
      <c r="BC362" s="137">
        <v>0</v>
      </c>
      <c r="BD362" s="136"/>
      <c r="BE362" s="128">
        <v>263.95</v>
      </c>
      <c r="BF362" s="143">
        <f t="shared" si="228"/>
        <v>0.39592499999999992</v>
      </c>
      <c r="BG362" s="143">
        <f t="shared" si="229"/>
        <v>263.55407500000001</v>
      </c>
      <c r="BH362" s="143">
        <f t="shared" si="230"/>
        <v>263.89999999999998</v>
      </c>
      <c r="BI362" s="144">
        <f t="shared" si="231"/>
        <v>5.0000000000011369</v>
      </c>
      <c r="BJ362" s="144">
        <v>0</v>
      </c>
      <c r="BK362" s="137">
        <f t="shared" si="232"/>
        <v>5.0000000000011369</v>
      </c>
      <c r="BL362" s="18"/>
      <c r="BM362" s="25" t="str">
        <f t="shared" si="233"/>
        <v>Unloading no. 345 Bill No GDS/26-27/140 ,Deduction For Oil Deduction= 0 ,Bardana= 0 ,F.M=  Brokerage/Rate Difference 0 ,Shortage = 1902.25670498084 ,Greenish=  ,Moisture= 0</v>
      </c>
      <c r="BN362" s="17"/>
      <c r="BO362" s="13" t="str">
        <f t="shared" si="219"/>
        <v xml:space="preserve"> Party Condition 39  ,F.M% 0.44 ,Greenish 4.02 ,Moisture 5.6 ,Shortage in KG= 28  ,Oil% 40.02</v>
      </c>
      <c r="BP362" s="19">
        <f t="shared" si="234"/>
        <v>6711.9088415877959</v>
      </c>
      <c r="BX362" s="27">
        <v>40.020000000000003</v>
      </c>
      <c r="BY362" s="27">
        <v>40.07</v>
      </c>
    </row>
    <row r="363" spans="1:77" s="26" customFormat="1" ht="14.25" hidden="1" x14ac:dyDescent="0.3">
      <c r="A363" s="128" t="s">
        <v>685</v>
      </c>
      <c r="B363" s="130">
        <v>46134</v>
      </c>
      <c r="C363" s="138">
        <v>346</v>
      </c>
      <c r="D363" s="128" t="s">
        <v>726</v>
      </c>
      <c r="E363" s="130">
        <v>46137</v>
      </c>
      <c r="F363" s="128" t="s">
        <v>101</v>
      </c>
      <c r="G363" s="128" t="s">
        <v>102</v>
      </c>
      <c r="H363" s="128" t="s">
        <v>103</v>
      </c>
      <c r="I363" s="136"/>
      <c r="J363" s="128" t="s">
        <v>113</v>
      </c>
      <c r="K363" s="128">
        <v>0</v>
      </c>
      <c r="L363" s="130">
        <v>46134</v>
      </c>
      <c r="M363" s="136"/>
      <c r="N363" s="128" t="s">
        <v>747</v>
      </c>
      <c r="O363" s="130">
        <v>46135</v>
      </c>
      <c r="P363" s="128">
        <v>0</v>
      </c>
      <c r="Q363" s="128">
        <v>400</v>
      </c>
      <c r="R363" s="128">
        <v>110</v>
      </c>
      <c r="S363" s="128">
        <v>510</v>
      </c>
      <c r="T363" s="128">
        <v>510</v>
      </c>
      <c r="U363" s="128">
        <v>0</v>
      </c>
      <c r="V363" s="128">
        <v>0</v>
      </c>
      <c r="W363" s="169">
        <v>306</v>
      </c>
      <c r="X363" s="169">
        <v>309.8</v>
      </c>
      <c r="Y363" s="128">
        <v>2119196.88</v>
      </c>
      <c r="Z363" s="136"/>
      <c r="AA363" s="128">
        <v>52979.92</v>
      </c>
      <c r="AB363" s="128">
        <v>52979.92</v>
      </c>
      <c r="AC363" s="128">
        <v>2225156.7200000002</v>
      </c>
      <c r="AD363" s="143">
        <f t="shared" si="243"/>
        <v>2222931.5632800004</v>
      </c>
      <c r="AE363" s="147">
        <v>40.049999999999997</v>
      </c>
      <c r="AF363" s="169">
        <v>39.799999999999997</v>
      </c>
      <c r="AG363" s="147">
        <v>40.04</v>
      </c>
      <c r="AH363" s="170">
        <v>3.2000000000000002E-3</v>
      </c>
      <c r="AI363" s="170">
        <v>3.6999999999999998E-2</v>
      </c>
      <c r="AJ363" s="170">
        <v>4.8000000000000001E-2</v>
      </c>
      <c r="AK363" s="137">
        <f t="shared" si="235"/>
        <v>0</v>
      </c>
      <c r="AL363" s="136">
        <v>0</v>
      </c>
      <c r="AM363" s="136"/>
      <c r="AN363" s="165">
        <v>0</v>
      </c>
      <c r="AO363" s="140">
        <f t="shared" si="236"/>
        <v>0</v>
      </c>
      <c r="AP363" s="136"/>
      <c r="AQ363" s="137">
        <v>0</v>
      </c>
      <c r="AR363" s="155">
        <f t="shared" si="237"/>
        <v>0</v>
      </c>
      <c r="AS363" s="155">
        <f t="shared" si="238"/>
        <v>0</v>
      </c>
      <c r="AT363" s="137">
        <v>0</v>
      </c>
      <c r="AU363" s="136" t="s">
        <v>664</v>
      </c>
      <c r="AV363" s="136"/>
      <c r="AW363" s="137">
        <f t="shared" si="239"/>
        <v>30600</v>
      </c>
      <c r="AX363" s="136"/>
      <c r="AY363" s="137">
        <f t="shared" si="240"/>
        <v>30600</v>
      </c>
      <c r="AZ363" s="137">
        <f t="shared" si="241"/>
        <v>30980</v>
      </c>
      <c r="BA363" s="142">
        <f t="shared" si="242"/>
        <v>-380</v>
      </c>
      <c r="BB363" s="137"/>
      <c r="BC363" s="137">
        <v>0</v>
      </c>
      <c r="BD363" s="136"/>
      <c r="BE363" s="128">
        <v>310</v>
      </c>
      <c r="BF363" s="143">
        <f t="shared" si="228"/>
        <v>0.46500000000000002</v>
      </c>
      <c r="BG363" s="143">
        <f t="shared" si="229"/>
        <v>309.53500000000003</v>
      </c>
      <c r="BH363" s="143">
        <f t="shared" si="230"/>
        <v>309.8</v>
      </c>
      <c r="BI363" s="144">
        <f t="shared" si="231"/>
        <v>19.999999999998863</v>
      </c>
      <c r="BJ363" s="144">
        <v>0</v>
      </c>
      <c r="BK363" s="137">
        <f t="shared" si="232"/>
        <v>19.999999999998863</v>
      </c>
      <c r="BL363" s="18"/>
      <c r="BM363" s="25" t="str">
        <f t="shared" si="233"/>
        <v>Unloading no. 346 Bill No L/PB/26-27/52 ,Deduction For Oil Deduction= 0 ,Bardana= 0 ,F.M=  Brokerage/Rate Difference 0 ,Shortage = 0 ,Greenish=  ,Moisture= 0</v>
      </c>
      <c r="BN363" s="17"/>
      <c r="BO363" s="13" t="str">
        <f t="shared" si="219"/>
        <v xml:space="preserve"> Party Condition 39.8  ,F.M% 0.32 ,Greenish 3.7 ,Moisture 4.8 ,Shortage in KG= 0  ,Oil% 40.04</v>
      </c>
      <c r="BP363" s="19">
        <f t="shared" si="234"/>
        <v>6840.5322143318263</v>
      </c>
      <c r="BX363" s="27">
        <v>40.049999999999997</v>
      </c>
      <c r="BY363" s="27">
        <v>40.04</v>
      </c>
    </row>
    <row r="364" spans="1:77" s="26" customFormat="1" ht="14.25" hidden="1" x14ac:dyDescent="0.3">
      <c r="A364" s="128" t="s">
        <v>671</v>
      </c>
      <c r="B364" s="130">
        <v>46133</v>
      </c>
      <c r="C364" s="138">
        <v>347</v>
      </c>
      <c r="D364" s="128" t="s">
        <v>727</v>
      </c>
      <c r="E364" s="130">
        <v>46137</v>
      </c>
      <c r="F364" s="128" t="s">
        <v>101</v>
      </c>
      <c r="G364" s="128" t="s">
        <v>102</v>
      </c>
      <c r="H364" s="128" t="s">
        <v>103</v>
      </c>
      <c r="I364" s="136"/>
      <c r="J364" s="128" t="s">
        <v>113</v>
      </c>
      <c r="K364" s="128">
        <v>0</v>
      </c>
      <c r="L364" s="130">
        <v>46133</v>
      </c>
      <c r="M364" s="136"/>
      <c r="N364" s="128" t="s">
        <v>748</v>
      </c>
      <c r="O364" s="130">
        <v>46134</v>
      </c>
      <c r="P364" s="128">
        <v>0</v>
      </c>
      <c r="Q364" s="128">
        <v>400</v>
      </c>
      <c r="R364" s="128">
        <v>211</v>
      </c>
      <c r="S364" s="128">
        <v>611</v>
      </c>
      <c r="T364" s="128">
        <v>611</v>
      </c>
      <c r="U364" s="128">
        <v>0</v>
      </c>
      <c r="V364" s="128">
        <v>0</v>
      </c>
      <c r="W364" s="169">
        <v>366.6</v>
      </c>
      <c r="X364" s="169">
        <v>371.4</v>
      </c>
      <c r="Y364" s="128">
        <v>2499773.2999999998</v>
      </c>
      <c r="Z364" s="136"/>
      <c r="AA364" s="128">
        <v>62494.33</v>
      </c>
      <c r="AB364" s="128">
        <v>62494.33</v>
      </c>
      <c r="AC364" s="128">
        <v>2624761.9700000002</v>
      </c>
      <c r="AD364" s="143">
        <f t="shared" si="243"/>
        <v>2622137.2080300003</v>
      </c>
      <c r="AE364" s="147">
        <v>39.700000000000003</v>
      </c>
      <c r="AF364" s="169">
        <v>39.65</v>
      </c>
      <c r="AG364" s="147">
        <v>39.67</v>
      </c>
      <c r="AH364" s="170">
        <v>4.5999999999999999E-3</v>
      </c>
      <c r="AI364" s="170">
        <v>3.7499999999999999E-2</v>
      </c>
      <c r="AJ364" s="170">
        <v>4.7E-2</v>
      </c>
      <c r="AK364" s="137">
        <f t="shared" si="235"/>
        <v>0</v>
      </c>
      <c r="AL364" s="136">
        <f>611*5</f>
        <v>3055</v>
      </c>
      <c r="AM364" s="136"/>
      <c r="AN364" s="165">
        <v>0</v>
      </c>
      <c r="AO364" s="140">
        <f t="shared" si="236"/>
        <v>0</v>
      </c>
      <c r="AP364" s="136"/>
      <c r="AQ364" s="137">
        <v>0</v>
      </c>
      <c r="AR364" s="155">
        <f t="shared" si="237"/>
        <v>3055</v>
      </c>
      <c r="AS364" s="155">
        <f t="shared" si="238"/>
        <v>3208</v>
      </c>
      <c r="AT364" s="137">
        <v>0</v>
      </c>
      <c r="AU364" s="136" t="s">
        <v>664</v>
      </c>
      <c r="AV364" s="136"/>
      <c r="AW364" s="137">
        <f t="shared" si="239"/>
        <v>36660</v>
      </c>
      <c r="AX364" s="136"/>
      <c r="AY364" s="137">
        <f t="shared" si="240"/>
        <v>36660</v>
      </c>
      <c r="AZ364" s="137">
        <f t="shared" si="241"/>
        <v>37140</v>
      </c>
      <c r="BA364" s="142">
        <f t="shared" si="242"/>
        <v>-480</v>
      </c>
      <c r="BB364" s="137"/>
      <c r="BC364" s="137">
        <v>0</v>
      </c>
      <c r="BD364" s="136"/>
      <c r="BE364" s="128">
        <v>371.5</v>
      </c>
      <c r="BF364" s="143">
        <f t="shared" si="228"/>
        <v>0.55725000000000002</v>
      </c>
      <c r="BG364" s="143">
        <f t="shared" si="229"/>
        <v>370.94274999999999</v>
      </c>
      <c r="BH364" s="143">
        <f t="shared" si="230"/>
        <v>371.4</v>
      </c>
      <c r="BI364" s="144">
        <f t="shared" si="231"/>
        <v>10.000000000002274</v>
      </c>
      <c r="BJ364" s="144">
        <v>0</v>
      </c>
      <c r="BK364" s="137">
        <f t="shared" si="232"/>
        <v>10.000000000002274</v>
      </c>
      <c r="BL364" s="18"/>
      <c r="BM364" s="25" t="str">
        <f t="shared" si="233"/>
        <v>Unloading no. 347 Bill No L/PB/26-27/45 ,Deduction For Oil Deduction= 0 ,Bardana= 3055 ,F.M=  Brokerage/Rate Difference 0 ,Shortage = 0 ,Greenish=  ,Moisture= 0</v>
      </c>
      <c r="BN364" s="17"/>
      <c r="BO364" s="13" t="str">
        <f t="shared" si="219"/>
        <v xml:space="preserve"> Party Condition 39.65  ,F.M% 0.46 ,Greenish 3.75 ,Moisture 4.7 ,Shortage in KG= 0  ,Oil% 39.67</v>
      </c>
      <c r="BP364" s="19">
        <f t="shared" si="234"/>
        <v>6722.4509962304792</v>
      </c>
      <c r="BX364" s="27">
        <v>39.700000000000003</v>
      </c>
      <c r="BY364" s="27">
        <v>39.67</v>
      </c>
    </row>
    <row r="365" spans="1:77" s="26" customFormat="1" ht="14.25" hidden="1" x14ac:dyDescent="0.3">
      <c r="A365" s="128" t="s">
        <v>672</v>
      </c>
      <c r="B365" s="130">
        <v>46134</v>
      </c>
      <c r="C365" s="138">
        <v>348</v>
      </c>
      <c r="D365" s="128" t="s">
        <v>728</v>
      </c>
      <c r="E365" s="130">
        <v>46137</v>
      </c>
      <c r="F365" s="128" t="s">
        <v>95</v>
      </c>
      <c r="G365" s="128" t="s">
        <v>96</v>
      </c>
      <c r="H365" s="128" t="s">
        <v>97</v>
      </c>
      <c r="I365" s="136"/>
      <c r="J365" s="128" t="s">
        <v>113</v>
      </c>
      <c r="K365" s="128">
        <v>0</v>
      </c>
      <c r="L365" s="130">
        <v>46134</v>
      </c>
      <c r="M365" s="136"/>
      <c r="N365" s="128">
        <v>113</v>
      </c>
      <c r="O365" s="130">
        <v>46135</v>
      </c>
      <c r="P365" s="128">
        <v>0</v>
      </c>
      <c r="Q365" s="128">
        <v>350</v>
      </c>
      <c r="R365" s="128">
        <v>65</v>
      </c>
      <c r="S365" s="128">
        <v>415</v>
      </c>
      <c r="T365" s="128">
        <v>415</v>
      </c>
      <c r="U365" s="128">
        <v>0</v>
      </c>
      <c r="V365" s="128">
        <v>0</v>
      </c>
      <c r="W365" s="169">
        <v>249</v>
      </c>
      <c r="X365" s="169">
        <v>251.7</v>
      </c>
      <c r="Y365" s="128">
        <v>1731685.44</v>
      </c>
      <c r="Z365" s="136"/>
      <c r="AA365" s="128">
        <v>43292.14</v>
      </c>
      <c r="AB365" s="128">
        <v>43292.14</v>
      </c>
      <c r="AC365" s="128">
        <v>1818269.71</v>
      </c>
      <c r="AD365" s="143">
        <f t="shared" si="243"/>
        <v>1816451.4402900001</v>
      </c>
      <c r="AE365" s="147">
        <v>40.65</v>
      </c>
      <c r="AF365" s="169">
        <v>40.090000000000003</v>
      </c>
      <c r="AG365" s="147">
        <v>40.57</v>
      </c>
      <c r="AH365" s="170">
        <v>2.8999999999999998E-3</v>
      </c>
      <c r="AI365" s="170">
        <v>3.9100000000000003E-2</v>
      </c>
      <c r="AJ365" s="170">
        <v>5.1999999999999998E-2</v>
      </c>
      <c r="AK365" s="137">
        <f t="shared" si="235"/>
        <v>0</v>
      </c>
      <c r="AL365" s="136">
        <v>0</v>
      </c>
      <c r="AM365" s="136"/>
      <c r="AN365" s="165">
        <v>0</v>
      </c>
      <c r="AO365" s="140">
        <f t="shared" si="236"/>
        <v>139.09119999999999</v>
      </c>
      <c r="AP365" s="136"/>
      <c r="AQ365" s="137">
        <v>0</v>
      </c>
      <c r="AR365" s="155">
        <f t="shared" si="237"/>
        <v>139.09119999999999</v>
      </c>
      <c r="AS365" s="155">
        <f t="shared" si="238"/>
        <v>146</v>
      </c>
      <c r="AT365" s="137">
        <v>2</v>
      </c>
      <c r="AU365" s="136" t="s">
        <v>664</v>
      </c>
      <c r="AV365" s="136"/>
      <c r="AW365" s="137">
        <f t="shared" si="239"/>
        <v>24900</v>
      </c>
      <c r="AX365" s="136"/>
      <c r="AY365" s="137">
        <f t="shared" si="240"/>
        <v>24900</v>
      </c>
      <c r="AZ365" s="137">
        <f t="shared" si="241"/>
        <v>25170</v>
      </c>
      <c r="BA365" s="142">
        <f t="shared" si="242"/>
        <v>-270</v>
      </c>
      <c r="BB365" s="137"/>
      <c r="BC365" s="137">
        <v>0</v>
      </c>
      <c r="BD365" s="136"/>
      <c r="BE365" s="128">
        <v>252</v>
      </c>
      <c r="BF365" s="143">
        <f t="shared" si="228"/>
        <v>0.37799999999999995</v>
      </c>
      <c r="BG365" s="143">
        <f t="shared" si="229"/>
        <v>251.62200000000001</v>
      </c>
      <c r="BH365" s="143">
        <f t="shared" si="230"/>
        <v>251.7</v>
      </c>
      <c r="BI365" s="144">
        <f t="shared" si="231"/>
        <v>30.000000000001137</v>
      </c>
      <c r="BJ365" s="144">
        <v>0</v>
      </c>
      <c r="BK365" s="137">
        <f t="shared" si="232"/>
        <v>30.000000000001137</v>
      </c>
      <c r="BL365" s="18"/>
      <c r="BM365" s="25" t="str">
        <f t="shared" si="233"/>
        <v>Unloading no. 348 Bill No 113 ,Deduction For Oil Deduction= 0 ,Bardana= 0 ,F.M=  Brokerage/Rate Difference 0 ,Shortage = 139.0912 ,Greenish=  ,Moisture= 0</v>
      </c>
      <c r="BN365" s="17"/>
      <c r="BO365" s="13" t="str">
        <f t="shared" si="219"/>
        <v xml:space="preserve"> Party Condition 40.09  ,F.M% 0.29 ,Greenish 3.91 ,Moisture 5.2 ,Shortage in KG= 2  ,Oil% 40.57</v>
      </c>
      <c r="BP365" s="19">
        <f t="shared" si="234"/>
        <v>6879.4054382201039</v>
      </c>
      <c r="BX365" s="27">
        <v>40.65</v>
      </c>
      <c r="BY365" s="27">
        <v>40.57</v>
      </c>
    </row>
    <row r="366" spans="1:77" s="26" customFormat="1" ht="14.25" hidden="1" x14ac:dyDescent="0.3">
      <c r="A366" s="128" t="s">
        <v>630</v>
      </c>
      <c r="B366" s="130">
        <v>46133</v>
      </c>
      <c r="C366" s="138">
        <v>349</v>
      </c>
      <c r="D366" s="128" t="s">
        <v>729</v>
      </c>
      <c r="E366" s="130">
        <v>46137</v>
      </c>
      <c r="F366" s="128" t="s">
        <v>95</v>
      </c>
      <c r="G366" s="128" t="s">
        <v>96</v>
      </c>
      <c r="H366" s="128" t="s">
        <v>97</v>
      </c>
      <c r="I366" s="136"/>
      <c r="J366" s="128" t="s">
        <v>113</v>
      </c>
      <c r="K366" s="128">
        <v>0</v>
      </c>
      <c r="L366" s="130">
        <v>46133</v>
      </c>
      <c r="M366" s="136"/>
      <c r="N366" s="128">
        <v>111</v>
      </c>
      <c r="O366" s="130">
        <v>46134</v>
      </c>
      <c r="P366" s="128">
        <v>0</v>
      </c>
      <c r="Q366" s="128">
        <v>450</v>
      </c>
      <c r="R366" s="128">
        <v>160</v>
      </c>
      <c r="S366" s="128">
        <v>610</v>
      </c>
      <c r="T366" s="128">
        <v>610</v>
      </c>
      <c r="U366" s="128">
        <v>0</v>
      </c>
      <c r="V366" s="128">
        <v>0</v>
      </c>
      <c r="W366" s="169">
        <v>431.4</v>
      </c>
      <c r="X366" s="169">
        <v>370.1</v>
      </c>
      <c r="Y366" s="128">
        <v>2949421.4</v>
      </c>
      <c r="Z366" s="136"/>
      <c r="AA366" s="128">
        <v>73735.539999999994</v>
      </c>
      <c r="AB366" s="128">
        <v>73735.539999999994</v>
      </c>
      <c r="AC366" s="128">
        <v>3096892.47</v>
      </c>
      <c r="AD366" s="143">
        <f t="shared" si="243"/>
        <v>3093795.5775300004</v>
      </c>
      <c r="AE366" s="147">
        <v>40.549999999999997</v>
      </c>
      <c r="AF366" s="169">
        <v>40.1</v>
      </c>
      <c r="AG366" s="147">
        <v>40.32</v>
      </c>
      <c r="AH366" s="170">
        <v>4.1999999999999997E-3</v>
      </c>
      <c r="AI366" s="170">
        <v>3.5499999999999997E-2</v>
      </c>
      <c r="AJ366" s="170">
        <v>4.7E-2</v>
      </c>
      <c r="AK366" s="137">
        <f t="shared" si="235"/>
        <v>0</v>
      </c>
      <c r="AL366" s="136">
        <v>324</v>
      </c>
      <c r="AM366" s="136"/>
      <c r="AN366" s="165">
        <v>0</v>
      </c>
      <c r="AO366" s="151">
        <f t="shared" si="236"/>
        <v>451301.12798794615</v>
      </c>
      <c r="AP366" s="136"/>
      <c r="AQ366" s="137">
        <v>0</v>
      </c>
      <c r="AR366" s="155">
        <f t="shared" si="237"/>
        <v>451625.12798794615</v>
      </c>
      <c r="AS366" s="155">
        <f t="shared" si="238"/>
        <v>474206</v>
      </c>
      <c r="AT366" s="137">
        <v>6601</v>
      </c>
      <c r="AU366" s="136" t="s">
        <v>664</v>
      </c>
      <c r="AV366" s="136"/>
      <c r="AW366" s="137">
        <f t="shared" si="239"/>
        <v>43140</v>
      </c>
      <c r="AX366" s="136"/>
      <c r="AY366" s="137">
        <f t="shared" si="240"/>
        <v>43140</v>
      </c>
      <c r="AZ366" s="137">
        <f t="shared" si="241"/>
        <v>37010</v>
      </c>
      <c r="BA366" s="142">
        <f t="shared" si="242"/>
        <v>6130</v>
      </c>
      <c r="BB366" s="137"/>
      <c r="BC366" s="137">
        <v>0</v>
      </c>
      <c r="BD366" s="136"/>
      <c r="BE366" s="128">
        <v>436.3</v>
      </c>
      <c r="BF366" s="143">
        <f t="shared" si="228"/>
        <v>0.65444999999999998</v>
      </c>
      <c r="BG366" s="143">
        <f t="shared" si="229"/>
        <v>435.64555000000001</v>
      </c>
      <c r="BH366" s="143">
        <f t="shared" si="230"/>
        <v>370.1</v>
      </c>
      <c r="BI366" s="144">
        <f t="shared" si="231"/>
        <v>6619.9999999999991</v>
      </c>
      <c r="BJ366" s="144">
        <v>0</v>
      </c>
      <c r="BK366" s="137">
        <f t="shared" si="232"/>
        <v>6619.9999999999991</v>
      </c>
      <c r="BL366" s="18"/>
      <c r="BM366" s="25" t="str">
        <f t="shared" si="233"/>
        <v>Unloading no. 349 Bill No 111 ,Deduction For Oil Deduction= 0 ,Bardana= 324 ,F.M=  Brokerage/Rate Difference 0 ,Shortage = 451301.127987946 ,Greenish=  ,Moisture= 0</v>
      </c>
      <c r="BN366" s="17"/>
      <c r="BO366" s="13" t="str">
        <f t="shared" si="219"/>
        <v xml:space="preserve"> Party Condition 40.1  ,F.M% 0.42 ,Greenish 3.55 ,Moisture 4.7 ,Shortage in KG= 6601  ,Oil% 40.32</v>
      </c>
      <c r="BP366" s="19">
        <f t="shared" si="234"/>
        <v>6748.9766874143579</v>
      </c>
      <c r="BX366" s="30">
        <v>40.549999999999997</v>
      </c>
      <c r="BY366" s="30">
        <v>40.32</v>
      </c>
    </row>
    <row r="367" spans="1:77" s="26" customFormat="1" ht="14.25" hidden="1" x14ac:dyDescent="0.3">
      <c r="A367" s="128" t="s">
        <v>749</v>
      </c>
      <c r="B367" s="130">
        <v>46135</v>
      </c>
      <c r="C367" s="138">
        <v>350</v>
      </c>
      <c r="D367" s="128" t="s">
        <v>820</v>
      </c>
      <c r="E367" s="130">
        <v>46138</v>
      </c>
      <c r="F367" s="128" t="s">
        <v>110</v>
      </c>
      <c r="G367" s="128" t="s">
        <v>111</v>
      </c>
      <c r="H367" s="128" t="s">
        <v>112</v>
      </c>
      <c r="I367" s="136"/>
      <c r="J367" s="128" t="s">
        <v>113</v>
      </c>
      <c r="K367" s="128">
        <v>0</v>
      </c>
      <c r="L367" s="130">
        <v>46135</v>
      </c>
      <c r="M367" s="136"/>
      <c r="N367" s="128" t="s">
        <v>785</v>
      </c>
      <c r="O367" s="130">
        <v>46135</v>
      </c>
      <c r="P367" s="128">
        <v>0</v>
      </c>
      <c r="Q367" s="128">
        <v>400</v>
      </c>
      <c r="R367" s="128">
        <v>70</v>
      </c>
      <c r="S367" s="128">
        <v>470</v>
      </c>
      <c r="T367" s="128">
        <v>470</v>
      </c>
      <c r="U367" s="128">
        <v>0</v>
      </c>
      <c r="V367" s="128">
        <v>0</v>
      </c>
      <c r="W367" s="169">
        <v>282</v>
      </c>
      <c r="X367" s="169">
        <v>285</v>
      </c>
      <c r="Y367" s="169">
        <v>1919668</v>
      </c>
      <c r="Z367" s="165"/>
      <c r="AA367" s="169">
        <v>47991.7</v>
      </c>
      <c r="AB367" s="169">
        <v>47991.7</v>
      </c>
      <c r="AC367" s="128">
        <v>2015651.4</v>
      </c>
      <c r="AD367" s="143">
        <f t="shared" si="243"/>
        <v>2013635.7485999998</v>
      </c>
      <c r="AE367" s="147">
        <v>40.200000000000003</v>
      </c>
      <c r="AF367" s="169">
        <v>39.53</v>
      </c>
      <c r="AG367" s="147">
        <v>40.5</v>
      </c>
      <c r="AH367" s="170">
        <v>3.8999999999999998E-3</v>
      </c>
      <c r="AI367" s="170">
        <v>3.7400000000000003E-2</v>
      </c>
      <c r="AJ367" s="170">
        <v>4.9000000000000002E-2</v>
      </c>
      <c r="AK367" s="137">
        <f t="shared" ref="AK367" si="244">+IF(AF367=42,IF(MIN(AE367,AG367)&lt;AF367,Y367*((AF367-MIN(AE367,AG367))/AF367)),IF(MIN(AE367,AG367)&lt;AF367,Y367*((AF367-MIN(AE367,AG367))/AF367),0))</f>
        <v>0</v>
      </c>
      <c r="AL367" s="136">
        <f>470*5</f>
        <v>2350</v>
      </c>
      <c r="AM367" s="136"/>
      <c r="AN367" s="165">
        <v>0</v>
      </c>
      <c r="AO367" s="140">
        <f t="shared" ref="AO367" si="245">AT367*Y367/AW367</f>
        <v>544.5866666666667</v>
      </c>
      <c r="AP367" s="136"/>
      <c r="AQ367" s="137">
        <v>0</v>
      </c>
      <c r="AR367" s="155">
        <f t="shared" ref="AR367" si="246">SUM(AK367:AQ367)</f>
        <v>2894.5866666666666</v>
      </c>
      <c r="AS367" s="155">
        <f t="shared" ref="AS367" si="247">ROUND(AR367*1.05,0)</f>
        <v>3039</v>
      </c>
      <c r="AT367" s="137">
        <v>8</v>
      </c>
      <c r="AU367" s="136" t="s">
        <v>664</v>
      </c>
      <c r="AV367" s="136"/>
      <c r="AW367" s="137">
        <f t="shared" ref="AW367:AW430" si="248">W367*100</f>
        <v>28200</v>
      </c>
      <c r="AX367" s="136"/>
      <c r="AY367" s="137">
        <f t="shared" ref="AY367:AY430" si="249">+AW367+AX367</f>
        <v>28200</v>
      </c>
      <c r="AZ367" s="137">
        <f t="shared" ref="AZ367:AZ430" si="250">X367*100</f>
        <v>28500</v>
      </c>
      <c r="BA367" s="142">
        <f t="shared" ref="BA367:BA430" si="251">AY367-AZ367</f>
        <v>-300</v>
      </c>
      <c r="BB367" s="137"/>
      <c r="BC367" s="137">
        <v>0</v>
      </c>
      <c r="BD367" s="136"/>
      <c r="BE367" s="128">
        <v>285.14999999999998</v>
      </c>
      <c r="BF367" s="143">
        <f t="shared" ref="BF367:BF430" si="252">+BE367*0.15/100</f>
        <v>0.42772499999999991</v>
      </c>
      <c r="BG367" s="143">
        <f t="shared" ref="BG367:BG430" si="253">BE367-BF367</f>
        <v>284.72227499999997</v>
      </c>
      <c r="BH367" s="143">
        <f t="shared" ref="BH367:BH430" si="254">X367</f>
        <v>285</v>
      </c>
      <c r="BI367" s="144">
        <f t="shared" ref="BI367:BI430" si="255">(BE367-BH367)*100</f>
        <v>14.999999999997726</v>
      </c>
      <c r="BJ367" s="144">
        <v>0</v>
      </c>
      <c r="BK367" s="137">
        <f t="shared" ref="BK367:BK430" si="256">BI367</f>
        <v>14.999999999997726</v>
      </c>
      <c r="BL367" s="18"/>
      <c r="BM367" s="25" t="str">
        <f t="shared" ref="BM367:BM430" si="257">+$C$1&amp;" "&amp;C367 &amp;" "&amp;$N$1&amp;" "&amp;N367&amp;" "&amp;$BM$1&amp;" "&amp;$AK$1&amp;" "&amp;AK367&amp;" "&amp;$AL$1&amp;" "&amp;AL367&amp;" "&amp;$AM$1&amp;" "&amp;AM367&amp;" "&amp;$AN$1&amp;" "&amp;AN367&amp;" "&amp;$AO$1&amp;" "&amp;AO367&amp;" "&amp;$AP$1&amp;" "&amp;AP367&amp;" "&amp;$AQ$1&amp;" "&amp;AQ367</f>
        <v>Unloading no. 350 Bill No G1670 ,Deduction For Oil Deduction= 0 ,Bardana= 2350 ,F.M=  Brokerage/Rate Difference 0 ,Shortage = 544.586666666667 ,Greenish=  ,Moisture= 0</v>
      </c>
      <c r="BN367" s="17"/>
      <c r="BO367" s="13" t="str">
        <f t="shared" si="219"/>
        <v xml:space="preserve"> Party Condition 39.53  ,F.M% 0.39 ,Greenish 3.74 ,Moisture 4.9 ,Shortage in KG= 8  ,Oil% 40.2</v>
      </c>
      <c r="BP367" s="19">
        <f t="shared" ref="BP367:BP430" si="258">(Y367-AR367)/X367</f>
        <v>6725.5207485380115</v>
      </c>
      <c r="BX367" s="27">
        <v>40.200000000000003</v>
      </c>
      <c r="BY367" s="27">
        <v>40.5</v>
      </c>
    </row>
    <row r="368" spans="1:77" s="26" customFormat="1" ht="14.25" hidden="1" x14ac:dyDescent="0.3">
      <c r="A368" s="128" t="s">
        <v>750</v>
      </c>
      <c r="B368" s="166">
        <v>46135</v>
      </c>
      <c r="C368" s="187">
        <v>351</v>
      </c>
      <c r="D368" s="163" t="s">
        <v>821</v>
      </c>
      <c r="E368" s="166">
        <v>46138</v>
      </c>
      <c r="F368" s="163" t="s">
        <v>110</v>
      </c>
      <c r="G368" s="163" t="s">
        <v>111</v>
      </c>
      <c r="H368" s="163" t="s">
        <v>112</v>
      </c>
      <c r="I368" s="136"/>
      <c r="J368" s="128" t="s">
        <v>113</v>
      </c>
      <c r="K368" s="128">
        <v>0</v>
      </c>
      <c r="L368" s="130">
        <v>46135</v>
      </c>
      <c r="M368" s="136"/>
      <c r="N368" s="128" t="s">
        <v>786</v>
      </c>
      <c r="O368" s="130">
        <v>46135</v>
      </c>
      <c r="P368" s="128">
        <v>0</v>
      </c>
      <c r="Q368" s="128">
        <v>400</v>
      </c>
      <c r="R368" s="128">
        <v>21</v>
      </c>
      <c r="S368" s="128">
        <v>421</v>
      </c>
      <c r="T368" s="128">
        <v>421</v>
      </c>
      <c r="U368" s="128">
        <v>0</v>
      </c>
      <c r="V368" s="128">
        <v>0</v>
      </c>
      <c r="W368" s="169">
        <v>252.6</v>
      </c>
      <c r="X368" s="169">
        <v>256</v>
      </c>
      <c r="Y368" s="169">
        <v>1725594.8</v>
      </c>
      <c r="Z368" s="165"/>
      <c r="AA368" s="169">
        <v>43139.87</v>
      </c>
      <c r="AB368" s="169">
        <v>43139.87</v>
      </c>
      <c r="AC368" s="128">
        <v>1811874.54</v>
      </c>
      <c r="AD368" s="143">
        <f t="shared" si="243"/>
        <v>1810062.66546</v>
      </c>
      <c r="AE368" s="147">
        <v>40.9</v>
      </c>
      <c r="AF368" s="169">
        <v>39.729999999999997</v>
      </c>
      <c r="AG368" s="147">
        <v>40.86</v>
      </c>
      <c r="AH368" s="170">
        <v>2.8E-3</v>
      </c>
      <c r="AI368" s="170">
        <v>3.5799999999999998E-2</v>
      </c>
      <c r="AJ368" s="170">
        <v>4.7E-2</v>
      </c>
      <c r="AK368" s="137">
        <f t="shared" ref="AK368:AK431" si="259">+IF(AF368=42,IF(MIN(AE368,AG368)&lt;AF368,Y368*((AF368-MIN(AE368,AG368))/AF368)),IF(MIN(AE368,AG368)&lt;AF368,Y368*((AF368-MIN(AE368,AG368))/AF368),0))</f>
        <v>0</v>
      </c>
      <c r="AL368" s="136">
        <f>421*5</f>
        <v>2105</v>
      </c>
      <c r="AM368" s="136"/>
      <c r="AN368" s="165">
        <v>0</v>
      </c>
      <c r="AO368" s="140">
        <f t="shared" ref="AO368:AO431" si="260">AT368*Y368/AW368</f>
        <v>0</v>
      </c>
      <c r="AP368" s="136"/>
      <c r="AQ368" s="137">
        <v>0</v>
      </c>
      <c r="AR368" s="155">
        <f t="shared" ref="AR368:AR431" si="261">SUM(AK368:AQ368)</f>
        <v>2105</v>
      </c>
      <c r="AS368" s="155">
        <f t="shared" ref="AS368:AS431" si="262">ROUND(AR368*1.05,0)</f>
        <v>2210</v>
      </c>
      <c r="AT368" s="137">
        <v>0</v>
      </c>
      <c r="AU368" s="136" t="s">
        <v>664</v>
      </c>
      <c r="AV368" s="136"/>
      <c r="AW368" s="137">
        <f t="shared" si="248"/>
        <v>25260</v>
      </c>
      <c r="AX368" s="136"/>
      <c r="AY368" s="137">
        <f t="shared" si="249"/>
        <v>25260</v>
      </c>
      <c r="AZ368" s="137">
        <f t="shared" si="250"/>
        <v>25600</v>
      </c>
      <c r="BA368" s="142">
        <f t="shared" si="251"/>
        <v>-340</v>
      </c>
      <c r="BB368" s="137"/>
      <c r="BC368" s="137">
        <v>0</v>
      </c>
      <c r="BD368" s="136"/>
      <c r="BE368" s="128">
        <v>256.10000000000002</v>
      </c>
      <c r="BF368" s="143">
        <f t="shared" si="252"/>
        <v>0.38414999999999999</v>
      </c>
      <c r="BG368" s="143">
        <f t="shared" si="253"/>
        <v>255.71585000000002</v>
      </c>
      <c r="BH368" s="143">
        <f t="shared" si="254"/>
        <v>256</v>
      </c>
      <c r="BI368" s="144">
        <f t="shared" si="255"/>
        <v>10.000000000002274</v>
      </c>
      <c r="BJ368" s="144">
        <v>0</v>
      </c>
      <c r="BK368" s="137">
        <f t="shared" si="256"/>
        <v>10.000000000002274</v>
      </c>
      <c r="BL368" s="18"/>
      <c r="BM368" s="25" t="str">
        <f t="shared" si="257"/>
        <v>Unloading no. 351 Bill No G1671 ,Deduction For Oil Deduction= 0 ,Bardana= 2105 ,F.M=  Brokerage/Rate Difference 0 ,Shortage = 0 ,Greenish=  ,Moisture= 0</v>
      </c>
      <c r="BN368" s="17"/>
      <c r="BO368" s="13" t="str">
        <f t="shared" si="219"/>
        <v xml:space="preserve"> Party Condition 39.73  ,F.M% 0.28 ,Greenish 3.58 ,Moisture 4.7 ,Shortage in KG= 0  ,Oil% 40.86</v>
      </c>
      <c r="BP368" s="19">
        <f t="shared" si="258"/>
        <v>6732.3820312500002</v>
      </c>
      <c r="BX368" s="27">
        <v>40.9</v>
      </c>
      <c r="BY368" s="27">
        <v>40.86</v>
      </c>
    </row>
    <row r="369" spans="1:77" s="26" customFormat="1" ht="14.25" hidden="1" x14ac:dyDescent="0.3">
      <c r="A369" s="128" t="s">
        <v>672</v>
      </c>
      <c r="B369" s="166">
        <v>46134</v>
      </c>
      <c r="C369" s="187">
        <v>352</v>
      </c>
      <c r="D369" s="163" t="s">
        <v>822</v>
      </c>
      <c r="E369" s="166">
        <v>46138</v>
      </c>
      <c r="F369" s="163" t="s">
        <v>95</v>
      </c>
      <c r="G369" s="163" t="s">
        <v>96</v>
      </c>
      <c r="H369" s="163" t="s">
        <v>97</v>
      </c>
      <c r="I369" s="136"/>
      <c r="J369" s="128" t="s">
        <v>113</v>
      </c>
      <c r="K369" s="128">
        <v>0</v>
      </c>
      <c r="L369" s="130">
        <v>46134</v>
      </c>
      <c r="M369" s="136"/>
      <c r="N369" s="128">
        <v>118</v>
      </c>
      <c r="O369" s="130">
        <v>46135</v>
      </c>
      <c r="P369" s="128">
        <v>0</v>
      </c>
      <c r="Q369" s="128">
        <v>500</v>
      </c>
      <c r="R369" s="128">
        <v>94</v>
      </c>
      <c r="S369" s="128">
        <v>594</v>
      </c>
      <c r="T369" s="128">
        <v>594</v>
      </c>
      <c r="U369" s="128">
        <v>0</v>
      </c>
      <c r="V369" s="128">
        <v>0</v>
      </c>
      <c r="W369" s="169">
        <v>359.4</v>
      </c>
      <c r="X369" s="169">
        <v>363.6</v>
      </c>
      <c r="Y369" s="169">
        <v>2499468.86</v>
      </c>
      <c r="Z369" s="165"/>
      <c r="AA369" s="169">
        <v>62486.720000000001</v>
      </c>
      <c r="AB369" s="169">
        <v>62486.720000000001</v>
      </c>
      <c r="AC369" s="128">
        <v>2624442.2999999998</v>
      </c>
      <c r="AD369" s="143">
        <f t="shared" si="243"/>
        <v>2621817.8576999996</v>
      </c>
      <c r="AE369" s="147">
        <v>40.270000000000003</v>
      </c>
      <c r="AF369" s="169">
        <v>40.090000000000003</v>
      </c>
      <c r="AG369" s="147">
        <v>40.31</v>
      </c>
      <c r="AH369" s="170">
        <v>3.0000000000000001E-3</v>
      </c>
      <c r="AI369" s="170">
        <v>3.61E-2</v>
      </c>
      <c r="AJ369" s="170">
        <v>4.2999999999999997E-2</v>
      </c>
      <c r="AK369" s="137">
        <f t="shared" si="259"/>
        <v>0</v>
      </c>
      <c r="AL369" s="136">
        <v>0</v>
      </c>
      <c r="AM369" s="136"/>
      <c r="AN369" s="165">
        <v>0</v>
      </c>
      <c r="AO369" s="140">
        <f t="shared" si="260"/>
        <v>0</v>
      </c>
      <c r="AP369" s="136"/>
      <c r="AQ369" s="137">
        <v>0</v>
      </c>
      <c r="AR369" s="155">
        <f t="shared" si="261"/>
        <v>0</v>
      </c>
      <c r="AS369" s="155">
        <f t="shared" si="262"/>
        <v>0</v>
      </c>
      <c r="AT369" s="137">
        <v>0</v>
      </c>
      <c r="AU369" s="136" t="s">
        <v>664</v>
      </c>
      <c r="AV369" s="136"/>
      <c r="AW369" s="137">
        <f t="shared" si="248"/>
        <v>35940</v>
      </c>
      <c r="AX369" s="136"/>
      <c r="AY369" s="137">
        <f t="shared" si="249"/>
        <v>35940</v>
      </c>
      <c r="AZ369" s="137">
        <f t="shared" si="250"/>
        <v>36360</v>
      </c>
      <c r="BA369" s="142">
        <f t="shared" si="251"/>
        <v>-420</v>
      </c>
      <c r="BB369" s="137"/>
      <c r="BC369" s="137">
        <v>0</v>
      </c>
      <c r="BD369" s="136"/>
      <c r="BE369" s="128">
        <v>363.7</v>
      </c>
      <c r="BF369" s="143">
        <f t="shared" si="252"/>
        <v>0.54554999999999998</v>
      </c>
      <c r="BG369" s="143">
        <f t="shared" si="253"/>
        <v>363.15445</v>
      </c>
      <c r="BH369" s="143">
        <f t="shared" si="254"/>
        <v>363.6</v>
      </c>
      <c r="BI369" s="144">
        <f t="shared" si="255"/>
        <v>9.9999999999965894</v>
      </c>
      <c r="BJ369" s="144">
        <v>0</v>
      </c>
      <c r="BK369" s="137">
        <f t="shared" si="256"/>
        <v>9.9999999999965894</v>
      </c>
      <c r="BL369" s="18"/>
      <c r="BM369" s="25" t="str">
        <f t="shared" si="257"/>
        <v>Unloading no. 352 Bill No 118 ,Deduction For Oil Deduction= 0 ,Bardana= 0 ,F.M=  Brokerage/Rate Difference 0 ,Shortage = 0 ,Greenish=  ,Moisture= 0</v>
      </c>
      <c r="BN369" s="17"/>
      <c r="BO369" s="13" t="str">
        <f t="shared" si="219"/>
        <v xml:space="preserve"> Party Condition 40.09  ,F.M% 0.3 ,Greenish 3.61 ,Moisture 4.3 ,Shortage in KG= 0  ,Oil% 40.27</v>
      </c>
      <c r="BP369" s="19">
        <f t="shared" si="258"/>
        <v>6874.2267876787673</v>
      </c>
      <c r="BX369" s="27">
        <v>40.270000000000003</v>
      </c>
      <c r="BY369" s="27">
        <v>40.31</v>
      </c>
    </row>
    <row r="370" spans="1:77" s="26" customFormat="1" ht="14.25" hidden="1" x14ac:dyDescent="0.3">
      <c r="A370" s="128" t="s">
        <v>675</v>
      </c>
      <c r="B370" s="166">
        <v>46133</v>
      </c>
      <c r="C370" s="187">
        <v>353</v>
      </c>
      <c r="D370" s="163" t="s">
        <v>823</v>
      </c>
      <c r="E370" s="166">
        <v>46138</v>
      </c>
      <c r="F370" s="163" t="s">
        <v>104</v>
      </c>
      <c r="G370" s="163" t="s">
        <v>105</v>
      </c>
      <c r="H370" s="163" t="s">
        <v>106</v>
      </c>
      <c r="I370" s="136"/>
      <c r="J370" s="128" t="s">
        <v>113</v>
      </c>
      <c r="K370" s="128">
        <v>0</v>
      </c>
      <c r="L370" s="130">
        <v>46133</v>
      </c>
      <c r="M370" s="136"/>
      <c r="N370" s="128" t="s">
        <v>787</v>
      </c>
      <c r="O370" s="130">
        <v>46135</v>
      </c>
      <c r="P370" s="128">
        <v>0</v>
      </c>
      <c r="Q370" s="128">
        <v>480</v>
      </c>
      <c r="R370" s="128">
        <v>106</v>
      </c>
      <c r="S370" s="128">
        <v>586</v>
      </c>
      <c r="T370" s="128">
        <v>586</v>
      </c>
      <c r="U370" s="128">
        <v>0</v>
      </c>
      <c r="V370" s="128">
        <v>0</v>
      </c>
      <c r="W370" s="169">
        <v>293</v>
      </c>
      <c r="X370" s="169">
        <v>298.3</v>
      </c>
      <c r="Y370" s="169">
        <v>1969471.8</v>
      </c>
      <c r="Z370" s="165"/>
      <c r="AA370" s="169">
        <v>49236.800000000003</v>
      </c>
      <c r="AB370" s="169">
        <v>49236.800000000003</v>
      </c>
      <c r="AC370" s="128">
        <v>2067945.39</v>
      </c>
      <c r="AD370" s="143">
        <f t="shared" si="243"/>
        <v>2065877.4446099999</v>
      </c>
      <c r="AE370" s="147">
        <v>40.049999999999997</v>
      </c>
      <c r="AF370" s="169">
        <v>39</v>
      </c>
      <c r="AG370" s="147">
        <v>40.04</v>
      </c>
      <c r="AH370" s="170">
        <v>3.3E-3</v>
      </c>
      <c r="AI370" s="170">
        <v>3.5499999999999997E-2</v>
      </c>
      <c r="AJ370" s="170">
        <v>4.1000000000000002E-2</v>
      </c>
      <c r="AK370" s="137">
        <f t="shared" si="259"/>
        <v>0</v>
      </c>
      <c r="AL370" s="136">
        <f>586*2</f>
        <v>1172</v>
      </c>
      <c r="AM370" s="136"/>
      <c r="AN370" s="165">
        <v>0</v>
      </c>
      <c r="AO370" s="140">
        <f t="shared" si="260"/>
        <v>0</v>
      </c>
      <c r="AP370" s="136"/>
      <c r="AQ370" s="137">
        <v>0</v>
      </c>
      <c r="AR370" s="155">
        <f t="shared" si="261"/>
        <v>1172</v>
      </c>
      <c r="AS370" s="155">
        <f t="shared" si="262"/>
        <v>1231</v>
      </c>
      <c r="AT370" s="137">
        <v>0</v>
      </c>
      <c r="AU370" s="189"/>
      <c r="AV370" s="136"/>
      <c r="AW370" s="137">
        <f t="shared" si="248"/>
        <v>29300</v>
      </c>
      <c r="AX370" s="136"/>
      <c r="AY370" s="137">
        <f t="shared" si="249"/>
        <v>29300</v>
      </c>
      <c r="AZ370" s="137">
        <f t="shared" si="250"/>
        <v>29830</v>
      </c>
      <c r="BA370" s="142">
        <f t="shared" si="251"/>
        <v>-530</v>
      </c>
      <c r="BB370" s="137"/>
      <c r="BC370" s="137">
        <v>0</v>
      </c>
      <c r="BD370" s="136"/>
      <c r="BE370" s="128">
        <v>297.75</v>
      </c>
      <c r="BF370" s="143">
        <f t="shared" si="252"/>
        <v>0.44662499999999999</v>
      </c>
      <c r="BG370" s="143">
        <f t="shared" si="253"/>
        <v>297.30337500000002</v>
      </c>
      <c r="BH370" s="143">
        <f t="shared" si="254"/>
        <v>298.3</v>
      </c>
      <c r="BI370" s="144">
        <f t="shared" si="255"/>
        <v>-55.000000000001137</v>
      </c>
      <c r="BJ370" s="144">
        <v>0</v>
      </c>
      <c r="BK370" s="137">
        <f t="shared" si="256"/>
        <v>-55.000000000001137</v>
      </c>
      <c r="BL370" s="18"/>
      <c r="BM370" s="25" t="str">
        <f t="shared" si="257"/>
        <v>Unloading no. 353 Bill No MTC/2026-27/098 ,Deduction For Oil Deduction= 0 ,Bardana= 1172 ,F.M=  Brokerage/Rate Difference 0 ,Shortage = 0 ,Greenish=  ,Moisture= 0</v>
      </c>
      <c r="BN370" s="17"/>
      <c r="BO370" s="13" t="str">
        <f t="shared" si="219"/>
        <v xml:space="preserve"> Party Condition 39  ,F.M% 0.33 ,Greenish 3.55 ,Moisture 4.1 ,Shortage in KG= 0  ,Oil% 40.04</v>
      </c>
      <c r="BP370" s="19">
        <f t="shared" si="258"/>
        <v>6598.3902111967818</v>
      </c>
      <c r="BX370" s="27">
        <v>40.049999999999997</v>
      </c>
      <c r="BY370" s="27">
        <v>40.04</v>
      </c>
    </row>
    <row r="371" spans="1:77" s="26" customFormat="1" ht="14.25" hidden="1" x14ac:dyDescent="0.3">
      <c r="A371" s="128" t="s">
        <v>751</v>
      </c>
      <c r="B371" s="166">
        <v>46134</v>
      </c>
      <c r="C371" s="187">
        <v>354</v>
      </c>
      <c r="D371" s="163" t="s">
        <v>824</v>
      </c>
      <c r="E371" s="166">
        <v>46138</v>
      </c>
      <c r="F371" s="163" t="s">
        <v>98</v>
      </c>
      <c r="G371" s="163" t="s">
        <v>99</v>
      </c>
      <c r="H371" s="163" t="s">
        <v>100</v>
      </c>
      <c r="I371" s="136"/>
      <c r="J371" s="128" t="s">
        <v>113</v>
      </c>
      <c r="K371" s="128">
        <v>0</v>
      </c>
      <c r="L371" s="130">
        <v>46134</v>
      </c>
      <c r="M371" s="136"/>
      <c r="N371" s="128">
        <v>80</v>
      </c>
      <c r="O371" s="130">
        <v>46135</v>
      </c>
      <c r="P371" s="128">
        <v>0</v>
      </c>
      <c r="Q371" s="128">
        <v>400</v>
      </c>
      <c r="R371" s="128">
        <v>55</v>
      </c>
      <c r="S371" s="128">
        <v>455</v>
      </c>
      <c r="T371" s="128">
        <v>455</v>
      </c>
      <c r="U371" s="128">
        <v>0</v>
      </c>
      <c r="V371" s="128">
        <v>0</v>
      </c>
      <c r="W371" s="169">
        <v>273</v>
      </c>
      <c r="X371" s="169">
        <v>275.8</v>
      </c>
      <c r="Y371" s="169">
        <v>1872323.18</v>
      </c>
      <c r="Z371" s="165"/>
      <c r="AA371" s="169">
        <v>46808.08</v>
      </c>
      <c r="AB371" s="169">
        <v>46808.08</v>
      </c>
      <c r="AC371" s="128">
        <v>1965939.34</v>
      </c>
      <c r="AD371" s="143">
        <f t="shared" si="243"/>
        <v>1963973.40066</v>
      </c>
      <c r="AE371" s="147">
        <v>40.049999999999997</v>
      </c>
      <c r="AF371" s="169">
        <v>39.39</v>
      </c>
      <c r="AG371" s="147">
        <v>40.200000000000003</v>
      </c>
      <c r="AH371" s="170">
        <v>3.0999999999999999E-3</v>
      </c>
      <c r="AI371" s="170">
        <v>3.6299999999999999E-2</v>
      </c>
      <c r="AJ371" s="170">
        <v>4.2999999999999997E-2</v>
      </c>
      <c r="AK371" s="137">
        <f t="shared" si="259"/>
        <v>0</v>
      </c>
      <c r="AL371" s="136">
        <f>455*0.5</f>
        <v>227.5</v>
      </c>
      <c r="AM371" s="136"/>
      <c r="AN371" s="165">
        <v>0</v>
      </c>
      <c r="AO371" s="140">
        <f t="shared" si="260"/>
        <v>3566.3298666666665</v>
      </c>
      <c r="AP371" s="136"/>
      <c r="AQ371" s="137">
        <v>0</v>
      </c>
      <c r="AR371" s="155">
        <f t="shared" si="261"/>
        <v>3793.8298666666665</v>
      </c>
      <c r="AS371" s="155">
        <f t="shared" si="262"/>
        <v>3984</v>
      </c>
      <c r="AT371" s="137">
        <v>52</v>
      </c>
      <c r="AU371" s="136"/>
      <c r="AV371" s="136"/>
      <c r="AW371" s="137">
        <f t="shared" si="248"/>
        <v>27300</v>
      </c>
      <c r="AX371" s="136"/>
      <c r="AY371" s="137">
        <f t="shared" si="249"/>
        <v>27300</v>
      </c>
      <c r="AZ371" s="137">
        <f t="shared" si="250"/>
        <v>27580</v>
      </c>
      <c r="BA371" s="142">
        <f t="shared" si="251"/>
        <v>-280</v>
      </c>
      <c r="BB371" s="137"/>
      <c r="BC371" s="137">
        <v>0</v>
      </c>
      <c r="BD371" s="136"/>
      <c r="BE371" s="128">
        <v>276.39999999999998</v>
      </c>
      <c r="BF371" s="143">
        <f t="shared" si="252"/>
        <v>0.41459999999999991</v>
      </c>
      <c r="BG371" s="143">
        <f t="shared" si="253"/>
        <v>275.98539999999997</v>
      </c>
      <c r="BH371" s="143">
        <f t="shared" si="254"/>
        <v>275.8</v>
      </c>
      <c r="BI371" s="144">
        <f t="shared" si="255"/>
        <v>59.999999999996589</v>
      </c>
      <c r="BJ371" s="144">
        <v>0</v>
      </c>
      <c r="BK371" s="137">
        <f t="shared" si="256"/>
        <v>59.999999999996589</v>
      </c>
      <c r="BL371" s="18"/>
      <c r="BM371" s="25" t="str">
        <f t="shared" si="257"/>
        <v>Unloading no. 354 Bill No 80 ,Deduction For Oil Deduction= 0 ,Bardana= 227.5 ,F.M=  Brokerage/Rate Difference 0 ,Shortage = 3566.32986666667 ,Greenish=  ,Moisture= 0</v>
      </c>
      <c r="BN371" s="17"/>
      <c r="BO371" s="13" t="str">
        <f t="shared" si="219"/>
        <v xml:space="preserve"> Party Condition 39.39  ,F.M% 0.31 ,Greenish 3.63 ,Moisture 4.3 ,Shortage in KG= 52  ,Oil% 40.05</v>
      </c>
      <c r="BP371" s="19">
        <f t="shared" si="258"/>
        <v>6774.9432564660383</v>
      </c>
      <c r="BX371" s="27">
        <v>40.049999999999997</v>
      </c>
      <c r="BY371" s="27">
        <v>40.200000000000003</v>
      </c>
    </row>
    <row r="372" spans="1:77" s="26" customFormat="1" ht="14.25" hidden="1" x14ac:dyDescent="0.3">
      <c r="A372" s="128" t="s">
        <v>752</v>
      </c>
      <c r="B372" s="166">
        <v>46135</v>
      </c>
      <c r="C372" s="190">
        <v>355</v>
      </c>
      <c r="D372" s="163" t="s">
        <v>825</v>
      </c>
      <c r="E372" s="166">
        <v>46138</v>
      </c>
      <c r="F372" s="163" t="s">
        <v>95</v>
      </c>
      <c r="G372" s="163" t="s">
        <v>96</v>
      </c>
      <c r="H372" s="163" t="s">
        <v>97</v>
      </c>
      <c r="I372" s="136"/>
      <c r="J372" s="128" t="s">
        <v>113</v>
      </c>
      <c r="K372" s="128">
        <v>0</v>
      </c>
      <c r="L372" s="130">
        <v>46135</v>
      </c>
      <c r="M372" s="136"/>
      <c r="N372" s="128">
        <v>119</v>
      </c>
      <c r="O372" s="130">
        <v>46135</v>
      </c>
      <c r="P372" s="128">
        <v>0</v>
      </c>
      <c r="Q372" s="128">
        <v>265</v>
      </c>
      <c r="R372" s="128">
        <v>0</v>
      </c>
      <c r="S372" s="128">
        <v>265</v>
      </c>
      <c r="T372" s="128">
        <v>265</v>
      </c>
      <c r="U372" s="128">
        <v>0</v>
      </c>
      <c r="V372" s="128">
        <v>0</v>
      </c>
      <c r="W372" s="169">
        <v>159</v>
      </c>
      <c r="X372" s="169">
        <v>301.5</v>
      </c>
      <c r="Y372" s="169">
        <v>1091433.24</v>
      </c>
      <c r="Z372" s="165"/>
      <c r="AA372" s="169">
        <v>27285.83</v>
      </c>
      <c r="AB372" s="169">
        <v>27285.83</v>
      </c>
      <c r="AC372" s="128">
        <v>1146004.8999999999</v>
      </c>
      <c r="AD372" s="143">
        <f t="shared" si="243"/>
        <v>1144858.8950999998</v>
      </c>
      <c r="AE372" s="147">
        <v>39.700000000000003</v>
      </c>
      <c r="AF372" s="169">
        <v>40.08</v>
      </c>
      <c r="AG372" s="147">
        <v>39.97</v>
      </c>
      <c r="AH372" s="170">
        <v>2.8E-3</v>
      </c>
      <c r="AI372" s="170">
        <v>3.5000000000000003E-2</v>
      </c>
      <c r="AJ372" s="170">
        <v>4.7E-2</v>
      </c>
      <c r="AK372" s="137">
        <f t="shared" si="259"/>
        <v>10347.919940119637</v>
      </c>
      <c r="AL372" s="136">
        <v>0</v>
      </c>
      <c r="AM372" s="136"/>
      <c r="AN372" s="165">
        <v>0</v>
      </c>
      <c r="AO372" s="140">
        <f t="shared" si="260"/>
        <v>0</v>
      </c>
      <c r="AP372" s="136"/>
      <c r="AQ372" s="137">
        <v>0</v>
      </c>
      <c r="AR372" s="155">
        <f t="shared" si="261"/>
        <v>10347.919940119637</v>
      </c>
      <c r="AS372" s="155">
        <f t="shared" si="262"/>
        <v>10865</v>
      </c>
      <c r="AT372" s="137">
        <v>0</v>
      </c>
      <c r="AU372" s="136" t="s">
        <v>664</v>
      </c>
      <c r="AV372" s="136"/>
      <c r="AW372" s="137">
        <f t="shared" si="248"/>
        <v>15900</v>
      </c>
      <c r="AX372" s="136"/>
      <c r="AY372" s="137">
        <f t="shared" si="249"/>
        <v>15900</v>
      </c>
      <c r="AZ372" s="137">
        <f t="shared" si="250"/>
        <v>30150</v>
      </c>
      <c r="BA372" s="142">
        <f t="shared" si="251"/>
        <v>-14250</v>
      </c>
      <c r="BB372" s="137"/>
      <c r="BC372" s="137">
        <v>0</v>
      </c>
      <c r="BD372" s="136"/>
      <c r="BE372" s="128">
        <v>302.10000000000002</v>
      </c>
      <c r="BF372" s="143">
        <f t="shared" si="252"/>
        <v>0.45315000000000005</v>
      </c>
      <c r="BG372" s="143">
        <f t="shared" si="253"/>
        <v>301.64685000000003</v>
      </c>
      <c r="BH372" s="143">
        <f t="shared" si="254"/>
        <v>301.5</v>
      </c>
      <c r="BI372" s="144">
        <f t="shared" si="255"/>
        <v>60.000000000002274</v>
      </c>
      <c r="BJ372" s="144">
        <v>0</v>
      </c>
      <c r="BK372" s="137">
        <f t="shared" si="256"/>
        <v>60.000000000002274</v>
      </c>
      <c r="BL372" s="18"/>
      <c r="BM372" s="25" t="str">
        <f t="shared" si="257"/>
        <v>Unloading no. 355 Bill No 119 ,Deduction For Oil Deduction= 10347.9199401196 ,Bardana= 0 ,F.M=  Brokerage/Rate Difference 0 ,Shortage = 0 ,Greenish=  ,Moisture= 0</v>
      </c>
      <c r="BN372" s="17"/>
      <c r="BO372" s="13" t="str">
        <f t="shared" si="219"/>
        <v xml:space="preserve"> Party Condition 40.08  ,F.M% 0.28 ,Greenish 3.5 ,Moisture 4.7 ,Shortage in KG= 0  ,Oil% 39.7</v>
      </c>
      <c r="BP372" s="19">
        <f t="shared" si="258"/>
        <v>3585.6892870974475</v>
      </c>
      <c r="BX372" s="27">
        <v>39.700000000000003</v>
      </c>
      <c r="BY372" s="27">
        <v>39.97</v>
      </c>
    </row>
    <row r="373" spans="1:77" s="26" customFormat="1" ht="14.25" hidden="1" x14ac:dyDescent="0.3">
      <c r="A373" s="163" t="s">
        <v>672</v>
      </c>
      <c r="B373" s="130">
        <v>46134</v>
      </c>
      <c r="C373" s="190">
        <v>355</v>
      </c>
      <c r="D373" s="128" t="s">
        <v>825</v>
      </c>
      <c r="E373" s="130">
        <v>46138</v>
      </c>
      <c r="F373" s="128" t="s">
        <v>95</v>
      </c>
      <c r="G373" s="128" t="s">
        <v>96</v>
      </c>
      <c r="H373" s="128" t="s">
        <v>97</v>
      </c>
      <c r="I373" s="136"/>
      <c r="J373" s="128" t="s">
        <v>113</v>
      </c>
      <c r="K373" s="128">
        <v>0</v>
      </c>
      <c r="L373" s="130">
        <v>46134</v>
      </c>
      <c r="M373" s="136"/>
      <c r="N373" s="128">
        <v>119</v>
      </c>
      <c r="O373" s="130">
        <v>46135</v>
      </c>
      <c r="P373" s="128">
        <v>0</v>
      </c>
      <c r="Q373" s="128">
        <v>115</v>
      </c>
      <c r="R373" s="128">
        <v>117</v>
      </c>
      <c r="S373" s="128">
        <v>232</v>
      </c>
      <c r="T373" s="128">
        <v>232</v>
      </c>
      <c r="U373" s="128">
        <v>0</v>
      </c>
      <c r="V373" s="128">
        <v>0</v>
      </c>
      <c r="W373" s="169">
        <v>139.19999999999999</v>
      </c>
      <c r="X373" s="169">
        <v>301.5</v>
      </c>
      <c r="Y373" s="169">
        <v>977614.75</v>
      </c>
      <c r="Z373" s="165"/>
      <c r="AA373" s="169">
        <v>24440.37</v>
      </c>
      <c r="AB373" s="169">
        <v>24440.37</v>
      </c>
      <c r="AC373" s="128">
        <v>1026495.49</v>
      </c>
      <c r="AD373" s="143">
        <f t="shared" si="243"/>
        <v>1025468.99451</v>
      </c>
      <c r="AE373" s="147">
        <v>39.700000000000003</v>
      </c>
      <c r="AF373" s="169">
        <v>40.090000000000003</v>
      </c>
      <c r="AG373" s="147">
        <v>39.97</v>
      </c>
      <c r="AH373" s="170">
        <v>2.8E-3</v>
      </c>
      <c r="AI373" s="170">
        <v>3.5000000000000003E-2</v>
      </c>
      <c r="AJ373" s="170">
        <v>4.7E-2</v>
      </c>
      <c r="AK373" s="137">
        <f t="shared" si="259"/>
        <v>9510.3455350461591</v>
      </c>
      <c r="AL373" s="136">
        <v>0</v>
      </c>
      <c r="AM373" s="136"/>
      <c r="AN373" s="165">
        <v>0</v>
      </c>
      <c r="AO373" s="140">
        <f t="shared" si="260"/>
        <v>0</v>
      </c>
      <c r="AP373" s="136"/>
      <c r="AQ373" s="137">
        <v>0</v>
      </c>
      <c r="AR373" s="155">
        <f t="shared" si="261"/>
        <v>9510.3455350461591</v>
      </c>
      <c r="AS373" s="155">
        <f t="shared" si="262"/>
        <v>9986</v>
      </c>
      <c r="AT373" s="137">
        <v>0</v>
      </c>
      <c r="AU373" s="136" t="s">
        <v>664</v>
      </c>
      <c r="AV373" s="136"/>
      <c r="AW373" s="137">
        <f t="shared" si="248"/>
        <v>13919.999999999998</v>
      </c>
      <c r="AX373" s="136"/>
      <c r="AY373" s="137">
        <f t="shared" si="249"/>
        <v>13919.999999999998</v>
      </c>
      <c r="AZ373" s="137">
        <f t="shared" si="250"/>
        <v>30150</v>
      </c>
      <c r="BA373" s="142">
        <f t="shared" si="251"/>
        <v>-16230.000000000002</v>
      </c>
      <c r="BB373" s="137"/>
      <c r="BC373" s="137">
        <v>0</v>
      </c>
      <c r="BD373" s="136"/>
      <c r="BE373" s="128">
        <v>302.10000000000002</v>
      </c>
      <c r="BF373" s="143">
        <f t="shared" si="252"/>
        <v>0.45315000000000005</v>
      </c>
      <c r="BG373" s="143">
        <f t="shared" si="253"/>
        <v>301.64685000000003</v>
      </c>
      <c r="BH373" s="143">
        <f t="shared" si="254"/>
        <v>301.5</v>
      </c>
      <c r="BI373" s="144">
        <f t="shared" si="255"/>
        <v>60.000000000002274</v>
      </c>
      <c r="BJ373" s="144">
        <v>0</v>
      </c>
      <c r="BK373" s="137">
        <f t="shared" si="256"/>
        <v>60.000000000002274</v>
      </c>
      <c r="BL373" s="18"/>
      <c r="BM373" s="25" t="str">
        <f t="shared" si="257"/>
        <v>Unloading no. 355 Bill No 119 ,Deduction For Oil Deduction= 9510.34553504616 ,Bardana= 0 ,F.M=  Brokerage/Rate Difference 0 ,Shortage = 0 ,Greenish=  ,Moisture= 0</v>
      </c>
      <c r="BN373" s="17"/>
      <c r="BO373" s="13" t="str">
        <f t="shared" si="219"/>
        <v xml:space="preserve"> Party Condition 40.09  ,F.M% 0.28 ,Greenish 3.5 ,Moisture 4.7 ,Shortage in KG= 0  ,Oil% 39.7</v>
      </c>
      <c r="BP373" s="19">
        <f t="shared" si="258"/>
        <v>3210.9598821391501</v>
      </c>
      <c r="BX373" s="27">
        <v>39.700000000000003</v>
      </c>
      <c r="BY373" s="27">
        <v>39.97</v>
      </c>
    </row>
    <row r="374" spans="1:77" s="26" customFormat="1" ht="14.25" hidden="1" x14ac:dyDescent="0.3">
      <c r="A374" s="163" t="s">
        <v>685</v>
      </c>
      <c r="B374" s="130">
        <v>46134</v>
      </c>
      <c r="C374" s="138">
        <v>356</v>
      </c>
      <c r="D374" s="128" t="s">
        <v>826</v>
      </c>
      <c r="E374" s="130">
        <v>46138</v>
      </c>
      <c r="F374" s="128" t="s">
        <v>101</v>
      </c>
      <c r="G374" s="128" t="s">
        <v>102</v>
      </c>
      <c r="H374" s="128" t="s">
        <v>103</v>
      </c>
      <c r="I374" s="136"/>
      <c r="J374" s="128" t="s">
        <v>113</v>
      </c>
      <c r="K374" s="128">
        <v>0</v>
      </c>
      <c r="L374" s="130">
        <v>46134</v>
      </c>
      <c r="M374" s="136"/>
      <c r="N374" s="128" t="s">
        <v>788</v>
      </c>
      <c r="O374" s="130">
        <v>46135</v>
      </c>
      <c r="P374" s="128">
        <v>0</v>
      </c>
      <c r="Q374" s="128">
        <v>550</v>
      </c>
      <c r="R374" s="128">
        <v>151</v>
      </c>
      <c r="S374" s="128">
        <v>701</v>
      </c>
      <c r="T374" s="128">
        <v>701</v>
      </c>
      <c r="U374" s="128">
        <v>0</v>
      </c>
      <c r="V374" s="128">
        <v>0</v>
      </c>
      <c r="W374" s="169">
        <v>420.6</v>
      </c>
      <c r="X374" s="169">
        <v>427.7</v>
      </c>
      <c r="Y374" s="169">
        <v>2912856.89</v>
      </c>
      <c r="Z374" s="165"/>
      <c r="AA374" s="169">
        <v>72821.42</v>
      </c>
      <c r="AB374" s="169">
        <v>72821.42</v>
      </c>
      <c r="AC374" s="128">
        <v>3058499.73</v>
      </c>
      <c r="AD374" s="143">
        <f t="shared" si="243"/>
        <v>3055441.2302700002</v>
      </c>
      <c r="AE374" s="147">
        <v>39.520000000000003</v>
      </c>
      <c r="AF374" s="169">
        <v>39.799999999999997</v>
      </c>
      <c r="AG374" s="147">
        <v>39.57</v>
      </c>
      <c r="AH374" s="170">
        <v>3.5000000000000001E-3</v>
      </c>
      <c r="AI374" s="170">
        <v>3.5000000000000003E-2</v>
      </c>
      <c r="AJ374" s="170">
        <v>0.05</v>
      </c>
      <c r="AK374" s="137">
        <v>0</v>
      </c>
      <c r="AL374" s="136">
        <v>0</v>
      </c>
      <c r="AM374" s="136"/>
      <c r="AN374" s="165">
        <v>0</v>
      </c>
      <c r="AO374" s="140">
        <f t="shared" si="260"/>
        <v>0</v>
      </c>
      <c r="AP374" s="136"/>
      <c r="AQ374" s="137">
        <v>0</v>
      </c>
      <c r="AR374" s="155">
        <f t="shared" si="261"/>
        <v>0</v>
      </c>
      <c r="AS374" s="155">
        <f t="shared" si="262"/>
        <v>0</v>
      </c>
      <c r="AT374" s="137">
        <v>0</v>
      </c>
      <c r="AU374" s="136" t="s">
        <v>664</v>
      </c>
      <c r="AV374" s="136"/>
      <c r="AW374" s="137">
        <f t="shared" si="248"/>
        <v>42060</v>
      </c>
      <c r="AX374" s="136"/>
      <c r="AY374" s="137">
        <f t="shared" si="249"/>
        <v>42060</v>
      </c>
      <c r="AZ374" s="137">
        <f t="shared" si="250"/>
        <v>42770</v>
      </c>
      <c r="BA374" s="142">
        <f t="shared" si="251"/>
        <v>-710</v>
      </c>
      <c r="BB374" s="137"/>
      <c r="BC374" s="137">
        <v>0</v>
      </c>
      <c r="BD374" s="136"/>
      <c r="BE374" s="128">
        <v>426.4</v>
      </c>
      <c r="BF374" s="143">
        <f t="shared" si="252"/>
        <v>0.63959999999999995</v>
      </c>
      <c r="BG374" s="143">
        <f t="shared" si="253"/>
        <v>425.7604</v>
      </c>
      <c r="BH374" s="143">
        <f t="shared" si="254"/>
        <v>427.7</v>
      </c>
      <c r="BI374" s="144">
        <f t="shared" si="255"/>
        <v>-130.00000000000114</v>
      </c>
      <c r="BJ374" s="144">
        <v>0</v>
      </c>
      <c r="BK374" s="137">
        <f t="shared" si="256"/>
        <v>-130.00000000000114</v>
      </c>
      <c r="BL374" s="18"/>
      <c r="BM374" s="25" t="str">
        <f t="shared" si="257"/>
        <v>Unloading no. 356 Bill No L/PB/26-27/51 ,Deduction For Oil Deduction= 0 ,Bardana= 0 ,F.M=  Brokerage/Rate Difference 0 ,Shortage = 0 ,Greenish=  ,Moisture= 0</v>
      </c>
      <c r="BN374" s="17"/>
      <c r="BO374" s="13" t="str">
        <f t="shared" si="219"/>
        <v xml:space="preserve"> Party Condition 39.8  ,F.M% 0.35 ,Greenish 3.5 ,Moisture 5 ,Shortage in KG= 0  ,Oil% 39.52</v>
      </c>
      <c r="BP374" s="19">
        <f t="shared" si="258"/>
        <v>6810.5141220481655</v>
      </c>
      <c r="BX374" s="27">
        <v>39.520000000000003</v>
      </c>
      <c r="BY374" s="27">
        <v>39.57</v>
      </c>
    </row>
    <row r="375" spans="1:77" s="26" customFormat="1" ht="14.25" hidden="1" x14ac:dyDescent="0.3">
      <c r="A375" s="163" t="s">
        <v>685</v>
      </c>
      <c r="B375" s="130">
        <v>46134</v>
      </c>
      <c r="C375" s="138">
        <v>357</v>
      </c>
      <c r="D375" s="128" t="s">
        <v>827</v>
      </c>
      <c r="E375" s="130">
        <v>46138</v>
      </c>
      <c r="F375" s="128" t="s">
        <v>101</v>
      </c>
      <c r="G375" s="128" t="s">
        <v>102</v>
      </c>
      <c r="H375" s="128" t="s">
        <v>103</v>
      </c>
      <c r="I375" s="136"/>
      <c r="J375" s="128" t="s">
        <v>113</v>
      </c>
      <c r="K375" s="128">
        <v>0</v>
      </c>
      <c r="L375" s="130">
        <v>46134</v>
      </c>
      <c r="M375" s="136"/>
      <c r="N375" s="128" t="s">
        <v>789</v>
      </c>
      <c r="O375" s="130">
        <v>46135</v>
      </c>
      <c r="P375" s="128">
        <v>0</v>
      </c>
      <c r="Q375" s="128">
        <v>300</v>
      </c>
      <c r="R375" s="128">
        <v>302</v>
      </c>
      <c r="S375" s="128">
        <v>602</v>
      </c>
      <c r="T375" s="128">
        <v>602</v>
      </c>
      <c r="U375" s="128">
        <v>0</v>
      </c>
      <c r="V375" s="128">
        <v>0</v>
      </c>
      <c r="W375" s="169">
        <v>361.2</v>
      </c>
      <c r="X375" s="169">
        <v>366.1</v>
      </c>
      <c r="Y375" s="169">
        <v>2501483.38</v>
      </c>
      <c r="Z375" s="165"/>
      <c r="AA375" s="169">
        <v>62537.08</v>
      </c>
      <c r="AB375" s="169">
        <v>62537.08</v>
      </c>
      <c r="AC375" s="128">
        <v>2626557.5499999998</v>
      </c>
      <c r="AD375" s="143">
        <f t="shared" si="243"/>
        <v>2623930.9924499998</v>
      </c>
      <c r="AE375" s="147">
        <v>39.520000000000003</v>
      </c>
      <c r="AF375" s="169">
        <v>39.799999999999997</v>
      </c>
      <c r="AG375" s="147">
        <v>39.479999999999997</v>
      </c>
      <c r="AH375" s="170">
        <v>3.5000000000000001E-3</v>
      </c>
      <c r="AI375" s="170">
        <v>3.5999999999999997E-2</v>
      </c>
      <c r="AJ375" s="170">
        <v>4.7E-2</v>
      </c>
      <c r="AK375" s="137">
        <f t="shared" si="259"/>
        <v>20112.429185929668</v>
      </c>
      <c r="AL375" s="136">
        <v>0</v>
      </c>
      <c r="AM375" s="136"/>
      <c r="AN375" s="165">
        <v>0</v>
      </c>
      <c r="AO375" s="140">
        <f t="shared" si="260"/>
        <v>0</v>
      </c>
      <c r="AP375" s="136"/>
      <c r="AQ375" s="137">
        <v>0</v>
      </c>
      <c r="AR375" s="155">
        <f t="shared" si="261"/>
        <v>20112.429185929668</v>
      </c>
      <c r="AS375" s="155">
        <f t="shared" si="262"/>
        <v>21118</v>
      </c>
      <c r="AT375" s="137">
        <v>0</v>
      </c>
      <c r="AU375" s="136" t="s">
        <v>664</v>
      </c>
      <c r="AV375" s="136"/>
      <c r="AW375" s="137">
        <f t="shared" si="248"/>
        <v>36120</v>
      </c>
      <c r="AX375" s="136"/>
      <c r="AY375" s="137">
        <f t="shared" si="249"/>
        <v>36120</v>
      </c>
      <c r="AZ375" s="137">
        <f t="shared" si="250"/>
        <v>36610</v>
      </c>
      <c r="BA375" s="142">
        <f t="shared" si="251"/>
        <v>-490</v>
      </c>
      <c r="BB375" s="137"/>
      <c r="BC375" s="137">
        <v>0</v>
      </c>
      <c r="BD375" s="136"/>
      <c r="BE375" s="128">
        <v>366.1</v>
      </c>
      <c r="BF375" s="143">
        <f t="shared" si="252"/>
        <v>0.54915000000000003</v>
      </c>
      <c r="BG375" s="143">
        <f t="shared" si="253"/>
        <v>365.55085000000003</v>
      </c>
      <c r="BH375" s="143">
        <f t="shared" si="254"/>
        <v>366.1</v>
      </c>
      <c r="BI375" s="144">
        <f t="shared" si="255"/>
        <v>0</v>
      </c>
      <c r="BJ375" s="144">
        <v>0</v>
      </c>
      <c r="BK375" s="137">
        <f t="shared" si="256"/>
        <v>0</v>
      </c>
      <c r="BL375" s="18"/>
      <c r="BM375" s="25" t="str">
        <f t="shared" si="257"/>
        <v>Unloading no. 357 Bill No L/PB/26-27/50 ,Deduction For Oil Deduction= 20112.4291859297 ,Bardana= 0 ,F.M=  Brokerage/Rate Difference 0 ,Shortage = 0 ,Greenish=  ,Moisture= 0</v>
      </c>
      <c r="BN375" s="17"/>
      <c r="BO375" s="13" t="str">
        <f t="shared" si="219"/>
        <v xml:space="preserve"> Party Condition 39.8  ,F.M% 0.35 ,Greenish 3.6 ,Moisture 4.7 ,Shortage in KG= 0  ,Oil% 39.48</v>
      </c>
      <c r="BP375" s="19">
        <f t="shared" si="258"/>
        <v>6777.8501797707459</v>
      </c>
      <c r="BX375" s="27">
        <v>39.520000000000003</v>
      </c>
      <c r="BY375" s="27">
        <v>39.479999999999997</v>
      </c>
    </row>
    <row r="376" spans="1:77" s="26" customFormat="1" ht="18.75" hidden="1" customHeight="1" x14ac:dyDescent="0.3">
      <c r="A376" s="163" t="s">
        <v>753</v>
      </c>
      <c r="B376" s="130">
        <v>46134</v>
      </c>
      <c r="C376" s="138">
        <v>358</v>
      </c>
      <c r="D376" s="128" t="s">
        <v>828</v>
      </c>
      <c r="E376" s="130">
        <v>46138</v>
      </c>
      <c r="F376" s="128" t="s">
        <v>104</v>
      </c>
      <c r="G376" s="128" t="s">
        <v>105</v>
      </c>
      <c r="H376" s="128" t="s">
        <v>106</v>
      </c>
      <c r="I376" s="136"/>
      <c r="J376" s="128" t="s">
        <v>113</v>
      </c>
      <c r="K376" s="128">
        <v>0</v>
      </c>
      <c r="L376" s="130">
        <v>46134</v>
      </c>
      <c r="M376" s="136"/>
      <c r="N376" s="128" t="s">
        <v>790</v>
      </c>
      <c r="O376" s="130">
        <v>46135</v>
      </c>
      <c r="P376" s="128">
        <v>0</v>
      </c>
      <c r="Q376" s="128">
        <v>600</v>
      </c>
      <c r="R376" s="128">
        <v>179</v>
      </c>
      <c r="S376" s="128">
        <v>779</v>
      </c>
      <c r="T376" s="128">
        <v>779</v>
      </c>
      <c r="U376" s="128">
        <v>0</v>
      </c>
      <c r="V376" s="128">
        <v>0</v>
      </c>
      <c r="W376" s="169">
        <v>389.5</v>
      </c>
      <c r="X376" s="169">
        <v>396.2</v>
      </c>
      <c r="Y376" s="169">
        <v>2653433.7000000002</v>
      </c>
      <c r="Z376" s="165"/>
      <c r="AA376" s="169">
        <v>66335.839999999997</v>
      </c>
      <c r="AB376" s="169">
        <v>66335.839999999997</v>
      </c>
      <c r="AC376" s="128">
        <v>2786105.39</v>
      </c>
      <c r="AD376" s="143">
        <f t="shared" si="243"/>
        <v>2783319.28461</v>
      </c>
      <c r="AE376" s="147">
        <v>39.880000000000003</v>
      </c>
      <c r="AF376" s="169">
        <v>39.299999999999997</v>
      </c>
      <c r="AG376" s="147">
        <v>39.85</v>
      </c>
      <c r="AH376" s="170">
        <v>3.3E-3</v>
      </c>
      <c r="AI376" s="170">
        <v>3.95E-2</v>
      </c>
      <c r="AJ376" s="170">
        <v>4.9000000000000002E-2</v>
      </c>
      <c r="AK376" s="137">
        <f t="shared" si="259"/>
        <v>0</v>
      </c>
      <c r="AL376" s="136">
        <f>779*2</f>
        <v>1558</v>
      </c>
      <c r="AM376" s="136"/>
      <c r="AN376" s="165">
        <v>0</v>
      </c>
      <c r="AO376" s="140">
        <f t="shared" si="260"/>
        <v>0</v>
      </c>
      <c r="AP376" s="136"/>
      <c r="AQ376" s="137">
        <v>0</v>
      </c>
      <c r="AR376" s="155">
        <f t="shared" si="261"/>
        <v>1558</v>
      </c>
      <c r="AS376" s="155">
        <f t="shared" si="262"/>
        <v>1636</v>
      </c>
      <c r="AT376" s="137">
        <v>0</v>
      </c>
      <c r="AU376" s="136"/>
      <c r="AV376" s="136"/>
      <c r="AW376" s="137">
        <f t="shared" si="248"/>
        <v>38950</v>
      </c>
      <c r="AX376" s="136"/>
      <c r="AY376" s="137">
        <f t="shared" si="249"/>
        <v>38950</v>
      </c>
      <c r="AZ376" s="137">
        <f t="shared" si="250"/>
        <v>39620</v>
      </c>
      <c r="BA376" s="142">
        <f t="shared" si="251"/>
        <v>-670</v>
      </c>
      <c r="BB376" s="137"/>
      <c r="BC376" s="137">
        <v>0</v>
      </c>
      <c r="BD376" s="136"/>
      <c r="BE376" s="128">
        <v>396.1</v>
      </c>
      <c r="BF376" s="143">
        <f t="shared" si="252"/>
        <v>0.59414999999999996</v>
      </c>
      <c r="BG376" s="143">
        <f t="shared" si="253"/>
        <v>395.50585000000001</v>
      </c>
      <c r="BH376" s="143">
        <f t="shared" si="254"/>
        <v>396.2</v>
      </c>
      <c r="BI376" s="144">
        <f t="shared" si="255"/>
        <v>-9.9999999999965894</v>
      </c>
      <c r="BJ376" s="144">
        <v>0</v>
      </c>
      <c r="BK376" s="137">
        <f t="shared" si="256"/>
        <v>-9.9999999999965894</v>
      </c>
      <c r="BL376" s="18"/>
      <c r="BM376" s="25" t="str">
        <f t="shared" si="257"/>
        <v>Unloading no. 358 Bill No MTC/2026-27/0101 ,Deduction For Oil Deduction= 0 ,Bardana= 1558 ,F.M=  Brokerage/Rate Difference 0 ,Shortage = 0 ,Greenish=  ,Moisture= 0</v>
      </c>
      <c r="BN376" s="17"/>
      <c r="BO376" s="13" t="str">
        <f t="shared" si="219"/>
        <v xml:space="preserve"> Party Condition 39.3  ,F.M% 0.33 ,Greenish 3.95 ,Moisture 4.9 ,Shortage in KG= 0  ,Oil% 39.85</v>
      </c>
      <c r="BP376" s="19">
        <f t="shared" si="258"/>
        <v>6693.2753659767804</v>
      </c>
      <c r="BX376" s="27">
        <v>39.880000000000003</v>
      </c>
      <c r="BY376" s="27">
        <v>39.85</v>
      </c>
    </row>
    <row r="377" spans="1:77" s="26" customFormat="1" ht="14.25" hidden="1" x14ac:dyDescent="0.3">
      <c r="A377" s="163" t="s">
        <v>685</v>
      </c>
      <c r="B377" s="130">
        <v>46134</v>
      </c>
      <c r="C377" s="138">
        <v>359</v>
      </c>
      <c r="D377" s="128" t="s">
        <v>829</v>
      </c>
      <c r="E377" s="130">
        <v>46138</v>
      </c>
      <c r="F377" s="128" t="s">
        <v>101</v>
      </c>
      <c r="G377" s="128" t="s">
        <v>102</v>
      </c>
      <c r="H377" s="128" t="s">
        <v>103</v>
      </c>
      <c r="I377" s="136"/>
      <c r="J377" s="128" t="s">
        <v>113</v>
      </c>
      <c r="K377" s="128">
        <v>0</v>
      </c>
      <c r="L377" s="130">
        <v>46134</v>
      </c>
      <c r="M377" s="136"/>
      <c r="N377" s="128" t="s">
        <v>791</v>
      </c>
      <c r="O377" s="130">
        <v>46135</v>
      </c>
      <c r="P377" s="128">
        <v>0</v>
      </c>
      <c r="Q377" s="128">
        <v>510</v>
      </c>
      <c r="R377" s="128">
        <v>96</v>
      </c>
      <c r="S377" s="128">
        <v>606</v>
      </c>
      <c r="T377" s="128">
        <v>606</v>
      </c>
      <c r="U377" s="128">
        <v>0</v>
      </c>
      <c r="V377" s="128">
        <v>0</v>
      </c>
      <c r="W377" s="169">
        <v>363.6</v>
      </c>
      <c r="X377" s="169">
        <v>366.7</v>
      </c>
      <c r="Y377" s="169">
        <v>2518104.5299999998</v>
      </c>
      <c r="Z377" s="165"/>
      <c r="AA377" s="169">
        <v>62952.61</v>
      </c>
      <c r="AB377" s="169">
        <v>62952.61</v>
      </c>
      <c r="AC377" s="128">
        <v>2644009.7599999998</v>
      </c>
      <c r="AD377" s="143">
        <f t="shared" si="243"/>
        <v>2641365.75024</v>
      </c>
      <c r="AE377" s="147">
        <v>39.5</v>
      </c>
      <c r="AF377" s="169">
        <v>39.799999999999997</v>
      </c>
      <c r="AG377" s="147">
        <v>39.54</v>
      </c>
      <c r="AH377" s="170">
        <v>3.8E-3</v>
      </c>
      <c r="AI377" s="170">
        <v>3.7199999999999997E-2</v>
      </c>
      <c r="AJ377" s="170">
        <v>4.8000000000000001E-2</v>
      </c>
      <c r="AK377" s="137">
        <v>0</v>
      </c>
      <c r="AL377" s="136">
        <v>0</v>
      </c>
      <c r="AM377" s="136"/>
      <c r="AN377" s="165">
        <v>0</v>
      </c>
      <c r="AO377" s="140">
        <f t="shared" si="260"/>
        <v>6025.167604785478</v>
      </c>
      <c r="AP377" s="136"/>
      <c r="AQ377" s="137">
        <v>0</v>
      </c>
      <c r="AR377" s="155">
        <f t="shared" si="261"/>
        <v>6025.167604785478</v>
      </c>
      <c r="AS377" s="155">
        <f t="shared" si="262"/>
        <v>6326</v>
      </c>
      <c r="AT377" s="137">
        <v>87</v>
      </c>
      <c r="AU377" s="136" t="s">
        <v>664</v>
      </c>
      <c r="AV377" s="136"/>
      <c r="AW377" s="137">
        <f t="shared" si="248"/>
        <v>36360</v>
      </c>
      <c r="AX377" s="136"/>
      <c r="AY377" s="137">
        <f t="shared" si="249"/>
        <v>36360</v>
      </c>
      <c r="AZ377" s="137">
        <f t="shared" si="250"/>
        <v>36670</v>
      </c>
      <c r="BA377" s="142">
        <f t="shared" si="251"/>
        <v>-310</v>
      </c>
      <c r="BB377" s="137"/>
      <c r="BC377" s="137">
        <v>0</v>
      </c>
      <c r="BD377" s="136"/>
      <c r="BE377" s="128">
        <v>367.5</v>
      </c>
      <c r="BF377" s="143">
        <f t="shared" si="252"/>
        <v>0.55125000000000002</v>
      </c>
      <c r="BG377" s="143">
        <f t="shared" si="253"/>
        <v>366.94875000000002</v>
      </c>
      <c r="BH377" s="143">
        <f t="shared" si="254"/>
        <v>366.7</v>
      </c>
      <c r="BI377" s="144">
        <f t="shared" si="255"/>
        <v>80.000000000001137</v>
      </c>
      <c r="BJ377" s="144">
        <v>0</v>
      </c>
      <c r="BK377" s="137">
        <f t="shared" si="256"/>
        <v>80.000000000001137</v>
      </c>
      <c r="BL377" s="18"/>
      <c r="BM377" s="25" t="str">
        <f t="shared" si="257"/>
        <v>Unloading no. 359 Bill No L/PB/26-27/54 ,Deduction For Oil Deduction= 0 ,Bardana= 0 ,F.M=  Brokerage/Rate Difference 0 ,Shortage = 6025.16760478548 ,Greenish=  ,Moisture= 0</v>
      </c>
      <c r="BN377" s="17"/>
      <c r="BO377" s="13" t="str">
        <f t="shared" si="219"/>
        <v xml:space="preserve"> Party Condition 39.8  ,F.M% 0.38 ,Greenish 3.72 ,Moisture 4.8 ,Shortage in KG= 87  ,Oil% 39.5</v>
      </c>
      <c r="BP377" s="19">
        <f t="shared" si="258"/>
        <v>6850.5027608268738</v>
      </c>
      <c r="BX377" s="27">
        <v>39.5</v>
      </c>
      <c r="BY377" s="27">
        <v>39.54</v>
      </c>
    </row>
    <row r="378" spans="1:77" s="26" customFormat="1" ht="14.25" hidden="1" x14ac:dyDescent="0.3">
      <c r="A378" s="163" t="s">
        <v>685</v>
      </c>
      <c r="B378" s="130">
        <v>46134</v>
      </c>
      <c r="C378" s="138">
        <v>360</v>
      </c>
      <c r="D378" s="128" t="s">
        <v>830</v>
      </c>
      <c r="E378" s="130">
        <v>46138</v>
      </c>
      <c r="F378" s="128" t="s">
        <v>101</v>
      </c>
      <c r="G378" s="128" t="s">
        <v>102</v>
      </c>
      <c r="H378" s="128" t="s">
        <v>103</v>
      </c>
      <c r="I378" s="136"/>
      <c r="J378" s="128" t="s">
        <v>113</v>
      </c>
      <c r="K378" s="128">
        <v>0</v>
      </c>
      <c r="L378" s="130">
        <v>46134</v>
      </c>
      <c r="M378" s="136"/>
      <c r="N378" s="128" t="s">
        <v>792</v>
      </c>
      <c r="O378" s="130">
        <v>46135</v>
      </c>
      <c r="P378" s="128">
        <v>0</v>
      </c>
      <c r="Q378" s="128">
        <v>330</v>
      </c>
      <c r="R378" s="128">
        <v>351</v>
      </c>
      <c r="S378" s="128">
        <v>681</v>
      </c>
      <c r="T378" s="128">
        <v>681</v>
      </c>
      <c r="U378" s="128">
        <v>0</v>
      </c>
      <c r="V378" s="128">
        <v>0</v>
      </c>
      <c r="W378" s="169">
        <v>408.6</v>
      </c>
      <c r="X378" s="169">
        <v>412.7</v>
      </c>
      <c r="Y378" s="169">
        <v>2829751.13</v>
      </c>
      <c r="Z378" s="165"/>
      <c r="AA378" s="169">
        <v>70743.78</v>
      </c>
      <c r="AB378" s="169">
        <v>70743.78</v>
      </c>
      <c r="AC378" s="128">
        <v>2971238.69</v>
      </c>
      <c r="AD378" s="143">
        <f t="shared" si="243"/>
        <v>2968267.4513099999</v>
      </c>
      <c r="AE378" s="147">
        <v>39.6</v>
      </c>
      <c r="AF378" s="169">
        <v>39.799999999999997</v>
      </c>
      <c r="AG378" s="147">
        <v>39.5</v>
      </c>
      <c r="AH378" s="170">
        <v>3.7000000000000002E-3</v>
      </c>
      <c r="AI378" s="170">
        <v>3.85E-2</v>
      </c>
      <c r="AJ378" s="170">
        <v>4.9000000000000002E-2</v>
      </c>
      <c r="AK378" s="137">
        <v>0</v>
      </c>
      <c r="AL378" s="136">
        <v>0</v>
      </c>
      <c r="AM378" s="136"/>
      <c r="AN378" s="165">
        <v>0</v>
      </c>
      <c r="AO378" s="140">
        <f t="shared" si="260"/>
        <v>2493.1728017621144</v>
      </c>
      <c r="AP378" s="136"/>
      <c r="AQ378" s="137">
        <v>0</v>
      </c>
      <c r="AR378" s="155">
        <f t="shared" si="261"/>
        <v>2493.1728017621144</v>
      </c>
      <c r="AS378" s="155">
        <f t="shared" si="262"/>
        <v>2618</v>
      </c>
      <c r="AT378" s="137">
        <v>36</v>
      </c>
      <c r="AU378" s="136" t="s">
        <v>664</v>
      </c>
      <c r="AV378" s="136"/>
      <c r="AW378" s="137">
        <f t="shared" si="248"/>
        <v>40860</v>
      </c>
      <c r="AX378" s="136"/>
      <c r="AY378" s="137">
        <f t="shared" si="249"/>
        <v>40860</v>
      </c>
      <c r="AZ378" s="137">
        <f t="shared" si="250"/>
        <v>41270</v>
      </c>
      <c r="BA378" s="142">
        <f t="shared" si="251"/>
        <v>-410</v>
      </c>
      <c r="BB378" s="137"/>
      <c r="BC378" s="137">
        <v>0</v>
      </c>
      <c r="BD378" s="136"/>
      <c r="BE378" s="128">
        <v>413.3</v>
      </c>
      <c r="BF378" s="143">
        <f t="shared" si="252"/>
        <v>0.61995</v>
      </c>
      <c r="BG378" s="143">
        <f t="shared" si="253"/>
        <v>412.68004999999999</v>
      </c>
      <c r="BH378" s="143">
        <f t="shared" si="254"/>
        <v>412.7</v>
      </c>
      <c r="BI378" s="144">
        <f t="shared" si="255"/>
        <v>60.000000000002274</v>
      </c>
      <c r="BJ378" s="144">
        <v>0</v>
      </c>
      <c r="BK378" s="137">
        <f t="shared" si="256"/>
        <v>60.000000000002274</v>
      </c>
      <c r="BL378" s="18"/>
      <c r="BM378" s="25" t="str">
        <f t="shared" si="257"/>
        <v>Unloading no. 360 Bill No L/PB/26-27/53 ,Deduction For Oil Deduction= 0 ,Bardana= 0 ,F.M=  Brokerage/Rate Difference 0 ,Shortage = 2493.17280176211 ,Greenish=  ,Moisture= 0</v>
      </c>
      <c r="BN378" s="17"/>
      <c r="BO378" s="13" t="str">
        <f t="shared" si="219"/>
        <v xml:space="preserve"> Party Condition 39.8  ,F.M% 0.37 ,Greenish 3.85 ,Moisture 4.9 ,Shortage in KG= 36  ,Oil% 39.5</v>
      </c>
      <c r="BP378" s="19">
        <f t="shared" si="258"/>
        <v>6850.6371630681806</v>
      </c>
      <c r="BX378" s="27">
        <v>39.6</v>
      </c>
      <c r="BY378" s="27">
        <v>39.5</v>
      </c>
    </row>
    <row r="379" spans="1:77" s="26" customFormat="1" ht="14.25" hidden="1" x14ac:dyDescent="0.3">
      <c r="A379" s="163" t="s">
        <v>754</v>
      </c>
      <c r="B379" s="130">
        <v>46135</v>
      </c>
      <c r="C379" s="138">
        <v>361</v>
      </c>
      <c r="D379" s="128" t="s">
        <v>831</v>
      </c>
      <c r="E379" s="130">
        <v>46138</v>
      </c>
      <c r="F379" s="128" t="s">
        <v>467</v>
      </c>
      <c r="G379" s="128" t="s">
        <v>468</v>
      </c>
      <c r="H379" s="128" t="s">
        <v>506</v>
      </c>
      <c r="I379" s="136"/>
      <c r="J379" s="128" t="s">
        <v>113</v>
      </c>
      <c r="K379" s="128">
        <v>0</v>
      </c>
      <c r="L379" s="130">
        <v>46135</v>
      </c>
      <c r="M379" s="136"/>
      <c r="N379" s="128" t="s">
        <v>793</v>
      </c>
      <c r="O379" s="130">
        <v>46136</v>
      </c>
      <c r="P379" s="128">
        <v>0</v>
      </c>
      <c r="Q379" s="128">
        <v>420</v>
      </c>
      <c r="R379" s="128">
        <v>122</v>
      </c>
      <c r="S379" s="128">
        <v>542</v>
      </c>
      <c r="T379" s="128">
        <v>542</v>
      </c>
      <c r="U379" s="128">
        <v>0</v>
      </c>
      <c r="V379" s="128">
        <v>0</v>
      </c>
      <c r="W379" s="169">
        <v>325.2</v>
      </c>
      <c r="X379" s="169">
        <v>330.3</v>
      </c>
      <c r="Y379" s="169">
        <v>2215459</v>
      </c>
      <c r="Z379" s="165"/>
      <c r="AA379" s="169">
        <v>55386.48</v>
      </c>
      <c r="AB379" s="169">
        <v>55386.48</v>
      </c>
      <c r="AC379" s="128">
        <v>2326231.9500000002</v>
      </c>
      <c r="AD379" s="143">
        <f t="shared" si="243"/>
        <v>2323905.7180500003</v>
      </c>
      <c r="AE379" s="147">
        <v>40.51</v>
      </c>
      <c r="AF379" s="169">
        <v>39.1</v>
      </c>
      <c r="AG379" s="147">
        <v>40.43</v>
      </c>
      <c r="AH379" s="170">
        <v>3.0000000000000001E-3</v>
      </c>
      <c r="AI379" s="170">
        <v>3.6999999999999998E-2</v>
      </c>
      <c r="AJ379" s="170">
        <v>4.8000000000000001E-2</v>
      </c>
      <c r="AK379" s="137">
        <f t="shared" si="259"/>
        <v>0</v>
      </c>
      <c r="AL379" s="136">
        <f>542*5</f>
        <v>2710</v>
      </c>
      <c r="AM379" s="136"/>
      <c r="AN379" s="165">
        <v>0</v>
      </c>
      <c r="AO379" s="140">
        <f t="shared" si="260"/>
        <v>0</v>
      </c>
      <c r="AP379" s="136"/>
      <c r="AQ379" s="137">
        <v>0</v>
      </c>
      <c r="AR379" s="155">
        <f t="shared" si="261"/>
        <v>2710</v>
      </c>
      <c r="AS379" s="155">
        <f t="shared" si="262"/>
        <v>2846</v>
      </c>
      <c r="AT379" s="137">
        <v>0</v>
      </c>
      <c r="AU379" s="136"/>
      <c r="AV379" s="136"/>
      <c r="AW379" s="137">
        <f t="shared" si="248"/>
        <v>32520</v>
      </c>
      <c r="AX379" s="136"/>
      <c r="AY379" s="137">
        <f t="shared" si="249"/>
        <v>32520</v>
      </c>
      <c r="AZ379" s="137">
        <f t="shared" si="250"/>
        <v>33030</v>
      </c>
      <c r="BA379" s="142">
        <f t="shared" si="251"/>
        <v>-510</v>
      </c>
      <c r="BB379" s="137"/>
      <c r="BC379" s="137">
        <v>0</v>
      </c>
      <c r="BD379" s="136"/>
      <c r="BE379" s="128">
        <v>330.5</v>
      </c>
      <c r="BF379" s="143">
        <f t="shared" si="252"/>
        <v>0.49574999999999997</v>
      </c>
      <c r="BG379" s="143">
        <f t="shared" si="253"/>
        <v>330.00425000000001</v>
      </c>
      <c r="BH379" s="143">
        <f t="shared" si="254"/>
        <v>330.3</v>
      </c>
      <c r="BI379" s="144">
        <f t="shared" si="255"/>
        <v>19.999999999998863</v>
      </c>
      <c r="BJ379" s="144">
        <v>0</v>
      </c>
      <c r="BK379" s="137">
        <f t="shared" si="256"/>
        <v>19.999999999998863</v>
      </c>
      <c r="BL379" s="18"/>
      <c r="BM379" s="25" t="str">
        <f t="shared" si="257"/>
        <v>Unloading no. 361 Bill No GDS/26-27/144 ,Deduction For Oil Deduction= 0 ,Bardana= 2710 ,F.M=  Brokerage/Rate Difference 0 ,Shortage = 0 ,Greenish=  ,Moisture= 0</v>
      </c>
      <c r="BN379" s="17"/>
      <c r="BO379" s="13" t="str">
        <f t="shared" si="219"/>
        <v xml:space="preserve"> Party Condition 39.1  ,F.M% 0.3 ,Greenish 3.7 ,Moisture 4.8 ,Shortage in KG= 0  ,Oil% 40.43</v>
      </c>
      <c r="BP379" s="19">
        <f t="shared" si="258"/>
        <v>6699.2098092643046</v>
      </c>
      <c r="BX379" s="27">
        <v>40.51</v>
      </c>
      <c r="BY379" s="27">
        <v>40.43</v>
      </c>
    </row>
    <row r="380" spans="1:77" s="26" customFormat="1" ht="14.25" hidden="1" x14ac:dyDescent="0.3">
      <c r="A380" s="163" t="s">
        <v>755</v>
      </c>
      <c r="B380" s="130">
        <v>46135</v>
      </c>
      <c r="C380" s="138">
        <v>362</v>
      </c>
      <c r="D380" s="128" t="s">
        <v>832</v>
      </c>
      <c r="E380" s="130">
        <v>46138</v>
      </c>
      <c r="F380" s="128" t="s">
        <v>98</v>
      </c>
      <c r="G380" s="128" t="s">
        <v>99</v>
      </c>
      <c r="H380" s="128" t="s">
        <v>100</v>
      </c>
      <c r="I380" s="136"/>
      <c r="J380" s="128" t="s">
        <v>113</v>
      </c>
      <c r="K380" s="128">
        <v>0</v>
      </c>
      <c r="L380" s="130">
        <v>46135</v>
      </c>
      <c r="M380" s="136"/>
      <c r="N380" s="128">
        <v>84</v>
      </c>
      <c r="O380" s="130">
        <v>46136</v>
      </c>
      <c r="P380" s="128">
        <v>0</v>
      </c>
      <c r="Q380" s="128">
        <v>460</v>
      </c>
      <c r="R380" s="128">
        <v>58</v>
      </c>
      <c r="S380" s="128">
        <v>518</v>
      </c>
      <c r="T380" s="128">
        <v>518</v>
      </c>
      <c r="U380" s="128">
        <v>0</v>
      </c>
      <c r="V380" s="128">
        <v>0</v>
      </c>
      <c r="W380" s="169">
        <v>310.8</v>
      </c>
      <c r="X380" s="169">
        <v>314.3</v>
      </c>
      <c r="Y380" s="169">
        <v>2130026.36</v>
      </c>
      <c r="Z380" s="165"/>
      <c r="AA380" s="169">
        <v>53250.66</v>
      </c>
      <c r="AB380" s="169">
        <v>53250.66</v>
      </c>
      <c r="AC380" s="128">
        <v>2236527.6800000002</v>
      </c>
      <c r="AD380" s="143">
        <f t="shared" si="243"/>
        <v>2234291.1523200003</v>
      </c>
      <c r="AE380" s="147">
        <v>40.15</v>
      </c>
      <c r="AF380" s="169">
        <v>39.53</v>
      </c>
      <c r="AG380" s="147">
        <v>40.11</v>
      </c>
      <c r="AH380" s="170">
        <v>2.8999999999999998E-3</v>
      </c>
      <c r="AI380" s="170">
        <v>3.49E-2</v>
      </c>
      <c r="AJ380" s="170">
        <v>5.0999999999999997E-2</v>
      </c>
      <c r="AK380" s="137">
        <f t="shared" si="259"/>
        <v>0</v>
      </c>
      <c r="AL380" s="136">
        <f>518*5.5</f>
        <v>2849</v>
      </c>
      <c r="AM380" s="136"/>
      <c r="AN380" s="165">
        <v>0</v>
      </c>
      <c r="AO380" s="140">
        <f t="shared" si="260"/>
        <v>0</v>
      </c>
      <c r="AP380" s="136"/>
      <c r="AQ380" s="137">
        <v>0</v>
      </c>
      <c r="AR380" s="155">
        <f t="shared" si="261"/>
        <v>2849</v>
      </c>
      <c r="AS380" s="155">
        <f t="shared" si="262"/>
        <v>2991</v>
      </c>
      <c r="AT380" s="137">
        <v>0</v>
      </c>
      <c r="AU380" s="136" t="s">
        <v>664</v>
      </c>
      <c r="AV380" s="136"/>
      <c r="AW380" s="137">
        <f t="shared" si="248"/>
        <v>31080</v>
      </c>
      <c r="AX380" s="136"/>
      <c r="AY380" s="137">
        <f t="shared" si="249"/>
        <v>31080</v>
      </c>
      <c r="AZ380" s="137">
        <f t="shared" si="250"/>
        <v>31430</v>
      </c>
      <c r="BA380" s="142">
        <f t="shared" si="251"/>
        <v>-350</v>
      </c>
      <c r="BB380" s="137"/>
      <c r="BC380" s="137">
        <v>0</v>
      </c>
      <c r="BD380" s="136"/>
      <c r="BE380" s="128">
        <v>314.8</v>
      </c>
      <c r="BF380" s="143">
        <f t="shared" si="252"/>
        <v>0.47220000000000001</v>
      </c>
      <c r="BG380" s="143">
        <f t="shared" si="253"/>
        <v>314.32780000000002</v>
      </c>
      <c r="BH380" s="143">
        <f t="shared" si="254"/>
        <v>314.3</v>
      </c>
      <c r="BI380" s="144">
        <f t="shared" si="255"/>
        <v>50</v>
      </c>
      <c r="BJ380" s="144">
        <v>0</v>
      </c>
      <c r="BK380" s="137">
        <f t="shared" si="256"/>
        <v>50</v>
      </c>
      <c r="BL380" s="18"/>
      <c r="BM380" s="25" t="str">
        <f t="shared" si="257"/>
        <v>Unloading no. 362 Bill No 84 ,Deduction For Oil Deduction= 0 ,Bardana= 2849 ,F.M=  Brokerage/Rate Difference 0 ,Shortage = 0 ,Greenish=  ,Moisture= 0</v>
      </c>
      <c r="BN380" s="17"/>
      <c r="BO380" s="13" t="str">
        <f t="shared" si="219"/>
        <v xml:space="preserve"> Party Condition 39.53  ,F.M% 0.29 ,Greenish 3.49 ,Moisture 5.1 ,Shortage in KG= 0  ,Oil% 40.11</v>
      </c>
      <c r="BP380" s="19">
        <f t="shared" si="258"/>
        <v>6767.9839643652558</v>
      </c>
      <c r="BX380" s="27">
        <v>40.15</v>
      </c>
      <c r="BY380" s="27">
        <v>40.11</v>
      </c>
    </row>
    <row r="381" spans="1:77" s="26" customFormat="1" ht="14.25" hidden="1" x14ac:dyDescent="0.3">
      <c r="A381" s="163" t="s">
        <v>756</v>
      </c>
      <c r="B381" s="166">
        <v>46135</v>
      </c>
      <c r="C381" s="187">
        <v>363</v>
      </c>
      <c r="D381" s="163" t="s">
        <v>833</v>
      </c>
      <c r="E381" s="166">
        <v>46138</v>
      </c>
      <c r="F381" s="163" t="s">
        <v>200</v>
      </c>
      <c r="G381" s="163" t="s">
        <v>201</v>
      </c>
      <c r="H381" s="163" t="s">
        <v>202</v>
      </c>
      <c r="I381" s="157"/>
      <c r="J381" s="163" t="s">
        <v>113</v>
      </c>
      <c r="K381" s="163">
        <v>0</v>
      </c>
      <c r="L381" s="166">
        <v>46135</v>
      </c>
      <c r="M381" s="157"/>
      <c r="N381" s="163">
        <v>35</v>
      </c>
      <c r="O381" s="166">
        <v>46135</v>
      </c>
      <c r="P381" s="163">
        <v>0</v>
      </c>
      <c r="Q381" s="128">
        <v>289</v>
      </c>
      <c r="R381" s="128">
        <v>300</v>
      </c>
      <c r="S381" s="128">
        <v>589</v>
      </c>
      <c r="T381" s="128">
        <v>589</v>
      </c>
      <c r="U381" s="128">
        <v>0</v>
      </c>
      <c r="V381" s="128">
        <v>0</v>
      </c>
      <c r="W381" s="169">
        <v>353.4</v>
      </c>
      <c r="X381" s="169">
        <v>358.8</v>
      </c>
      <c r="Y381" s="169">
        <v>2420231.63</v>
      </c>
      <c r="Z381" s="165"/>
      <c r="AA381" s="169">
        <v>60505.79</v>
      </c>
      <c r="AB381" s="169">
        <v>60505.79</v>
      </c>
      <c r="AC381" s="128">
        <v>2541243.21</v>
      </c>
      <c r="AD381" s="143">
        <f t="shared" si="243"/>
        <v>2538701.96679</v>
      </c>
      <c r="AE381" s="147">
        <v>39.700000000000003</v>
      </c>
      <c r="AF381" s="169">
        <v>39.4</v>
      </c>
      <c r="AG381" s="147">
        <v>39.75</v>
      </c>
      <c r="AH381" s="170">
        <v>2.8999999999999998E-3</v>
      </c>
      <c r="AI381" s="170">
        <v>3.5900000000000001E-2</v>
      </c>
      <c r="AJ381" s="170">
        <v>4.2999999999999997E-2</v>
      </c>
      <c r="AK381" s="137">
        <f t="shared" si="259"/>
        <v>0</v>
      </c>
      <c r="AL381" s="136">
        <v>0</v>
      </c>
      <c r="AM381" s="136"/>
      <c r="AN381" s="165">
        <v>0</v>
      </c>
      <c r="AO381" s="140">
        <f t="shared" si="260"/>
        <v>0</v>
      </c>
      <c r="AP381" s="136"/>
      <c r="AQ381" s="137">
        <v>0</v>
      </c>
      <c r="AR381" s="155">
        <f t="shared" si="261"/>
        <v>0</v>
      </c>
      <c r="AS381" s="155">
        <f t="shared" si="262"/>
        <v>0</v>
      </c>
      <c r="AT381" s="137">
        <v>0</v>
      </c>
      <c r="AU381" s="136"/>
      <c r="AV381" s="136"/>
      <c r="AW381" s="137">
        <f t="shared" si="248"/>
        <v>35340</v>
      </c>
      <c r="AX381" s="136"/>
      <c r="AY381" s="137">
        <f t="shared" si="249"/>
        <v>35340</v>
      </c>
      <c r="AZ381" s="137">
        <f t="shared" si="250"/>
        <v>35880</v>
      </c>
      <c r="BA381" s="142">
        <f t="shared" si="251"/>
        <v>-540</v>
      </c>
      <c r="BB381" s="137"/>
      <c r="BC381" s="137">
        <v>0</v>
      </c>
      <c r="BD381" s="136"/>
      <c r="BE381" s="128">
        <v>359</v>
      </c>
      <c r="BF381" s="143">
        <f t="shared" si="252"/>
        <v>0.53849999999999998</v>
      </c>
      <c r="BG381" s="143">
        <f t="shared" si="253"/>
        <v>358.4615</v>
      </c>
      <c r="BH381" s="143">
        <f t="shared" si="254"/>
        <v>358.8</v>
      </c>
      <c r="BI381" s="144">
        <f t="shared" si="255"/>
        <v>19.999999999998863</v>
      </c>
      <c r="BJ381" s="144">
        <v>0</v>
      </c>
      <c r="BK381" s="137">
        <f t="shared" si="256"/>
        <v>19.999999999998863</v>
      </c>
      <c r="BL381" s="18"/>
      <c r="BM381" s="25" t="str">
        <f t="shared" si="257"/>
        <v>Unloading no. 363 Bill No 35 ,Deduction For Oil Deduction= 0 ,Bardana= 0 ,F.M=  Brokerage/Rate Difference 0 ,Shortage = 0 ,Greenish=  ,Moisture= 0</v>
      </c>
      <c r="BN381" s="17"/>
      <c r="BO381" s="13" t="str">
        <f t="shared" si="219"/>
        <v xml:space="preserve"> Party Condition 39.4  ,F.M% 0.29 ,Greenish 3.59 ,Moisture 4.3 ,Shortage in KG= 0  ,Oil% 39.7</v>
      </c>
      <c r="BP381" s="19">
        <f t="shared" si="258"/>
        <v>6745.3501393533998</v>
      </c>
      <c r="BX381" s="27">
        <v>39.700000000000003</v>
      </c>
      <c r="BY381" s="27">
        <v>39.75</v>
      </c>
    </row>
    <row r="382" spans="1:77" s="26" customFormat="1" ht="14.25" hidden="1" x14ac:dyDescent="0.3">
      <c r="A382" s="163" t="s">
        <v>757</v>
      </c>
      <c r="B382" s="166">
        <v>46135</v>
      </c>
      <c r="C382" s="187">
        <v>364</v>
      </c>
      <c r="D382" s="163" t="s">
        <v>834</v>
      </c>
      <c r="E382" s="166">
        <v>46138</v>
      </c>
      <c r="F382" s="163" t="s">
        <v>98</v>
      </c>
      <c r="G382" s="163" t="s">
        <v>99</v>
      </c>
      <c r="H382" s="163" t="s">
        <v>100</v>
      </c>
      <c r="I382" s="157"/>
      <c r="J382" s="163" t="s">
        <v>113</v>
      </c>
      <c r="K382" s="163">
        <v>0</v>
      </c>
      <c r="L382" s="166">
        <v>46135</v>
      </c>
      <c r="M382" s="157"/>
      <c r="N382" s="163">
        <v>85</v>
      </c>
      <c r="O382" s="166">
        <v>46136</v>
      </c>
      <c r="P382" s="163">
        <v>0</v>
      </c>
      <c r="Q382" s="128">
        <v>400</v>
      </c>
      <c r="R382" s="128">
        <v>253</v>
      </c>
      <c r="S382" s="128">
        <v>653</v>
      </c>
      <c r="T382" s="128">
        <v>653</v>
      </c>
      <c r="U382" s="128">
        <v>0</v>
      </c>
      <c r="V382" s="128">
        <v>0</v>
      </c>
      <c r="W382" s="169">
        <v>391.8</v>
      </c>
      <c r="X382" s="169">
        <v>396.8</v>
      </c>
      <c r="Y382" s="169">
        <v>2673022.85</v>
      </c>
      <c r="Z382" s="165"/>
      <c r="AA382" s="169">
        <v>66825.570000000007</v>
      </c>
      <c r="AB382" s="169">
        <v>66825.570000000007</v>
      </c>
      <c r="AC382" s="128">
        <v>2806673.99</v>
      </c>
      <c r="AD382" s="143">
        <f t="shared" si="243"/>
        <v>2803867.3160100002</v>
      </c>
      <c r="AE382" s="147">
        <v>39.700000000000003</v>
      </c>
      <c r="AF382" s="169">
        <v>39.15</v>
      </c>
      <c r="AG382" s="147">
        <v>39.49</v>
      </c>
      <c r="AH382" s="170">
        <v>3.2000000000000002E-3</v>
      </c>
      <c r="AI382" s="170">
        <v>3.7199999999999997E-2</v>
      </c>
      <c r="AJ382" s="170">
        <v>4.9000000000000002E-2</v>
      </c>
      <c r="AK382" s="137">
        <f t="shared" si="259"/>
        <v>0</v>
      </c>
      <c r="AL382" s="136">
        <f>653*5.5</f>
        <v>3591.5</v>
      </c>
      <c r="AM382" s="136"/>
      <c r="AN382" s="165">
        <v>0</v>
      </c>
      <c r="AO382" s="140">
        <f t="shared" si="260"/>
        <v>0</v>
      </c>
      <c r="AP382" s="136"/>
      <c r="AQ382" s="137">
        <v>0</v>
      </c>
      <c r="AR382" s="155">
        <f t="shared" si="261"/>
        <v>3591.5</v>
      </c>
      <c r="AS382" s="155">
        <f t="shared" si="262"/>
        <v>3771</v>
      </c>
      <c r="AT382" s="137">
        <v>0</v>
      </c>
      <c r="AU382" s="136" t="s">
        <v>664</v>
      </c>
      <c r="AV382" s="136"/>
      <c r="AW382" s="137">
        <f t="shared" si="248"/>
        <v>39180</v>
      </c>
      <c r="AX382" s="136"/>
      <c r="AY382" s="137">
        <f t="shared" si="249"/>
        <v>39180</v>
      </c>
      <c r="AZ382" s="137">
        <f t="shared" si="250"/>
        <v>39680</v>
      </c>
      <c r="BA382" s="142">
        <f t="shared" si="251"/>
        <v>-500</v>
      </c>
      <c r="BB382" s="137"/>
      <c r="BC382" s="137">
        <v>0</v>
      </c>
      <c r="BD382" s="136"/>
      <c r="BE382" s="128">
        <v>397.3</v>
      </c>
      <c r="BF382" s="143">
        <f t="shared" si="252"/>
        <v>0.59594999999999998</v>
      </c>
      <c r="BG382" s="143">
        <f t="shared" si="253"/>
        <v>396.70405</v>
      </c>
      <c r="BH382" s="143">
        <f t="shared" si="254"/>
        <v>396.8</v>
      </c>
      <c r="BI382" s="144">
        <f t="shared" si="255"/>
        <v>50</v>
      </c>
      <c r="BJ382" s="144">
        <v>0</v>
      </c>
      <c r="BK382" s="137">
        <f t="shared" si="256"/>
        <v>50</v>
      </c>
      <c r="BL382" s="18"/>
      <c r="BM382" s="25" t="str">
        <f t="shared" si="257"/>
        <v>Unloading no. 364 Bill No 85 ,Deduction For Oil Deduction= 0 ,Bardana= 3591.5 ,F.M=  Brokerage/Rate Difference 0 ,Shortage = 0 ,Greenish=  ,Moisture= 0</v>
      </c>
      <c r="BN382" s="17"/>
      <c r="BO382" s="13" t="str">
        <f t="shared" si="219"/>
        <v xml:space="preserve"> Party Condition 39.15  ,F.M% 0.32 ,Greenish 3.72 ,Moisture 4.9 ,Shortage in KG= 0  ,Oil% 39.49</v>
      </c>
      <c r="BP382" s="19">
        <f t="shared" si="258"/>
        <v>6727.3975554435483</v>
      </c>
      <c r="BX382" s="27">
        <v>39.700000000000003</v>
      </c>
      <c r="BY382" s="27">
        <v>39.49</v>
      </c>
    </row>
    <row r="383" spans="1:77" s="26" customFormat="1" ht="14.25" hidden="1" x14ac:dyDescent="0.3">
      <c r="A383" s="163" t="s">
        <v>752</v>
      </c>
      <c r="B383" s="166">
        <v>46135</v>
      </c>
      <c r="C383" s="187">
        <v>365</v>
      </c>
      <c r="D383" s="163" t="s">
        <v>835</v>
      </c>
      <c r="E383" s="166">
        <v>46138</v>
      </c>
      <c r="F383" s="163" t="s">
        <v>95</v>
      </c>
      <c r="G383" s="163" t="s">
        <v>96</v>
      </c>
      <c r="H383" s="163" t="s">
        <v>97</v>
      </c>
      <c r="I383" s="157"/>
      <c r="J383" s="163" t="s">
        <v>113</v>
      </c>
      <c r="K383" s="163">
        <v>0</v>
      </c>
      <c r="L383" s="166">
        <v>46135</v>
      </c>
      <c r="M383" s="157"/>
      <c r="N383" s="163">
        <v>120</v>
      </c>
      <c r="O383" s="166">
        <v>46136</v>
      </c>
      <c r="P383" s="163">
        <v>0</v>
      </c>
      <c r="Q383" s="128">
        <v>460</v>
      </c>
      <c r="R383" s="128">
        <v>35</v>
      </c>
      <c r="S383" s="128">
        <v>495</v>
      </c>
      <c r="T383" s="128">
        <v>495</v>
      </c>
      <c r="U383" s="128">
        <v>0</v>
      </c>
      <c r="V383" s="128">
        <v>0</v>
      </c>
      <c r="W383" s="169">
        <v>297</v>
      </c>
      <c r="X383" s="169">
        <v>300.39999999999998</v>
      </c>
      <c r="Y383" s="169">
        <v>2056534.92</v>
      </c>
      <c r="Z383" s="165"/>
      <c r="AA383" s="169">
        <v>51413.37</v>
      </c>
      <c r="AB383" s="169">
        <v>51413.37</v>
      </c>
      <c r="AC383" s="128">
        <v>2159361.67</v>
      </c>
      <c r="AD383" s="143">
        <f t="shared" si="243"/>
        <v>2157202.3083299999</v>
      </c>
      <c r="AE383" s="147">
        <v>39.72</v>
      </c>
      <c r="AF383" s="169">
        <v>40.08</v>
      </c>
      <c r="AG383" s="147">
        <v>39.61</v>
      </c>
      <c r="AH383" s="170">
        <v>3.0000000000000001E-3</v>
      </c>
      <c r="AI383" s="170">
        <v>3.5499999999999997E-2</v>
      </c>
      <c r="AJ383" s="170">
        <v>5.1999999999999998E-2</v>
      </c>
      <c r="AK383" s="137">
        <f t="shared" si="259"/>
        <v>24116.053203592754</v>
      </c>
      <c r="AL383" s="136">
        <v>0</v>
      </c>
      <c r="AM383" s="136"/>
      <c r="AN383" s="165">
        <v>0</v>
      </c>
      <c r="AO383" s="140">
        <f t="shared" si="260"/>
        <v>0</v>
      </c>
      <c r="AP383" s="136"/>
      <c r="AQ383" s="137">
        <v>0</v>
      </c>
      <c r="AR383" s="155">
        <f t="shared" si="261"/>
        <v>24116.053203592754</v>
      </c>
      <c r="AS383" s="155">
        <f t="shared" si="262"/>
        <v>25322</v>
      </c>
      <c r="AT383" s="137">
        <v>0</v>
      </c>
      <c r="AU383" s="136" t="s">
        <v>664</v>
      </c>
      <c r="AV383" s="136"/>
      <c r="AW383" s="137">
        <f t="shared" si="248"/>
        <v>29700</v>
      </c>
      <c r="AX383" s="136"/>
      <c r="AY383" s="137">
        <f t="shared" si="249"/>
        <v>29700</v>
      </c>
      <c r="AZ383" s="137">
        <f t="shared" si="250"/>
        <v>30039.999999999996</v>
      </c>
      <c r="BA383" s="142">
        <f t="shared" si="251"/>
        <v>-339.99999999999636</v>
      </c>
      <c r="BB383" s="137"/>
      <c r="BC383" s="137">
        <v>0</v>
      </c>
      <c r="BD383" s="136"/>
      <c r="BE383" s="128">
        <v>300.7</v>
      </c>
      <c r="BF383" s="143">
        <f t="shared" si="252"/>
        <v>0.45104999999999995</v>
      </c>
      <c r="BG383" s="143">
        <f t="shared" si="253"/>
        <v>300.24894999999998</v>
      </c>
      <c r="BH383" s="143">
        <f t="shared" si="254"/>
        <v>300.39999999999998</v>
      </c>
      <c r="BI383" s="144">
        <f t="shared" si="255"/>
        <v>30.000000000001137</v>
      </c>
      <c r="BJ383" s="144">
        <v>0</v>
      </c>
      <c r="BK383" s="137">
        <f t="shared" si="256"/>
        <v>30.000000000001137</v>
      </c>
      <c r="BL383" s="18"/>
      <c r="BM383" s="25" t="str">
        <f t="shared" si="257"/>
        <v>Unloading no. 365 Bill No 120 ,Deduction For Oil Deduction= 24116.0532035928 ,Bardana= 0 ,F.M=  Brokerage/Rate Difference 0 ,Shortage = 0 ,Greenish=  ,Moisture= 0</v>
      </c>
      <c r="BN383" s="17"/>
      <c r="BO383" s="13" t="str">
        <f t="shared" si="219"/>
        <v xml:space="preserve"> Party Condition 40.08  ,F.M% 0.3 ,Greenish 3.55 ,Moisture 5.2 ,Shortage in KG= 0  ,Oil% 39.61</v>
      </c>
      <c r="BP383" s="19">
        <f t="shared" si="258"/>
        <v>6765.7086111731269</v>
      </c>
      <c r="BX383" s="27">
        <v>39.72</v>
      </c>
      <c r="BY383" s="27">
        <v>39.61</v>
      </c>
    </row>
    <row r="384" spans="1:77" s="26" customFormat="1" ht="14.25" hidden="1" x14ac:dyDescent="0.3">
      <c r="A384" s="163" t="s">
        <v>752</v>
      </c>
      <c r="B384" s="166">
        <v>46135</v>
      </c>
      <c r="C384" s="187">
        <v>366</v>
      </c>
      <c r="D384" s="163" t="s">
        <v>836</v>
      </c>
      <c r="E384" s="166">
        <v>46138</v>
      </c>
      <c r="F384" s="163" t="s">
        <v>95</v>
      </c>
      <c r="G384" s="163" t="s">
        <v>96</v>
      </c>
      <c r="H384" s="163" t="s">
        <v>97</v>
      </c>
      <c r="I384" s="157"/>
      <c r="J384" s="163" t="s">
        <v>113</v>
      </c>
      <c r="K384" s="163">
        <v>0</v>
      </c>
      <c r="L384" s="166">
        <v>46135</v>
      </c>
      <c r="M384" s="157"/>
      <c r="N384" s="163">
        <v>123</v>
      </c>
      <c r="O384" s="166">
        <v>46136</v>
      </c>
      <c r="P384" s="163">
        <v>0</v>
      </c>
      <c r="Q384" s="128">
        <v>400</v>
      </c>
      <c r="R384" s="128">
        <v>27</v>
      </c>
      <c r="S384" s="128">
        <v>427</v>
      </c>
      <c r="T384" s="128">
        <v>427</v>
      </c>
      <c r="U384" s="128">
        <v>0</v>
      </c>
      <c r="V384" s="128">
        <v>0</v>
      </c>
      <c r="W384" s="169">
        <v>256.2</v>
      </c>
      <c r="X384" s="169">
        <v>259.3</v>
      </c>
      <c r="Y384" s="169">
        <v>1774021.03</v>
      </c>
      <c r="Z384" s="165"/>
      <c r="AA384" s="169">
        <v>44350.53</v>
      </c>
      <c r="AB384" s="169">
        <v>44350.53</v>
      </c>
      <c r="AC384" s="128">
        <v>1862722.08</v>
      </c>
      <c r="AD384" s="143">
        <f t="shared" si="243"/>
        <v>1860859.3579200001</v>
      </c>
      <c r="AE384" s="147">
        <v>40.22</v>
      </c>
      <c r="AF384" s="169">
        <v>40.08</v>
      </c>
      <c r="AG384" s="147">
        <v>40.19</v>
      </c>
      <c r="AH384" s="170">
        <v>3.0999999999999999E-3</v>
      </c>
      <c r="AI384" s="170">
        <v>3.6999999999999998E-2</v>
      </c>
      <c r="AJ384" s="170">
        <v>4.9000000000000002E-2</v>
      </c>
      <c r="AK384" s="137">
        <f t="shared" si="259"/>
        <v>0</v>
      </c>
      <c r="AL384" s="136">
        <v>0</v>
      </c>
      <c r="AM384" s="136"/>
      <c r="AN384" s="165">
        <v>0</v>
      </c>
      <c r="AO384" s="140">
        <f t="shared" si="260"/>
        <v>0</v>
      </c>
      <c r="AP384" s="136"/>
      <c r="AQ384" s="137">
        <v>0</v>
      </c>
      <c r="AR384" s="155">
        <f t="shared" si="261"/>
        <v>0</v>
      </c>
      <c r="AS384" s="155">
        <f t="shared" si="262"/>
        <v>0</v>
      </c>
      <c r="AT384" s="137">
        <v>0</v>
      </c>
      <c r="AU384" s="136" t="s">
        <v>664</v>
      </c>
      <c r="AV384" s="136"/>
      <c r="AW384" s="137">
        <f t="shared" si="248"/>
        <v>25620</v>
      </c>
      <c r="AX384" s="136"/>
      <c r="AY384" s="137">
        <f t="shared" si="249"/>
        <v>25620</v>
      </c>
      <c r="AZ384" s="137">
        <f t="shared" si="250"/>
        <v>25930</v>
      </c>
      <c r="BA384" s="142">
        <f t="shared" si="251"/>
        <v>-310</v>
      </c>
      <c r="BB384" s="137"/>
      <c r="BC384" s="137">
        <v>0</v>
      </c>
      <c r="BD384" s="136"/>
      <c r="BE384" s="128">
        <v>259.5</v>
      </c>
      <c r="BF384" s="143">
        <f t="shared" si="252"/>
        <v>0.38924999999999998</v>
      </c>
      <c r="BG384" s="143">
        <f t="shared" si="253"/>
        <v>259.11075</v>
      </c>
      <c r="BH384" s="143">
        <f t="shared" si="254"/>
        <v>259.3</v>
      </c>
      <c r="BI384" s="144">
        <f t="shared" si="255"/>
        <v>19.999999999998863</v>
      </c>
      <c r="BJ384" s="144">
        <v>0</v>
      </c>
      <c r="BK384" s="137">
        <f t="shared" si="256"/>
        <v>19.999999999998863</v>
      </c>
      <c r="BL384" s="18"/>
      <c r="BM384" s="25" t="str">
        <f t="shared" si="257"/>
        <v>Unloading no. 366 Bill No 123 ,Deduction For Oil Deduction= 0 ,Bardana= 0 ,F.M=  Brokerage/Rate Difference 0 ,Shortage = 0 ,Greenish=  ,Moisture= 0</v>
      </c>
      <c r="BN384" s="17"/>
      <c r="BO384" s="13" t="str">
        <f t="shared" si="219"/>
        <v xml:space="preserve"> Party Condition 40.08  ,F.M% 0.31 ,Greenish 3.7 ,Moisture 4.9 ,Shortage in KG= 0  ,Oil% 40.19</v>
      </c>
      <c r="BP384" s="19">
        <f t="shared" si="258"/>
        <v>6841.5774392595449</v>
      </c>
      <c r="BX384" s="27">
        <v>40.22</v>
      </c>
      <c r="BY384" s="27">
        <v>40.19</v>
      </c>
    </row>
    <row r="385" spans="1:77" s="26" customFormat="1" ht="14.25" hidden="1" x14ac:dyDescent="0.3">
      <c r="A385" s="163" t="s">
        <v>758</v>
      </c>
      <c r="B385" s="166">
        <v>46135</v>
      </c>
      <c r="C385" s="187">
        <v>367</v>
      </c>
      <c r="D385" s="163" t="s">
        <v>837</v>
      </c>
      <c r="E385" s="166">
        <v>46138</v>
      </c>
      <c r="F385" s="163" t="s">
        <v>101</v>
      </c>
      <c r="G385" s="163" t="s">
        <v>102</v>
      </c>
      <c r="H385" s="163" t="s">
        <v>103</v>
      </c>
      <c r="I385" s="157"/>
      <c r="J385" s="163" t="s">
        <v>113</v>
      </c>
      <c r="K385" s="163">
        <v>0</v>
      </c>
      <c r="L385" s="166">
        <v>46135</v>
      </c>
      <c r="M385" s="157"/>
      <c r="N385" s="163" t="s">
        <v>794</v>
      </c>
      <c r="O385" s="166">
        <v>46136</v>
      </c>
      <c r="P385" s="163">
        <v>0</v>
      </c>
      <c r="Q385" s="128">
        <v>300</v>
      </c>
      <c r="R385" s="128">
        <v>209</v>
      </c>
      <c r="S385" s="128">
        <v>509</v>
      </c>
      <c r="T385" s="128">
        <v>509</v>
      </c>
      <c r="U385" s="128">
        <v>0</v>
      </c>
      <c r="V385" s="128">
        <v>0</v>
      </c>
      <c r="W385" s="169">
        <v>305.39999999999998</v>
      </c>
      <c r="X385" s="169">
        <v>309.3</v>
      </c>
      <c r="Y385" s="169">
        <v>2114395.16</v>
      </c>
      <c r="Z385" s="165"/>
      <c r="AA385" s="169">
        <v>52859.88</v>
      </c>
      <c r="AB385" s="169">
        <v>52859.88</v>
      </c>
      <c r="AC385" s="128">
        <v>2220114.92</v>
      </c>
      <c r="AD385" s="143">
        <f t="shared" si="243"/>
        <v>2217894.8050799998</v>
      </c>
      <c r="AE385" s="147">
        <v>40.5</v>
      </c>
      <c r="AF385" s="169">
        <v>39.9</v>
      </c>
      <c r="AG385" s="147">
        <v>40.590000000000003</v>
      </c>
      <c r="AH385" s="170">
        <v>3.3E-3</v>
      </c>
      <c r="AI385" s="170">
        <v>3.6600000000000001E-2</v>
      </c>
      <c r="AJ385" s="170">
        <v>5.3999999999999999E-2</v>
      </c>
      <c r="AK385" s="137">
        <f t="shared" si="259"/>
        <v>0</v>
      </c>
      <c r="AL385" s="136">
        <v>0</v>
      </c>
      <c r="AM385" s="136"/>
      <c r="AN385" s="165">
        <v>0</v>
      </c>
      <c r="AO385" s="140">
        <f t="shared" si="260"/>
        <v>0</v>
      </c>
      <c r="AP385" s="136"/>
      <c r="AQ385" s="137">
        <v>0</v>
      </c>
      <c r="AR385" s="155">
        <f t="shared" si="261"/>
        <v>0</v>
      </c>
      <c r="AS385" s="155">
        <f t="shared" si="262"/>
        <v>0</v>
      </c>
      <c r="AT385" s="137">
        <v>0</v>
      </c>
      <c r="AU385" s="136"/>
      <c r="AV385" s="136"/>
      <c r="AW385" s="137">
        <f t="shared" si="248"/>
        <v>30539.999999999996</v>
      </c>
      <c r="AX385" s="136"/>
      <c r="AY385" s="137">
        <f t="shared" si="249"/>
        <v>30539.999999999996</v>
      </c>
      <c r="AZ385" s="137">
        <f t="shared" si="250"/>
        <v>30930</v>
      </c>
      <c r="BA385" s="142">
        <f t="shared" si="251"/>
        <v>-390.00000000000364</v>
      </c>
      <c r="BB385" s="137"/>
      <c r="BC385" s="137">
        <v>0</v>
      </c>
      <c r="BD385" s="136"/>
      <c r="BE385" s="128">
        <v>310</v>
      </c>
      <c r="BF385" s="143">
        <f t="shared" si="252"/>
        <v>0.46500000000000002</v>
      </c>
      <c r="BG385" s="143">
        <f t="shared" si="253"/>
        <v>309.53500000000003</v>
      </c>
      <c r="BH385" s="143">
        <f t="shared" si="254"/>
        <v>309.3</v>
      </c>
      <c r="BI385" s="144">
        <f t="shared" si="255"/>
        <v>69.999999999998863</v>
      </c>
      <c r="BJ385" s="144">
        <v>0</v>
      </c>
      <c r="BK385" s="137">
        <f t="shared" si="256"/>
        <v>69.999999999998863</v>
      </c>
      <c r="BL385" s="18"/>
      <c r="BM385" s="25" t="str">
        <f t="shared" si="257"/>
        <v>Unloading no. 367 Bill No L/PB/26-27/55 ,Deduction For Oil Deduction= 0 ,Bardana= 0 ,F.M=  Brokerage/Rate Difference 0 ,Shortage = 0 ,Greenish=  ,Moisture= 0</v>
      </c>
      <c r="BN385" s="17"/>
      <c r="BO385" s="13" t="str">
        <f t="shared" si="219"/>
        <v xml:space="preserve"> Party Condition 39.9  ,F.M% 0.33 ,Greenish 3.66 ,Moisture 5.4 ,Shortage in KG= 0  ,Oil% 40.5</v>
      </c>
      <c r="BP385" s="19">
        <f t="shared" si="258"/>
        <v>6836.0658260588425</v>
      </c>
      <c r="BX385" s="27">
        <v>40.5</v>
      </c>
      <c r="BY385" s="27">
        <v>40.590000000000003</v>
      </c>
    </row>
    <row r="386" spans="1:77" s="26" customFormat="1" ht="14.25" hidden="1" x14ac:dyDescent="0.3">
      <c r="A386" s="163" t="s">
        <v>752</v>
      </c>
      <c r="B386" s="166">
        <v>46135</v>
      </c>
      <c r="C386" s="187">
        <v>368</v>
      </c>
      <c r="D386" s="163" t="s">
        <v>838</v>
      </c>
      <c r="E386" s="166">
        <v>46138</v>
      </c>
      <c r="F386" s="163" t="s">
        <v>95</v>
      </c>
      <c r="G386" s="163" t="s">
        <v>96</v>
      </c>
      <c r="H386" s="163" t="s">
        <v>97</v>
      </c>
      <c r="I386" s="157"/>
      <c r="J386" s="163" t="s">
        <v>113</v>
      </c>
      <c r="K386" s="163">
        <v>0</v>
      </c>
      <c r="L386" s="166">
        <v>46135</v>
      </c>
      <c r="M386" s="157"/>
      <c r="N386" s="163">
        <v>121</v>
      </c>
      <c r="O386" s="166">
        <v>46136</v>
      </c>
      <c r="P386" s="163">
        <v>0</v>
      </c>
      <c r="Q386" s="128">
        <v>300</v>
      </c>
      <c r="R386" s="128">
        <v>202</v>
      </c>
      <c r="S386" s="128">
        <v>502</v>
      </c>
      <c r="T386" s="128">
        <v>502</v>
      </c>
      <c r="U386" s="128">
        <v>0</v>
      </c>
      <c r="V386" s="128">
        <v>0</v>
      </c>
      <c r="W386" s="169">
        <v>301.2</v>
      </c>
      <c r="X386" s="169">
        <v>304.2</v>
      </c>
      <c r="Y386" s="169">
        <v>2085617.23</v>
      </c>
      <c r="Z386" s="165"/>
      <c r="AA386" s="169">
        <v>52140.43</v>
      </c>
      <c r="AB386" s="169">
        <v>52140.43</v>
      </c>
      <c r="AC386" s="128">
        <v>2189898.09</v>
      </c>
      <c r="AD386" s="143">
        <f t="shared" si="243"/>
        <v>2187708.1919100001</v>
      </c>
      <c r="AE386" s="147">
        <v>39.79</v>
      </c>
      <c r="AF386" s="169">
        <v>40.08</v>
      </c>
      <c r="AG386" s="147">
        <v>39.869999999999997</v>
      </c>
      <c r="AH386" s="170">
        <v>3.2000000000000002E-3</v>
      </c>
      <c r="AI386" s="170">
        <v>3.6900000000000002E-2</v>
      </c>
      <c r="AJ386" s="170">
        <v>4.8000000000000001E-2</v>
      </c>
      <c r="AK386" s="137">
        <v>0</v>
      </c>
      <c r="AL386" s="136">
        <v>0</v>
      </c>
      <c r="AM386" s="136"/>
      <c r="AN386" s="165">
        <v>0</v>
      </c>
      <c r="AO386" s="140">
        <f t="shared" si="260"/>
        <v>2008.0643980743691</v>
      </c>
      <c r="AP386" s="136"/>
      <c r="AQ386" s="137">
        <v>0</v>
      </c>
      <c r="AR386" s="155">
        <f t="shared" si="261"/>
        <v>2008.0643980743691</v>
      </c>
      <c r="AS386" s="155">
        <f t="shared" si="262"/>
        <v>2108</v>
      </c>
      <c r="AT386" s="137">
        <v>29</v>
      </c>
      <c r="AU386" s="136"/>
      <c r="AV386" s="136"/>
      <c r="AW386" s="137">
        <f t="shared" si="248"/>
        <v>30120</v>
      </c>
      <c r="AX386" s="136"/>
      <c r="AY386" s="137">
        <f t="shared" si="249"/>
        <v>30120</v>
      </c>
      <c r="AZ386" s="137">
        <f t="shared" si="250"/>
        <v>30420</v>
      </c>
      <c r="BA386" s="142">
        <f t="shared" si="251"/>
        <v>-300</v>
      </c>
      <c r="BB386" s="137"/>
      <c r="BC386" s="137">
        <v>0</v>
      </c>
      <c r="BD386" s="136"/>
      <c r="BE386" s="128">
        <v>304.3</v>
      </c>
      <c r="BF386" s="143">
        <f t="shared" si="252"/>
        <v>0.45645000000000002</v>
      </c>
      <c r="BG386" s="143">
        <f t="shared" si="253"/>
        <v>303.84354999999999</v>
      </c>
      <c r="BH386" s="143">
        <f t="shared" si="254"/>
        <v>304.2</v>
      </c>
      <c r="BI386" s="144">
        <f t="shared" si="255"/>
        <v>10.000000000002274</v>
      </c>
      <c r="BJ386" s="144">
        <v>0</v>
      </c>
      <c r="BK386" s="137">
        <f t="shared" si="256"/>
        <v>10.000000000002274</v>
      </c>
      <c r="BL386" s="18"/>
      <c r="BM386" s="25" t="str">
        <f t="shared" si="257"/>
        <v>Unloading no. 368 Bill No 121 ,Deduction For Oil Deduction= 0 ,Bardana= 0 ,F.M=  Brokerage/Rate Difference 0 ,Shortage = 2008.06439807437 ,Greenish=  ,Moisture= 0</v>
      </c>
      <c r="BN386" s="17"/>
      <c r="BO386" s="13" t="str">
        <f t="shared" si="219"/>
        <v xml:space="preserve"> Party Condition 40.08  ,F.M% 0.32 ,Greenish 3.69 ,Moisture 4.8 ,Shortage in KG= 29  ,Oil% 39.79</v>
      </c>
      <c r="BP386" s="19">
        <f t="shared" si="258"/>
        <v>6849.4712873173103</v>
      </c>
      <c r="BX386" s="27">
        <v>39.79</v>
      </c>
      <c r="BY386" s="27">
        <v>39.869999999999997</v>
      </c>
    </row>
    <row r="387" spans="1:77" s="26" customFormat="1" ht="14.25" hidden="1" x14ac:dyDescent="0.3">
      <c r="A387" s="128" t="s">
        <v>758</v>
      </c>
      <c r="B387" s="166">
        <v>46135</v>
      </c>
      <c r="C387" s="187">
        <v>369</v>
      </c>
      <c r="D387" s="163" t="s">
        <v>839</v>
      </c>
      <c r="E387" s="166">
        <v>46138</v>
      </c>
      <c r="F387" s="163" t="s">
        <v>101</v>
      </c>
      <c r="G387" s="163" t="s">
        <v>102</v>
      </c>
      <c r="H387" s="163" t="s">
        <v>103</v>
      </c>
      <c r="I387" s="157"/>
      <c r="J387" s="163" t="s">
        <v>113</v>
      </c>
      <c r="K387" s="163">
        <v>0</v>
      </c>
      <c r="L387" s="166">
        <v>46135</v>
      </c>
      <c r="M387" s="157"/>
      <c r="N387" s="163" t="s">
        <v>795</v>
      </c>
      <c r="O387" s="166">
        <v>46136</v>
      </c>
      <c r="P387" s="163">
        <v>0</v>
      </c>
      <c r="Q387" s="128">
        <v>410</v>
      </c>
      <c r="R387" s="128">
        <v>89</v>
      </c>
      <c r="S387" s="128">
        <v>499</v>
      </c>
      <c r="T387" s="128">
        <v>499</v>
      </c>
      <c r="U387" s="128">
        <v>0</v>
      </c>
      <c r="V387" s="128">
        <v>0</v>
      </c>
      <c r="W387" s="169">
        <v>299.39999999999998</v>
      </c>
      <c r="X387" s="169">
        <v>303</v>
      </c>
      <c r="Y387" s="169">
        <v>2070359.98</v>
      </c>
      <c r="Z387" s="165"/>
      <c r="AA387" s="169">
        <v>51759</v>
      </c>
      <c r="AB387" s="169">
        <v>51759</v>
      </c>
      <c r="AC387" s="128">
        <v>2173877.98</v>
      </c>
      <c r="AD387" s="143">
        <f t="shared" si="243"/>
        <v>2171704.1020200001</v>
      </c>
      <c r="AE387" s="147">
        <v>40.369999999999997</v>
      </c>
      <c r="AF387" s="169">
        <v>39.9</v>
      </c>
      <c r="AG387" s="147">
        <v>40.25</v>
      </c>
      <c r="AH387" s="170">
        <v>3.0999999999999999E-3</v>
      </c>
      <c r="AI387" s="170">
        <v>3.6499999999999998E-2</v>
      </c>
      <c r="AJ387" s="170">
        <v>5.0999999999999997E-2</v>
      </c>
      <c r="AK387" s="137">
        <f t="shared" si="259"/>
        <v>0</v>
      </c>
      <c r="AL387" s="136">
        <v>0</v>
      </c>
      <c r="AM387" s="136"/>
      <c r="AN387" s="165">
        <v>0</v>
      </c>
      <c r="AO387" s="140">
        <f t="shared" si="260"/>
        <v>0</v>
      </c>
      <c r="AP387" s="136"/>
      <c r="AQ387" s="137">
        <v>0</v>
      </c>
      <c r="AR387" s="155">
        <f t="shared" si="261"/>
        <v>0</v>
      </c>
      <c r="AS387" s="155">
        <f t="shared" si="262"/>
        <v>0</v>
      </c>
      <c r="AT387" s="137">
        <v>0</v>
      </c>
      <c r="AU387" s="136" t="s">
        <v>664</v>
      </c>
      <c r="AV387" s="136"/>
      <c r="AW387" s="137">
        <f t="shared" si="248"/>
        <v>29939.999999999996</v>
      </c>
      <c r="AX387" s="136"/>
      <c r="AY387" s="137">
        <f t="shared" si="249"/>
        <v>29939.999999999996</v>
      </c>
      <c r="AZ387" s="137">
        <f t="shared" si="250"/>
        <v>30300</v>
      </c>
      <c r="BA387" s="142">
        <f t="shared" si="251"/>
        <v>-360.00000000000364</v>
      </c>
      <c r="BB387" s="137"/>
      <c r="BC387" s="137">
        <v>0</v>
      </c>
      <c r="BD387" s="136"/>
      <c r="BE387" s="128">
        <v>302.8</v>
      </c>
      <c r="BF387" s="143">
        <f t="shared" si="252"/>
        <v>0.45419999999999999</v>
      </c>
      <c r="BG387" s="143">
        <f t="shared" si="253"/>
        <v>302.3458</v>
      </c>
      <c r="BH387" s="143">
        <f t="shared" si="254"/>
        <v>303</v>
      </c>
      <c r="BI387" s="144">
        <f t="shared" si="255"/>
        <v>-19.999999999998863</v>
      </c>
      <c r="BJ387" s="144">
        <v>0</v>
      </c>
      <c r="BK387" s="137">
        <f t="shared" si="256"/>
        <v>-19.999999999998863</v>
      </c>
      <c r="BL387" s="18"/>
      <c r="BM387" s="25" t="str">
        <f t="shared" si="257"/>
        <v>Unloading no. 369 Bill No L/PB/26-27/58 ,Deduction For Oil Deduction= 0 ,Bardana= 0 ,F.M=  Brokerage/Rate Difference 0 ,Shortage = 0 ,Greenish=  ,Moisture= 0</v>
      </c>
      <c r="BN387" s="17"/>
      <c r="BO387" s="13" t="str">
        <f t="shared" ref="BO387:BO450" si="263">+" "&amp;$AF$1&amp;" "&amp;AF387&amp;" "&amp;" "&amp;$AH$1&amp;" "&amp;AH387*100&amp;" "&amp;$AI$1&amp;" "&amp;AI387*100&amp;" "&amp;$AJ$1&amp;" "&amp;AJ387*100&amp;" ,"&amp;$AT$1&amp;" "&amp;AT387&amp;" "&amp;IF(AE387&gt;AG387," ,Oil%"&amp;" "&amp;AG387," ,Oil%"&amp;" "&amp;AE387)</f>
        <v xml:space="preserve"> Party Condition 39.9  ,F.M% 0.31 ,Greenish 3.65 ,Moisture 5.1 ,Shortage in KG= 0  ,Oil% 40.25</v>
      </c>
      <c r="BP387" s="19">
        <f t="shared" si="258"/>
        <v>6832.8712211221118</v>
      </c>
      <c r="BX387" s="27">
        <v>40.369999999999997</v>
      </c>
      <c r="BY387" s="27">
        <v>40.25</v>
      </c>
    </row>
    <row r="388" spans="1:77" s="26" customFormat="1" ht="14.25" hidden="1" x14ac:dyDescent="0.3">
      <c r="A388" s="128" t="s">
        <v>752</v>
      </c>
      <c r="B388" s="166">
        <v>46135</v>
      </c>
      <c r="C388" s="187">
        <v>370</v>
      </c>
      <c r="D388" s="163" t="s">
        <v>840</v>
      </c>
      <c r="E388" s="166">
        <v>46138</v>
      </c>
      <c r="F388" s="163" t="s">
        <v>95</v>
      </c>
      <c r="G388" s="163" t="s">
        <v>96</v>
      </c>
      <c r="H388" s="163" t="s">
        <v>97</v>
      </c>
      <c r="I388" s="157"/>
      <c r="J388" s="163" t="s">
        <v>113</v>
      </c>
      <c r="K388" s="163">
        <v>0</v>
      </c>
      <c r="L388" s="166">
        <v>46135</v>
      </c>
      <c r="M388" s="157"/>
      <c r="N388" s="163">
        <v>122</v>
      </c>
      <c r="O388" s="166">
        <v>46136</v>
      </c>
      <c r="P388" s="163">
        <v>0</v>
      </c>
      <c r="Q388" s="128">
        <v>360</v>
      </c>
      <c r="R388" s="128">
        <v>71</v>
      </c>
      <c r="S388" s="128">
        <v>431</v>
      </c>
      <c r="T388" s="128">
        <v>431</v>
      </c>
      <c r="U388" s="128">
        <v>0</v>
      </c>
      <c r="V388" s="128">
        <v>0</v>
      </c>
      <c r="W388" s="169">
        <v>258.60000000000002</v>
      </c>
      <c r="X388" s="169">
        <v>261.89999999999998</v>
      </c>
      <c r="Y388" s="169">
        <v>1790639.5</v>
      </c>
      <c r="Z388" s="165"/>
      <c r="AA388" s="169">
        <v>44765.99</v>
      </c>
      <c r="AB388" s="169">
        <v>44765.99</v>
      </c>
      <c r="AC388" s="128">
        <v>1880171.48</v>
      </c>
      <c r="AD388" s="143">
        <f t="shared" si="243"/>
        <v>1878291.30852</v>
      </c>
      <c r="AE388" s="147">
        <v>40.200000000000003</v>
      </c>
      <c r="AF388" s="169">
        <v>40.08</v>
      </c>
      <c r="AG388" s="147">
        <v>40.130000000000003</v>
      </c>
      <c r="AH388" s="170">
        <v>3.3E-3</v>
      </c>
      <c r="AI388" s="170">
        <v>3.5900000000000001E-2</v>
      </c>
      <c r="AJ388" s="170">
        <v>4.9000000000000002E-2</v>
      </c>
      <c r="AK388" s="137">
        <f t="shared" si="259"/>
        <v>0</v>
      </c>
      <c r="AL388" s="136">
        <v>0</v>
      </c>
      <c r="AM388" s="136"/>
      <c r="AN388" s="165">
        <v>0</v>
      </c>
      <c r="AO388" s="140">
        <f t="shared" si="260"/>
        <v>0</v>
      </c>
      <c r="AP388" s="136"/>
      <c r="AQ388" s="137">
        <v>0</v>
      </c>
      <c r="AR388" s="155">
        <f t="shared" si="261"/>
        <v>0</v>
      </c>
      <c r="AS388" s="155">
        <f t="shared" si="262"/>
        <v>0</v>
      </c>
      <c r="AT388" s="137">
        <v>0</v>
      </c>
      <c r="AU388" s="136" t="s">
        <v>664</v>
      </c>
      <c r="AV388" s="136"/>
      <c r="AW388" s="137">
        <f t="shared" si="248"/>
        <v>25860.000000000004</v>
      </c>
      <c r="AX388" s="136"/>
      <c r="AY388" s="137">
        <f t="shared" si="249"/>
        <v>25860.000000000004</v>
      </c>
      <c r="AZ388" s="137">
        <f t="shared" si="250"/>
        <v>26189.999999999996</v>
      </c>
      <c r="BA388" s="142">
        <f t="shared" si="251"/>
        <v>-329.99999999999272</v>
      </c>
      <c r="BB388" s="137"/>
      <c r="BC388" s="137">
        <v>0</v>
      </c>
      <c r="BD388" s="136"/>
      <c r="BE388" s="128">
        <v>261.8</v>
      </c>
      <c r="BF388" s="143">
        <f t="shared" si="252"/>
        <v>0.39270000000000005</v>
      </c>
      <c r="BG388" s="143">
        <f t="shared" si="253"/>
        <v>261.40730000000002</v>
      </c>
      <c r="BH388" s="143">
        <f t="shared" si="254"/>
        <v>261.89999999999998</v>
      </c>
      <c r="BI388" s="144">
        <f t="shared" si="255"/>
        <v>-9.9999999999965894</v>
      </c>
      <c r="BJ388" s="144">
        <v>0</v>
      </c>
      <c r="BK388" s="137">
        <f t="shared" si="256"/>
        <v>-9.9999999999965894</v>
      </c>
      <c r="BL388" s="18"/>
      <c r="BM388" s="25" t="str">
        <f t="shared" si="257"/>
        <v>Unloading no. 370 Bill No 122 ,Deduction For Oil Deduction= 0 ,Bardana= 0 ,F.M=  Brokerage/Rate Difference 0 ,Shortage = 0 ,Greenish=  ,Moisture= 0</v>
      </c>
      <c r="BN388" s="17"/>
      <c r="BO388" s="13" t="str">
        <f t="shared" si="263"/>
        <v xml:space="preserve"> Party Condition 40.08  ,F.M% 0.33 ,Greenish 3.59 ,Moisture 4.9 ,Shortage in KG= 0  ,Oil% 40.13</v>
      </c>
      <c r="BP388" s="19">
        <f t="shared" si="258"/>
        <v>6837.1114929362357</v>
      </c>
      <c r="BX388" s="27">
        <v>40.200000000000003</v>
      </c>
      <c r="BY388" s="27">
        <v>40.130000000000003</v>
      </c>
    </row>
    <row r="389" spans="1:77" s="26" customFormat="1" ht="27" hidden="1" x14ac:dyDescent="0.3">
      <c r="A389" s="128" t="s">
        <v>759</v>
      </c>
      <c r="B389" s="130">
        <v>46135</v>
      </c>
      <c r="C389" s="138">
        <v>371</v>
      </c>
      <c r="D389" s="128" t="s">
        <v>841</v>
      </c>
      <c r="E389" s="130">
        <v>46138</v>
      </c>
      <c r="F389" s="128" t="s">
        <v>203</v>
      </c>
      <c r="G389" s="128" t="s">
        <v>204</v>
      </c>
      <c r="H389" s="128" t="s">
        <v>205</v>
      </c>
      <c r="I389" s="136"/>
      <c r="J389" s="128" t="s">
        <v>113</v>
      </c>
      <c r="K389" s="128">
        <v>0</v>
      </c>
      <c r="L389" s="130">
        <v>46135</v>
      </c>
      <c r="M389" s="136"/>
      <c r="N389" s="128">
        <v>6</v>
      </c>
      <c r="O389" s="130">
        <v>46135</v>
      </c>
      <c r="P389" s="128">
        <v>0</v>
      </c>
      <c r="Q389" s="128">
        <v>150</v>
      </c>
      <c r="R389" s="128">
        <v>89</v>
      </c>
      <c r="S389" s="128">
        <v>239</v>
      </c>
      <c r="T389" s="128">
        <v>239</v>
      </c>
      <c r="U389" s="128">
        <v>0</v>
      </c>
      <c r="V389" s="128">
        <v>0</v>
      </c>
      <c r="W389" s="169">
        <v>143.4</v>
      </c>
      <c r="X389" s="169">
        <v>144.9</v>
      </c>
      <c r="Y389" s="169">
        <v>993796.89</v>
      </c>
      <c r="Z389" s="165"/>
      <c r="AA389" s="169">
        <v>24844.92</v>
      </c>
      <c r="AB389" s="169">
        <v>24844.92</v>
      </c>
      <c r="AC389" s="128">
        <v>1043486.74</v>
      </c>
      <c r="AD389" s="143">
        <f t="shared" si="243"/>
        <v>1042443.25326</v>
      </c>
      <c r="AE389" s="147">
        <v>40.770000000000003</v>
      </c>
      <c r="AF389" s="169">
        <v>40.1</v>
      </c>
      <c r="AG389" s="147">
        <v>40.61</v>
      </c>
      <c r="AH389" s="170">
        <v>2.5000000000000001E-3</v>
      </c>
      <c r="AI389" s="170">
        <v>4.3999999999999997E-2</v>
      </c>
      <c r="AJ389" s="170">
        <v>4.5999999999999999E-2</v>
      </c>
      <c r="AK389" s="137">
        <f t="shared" si="259"/>
        <v>0</v>
      </c>
      <c r="AL389" s="136">
        <f>239*5</f>
        <v>1195</v>
      </c>
      <c r="AM389" s="136"/>
      <c r="AN389" s="165">
        <v>0</v>
      </c>
      <c r="AO389" s="140">
        <f t="shared" si="260"/>
        <v>415.81459832635983</v>
      </c>
      <c r="AP389" s="136"/>
      <c r="AQ389" s="137">
        <v>0</v>
      </c>
      <c r="AR389" s="155">
        <f t="shared" si="261"/>
        <v>1610.8145983263598</v>
      </c>
      <c r="AS389" s="155">
        <f t="shared" si="262"/>
        <v>1691</v>
      </c>
      <c r="AT389" s="137">
        <v>6</v>
      </c>
      <c r="AU389" s="136" t="s">
        <v>664</v>
      </c>
      <c r="AV389" s="136"/>
      <c r="AW389" s="137">
        <f t="shared" si="248"/>
        <v>14340</v>
      </c>
      <c r="AX389" s="136"/>
      <c r="AY389" s="137">
        <f t="shared" si="249"/>
        <v>14340</v>
      </c>
      <c r="AZ389" s="137">
        <f t="shared" si="250"/>
        <v>14490</v>
      </c>
      <c r="BA389" s="142">
        <f t="shared" si="251"/>
        <v>-150</v>
      </c>
      <c r="BB389" s="137"/>
      <c r="BC389" s="137">
        <v>0</v>
      </c>
      <c r="BD389" s="136"/>
      <c r="BE389" s="128">
        <v>145.30000000000001</v>
      </c>
      <c r="BF389" s="143">
        <f t="shared" si="252"/>
        <v>0.21795</v>
      </c>
      <c r="BG389" s="143">
        <f t="shared" si="253"/>
        <v>145.08205000000001</v>
      </c>
      <c r="BH389" s="143">
        <f t="shared" si="254"/>
        <v>144.9</v>
      </c>
      <c r="BI389" s="144">
        <f t="shared" si="255"/>
        <v>40.000000000000568</v>
      </c>
      <c r="BJ389" s="144">
        <v>0</v>
      </c>
      <c r="BK389" s="137">
        <f t="shared" si="256"/>
        <v>40.000000000000568</v>
      </c>
      <c r="BL389" s="18"/>
      <c r="BM389" s="25" t="str">
        <f t="shared" si="257"/>
        <v>Unloading no. 371 Bill No 6 ,Deduction For Oil Deduction= 0 ,Bardana= 1195 ,F.M=  Brokerage/Rate Difference 0 ,Shortage = 415.81459832636 ,Greenish=  ,Moisture= 0</v>
      </c>
      <c r="BN389" s="17"/>
      <c r="BO389" s="13" t="str">
        <f t="shared" si="263"/>
        <v xml:space="preserve"> Party Condition 40.1  ,F.M% 0.25 ,Greenish 4.4 ,Moisture 4.6 ,Shortage in KG= 6  ,Oil% 40.61</v>
      </c>
      <c r="BP389" s="19">
        <f t="shared" si="258"/>
        <v>6847.3849234069958</v>
      </c>
      <c r="BX389" s="27">
        <v>40.770000000000003</v>
      </c>
      <c r="BY389" s="27">
        <v>40.61</v>
      </c>
    </row>
    <row r="390" spans="1:77" s="26" customFormat="1" ht="14.25" hidden="1" x14ac:dyDescent="0.3">
      <c r="A390" s="128" t="s">
        <v>758</v>
      </c>
      <c r="B390" s="130">
        <v>46135</v>
      </c>
      <c r="C390" s="138">
        <v>372</v>
      </c>
      <c r="D390" s="128" t="s">
        <v>842</v>
      </c>
      <c r="E390" s="130">
        <v>46139</v>
      </c>
      <c r="F390" s="128" t="s">
        <v>101</v>
      </c>
      <c r="G390" s="128" t="s">
        <v>102</v>
      </c>
      <c r="H390" s="128" t="s">
        <v>103</v>
      </c>
      <c r="I390" s="136"/>
      <c r="J390" s="128" t="s">
        <v>113</v>
      </c>
      <c r="K390" s="128">
        <v>0</v>
      </c>
      <c r="L390" s="130">
        <v>46135</v>
      </c>
      <c r="M390" s="136"/>
      <c r="N390" s="128" t="s">
        <v>796</v>
      </c>
      <c r="O390" s="130">
        <v>46136</v>
      </c>
      <c r="P390" s="128">
        <v>0</v>
      </c>
      <c r="Q390" s="128">
        <v>600</v>
      </c>
      <c r="R390" s="128">
        <v>97</v>
      </c>
      <c r="S390" s="128">
        <v>697</v>
      </c>
      <c r="T390" s="128">
        <v>697</v>
      </c>
      <c r="U390" s="128">
        <v>0</v>
      </c>
      <c r="V390" s="128">
        <v>0</v>
      </c>
      <c r="W390" s="169">
        <v>418.2</v>
      </c>
      <c r="X390" s="169">
        <v>423.9</v>
      </c>
      <c r="Y390" s="169">
        <v>2895350.55</v>
      </c>
      <c r="Z390" s="136"/>
      <c r="AA390" s="128">
        <v>72383.759999999995</v>
      </c>
      <c r="AB390" s="128">
        <v>72383.759999999995</v>
      </c>
      <c r="AC390" s="128">
        <v>3040118.08</v>
      </c>
      <c r="AD390" s="143">
        <f t="shared" si="243"/>
        <v>3037077.9619200001</v>
      </c>
      <c r="AE390" s="147">
        <v>40.58</v>
      </c>
      <c r="AF390" s="169">
        <v>39.9</v>
      </c>
      <c r="AG390" s="147">
        <v>40.44</v>
      </c>
      <c r="AH390" s="170">
        <v>2.5999999999999999E-3</v>
      </c>
      <c r="AI390" s="170">
        <v>3.4500000000000003E-2</v>
      </c>
      <c r="AJ390" s="170">
        <v>4.4999999999999998E-2</v>
      </c>
      <c r="AK390" s="137">
        <f t="shared" si="259"/>
        <v>0</v>
      </c>
      <c r="AL390" s="136">
        <v>0</v>
      </c>
      <c r="AM390" s="136"/>
      <c r="AN390" s="165">
        <v>0</v>
      </c>
      <c r="AO390" s="140">
        <f t="shared" si="260"/>
        <v>0</v>
      </c>
      <c r="AP390" s="136"/>
      <c r="AQ390" s="137">
        <v>0</v>
      </c>
      <c r="AR390" s="155">
        <f t="shared" si="261"/>
        <v>0</v>
      </c>
      <c r="AS390" s="155">
        <f t="shared" si="262"/>
        <v>0</v>
      </c>
      <c r="AT390" s="137">
        <v>0</v>
      </c>
      <c r="AU390" s="136"/>
      <c r="AV390" s="136"/>
      <c r="AW390" s="137">
        <f t="shared" si="248"/>
        <v>41820</v>
      </c>
      <c r="AX390" s="136"/>
      <c r="AY390" s="137">
        <f t="shared" si="249"/>
        <v>41820</v>
      </c>
      <c r="AZ390" s="137">
        <f t="shared" si="250"/>
        <v>42390</v>
      </c>
      <c r="BA390" s="142">
        <f t="shared" si="251"/>
        <v>-570</v>
      </c>
      <c r="BB390" s="137"/>
      <c r="BC390" s="137">
        <v>0</v>
      </c>
      <c r="BD390" s="136"/>
      <c r="BE390" s="128">
        <v>424.3</v>
      </c>
      <c r="BF390" s="143">
        <f t="shared" si="252"/>
        <v>0.63644999999999996</v>
      </c>
      <c r="BG390" s="143">
        <f t="shared" si="253"/>
        <v>423.66354999999999</v>
      </c>
      <c r="BH390" s="143">
        <f t="shared" si="254"/>
        <v>423.9</v>
      </c>
      <c r="BI390" s="144">
        <f t="shared" si="255"/>
        <v>40.000000000003411</v>
      </c>
      <c r="BJ390" s="144">
        <v>0</v>
      </c>
      <c r="BK390" s="137">
        <f t="shared" si="256"/>
        <v>40.000000000003411</v>
      </c>
      <c r="BL390" s="18"/>
      <c r="BM390" s="25" t="str">
        <f t="shared" si="257"/>
        <v>Unloading no. 372 Bill No L/PB/26-27/56 ,Deduction For Oil Deduction= 0 ,Bardana= 0 ,F.M=  Brokerage/Rate Difference 0 ,Shortage = 0 ,Greenish=  ,Moisture= 0</v>
      </c>
      <c r="BN390" s="17"/>
      <c r="BO390" s="13" t="str">
        <f t="shared" si="263"/>
        <v xml:space="preserve"> Party Condition 39.9  ,F.M% 0.26 ,Greenish 3.45 ,Moisture 4.5 ,Shortage in KG= 0  ,Oil% 40.44</v>
      </c>
      <c r="BP390" s="19">
        <f t="shared" si="258"/>
        <v>6830.2678697806086</v>
      </c>
      <c r="BX390" s="27">
        <v>40.58</v>
      </c>
      <c r="BY390" s="27">
        <v>40.44</v>
      </c>
    </row>
    <row r="391" spans="1:77" s="26" customFormat="1" ht="14.25" hidden="1" x14ac:dyDescent="0.3">
      <c r="A391" s="128" t="s">
        <v>758</v>
      </c>
      <c r="B391" s="130">
        <v>46135</v>
      </c>
      <c r="C391" s="138">
        <v>373</v>
      </c>
      <c r="D391" s="128" t="s">
        <v>843</v>
      </c>
      <c r="E391" s="130">
        <v>46139</v>
      </c>
      <c r="F391" s="128" t="s">
        <v>101</v>
      </c>
      <c r="G391" s="128" t="s">
        <v>102</v>
      </c>
      <c r="H391" s="128" t="s">
        <v>103</v>
      </c>
      <c r="I391" s="136"/>
      <c r="J391" s="128" t="s">
        <v>113</v>
      </c>
      <c r="K391" s="128">
        <v>0</v>
      </c>
      <c r="L391" s="130">
        <v>46135</v>
      </c>
      <c r="M391" s="136"/>
      <c r="N391" s="128" t="s">
        <v>797</v>
      </c>
      <c r="O391" s="130">
        <v>46136</v>
      </c>
      <c r="P391" s="128">
        <v>0</v>
      </c>
      <c r="Q391" s="128">
        <v>550</v>
      </c>
      <c r="R391" s="128">
        <v>75</v>
      </c>
      <c r="S391" s="128">
        <v>625</v>
      </c>
      <c r="T391" s="128">
        <v>625</v>
      </c>
      <c r="U391" s="128">
        <v>0</v>
      </c>
      <c r="V391" s="128">
        <v>0</v>
      </c>
      <c r="W391" s="169">
        <v>375</v>
      </c>
      <c r="X391" s="169">
        <v>380.1</v>
      </c>
      <c r="Y391" s="169">
        <v>2593136.25</v>
      </c>
      <c r="Z391" s="136"/>
      <c r="AA391" s="128">
        <v>64828.41</v>
      </c>
      <c r="AB391" s="128">
        <v>64828.41</v>
      </c>
      <c r="AC391" s="128">
        <v>2722793.06</v>
      </c>
      <c r="AD391" s="143">
        <f t="shared" si="243"/>
        <v>2720070.26694</v>
      </c>
      <c r="AE391" s="147">
        <v>39.72</v>
      </c>
      <c r="AF391" s="169">
        <v>39.9</v>
      </c>
      <c r="AG391" s="147">
        <v>40</v>
      </c>
      <c r="AH391" s="170">
        <v>3.5999999999999999E-3</v>
      </c>
      <c r="AI391" s="170">
        <v>3.5000000000000003E-2</v>
      </c>
      <c r="AJ391" s="170">
        <v>4.3999999999999997E-2</v>
      </c>
      <c r="AK391" s="137">
        <v>0</v>
      </c>
      <c r="AL391" s="136">
        <v>0</v>
      </c>
      <c r="AM391" s="136"/>
      <c r="AN391" s="165">
        <v>0</v>
      </c>
      <c r="AO391" s="140">
        <f t="shared" si="260"/>
        <v>0</v>
      </c>
      <c r="AP391" s="136"/>
      <c r="AQ391" s="137">
        <v>0</v>
      </c>
      <c r="AR391" s="155">
        <f t="shared" si="261"/>
        <v>0</v>
      </c>
      <c r="AS391" s="155">
        <f t="shared" si="262"/>
        <v>0</v>
      </c>
      <c r="AT391" s="137">
        <v>0</v>
      </c>
      <c r="AU391" s="136" t="s">
        <v>664</v>
      </c>
      <c r="AV391" s="136"/>
      <c r="AW391" s="137">
        <f t="shared" si="248"/>
        <v>37500</v>
      </c>
      <c r="AX391" s="136"/>
      <c r="AY391" s="137">
        <f t="shared" si="249"/>
        <v>37500</v>
      </c>
      <c r="AZ391" s="137">
        <f t="shared" si="250"/>
        <v>38010</v>
      </c>
      <c r="BA391" s="142">
        <f t="shared" si="251"/>
        <v>-510</v>
      </c>
      <c r="BB391" s="137"/>
      <c r="BC391" s="137">
        <v>0</v>
      </c>
      <c r="BD391" s="136"/>
      <c r="BE391" s="128">
        <v>380.3</v>
      </c>
      <c r="BF391" s="143">
        <f t="shared" si="252"/>
        <v>0.57045000000000001</v>
      </c>
      <c r="BG391" s="143">
        <f t="shared" si="253"/>
        <v>379.72955000000002</v>
      </c>
      <c r="BH391" s="143">
        <f t="shared" si="254"/>
        <v>380.1</v>
      </c>
      <c r="BI391" s="144">
        <f t="shared" si="255"/>
        <v>19.999999999998863</v>
      </c>
      <c r="BJ391" s="144">
        <v>0</v>
      </c>
      <c r="BK391" s="137">
        <f t="shared" si="256"/>
        <v>19.999999999998863</v>
      </c>
      <c r="BL391" s="18"/>
      <c r="BM391" s="25" t="str">
        <f t="shared" si="257"/>
        <v>Unloading no. 373 Bill No L/PB/26-27/61 ,Deduction For Oil Deduction= 0 ,Bardana= 0 ,F.M=  Brokerage/Rate Difference 0 ,Shortage = 0 ,Greenish=  ,Moisture= 0</v>
      </c>
      <c r="BN391" s="17"/>
      <c r="BO391" s="13" t="str">
        <f t="shared" si="263"/>
        <v xml:space="preserve"> Party Condition 39.9  ,F.M% 0.36 ,Greenish 3.5 ,Moisture 4.4 ,Shortage in KG= 0  ,Oil% 39.72</v>
      </c>
      <c r="BP391" s="19">
        <f t="shared" si="258"/>
        <v>6822.2474348855558</v>
      </c>
      <c r="BX391" s="27">
        <v>39.72</v>
      </c>
      <c r="BY391" s="27">
        <v>40</v>
      </c>
    </row>
    <row r="392" spans="1:77" s="26" customFormat="1" ht="14.25" hidden="1" x14ac:dyDescent="0.3">
      <c r="A392" s="128" t="s">
        <v>760</v>
      </c>
      <c r="B392" s="130">
        <v>46197</v>
      </c>
      <c r="C392" s="138">
        <v>374</v>
      </c>
      <c r="D392" s="128" t="s">
        <v>844</v>
      </c>
      <c r="E392" s="130">
        <v>46139</v>
      </c>
      <c r="F392" s="128" t="s">
        <v>110</v>
      </c>
      <c r="G392" s="128" t="s">
        <v>111</v>
      </c>
      <c r="H392" s="128" t="s">
        <v>112</v>
      </c>
      <c r="I392" s="136"/>
      <c r="J392" s="128" t="s">
        <v>113</v>
      </c>
      <c r="K392" s="128">
        <v>0</v>
      </c>
      <c r="L392" s="130">
        <v>46197</v>
      </c>
      <c r="M392" s="136"/>
      <c r="N392" s="128" t="s">
        <v>798</v>
      </c>
      <c r="O392" s="130">
        <v>46136</v>
      </c>
      <c r="P392" s="128">
        <v>0</v>
      </c>
      <c r="Q392" s="128">
        <v>322</v>
      </c>
      <c r="R392" s="128">
        <v>0</v>
      </c>
      <c r="S392" s="128">
        <v>322</v>
      </c>
      <c r="T392" s="128">
        <v>322</v>
      </c>
      <c r="U392" s="128">
        <v>0</v>
      </c>
      <c r="V392" s="128">
        <v>0</v>
      </c>
      <c r="W392" s="169">
        <v>193.2</v>
      </c>
      <c r="X392" s="169">
        <v>196.2</v>
      </c>
      <c r="Y392" s="169">
        <v>1309574</v>
      </c>
      <c r="Z392" s="136"/>
      <c r="AA392" s="128">
        <v>32739.35</v>
      </c>
      <c r="AB392" s="128">
        <v>32739.35</v>
      </c>
      <c r="AC392" s="128">
        <v>1375052.7</v>
      </c>
      <c r="AD392" s="143">
        <f t="shared" si="243"/>
        <v>1373677.6473000001</v>
      </c>
      <c r="AE392" s="147">
        <v>40.04</v>
      </c>
      <c r="AF392" s="169">
        <v>39.479999999999997</v>
      </c>
      <c r="AG392" s="147">
        <v>39.82</v>
      </c>
      <c r="AH392" s="170">
        <v>3.8999999999999998E-3</v>
      </c>
      <c r="AI392" s="170">
        <v>3.5999999999999997E-2</v>
      </c>
      <c r="AJ392" s="170">
        <v>4.4999999999999998E-2</v>
      </c>
      <c r="AK392" s="137">
        <f t="shared" si="259"/>
        <v>0</v>
      </c>
      <c r="AL392" s="136">
        <f>322*5</f>
        <v>1610</v>
      </c>
      <c r="AM392" s="136"/>
      <c r="AN392" s="165">
        <v>0</v>
      </c>
      <c r="AO392" s="140">
        <f t="shared" si="260"/>
        <v>0</v>
      </c>
      <c r="AP392" s="136"/>
      <c r="AQ392" s="137">
        <v>0</v>
      </c>
      <c r="AR392" s="155">
        <f t="shared" si="261"/>
        <v>1610</v>
      </c>
      <c r="AS392" s="155">
        <f t="shared" si="262"/>
        <v>1691</v>
      </c>
      <c r="AT392" s="137">
        <v>0</v>
      </c>
      <c r="AU392" s="136" t="s">
        <v>664</v>
      </c>
      <c r="AV392" s="136"/>
      <c r="AW392" s="137">
        <f t="shared" si="248"/>
        <v>19320</v>
      </c>
      <c r="AX392" s="136"/>
      <c r="AY392" s="137">
        <f t="shared" si="249"/>
        <v>19320</v>
      </c>
      <c r="AZ392" s="137">
        <f t="shared" si="250"/>
        <v>19620</v>
      </c>
      <c r="BA392" s="142">
        <f t="shared" si="251"/>
        <v>-300</v>
      </c>
      <c r="BB392" s="137"/>
      <c r="BC392" s="137">
        <v>0</v>
      </c>
      <c r="BD392" s="136"/>
      <c r="BE392" s="128">
        <v>196.1</v>
      </c>
      <c r="BF392" s="143">
        <f t="shared" si="252"/>
        <v>0.29414999999999997</v>
      </c>
      <c r="BG392" s="143">
        <f t="shared" si="253"/>
        <v>195.80584999999999</v>
      </c>
      <c r="BH392" s="143">
        <f t="shared" si="254"/>
        <v>196.2</v>
      </c>
      <c r="BI392" s="144">
        <f t="shared" si="255"/>
        <v>-9.9999999999994316</v>
      </c>
      <c r="BJ392" s="144">
        <v>0</v>
      </c>
      <c r="BK392" s="137">
        <f t="shared" si="256"/>
        <v>-9.9999999999994316</v>
      </c>
      <c r="BL392" s="18"/>
      <c r="BM392" s="25" t="str">
        <f t="shared" si="257"/>
        <v>Unloading no. 374 Bill No G1672 ,Deduction For Oil Deduction= 0 ,Bardana= 1610 ,F.M=  Brokerage/Rate Difference 0 ,Shortage = 0 ,Greenish=  ,Moisture= 0</v>
      </c>
      <c r="BN392" s="17"/>
      <c r="BO392" s="13" t="str">
        <f t="shared" si="263"/>
        <v xml:space="preserve"> Party Condition 39.48  ,F.M% 0.39 ,Greenish 3.6 ,Moisture 4.5 ,Shortage in KG= 0  ,Oil% 39.82</v>
      </c>
      <c r="BP392" s="19">
        <f t="shared" si="258"/>
        <v>6666.4831804281348</v>
      </c>
      <c r="BX392" s="27">
        <v>40.04</v>
      </c>
      <c r="BY392" s="27">
        <v>39.82</v>
      </c>
    </row>
    <row r="393" spans="1:77" s="26" customFormat="1" ht="27" hidden="1" x14ac:dyDescent="0.3">
      <c r="A393" s="128" t="s">
        <v>761</v>
      </c>
      <c r="B393" s="130">
        <v>46197</v>
      </c>
      <c r="C393" s="138">
        <v>375</v>
      </c>
      <c r="D393" s="128" t="s">
        <v>845</v>
      </c>
      <c r="E393" s="130">
        <v>46139</v>
      </c>
      <c r="F393" s="128" t="s">
        <v>203</v>
      </c>
      <c r="G393" s="128" t="s">
        <v>204</v>
      </c>
      <c r="H393" s="128" t="s">
        <v>205</v>
      </c>
      <c r="I393" s="136"/>
      <c r="J393" s="128" t="s">
        <v>113</v>
      </c>
      <c r="K393" s="128">
        <v>0</v>
      </c>
      <c r="L393" s="130">
        <v>46197</v>
      </c>
      <c r="M393" s="136"/>
      <c r="N393" s="128">
        <v>7</v>
      </c>
      <c r="O393" s="130">
        <v>46136</v>
      </c>
      <c r="P393" s="128">
        <v>0</v>
      </c>
      <c r="Q393" s="128">
        <v>400</v>
      </c>
      <c r="R393" s="128">
        <v>70</v>
      </c>
      <c r="S393" s="128">
        <v>470</v>
      </c>
      <c r="T393" s="128">
        <v>470</v>
      </c>
      <c r="U393" s="128">
        <v>0</v>
      </c>
      <c r="V393" s="128">
        <v>0</v>
      </c>
      <c r="W393" s="169">
        <v>282</v>
      </c>
      <c r="X393" s="169">
        <v>285.60000000000002</v>
      </c>
      <c r="Y393" s="169">
        <v>1941204.34</v>
      </c>
      <c r="Z393" s="136"/>
      <c r="AA393" s="128">
        <v>48530.11</v>
      </c>
      <c r="AB393" s="128">
        <v>48530.11</v>
      </c>
      <c r="AC393" s="128">
        <v>2038264.56</v>
      </c>
      <c r="AD393" s="143">
        <f t="shared" si="243"/>
        <v>2036226.29544</v>
      </c>
      <c r="AE393" s="147">
        <v>40.54</v>
      </c>
      <c r="AF393" s="169">
        <v>39.700000000000003</v>
      </c>
      <c r="AG393" s="147">
        <v>40.44</v>
      </c>
      <c r="AH393" s="170">
        <v>3.5000000000000001E-3</v>
      </c>
      <c r="AI393" s="170">
        <v>3.78E-2</v>
      </c>
      <c r="AJ393" s="170">
        <v>4.9000000000000002E-2</v>
      </c>
      <c r="AK393" s="137">
        <f t="shared" si="259"/>
        <v>0</v>
      </c>
      <c r="AL393" s="136">
        <f>470*5</f>
        <v>2350</v>
      </c>
      <c r="AM393" s="136"/>
      <c r="AN393" s="165">
        <v>379.6</v>
      </c>
      <c r="AO393" s="140">
        <f t="shared" si="260"/>
        <v>0</v>
      </c>
      <c r="AP393" s="136"/>
      <c r="AQ393" s="137">
        <v>0</v>
      </c>
      <c r="AR393" s="155">
        <f t="shared" si="261"/>
        <v>2729.6</v>
      </c>
      <c r="AS393" s="155">
        <f t="shared" si="262"/>
        <v>2866</v>
      </c>
      <c r="AT393" s="137">
        <v>0</v>
      </c>
      <c r="AU393" s="136" t="s">
        <v>664</v>
      </c>
      <c r="AV393" s="136"/>
      <c r="AW393" s="137">
        <f t="shared" si="248"/>
        <v>28200</v>
      </c>
      <c r="AX393" s="136"/>
      <c r="AY393" s="137">
        <f t="shared" si="249"/>
        <v>28200</v>
      </c>
      <c r="AZ393" s="137">
        <f t="shared" si="250"/>
        <v>28560.000000000004</v>
      </c>
      <c r="BA393" s="142">
        <f t="shared" si="251"/>
        <v>-360.00000000000364</v>
      </c>
      <c r="BB393" s="137"/>
      <c r="BC393" s="137">
        <v>0</v>
      </c>
      <c r="BD393" s="136"/>
      <c r="BE393" s="128">
        <v>286.05</v>
      </c>
      <c r="BF393" s="143">
        <f t="shared" si="252"/>
        <v>0.42907499999999998</v>
      </c>
      <c r="BG393" s="143">
        <f t="shared" si="253"/>
        <v>285.620925</v>
      </c>
      <c r="BH393" s="143">
        <f t="shared" si="254"/>
        <v>285.60000000000002</v>
      </c>
      <c r="BI393" s="144">
        <f t="shared" si="255"/>
        <v>44.999999999998863</v>
      </c>
      <c r="BJ393" s="144">
        <v>0</v>
      </c>
      <c r="BK393" s="137">
        <f t="shared" si="256"/>
        <v>44.999999999998863</v>
      </c>
      <c r="BL393" s="18"/>
      <c r="BM393" s="25" t="str">
        <f t="shared" si="257"/>
        <v>Unloading no. 375 Bill No 7 ,Deduction For Oil Deduction= 0 ,Bardana= 2350 ,F.M=  Brokerage/Rate Difference 379.6 ,Shortage = 0 ,Greenish=  ,Moisture= 0</v>
      </c>
      <c r="BN393" s="17"/>
      <c r="BO393" s="13" t="str">
        <f t="shared" si="263"/>
        <v xml:space="preserve"> Party Condition 39.7  ,F.M% 0.35 ,Greenish 3.78 ,Moisture 4.9 ,Shortage in KG= 0  ,Oil% 40.44</v>
      </c>
      <c r="BP393" s="19">
        <f t="shared" si="258"/>
        <v>6787.3765406162456</v>
      </c>
      <c r="BX393" s="27">
        <v>40.54</v>
      </c>
      <c r="BY393" s="27">
        <v>40.44</v>
      </c>
    </row>
    <row r="394" spans="1:77" s="26" customFormat="1" ht="14.25" hidden="1" x14ac:dyDescent="0.3">
      <c r="A394" s="128" t="s">
        <v>762</v>
      </c>
      <c r="B394" s="130">
        <v>46135</v>
      </c>
      <c r="C394" s="138">
        <v>376</v>
      </c>
      <c r="D394" s="128" t="s">
        <v>846</v>
      </c>
      <c r="E394" s="130">
        <v>46139</v>
      </c>
      <c r="F394" s="128" t="s">
        <v>98</v>
      </c>
      <c r="G394" s="128" t="s">
        <v>99</v>
      </c>
      <c r="H394" s="128" t="s">
        <v>100</v>
      </c>
      <c r="I394" s="136"/>
      <c r="J394" s="128" t="s">
        <v>113</v>
      </c>
      <c r="K394" s="128">
        <v>0</v>
      </c>
      <c r="L394" s="130">
        <v>46135</v>
      </c>
      <c r="M394" s="136"/>
      <c r="N394" s="128">
        <v>86</v>
      </c>
      <c r="O394" s="130">
        <v>46136</v>
      </c>
      <c r="P394" s="128">
        <v>0</v>
      </c>
      <c r="Q394" s="128">
        <v>500</v>
      </c>
      <c r="R394" s="128">
        <v>97</v>
      </c>
      <c r="S394" s="128">
        <v>597</v>
      </c>
      <c r="T394" s="128">
        <v>597</v>
      </c>
      <c r="U394" s="128">
        <v>0</v>
      </c>
      <c r="V394" s="128">
        <v>0</v>
      </c>
      <c r="W394" s="169">
        <v>358.2</v>
      </c>
      <c r="X394" s="169">
        <v>361</v>
      </c>
      <c r="Y394" s="169">
        <v>2462673.9500000002</v>
      </c>
      <c r="Z394" s="136"/>
      <c r="AA394" s="128">
        <v>61566.85</v>
      </c>
      <c r="AB394" s="128">
        <v>61566.85</v>
      </c>
      <c r="AC394" s="128">
        <v>2585807.65</v>
      </c>
      <c r="AD394" s="143">
        <f t="shared" si="243"/>
        <v>2583221.84235</v>
      </c>
      <c r="AE394" s="147">
        <v>40.18</v>
      </c>
      <c r="AF394" s="169">
        <v>39.82</v>
      </c>
      <c r="AG394" s="147">
        <v>40.020000000000003</v>
      </c>
      <c r="AH394" s="170">
        <v>3.8E-3</v>
      </c>
      <c r="AI394" s="170">
        <v>3.6999999999999998E-2</v>
      </c>
      <c r="AJ394" s="170">
        <v>4.2999999999999997E-2</v>
      </c>
      <c r="AK394" s="137">
        <f t="shared" si="259"/>
        <v>0</v>
      </c>
      <c r="AL394" s="136">
        <f>597*5.5</f>
        <v>3283.5</v>
      </c>
      <c r="AM394" s="136"/>
      <c r="AN394" s="165">
        <v>0</v>
      </c>
      <c r="AO394" s="140">
        <f t="shared" si="260"/>
        <v>7631.4016876046917</v>
      </c>
      <c r="AP394" s="136"/>
      <c r="AQ394" s="137">
        <v>0</v>
      </c>
      <c r="AR394" s="155">
        <f t="shared" si="261"/>
        <v>10914.901687604692</v>
      </c>
      <c r="AS394" s="155">
        <f t="shared" si="262"/>
        <v>11461</v>
      </c>
      <c r="AT394" s="137">
        <v>111</v>
      </c>
      <c r="AU394" s="136" t="s">
        <v>664</v>
      </c>
      <c r="AV394" s="136"/>
      <c r="AW394" s="137">
        <f t="shared" si="248"/>
        <v>35820</v>
      </c>
      <c r="AX394" s="136"/>
      <c r="AY394" s="137">
        <f t="shared" si="249"/>
        <v>35820</v>
      </c>
      <c r="AZ394" s="137">
        <f t="shared" si="250"/>
        <v>36100</v>
      </c>
      <c r="BA394" s="142">
        <f t="shared" si="251"/>
        <v>-280</v>
      </c>
      <c r="BB394" s="137"/>
      <c r="BC394" s="137">
        <v>0</v>
      </c>
      <c r="BD394" s="136"/>
      <c r="BE394" s="128">
        <v>362.5</v>
      </c>
      <c r="BF394" s="143">
        <f t="shared" si="252"/>
        <v>0.54374999999999996</v>
      </c>
      <c r="BG394" s="143">
        <f t="shared" si="253"/>
        <v>361.95625000000001</v>
      </c>
      <c r="BH394" s="143">
        <f t="shared" si="254"/>
        <v>361</v>
      </c>
      <c r="BI394" s="144">
        <f t="shared" si="255"/>
        <v>150</v>
      </c>
      <c r="BJ394" s="144">
        <v>0</v>
      </c>
      <c r="BK394" s="137">
        <f t="shared" si="256"/>
        <v>150</v>
      </c>
      <c r="BL394" s="18"/>
      <c r="BM394" s="25" t="str">
        <f t="shared" si="257"/>
        <v>Unloading no. 376 Bill No 86 ,Deduction For Oil Deduction= 0 ,Bardana= 3283.5 ,F.M=  Brokerage/Rate Difference 0 ,Shortage = 7631.40168760469 ,Greenish=  ,Moisture= 0</v>
      </c>
      <c r="BN394" s="17"/>
      <c r="BO394" s="13" t="str">
        <f t="shared" si="263"/>
        <v xml:space="preserve"> Party Condition 39.82  ,F.M% 0.38 ,Greenish 3.7 ,Moisture 4.3 ,Shortage in KG= 111  ,Oil% 40.02</v>
      </c>
      <c r="BP394" s="19">
        <f t="shared" si="258"/>
        <v>6791.5763111146689</v>
      </c>
      <c r="BX394" s="27">
        <v>40.18</v>
      </c>
      <c r="BY394" s="27">
        <v>40.020000000000003</v>
      </c>
    </row>
    <row r="395" spans="1:77" s="26" customFormat="1" ht="14.25" hidden="1" x14ac:dyDescent="0.3">
      <c r="A395" s="163" t="s">
        <v>758</v>
      </c>
      <c r="B395" s="166">
        <v>46135</v>
      </c>
      <c r="C395" s="187">
        <v>377</v>
      </c>
      <c r="D395" s="163" t="s">
        <v>847</v>
      </c>
      <c r="E395" s="166">
        <v>46139</v>
      </c>
      <c r="F395" s="163" t="s">
        <v>101</v>
      </c>
      <c r="G395" s="163" t="s">
        <v>102</v>
      </c>
      <c r="H395" s="163" t="s">
        <v>103</v>
      </c>
      <c r="I395" s="157"/>
      <c r="J395" s="163" t="s">
        <v>113</v>
      </c>
      <c r="K395" s="163">
        <v>0</v>
      </c>
      <c r="L395" s="166">
        <v>46135</v>
      </c>
      <c r="M395" s="157"/>
      <c r="N395" s="163" t="s">
        <v>799</v>
      </c>
      <c r="O395" s="166">
        <v>46136</v>
      </c>
      <c r="P395" s="163">
        <v>0</v>
      </c>
      <c r="Q395" s="163">
        <v>500</v>
      </c>
      <c r="R395" s="163">
        <v>25</v>
      </c>
      <c r="S395" s="163">
        <v>525</v>
      </c>
      <c r="T395" s="128">
        <v>525</v>
      </c>
      <c r="U395" s="128">
        <v>0</v>
      </c>
      <c r="V395" s="128">
        <v>0</v>
      </c>
      <c r="W395" s="169">
        <v>315</v>
      </c>
      <c r="X395" s="169">
        <v>319.3</v>
      </c>
      <c r="Y395" s="169">
        <v>2180859.4500000002</v>
      </c>
      <c r="Z395" s="136"/>
      <c r="AA395" s="128">
        <v>54521.49</v>
      </c>
      <c r="AB395" s="128">
        <v>54521.49</v>
      </c>
      <c r="AC395" s="128">
        <v>2289902.42</v>
      </c>
      <c r="AD395" s="143">
        <f t="shared" si="243"/>
        <v>2287612.5175799998</v>
      </c>
      <c r="AE395" s="147">
        <v>39.81</v>
      </c>
      <c r="AF395" s="169">
        <v>39.9</v>
      </c>
      <c r="AG395" s="147">
        <v>40.06</v>
      </c>
      <c r="AH395" s="170">
        <v>3.3999999999999998E-3</v>
      </c>
      <c r="AI395" s="170">
        <v>3.7499999999999999E-2</v>
      </c>
      <c r="AJ395" s="170">
        <v>4.3999999999999997E-2</v>
      </c>
      <c r="AK395" s="137">
        <v>0</v>
      </c>
      <c r="AL395" s="136">
        <v>0</v>
      </c>
      <c r="AM395" s="136"/>
      <c r="AN395" s="165">
        <v>0</v>
      </c>
      <c r="AO395" s="140">
        <f t="shared" si="260"/>
        <v>0</v>
      </c>
      <c r="AP395" s="136"/>
      <c r="AQ395" s="137">
        <v>0</v>
      </c>
      <c r="AR395" s="155">
        <f t="shared" si="261"/>
        <v>0</v>
      </c>
      <c r="AS395" s="155">
        <f t="shared" si="262"/>
        <v>0</v>
      </c>
      <c r="AT395" s="137">
        <v>0</v>
      </c>
      <c r="AU395" s="136"/>
      <c r="AV395" s="136"/>
      <c r="AW395" s="137">
        <f t="shared" si="248"/>
        <v>31500</v>
      </c>
      <c r="AX395" s="136"/>
      <c r="AY395" s="137">
        <f t="shared" si="249"/>
        <v>31500</v>
      </c>
      <c r="AZ395" s="137">
        <f t="shared" si="250"/>
        <v>31930</v>
      </c>
      <c r="BA395" s="142">
        <f t="shared" si="251"/>
        <v>-430</v>
      </c>
      <c r="BB395" s="137"/>
      <c r="BC395" s="137">
        <v>0</v>
      </c>
      <c r="BD395" s="136"/>
      <c r="BE395" s="128">
        <v>319.7</v>
      </c>
      <c r="BF395" s="143">
        <f t="shared" si="252"/>
        <v>0.47954999999999998</v>
      </c>
      <c r="BG395" s="143">
        <f t="shared" si="253"/>
        <v>319.22044999999997</v>
      </c>
      <c r="BH395" s="143">
        <f t="shared" si="254"/>
        <v>319.3</v>
      </c>
      <c r="BI395" s="144">
        <f t="shared" si="255"/>
        <v>39.999999999997726</v>
      </c>
      <c r="BJ395" s="144">
        <v>0</v>
      </c>
      <c r="BK395" s="137">
        <f t="shared" si="256"/>
        <v>39.999999999997726</v>
      </c>
      <c r="BL395" s="18"/>
      <c r="BM395" s="25" t="str">
        <f t="shared" si="257"/>
        <v>Unloading no. 377 Bill No L/PB/26-27/57 ,Deduction For Oil Deduction= 0 ,Bardana= 0 ,F.M=  Brokerage/Rate Difference 0 ,Shortage = 0 ,Greenish=  ,Moisture= 0</v>
      </c>
      <c r="BN395" s="17"/>
      <c r="BO395" s="13" t="str">
        <f t="shared" si="263"/>
        <v xml:space="preserve"> Party Condition 39.9  ,F.M% 0.34 ,Greenish 3.75 ,Moisture 4.4 ,Shortage in KG= 0  ,Oil% 39.81</v>
      </c>
      <c r="BP395" s="19">
        <f t="shared" si="258"/>
        <v>6830.1266833698719</v>
      </c>
      <c r="BX395" s="27">
        <v>39.81</v>
      </c>
      <c r="BY395" s="27">
        <v>40.06</v>
      </c>
    </row>
    <row r="396" spans="1:77" s="26" customFormat="1" ht="14.25" hidden="1" x14ac:dyDescent="0.3">
      <c r="A396" s="163" t="s">
        <v>763</v>
      </c>
      <c r="B396" s="166">
        <v>46135</v>
      </c>
      <c r="C396" s="187">
        <v>378</v>
      </c>
      <c r="D396" s="163" t="s">
        <v>848</v>
      </c>
      <c r="E396" s="166">
        <v>46139</v>
      </c>
      <c r="F396" s="163" t="s">
        <v>110</v>
      </c>
      <c r="G396" s="163" t="s">
        <v>111</v>
      </c>
      <c r="H396" s="163" t="s">
        <v>112</v>
      </c>
      <c r="I396" s="157"/>
      <c r="J396" s="163" t="s">
        <v>113</v>
      </c>
      <c r="K396" s="163">
        <v>0</v>
      </c>
      <c r="L396" s="166">
        <v>46135</v>
      </c>
      <c r="M396" s="157"/>
      <c r="N396" s="163" t="s">
        <v>800</v>
      </c>
      <c r="O396" s="166">
        <v>46136</v>
      </c>
      <c r="P396" s="163">
        <v>0</v>
      </c>
      <c r="Q396" s="163">
        <v>450</v>
      </c>
      <c r="R396" s="163">
        <v>17</v>
      </c>
      <c r="S396" s="163">
        <v>467</v>
      </c>
      <c r="T396" s="128">
        <v>467</v>
      </c>
      <c r="U396" s="128">
        <v>0</v>
      </c>
      <c r="V396" s="128">
        <v>0</v>
      </c>
      <c r="W396" s="169">
        <v>280.2</v>
      </c>
      <c r="X396" s="169">
        <v>284.5</v>
      </c>
      <c r="Y396" s="169">
        <v>1904612.8</v>
      </c>
      <c r="Z396" s="136"/>
      <c r="AA396" s="128">
        <v>47615.32</v>
      </c>
      <c r="AB396" s="128">
        <v>47615.32</v>
      </c>
      <c r="AC396" s="128">
        <v>1999843.44</v>
      </c>
      <c r="AD396" s="143">
        <f t="shared" si="243"/>
        <v>1997843.59656</v>
      </c>
      <c r="AE396" s="147">
        <v>39.840000000000003</v>
      </c>
      <c r="AF396" s="169">
        <v>39.4</v>
      </c>
      <c r="AG396" s="147">
        <v>40.04</v>
      </c>
      <c r="AH396" s="170">
        <v>3.0000000000000001E-3</v>
      </c>
      <c r="AI396" s="170">
        <v>3.4599999999999999E-2</v>
      </c>
      <c r="AJ396" s="170">
        <v>5.3999999999999999E-2</v>
      </c>
      <c r="AK396" s="137">
        <f t="shared" si="259"/>
        <v>0</v>
      </c>
      <c r="AL396" s="136">
        <f>467*5</f>
        <v>2335</v>
      </c>
      <c r="AM396" s="136"/>
      <c r="AN396" s="165">
        <v>0</v>
      </c>
      <c r="AO396" s="140">
        <f t="shared" si="260"/>
        <v>0</v>
      </c>
      <c r="AP396" s="136"/>
      <c r="AQ396" s="137">
        <v>0</v>
      </c>
      <c r="AR396" s="155">
        <f t="shared" si="261"/>
        <v>2335</v>
      </c>
      <c r="AS396" s="155">
        <f t="shared" si="262"/>
        <v>2452</v>
      </c>
      <c r="AT396" s="137">
        <v>0</v>
      </c>
      <c r="AU396" s="136"/>
      <c r="AV396" s="136"/>
      <c r="AW396" s="137">
        <f t="shared" si="248"/>
        <v>28020</v>
      </c>
      <c r="AX396" s="136"/>
      <c r="AY396" s="137">
        <f t="shared" si="249"/>
        <v>28020</v>
      </c>
      <c r="AZ396" s="137">
        <f t="shared" si="250"/>
        <v>28450</v>
      </c>
      <c r="BA396" s="142">
        <f t="shared" si="251"/>
        <v>-430</v>
      </c>
      <c r="BB396" s="137"/>
      <c r="BC396" s="137">
        <v>0</v>
      </c>
      <c r="BD396" s="136"/>
      <c r="BE396" s="128">
        <v>284.75</v>
      </c>
      <c r="BF396" s="143">
        <f t="shared" si="252"/>
        <v>0.42712499999999998</v>
      </c>
      <c r="BG396" s="143">
        <f t="shared" si="253"/>
        <v>284.32287500000001</v>
      </c>
      <c r="BH396" s="143">
        <f t="shared" si="254"/>
        <v>284.5</v>
      </c>
      <c r="BI396" s="144">
        <f t="shared" si="255"/>
        <v>25</v>
      </c>
      <c r="BJ396" s="144">
        <v>0</v>
      </c>
      <c r="BK396" s="137">
        <f t="shared" si="256"/>
        <v>25</v>
      </c>
      <c r="BL396" s="18"/>
      <c r="BM396" s="25" t="str">
        <f t="shared" si="257"/>
        <v>Unloading no. 378 Bill No G1674 ,Deduction For Oil Deduction= 0 ,Bardana= 2335 ,F.M=  Brokerage/Rate Difference 0 ,Shortage = 0 ,Greenish=  ,Moisture= 0</v>
      </c>
      <c r="BN396" s="17"/>
      <c r="BO396" s="13" t="str">
        <f t="shared" si="263"/>
        <v xml:space="preserve"> Party Condition 39.4  ,F.M% 0.3 ,Greenish 3.46 ,Moisture 5.4 ,Shortage in KG= 0  ,Oil% 39.84</v>
      </c>
      <c r="BP396" s="19">
        <f t="shared" si="258"/>
        <v>6686.3894551845342</v>
      </c>
      <c r="BX396" s="27">
        <v>39.840000000000003</v>
      </c>
      <c r="BY396" s="27">
        <v>40.04</v>
      </c>
    </row>
    <row r="397" spans="1:77" s="26" customFormat="1" ht="14.25" hidden="1" x14ac:dyDescent="0.3">
      <c r="A397" s="163" t="s">
        <v>764</v>
      </c>
      <c r="B397" s="166">
        <v>46135</v>
      </c>
      <c r="C397" s="187">
        <v>379</v>
      </c>
      <c r="D397" s="163" t="s">
        <v>849</v>
      </c>
      <c r="E397" s="166">
        <v>46139</v>
      </c>
      <c r="F397" s="163" t="s">
        <v>436</v>
      </c>
      <c r="G397" s="163" t="s">
        <v>437</v>
      </c>
      <c r="H397" s="163" t="s">
        <v>438</v>
      </c>
      <c r="I397" s="157"/>
      <c r="J397" s="163" t="s">
        <v>113</v>
      </c>
      <c r="K397" s="163">
        <v>0</v>
      </c>
      <c r="L397" s="166">
        <v>46135</v>
      </c>
      <c r="M397" s="157"/>
      <c r="N397" s="163">
        <v>64</v>
      </c>
      <c r="O397" s="166">
        <v>46135</v>
      </c>
      <c r="P397" s="163">
        <v>0</v>
      </c>
      <c r="Q397" s="163">
        <v>390</v>
      </c>
      <c r="R397" s="163">
        <v>123</v>
      </c>
      <c r="S397" s="163">
        <v>513</v>
      </c>
      <c r="T397" s="128">
        <v>513</v>
      </c>
      <c r="U397" s="128">
        <v>0</v>
      </c>
      <c r="V397" s="128">
        <v>0</v>
      </c>
      <c r="W397" s="169">
        <v>307.8</v>
      </c>
      <c r="X397" s="169">
        <v>312.7</v>
      </c>
      <c r="Y397" s="169">
        <v>2084175.36</v>
      </c>
      <c r="Z397" s="136"/>
      <c r="AA397" s="128">
        <v>52104.38</v>
      </c>
      <c r="AB397" s="128">
        <v>52104.38</v>
      </c>
      <c r="AC397" s="128">
        <v>2188384.13</v>
      </c>
      <c r="AD397" s="143">
        <f t="shared" si="243"/>
        <v>2186195.7458699998</v>
      </c>
      <c r="AE397" s="147">
        <v>40.090000000000003</v>
      </c>
      <c r="AF397" s="169">
        <v>39.299999999999997</v>
      </c>
      <c r="AG397" s="147">
        <v>39.99</v>
      </c>
      <c r="AH397" s="170">
        <v>3.8E-3</v>
      </c>
      <c r="AI397" s="170">
        <v>3.6600000000000001E-2</v>
      </c>
      <c r="AJ397" s="170">
        <v>4.5999999999999999E-2</v>
      </c>
      <c r="AK397" s="137">
        <f t="shared" si="259"/>
        <v>0</v>
      </c>
      <c r="AL397" s="136">
        <v>0</v>
      </c>
      <c r="AM397" s="136"/>
      <c r="AN397" s="165">
        <v>0</v>
      </c>
      <c r="AO397" s="140">
        <f t="shared" si="260"/>
        <v>0</v>
      </c>
      <c r="AP397" s="136"/>
      <c r="AQ397" s="137">
        <v>0</v>
      </c>
      <c r="AR397" s="155">
        <f t="shared" si="261"/>
        <v>0</v>
      </c>
      <c r="AS397" s="155">
        <f t="shared" si="262"/>
        <v>0</v>
      </c>
      <c r="AT397" s="137">
        <v>0</v>
      </c>
      <c r="AU397" s="136" t="s">
        <v>664</v>
      </c>
      <c r="AV397" s="136"/>
      <c r="AW397" s="137">
        <f t="shared" si="248"/>
        <v>30780</v>
      </c>
      <c r="AX397" s="136"/>
      <c r="AY397" s="137">
        <f t="shared" si="249"/>
        <v>30780</v>
      </c>
      <c r="AZ397" s="137">
        <f t="shared" si="250"/>
        <v>31270</v>
      </c>
      <c r="BA397" s="142">
        <f t="shared" si="251"/>
        <v>-490</v>
      </c>
      <c r="BB397" s="137"/>
      <c r="BC397" s="137">
        <v>0</v>
      </c>
      <c r="BD397" s="136"/>
      <c r="BE397" s="128">
        <v>312.75</v>
      </c>
      <c r="BF397" s="143">
        <f t="shared" si="252"/>
        <v>0.46912500000000001</v>
      </c>
      <c r="BG397" s="143">
        <f t="shared" si="253"/>
        <v>312.28087499999998</v>
      </c>
      <c r="BH397" s="143">
        <f t="shared" si="254"/>
        <v>312.7</v>
      </c>
      <c r="BI397" s="144">
        <f t="shared" si="255"/>
        <v>5.0000000000011369</v>
      </c>
      <c r="BJ397" s="144">
        <v>0</v>
      </c>
      <c r="BK397" s="137">
        <f t="shared" si="256"/>
        <v>5.0000000000011369</v>
      </c>
      <c r="BL397" s="18"/>
      <c r="BM397" s="25" t="str">
        <f t="shared" si="257"/>
        <v>Unloading no. 379 Bill No 64 ,Deduction For Oil Deduction= 0 ,Bardana= 0 ,F.M=  Brokerage/Rate Difference 0 ,Shortage = 0 ,Greenish=  ,Moisture= 0</v>
      </c>
      <c r="BN397" s="17"/>
      <c r="BO397" s="13" t="str">
        <f t="shared" si="263"/>
        <v xml:space="preserve"> Party Condition 39.3  ,F.M% 0.38 ,Greenish 3.66 ,Moisture 4.6 ,Shortage in KG= 0  ,Oil% 39.99</v>
      </c>
      <c r="BP397" s="19">
        <f t="shared" si="258"/>
        <v>6665.0954908858339</v>
      </c>
      <c r="BX397" s="27">
        <v>40.090000000000003</v>
      </c>
      <c r="BY397" s="27">
        <v>39.99</v>
      </c>
    </row>
    <row r="398" spans="1:77" s="26" customFormat="1" ht="14.25" hidden="1" x14ac:dyDescent="0.3">
      <c r="A398" s="163" t="s">
        <v>753</v>
      </c>
      <c r="B398" s="166">
        <v>46134</v>
      </c>
      <c r="C398" s="187">
        <v>380</v>
      </c>
      <c r="D398" s="163" t="s">
        <v>850</v>
      </c>
      <c r="E398" s="166">
        <v>46139</v>
      </c>
      <c r="F398" s="163" t="s">
        <v>104</v>
      </c>
      <c r="G398" s="163" t="s">
        <v>105</v>
      </c>
      <c r="H398" s="163" t="s">
        <v>106</v>
      </c>
      <c r="I398" s="157"/>
      <c r="J398" s="163" t="s">
        <v>113</v>
      </c>
      <c r="K398" s="163">
        <v>0</v>
      </c>
      <c r="L398" s="166">
        <v>46134</v>
      </c>
      <c r="M398" s="157"/>
      <c r="N398" s="163" t="s">
        <v>801</v>
      </c>
      <c r="O398" s="166">
        <v>46136</v>
      </c>
      <c r="P398" s="163">
        <v>0</v>
      </c>
      <c r="Q398" s="163">
        <v>773</v>
      </c>
      <c r="R398" s="163">
        <v>41</v>
      </c>
      <c r="S398" s="163">
        <v>814</v>
      </c>
      <c r="T398" s="128">
        <v>814</v>
      </c>
      <c r="U398" s="128">
        <v>0</v>
      </c>
      <c r="V398" s="128">
        <v>0</v>
      </c>
      <c r="W398" s="169">
        <v>407</v>
      </c>
      <c r="X398" s="169">
        <v>413.7</v>
      </c>
      <c r="Y398" s="169">
        <v>2772650.87</v>
      </c>
      <c r="Z398" s="136"/>
      <c r="AA398" s="128">
        <v>69316.27</v>
      </c>
      <c r="AB398" s="128">
        <v>69316.27</v>
      </c>
      <c r="AC398" s="128">
        <v>2911283.41</v>
      </c>
      <c r="AD398" s="143">
        <f t="shared" si="243"/>
        <v>2908372.12659</v>
      </c>
      <c r="AE398" s="147">
        <v>39.9</v>
      </c>
      <c r="AF398" s="169">
        <v>39.299999999999997</v>
      </c>
      <c r="AG398" s="147">
        <v>39.950000000000003</v>
      </c>
      <c r="AH398" s="170">
        <v>3.5000000000000001E-3</v>
      </c>
      <c r="AI398" s="170">
        <v>3.4000000000000002E-2</v>
      </c>
      <c r="AJ398" s="170">
        <v>4.5999999999999999E-2</v>
      </c>
      <c r="AK398" s="137">
        <f t="shared" si="259"/>
        <v>0</v>
      </c>
      <c r="AL398" s="136">
        <f>814*2</f>
        <v>1628</v>
      </c>
      <c r="AM398" s="136"/>
      <c r="AN398" s="165">
        <v>0</v>
      </c>
      <c r="AO398" s="140">
        <f t="shared" si="260"/>
        <v>0</v>
      </c>
      <c r="AP398" s="136"/>
      <c r="AQ398" s="137">
        <v>0</v>
      </c>
      <c r="AR398" s="155">
        <f t="shared" si="261"/>
        <v>1628</v>
      </c>
      <c r="AS398" s="155">
        <f t="shared" si="262"/>
        <v>1709</v>
      </c>
      <c r="AT398" s="137">
        <v>0</v>
      </c>
      <c r="AU398" s="136" t="s">
        <v>664</v>
      </c>
      <c r="AV398" s="136"/>
      <c r="AW398" s="137">
        <f t="shared" si="248"/>
        <v>40700</v>
      </c>
      <c r="AX398" s="136"/>
      <c r="AY398" s="137">
        <f t="shared" si="249"/>
        <v>40700</v>
      </c>
      <c r="AZ398" s="137">
        <f t="shared" si="250"/>
        <v>41370</v>
      </c>
      <c r="BA398" s="142">
        <f t="shared" si="251"/>
        <v>-670</v>
      </c>
      <c r="BB398" s="137"/>
      <c r="BC398" s="137">
        <v>0</v>
      </c>
      <c r="BD398" s="136"/>
      <c r="BE398" s="128">
        <v>413.55</v>
      </c>
      <c r="BF398" s="143">
        <f t="shared" si="252"/>
        <v>0.62032500000000002</v>
      </c>
      <c r="BG398" s="143">
        <f t="shared" si="253"/>
        <v>412.92967500000003</v>
      </c>
      <c r="BH398" s="143">
        <f t="shared" si="254"/>
        <v>413.7</v>
      </c>
      <c r="BI398" s="144">
        <f t="shared" si="255"/>
        <v>-14.999999999997726</v>
      </c>
      <c r="BJ398" s="144">
        <v>0</v>
      </c>
      <c r="BK398" s="137">
        <f t="shared" si="256"/>
        <v>-14.999999999997726</v>
      </c>
      <c r="BL398" s="18"/>
      <c r="BM398" s="25" t="str">
        <f t="shared" si="257"/>
        <v>Unloading no. 380 Bill No MTC/2026-27/0103 ,Deduction For Oil Deduction= 0 ,Bardana= 1628 ,F.M=  Brokerage/Rate Difference 0 ,Shortage = 0 ,Greenish=  ,Moisture= 0</v>
      </c>
      <c r="BN398" s="17"/>
      <c r="BO398" s="13" t="str">
        <f t="shared" si="263"/>
        <v xml:space="preserve"> Party Condition 39.3  ,F.M% 0.35 ,Greenish 3.4 ,Moisture 4.6 ,Shortage in KG= 0  ,Oil% 39.9</v>
      </c>
      <c r="BP398" s="19">
        <f t="shared" si="258"/>
        <v>6698.145685279188</v>
      </c>
      <c r="BX398" s="27">
        <v>39.9</v>
      </c>
      <c r="BY398" s="27">
        <v>39.950000000000003</v>
      </c>
    </row>
    <row r="399" spans="1:77" s="26" customFormat="1" ht="14.25" hidden="1" x14ac:dyDescent="0.3">
      <c r="A399" s="163" t="s">
        <v>765</v>
      </c>
      <c r="B399" s="166">
        <v>46135</v>
      </c>
      <c r="C399" s="187">
        <v>381</v>
      </c>
      <c r="D399" s="163" t="s">
        <v>851</v>
      </c>
      <c r="E399" s="166">
        <v>46139</v>
      </c>
      <c r="F399" s="163" t="s">
        <v>436</v>
      </c>
      <c r="G399" s="163" t="s">
        <v>437</v>
      </c>
      <c r="H399" s="163" t="s">
        <v>438</v>
      </c>
      <c r="I399" s="157"/>
      <c r="J399" s="163" t="s">
        <v>113</v>
      </c>
      <c r="K399" s="163">
        <v>0</v>
      </c>
      <c r="L399" s="166">
        <v>46135</v>
      </c>
      <c r="M399" s="157"/>
      <c r="N399" s="163">
        <v>65</v>
      </c>
      <c r="O399" s="166">
        <v>46136</v>
      </c>
      <c r="P399" s="163">
        <v>0</v>
      </c>
      <c r="Q399" s="163">
        <v>410</v>
      </c>
      <c r="R399" s="163">
        <v>114</v>
      </c>
      <c r="S399" s="163">
        <v>524</v>
      </c>
      <c r="T399" s="128">
        <v>524</v>
      </c>
      <c r="U399" s="128">
        <v>0</v>
      </c>
      <c r="V399" s="128">
        <v>0</v>
      </c>
      <c r="W399" s="169">
        <v>315.60000000000002</v>
      </c>
      <c r="X399" s="169">
        <v>318.5</v>
      </c>
      <c r="Y399" s="169">
        <v>2149390.64</v>
      </c>
      <c r="Z399" s="136"/>
      <c r="AA399" s="128">
        <v>53734.77</v>
      </c>
      <c r="AB399" s="128">
        <v>53734.77</v>
      </c>
      <c r="AC399" s="128">
        <v>2256860.17</v>
      </c>
      <c r="AD399" s="143">
        <f t="shared" si="243"/>
        <v>2254603.3098299997</v>
      </c>
      <c r="AE399" s="147">
        <v>40.090000000000003</v>
      </c>
      <c r="AF399" s="169">
        <v>39.4</v>
      </c>
      <c r="AG399" s="147">
        <v>40.03</v>
      </c>
      <c r="AH399" s="170">
        <v>3.7000000000000002E-3</v>
      </c>
      <c r="AI399" s="170">
        <v>3.44E-2</v>
      </c>
      <c r="AJ399" s="170">
        <v>4.2000000000000003E-2</v>
      </c>
      <c r="AK399" s="137">
        <f t="shared" si="259"/>
        <v>0</v>
      </c>
      <c r="AL399" s="136">
        <v>0</v>
      </c>
      <c r="AM399" s="136"/>
      <c r="AN399" s="165">
        <v>0</v>
      </c>
      <c r="AO399" s="140">
        <f t="shared" si="260"/>
        <v>0</v>
      </c>
      <c r="AP399" s="136"/>
      <c r="AQ399" s="137">
        <v>0</v>
      </c>
      <c r="AR399" s="155">
        <f t="shared" si="261"/>
        <v>0</v>
      </c>
      <c r="AS399" s="155">
        <f t="shared" si="262"/>
        <v>0</v>
      </c>
      <c r="AT399" s="137">
        <v>0</v>
      </c>
      <c r="AU399" s="136" t="s">
        <v>886</v>
      </c>
      <c r="AV399" s="136"/>
      <c r="AW399" s="137">
        <f t="shared" si="248"/>
        <v>31560.000000000004</v>
      </c>
      <c r="AX399" s="136"/>
      <c r="AY399" s="137">
        <f t="shared" si="249"/>
        <v>31560.000000000004</v>
      </c>
      <c r="AZ399" s="137">
        <f t="shared" si="250"/>
        <v>31850</v>
      </c>
      <c r="BA399" s="142">
        <f t="shared" si="251"/>
        <v>-289.99999999999636</v>
      </c>
      <c r="BB399" s="137"/>
      <c r="BC399" s="137">
        <v>0</v>
      </c>
      <c r="BD399" s="136"/>
      <c r="BE399" s="128">
        <v>320.45</v>
      </c>
      <c r="BF399" s="143">
        <f t="shared" si="252"/>
        <v>0.48067499999999996</v>
      </c>
      <c r="BG399" s="143">
        <f t="shared" si="253"/>
        <v>319.96932499999997</v>
      </c>
      <c r="BH399" s="143">
        <f t="shared" si="254"/>
        <v>318.5</v>
      </c>
      <c r="BI399" s="144">
        <f t="shared" si="255"/>
        <v>194.99999999999886</v>
      </c>
      <c r="BJ399" s="144">
        <v>0</v>
      </c>
      <c r="BK399" s="137">
        <f t="shared" si="256"/>
        <v>194.99999999999886</v>
      </c>
      <c r="BL399" s="18"/>
      <c r="BM399" s="25" t="str">
        <f t="shared" si="257"/>
        <v>Unloading no. 381 Bill No 65 ,Deduction For Oil Deduction= 0 ,Bardana= 0 ,F.M=  Brokerage/Rate Difference 0 ,Shortage = 0 ,Greenish=  ,Moisture= 0</v>
      </c>
      <c r="BN399" s="17"/>
      <c r="BO399" s="13" t="str">
        <f t="shared" si="263"/>
        <v xml:space="preserve"> Party Condition 39.4  ,F.M% 0.37 ,Greenish 3.44 ,Moisture 4.2 ,Shortage in KG= 0  ,Oil% 40.03</v>
      </c>
      <c r="BP399" s="19">
        <f t="shared" si="258"/>
        <v>6748.4792464678185</v>
      </c>
      <c r="BX399" s="27">
        <v>40.090000000000003</v>
      </c>
      <c r="BY399" s="27">
        <v>40.03</v>
      </c>
    </row>
    <row r="400" spans="1:77" s="26" customFormat="1" ht="14.25" hidden="1" x14ac:dyDescent="0.3">
      <c r="A400" s="163" t="s">
        <v>758</v>
      </c>
      <c r="B400" s="166">
        <v>46135</v>
      </c>
      <c r="C400" s="187">
        <v>382</v>
      </c>
      <c r="D400" s="163" t="s">
        <v>852</v>
      </c>
      <c r="E400" s="166">
        <v>46139</v>
      </c>
      <c r="F400" s="163" t="s">
        <v>101</v>
      </c>
      <c r="G400" s="163" t="s">
        <v>102</v>
      </c>
      <c r="H400" s="163" t="s">
        <v>103</v>
      </c>
      <c r="I400" s="157"/>
      <c r="J400" s="163" t="s">
        <v>113</v>
      </c>
      <c r="K400" s="163">
        <v>0</v>
      </c>
      <c r="L400" s="166">
        <v>46135</v>
      </c>
      <c r="M400" s="157"/>
      <c r="N400" s="163" t="s">
        <v>802</v>
      </c>
      <c r="O400" s="166">
        <v>46136</v>
      </c>
      <c r="P400" s="163">
        <v>0</v>
      </c>
      <c r="Q400" s="163">
        <v>300</v>
      </c>
      <c r="R400" s="163">
        <v>470</v>
      </c>
      <c r="S400" s="163">
        <v>770</v>
      </c>
      <c r="T400" s="128">
        <v>770</v>
      </c>
      <c r="U400" s="128">
        <v>0</v>
      </c>
      <c r="V400" s="128">
        <v>0</v>
      </c>
      <c r="W400" s="169">
        <v>462</v>
      </c>
      <c r="X400" s="169">
        <v>465.6</v>
      </c>
      <c r="Y400" s="169">
        <v>3194743.86</v>
      </c>
      <c r="Z400" s="136"/>
      <c r="AA400" s="128">
        <v>79868.600000000006</v>
      </c>
      <c r="AB400" s="128">
        <v>79868.600000000006</v>
      </c>
      <c r="AC400" s="128">
        <v>3354481.05</v>
      </c>
      <c r="AD400" s="143">
        <f t="shared" si="243"/>
        <v>3351126.5689499998</v>
      </c>
      <c r="AE400" s="147">
        <v>39.380000000000003</v>
      </c>
      <c r="AF400" s="169">
        <v>39.9</v>
      </c>
      <c r="AG400" s="147">
        <v>39.229999999999997</v>
      </c>
      <c r="AH400" s="170">
        <v>4.0000000000000001E-3</v>
      </c>
      <c r="AI400" s="170">
        <v>3.9E-2</v>
      </c>
      <c r="AJ400" s="170">
        <v>4.2999999999999997E-2</v>
      </c>
      <c r="AK400" s="137">
        <f t="shared" si="259"/>
        <v>53646.074842105394</v>
      </c>
      <c r="AL400" s="136">
        <v>0</v>
      </c>
      <c r="AM400" s="136"/>
      <c r="AN400" s="165">
        <v>0</v>
      </c>
      <c r="AO400" s="140">
        <f t="shared" si="260"/>
        <v>10026.7935</v>
      </c>
      <c r="AP400" s="136"/>
      <c r="AQ400" s="137">
        <v>0</v>
      </c>
      <c r="AR400" s="155">
        <f t="shared" si="261"/>
        <v>63672.868342105394</v>
      </c>
      <c r="AS400" s="155">
        <f t="shared" si="262"/>
        <v>66857</v>
      </c>
      <c r="AT400" s="137">
        <v>145</v>
      </c>
      <c r="AU400" s="136" t="s">
        <v>664</v>
      </c>
      <c r="AV400" s="136"/>
      <c r="AW400" s="137">
        <f t="shared" si="248"/>
        <v>46200</v>
      </c>
      <c r="AX400" s="136"/>
      <c r="AY400" s="137">
        <f t="shared" si="249"/>
        <v>46200</v>
      </c>
      <c r="AZ400" s="137">
        <f t="shared" si="250"/>
        <v>46560</v>
      </c>
      <c r="BA400" s="142">
        <f t="shared" si="251"/>
        <v>-360</v>
      </c>
      <c r="BB400" s="137"/>
      <c r="BC400" s="137">
        <v>0</v>
      </c>
      <c r="BD400" s="136"/>
      <c r="BE400" s="128">
        <v>467</v>
      </c>
      <c r="BF400" s="143">
        <f t="shared" si="252"/>
        <v>0.70050000000000001</v>
      </c>
      <c r="BG400" s="143">
        <f t="shared" si="253"/>
        <v>466.29950000000002</v>
      </c>
      <c r="BH400" s="143">
        <f t="shared" si="254"/>
        <v>465.6</v>
      </c>
      <c r="BI400" s="144">
        <f t="shared" si="255"/>
        <v>139.99999999999773</v>
      </c>
      <c r="BJ400" s="144">
        <v>0</v>
      </c>
      <c r="BK400" s="137">
        <f t="shared" si="256"/>
        <v>139.99999999999773</v>
      </c>
      <c r="BL400" s="18"/>
      <c r="BM400" s="25" t="str">
        <f t="shared" si="257"/>
        <v>Unloading no. 382 Bill No L/PB/26-27/60 ,Deduction For Oil Deduction= 53646.0748421054 ,Bardana= 0 ,F.M=  Brokerage/Rate Difference 0 ,Shortage = 10026.7935 ,Greenish=  ,Moisture= 0</v>
      </c>
      <c r="BN400" s="17"/>
      <c r="BO400" s="13" t="str">
        <f t="shared" si="263"/>
        <v xml:space="preserve"> Party Condition 39.9  ,F.M% 0.4 ,Greenish 3.9 ,Moisture 4.3 ,Shortage in KG= 145  ,Oil% 39.23</v>
      </c>
      <c r="BP400" s="19">
        <f t="shared" si="258"/>
        <v>6724.8088308803572</v>
      </c>
      <c r="BX400" s="27">
        <v>39.380000000000003</v>
      </c>
      <c r="BY400" s="27">
        <v>39.229999999999997</v>
      </c>
    </row>
    <row r="401" spans="1:77" s="26" customFormat="1" ht="14.25" hidden="1" x14ac:dyDescent="0.3">
      <c r="A401" s="163" t="s">
        <v>766</v>
      </c>
      <c r="B401" s="166">
        <v>46136</v>
      </c>
      <c r="C401" s="187">
        <v>383</v>
      </c>
      <c r="D401" s="163" t="s">
        <v>853</v>
      </c>
      <c r="E401" s="166">
        <v>46139</v>
      </c>
      <c r="F401" s="163" t="s">
        <v>98</v>
      </c>
      <c r="G401" s="163" t="s">
        <v>99</v>
      </c>
      <c r="H401" s="163" t="s">
        <v>100</v>
      </c>
      <c r="I401" s="157"/>
      <c r="J401" s="163" t="s">
        <v>113</v>
      </c>
      <c r="K401" s="163">
        <v>0</v>
      </c>
      <c r="L401" s="166">
        <v>46136</v>
      </c>
      <c r="M401" s="157"/>
      <c r="N401" s="163">
        <v>87</v>
      </c>
      <c r="O401" s="166">
        <v>46137</v>
      </c>
      <c r="P401" s="163">
        <v>0</v>
      </c>
      <c r="Q401" s="163">
        <v>400</v>
      </c>
      <c r="R401" s="163">
        <v>89</v>
      </c>
      <c r="S401" s="163">
        <v>489</v>
      </c>
      <c r="T401" s="128">
        <v>489</v>
      </c>
      <c r="U401" s="128">
        <v>0</v>
      </c>
      <c r="V401" s="128">
        <v>0</v>
      </c>
      <c r="W401" s="169">
        <v>293.39999999999998</v>
      </c>
      <c r="X401" s="169">
        <v>295.8</v>
      </c>
      <c r="Y401" s="169">
        <v>2010035.48</v>
      </c>
      <c r="Z401" s="136"/>
      <c r="AA401" s="128">
        <v>50250.89</v>
      </c>
      <c r="AB401" s="128">
        <v>50250.89</v>
      </c>
      <c r="AC401" s="128">
        <v>2110537.25</v>
      </c>
      <c r="AD401" s="143">
        <f t="shared" si="243"/>
        <v>2108426.7127499999</v>
      </c>
      <c r="AE401" s="147">
        <v>39.75</v>
      </c>
      <c r="AF401" s="169">
        <v>39.4</v>
      </c>
      <c r="AG401" s="147">
        <v>40.04</v>
      </c>
      <c r="AH401" s="170">
        <v>3.8E-3</v>
      </c>
      <c r="AI401" s="170">
        <v>3.78E-2</v>
      </c>
      <c r="AJ401" s="170">
        <v>4.1000000000000002E-2</v>
      </c>
      <c r="AK401" s="137">
        <f t="shared" si="259"/>
        <v>0</v>
      </c>
      <c r="AL401" s="136">
        <f>489*5.5</f>
        <v>2689.5</v>
      </c>
      <c r="AM401" s="136"/>
      <c r="AN401" s="165">
        <v>0</v>
      </c>
      <c r="AO401" s="140">
        <f t="shared" si="260"/>
        <v>5480.6693387866399</v>
      </c>
      <c r="AP401" s="136"/>
      <c r="AQ401" s="137">
        <v>0</v>
      </c>
      <c r="AR401" s="155">
        <f t="shared" si="261"/>
        <v>8170.1693387866399</v>
      </c>
      <c r="AS401" s="155">
        <f t="shared" si="262"/>
        <v>8579</v>
      </c>
      <c r="AT401" s="137">
        <v>80</v>
      </c>
      <c r="AU401" s="136" t="s">
        <v>664</v>
      </c>
      <c r="AV401" s="136"/>
      <c r="AW401" s="137">
        <f t="shared" si="248"/>
        <v>29339.999999999996</v>
      </c>
      <c r="AX401" s="136"/>
      <c r="AY401" s="137">
        <f t="shared" si="249"/>
        <v>29339.999999999996</v>
      </c>
      <c r="AZ401" s="137">
        <f t="shared" si="250"/>
        <v>29580</v>
      </c>
      <c r="BA401" s="142">
        <f t="shared" si="251"/>
        <v>-240.00000000000364</v>
      </c>
      <c r="BB401" s="137"/>
      <c r="BC401" s="137">
        <v>0</v>
      </c>
      <c r="BD401" s="136"/>
      <c r="BE401" s="128">
        <v>296.64999999999998</v>
      </c>
      <c r="BF401" s="143">
        <f t="shared" si="252"/>
        <v>0.44497499999999995</v>
      </c>
      <c r="BG401" s="143">
        <f t="shared" si="253"/>
        <v>296.20502499999998</v>
      </c>
      <c r="BH401" s="143">
        <f t="shared" si="254"/>
        <v>295.8</v>
      </c>
      <c r="BI401" s="144">
        <f t="shared" si="255"/>
        <v>84.999999999996589</v>
      </c>
      <c r="BJ401" s="144">
        <v>0</v>
      </c>
      <c r="BK401" s="137">
        <f t="shared" si="256"/>
        <v>84.999999999996589</v>
      </c>
      <c r="BL401" s="18"/>
      <c r="BM401" s="25" t="str">
        <f t="shared" si="257"/>
        <v>Unloading no. 383 Bill No 87 ,Deduction For Oil Deduction= 0 ,Bardana= 2689.5 ,F.M=  Brokerage/Rate Difference 0 ,Shortage = 5480.66933878664 ,Greenish=  ,Moisture= 0</v>
      </c>
      <c r="BN401" s="17"/>
      <c r="BO401" s="13" t="str">
        <f t="shared" si="263"/>
        <v xml:space="preserve"> Party Condition 39.4  ,F.M% 0.38 ,Greenish 3.78 ,Moisture 4.1 ,Shortage in KG= 80  ,Oil% 39.75</v>
      </c>
      <c r="BP401" s="19">
        <f t="shared" si="258"/>
        <v>6767.6312057512278</v>
      </c>
      <c r="BX401" s="27">
        <v>39.75</v>
      </c>
      <c r="BY401" s="27">
        <v>40.04</v>
      </c>
    </row>
    <row r="402" spans="1:77" s="26" customFormat="1" ht="14.25" hidden="1" x14ac:dyDescent="0.3">
      <c r="A402" s="163" t="s">
        <v>767</v>
      </c>
      <c r="B402" s="166">
        <v>46136</v>
      </c>
      <c r="C402" s="187">
        <v>384</v>
      </c>
      <c r="D402" s="163" t="s">
        <v>854</v>
      </c>
      <c r="E402" s="166">
        <v>46139</v>
      </c>
      <c r="F402" s="163" t="s">
        <v>110</v>
      </c>
      <c r="G402" s="163" t="s">
        <v>111</v>
      </c>
      <c r="H402" s="163" t="s">
        <v>112</v>
      </c>
      <c r="I402" s="157"/>
      <c r="J402" s="163" t="s">
        <v>113</v>
      </c>
      <c r="K402" s="163">
        <v>0</v>
      </c>
      <c r="L402" s="166">
        <v>46136</v>
      </c>
      <c r="M402" s="157"/>
      <c r="N402" s="163" t="s">
        <v>803</v>
      </c>
      <c r="O402" s="166">
        <v>46136</v>
      </c>
      <c r="P402" s="163">
        <v>0</v>
      </c>
      <c r="Q402" s="163">
        <v>280</v>
      </c>
      <c r="R402" s="163">
        <v>20</v>
      </c>
      <c r="S402" s="163">
        <v>300</v>
      </c>
      <c r="T402" s="128">
        <v>300</v>
      </c>
      <c r="U402" s="128">
        <v>0</v>
      </c>
      <c r="V402" s="128">
        <v>0</v>
      </c>
      <c r="W402" s="169">
        <v>180</v>
      </c>
      <c r="X402" s="169">
        <v>182.5</v>
      </c>
      <c r="Y402" s="169">
        <v>1219740</v>
      </c>
      <c r="Z402" s="136"/>
      <c r="AA402" s="128">
        <v>30493.5</v>
      </c>
      <c r="AB402" s="128">
        <v>30493.5</v>
      </c>
      <c r="AC402" s="128">
        <v>1280727</v>
      </c>
      <c r="AD402" s="143">
        <f t="shared" si="243"/>
        <v>1279446.273</v>
      </c>
      <c r="AE402" s="147">
        <v>39.909999999999997</v>
      </c>
      <c r="AF402" s="169">
        <v>39.4</v>
      </c>
      <c r="AG402" s="147">
        <v>39.78</v>
      </c>
      <c r="AH402" s="170">
        <v>3.5999999999999999E-3</v>
      </c>
      <c r="AI402" s="170">
        <v>3.4599999999999999E-2</v>
      </c>
      <c r="AJ402" s="170">
        <v>5.3999999999999999E-2</v>
      </c>
      <c r="AK402" s="137">
        <f t="shared" si="259"/>
        <v>0</v>
      </c>
      <c r="AL402" s="136">
        <f>300*5</f>
        <v>1500</v>
      </c>
      <c r="AM402" s="136"/>
      <c r="AN402" s="165">
        <v>0</v>
      </c>
      <c r="AO402" s="140">
        <f t="shared" si="260"/>
        <v>0</v>
      </c>
      <c r="AP402" s="136"/>
      <c r="AQ402" s="137">
        <v>0</v>
      </c>
      <c r="AR402" s="155">
        <f t="shared" si="261"/>
        <v>1500</v>
      </c>
      <c r="AS402" s="155">
        <f t="shared" si="262"/>
        <v>1575</v>
      </c>
      <c r="AT402" s="137">
        <v>0</v>
      </c>
      <c r="AU402" s="136"/>
      <c r="AV402" s="136"/>
      <c r="AW402" s="137">
        <f t="shared" si="248"/>
        <v>18000</v>
      </c>
      <c r="AX402" s="136"/>
      <c r="AY402" s="137">
        <f t="shared" si="249"/>
        <v>18000</v>
      </c>
      <c r="AZ402" s="137">
        <f t="shared" si="250"/>
        <v>18250</v>
      </c>
      <c r="BA402" s="142">
        <f t="shared" si="251"/>
        <v>-250</v>
      </c>
      <c r="BB402" s="137"/>
      <c r="BC402" s="137">
        <v>0</v>
      </c>
      <c r="BD402" s="136"/>
      <c r="BE402" s="128">
        <v>183.1</v>
      </c>
      <c r="BF402" s="143">
        <f t="shared" si="252"/>
        <v>0.27465000000000001</v>
      </c>
      <c r="BG402" s="143">
        <f t="shared" si="253"/>
        <v>182.82534999999999</v>
      </c>
      <c r="BH402" s="143">
        <f t="shared" si="254"/>
        <v>182.5</v>
      </c>
      <c r="BI402" s="144">
        <f t="shared" si="255"/>
        <v>59.999999999999432</v>
      </c>
      <c r="BJ402" s="144">
        <v>0</v>
      </c>
      <c r="BK402" s="137">
        <f t="shared" si="256"/>
        <v>59.999999999999432</v>
      </c>
      <c r="BL402" s="18"/>
      <c r="BM402" s="25" t="str">
        <f t="shared" si="257"/>
        <v>Unloading no. 384 Bill No G1673 ,Deduction For Oil Deduction= 0 ,Bardana= 1500 ,F.M=  Brokerage/Rate Difference 0 ,Shortage = 0 ,Greenish=  ,Moisture= 0</v>
      </c>
      <c r="BN402" s="17"/>
      <c r="BO402" s="13" t="str">
        <f t="shared" si="263"/>
        <v xml:space="preserve"> Party Condition 39.4  ,F.M% 0.36 ,Greenish 3.46 ,Moisture 5.4 ,Shortage in KG= 0  ,Oil% 39.78</v>
      </c>
      <c r="BP402" s="19">
        <f t="shared" si="258"/>
        <v>6675.2876712328771</v>
      </c>
      <c r="BX402" s="27">
        <v>39.909999999999997</v>
      </c>
      <c r="BY402" s="27">
        <v>39.78</v>
      </c>
    </row>
    <row r="403" spans="1:77" s="26" customFormat="1" ht="14.25" hidden="1" x14ac:dyDescent="0.3">
      <c r="A403" s="163" t="s">
        <v>768</v>
      </c>
      <c r="B403" s="166">
        <v>46136</v>
      </c>
      <c r="C403" s="187">
        <v>385</v>
      </c>
      <c r="D403" s="163" t="s">
        <v>855</v>
      </c>
      <c r="E403" s="166">
        <v>46139</v>
      </c>
      <c r="F403" s="163" t="s">
        <v>200</v>
      </c>
      <c r="G403" s="163" t="s">
        <v>201</v>
      </c>
      <c r="H403" s="163" t="s">
        <v>202</v>
      </c>
      <c r="I403" s="157"/>
      <c r="J403" s="163" t="s">
        <v>113</v>
      </c>
      <c r="K403" s="163">
        <v>0</v>
      </c>
      <c r="L403" s="166">
        <v>46136</v>
      </c>
      <c r="M403" s="157"/>
      <c r="N403" s="163">
        <v>37</v>
      </c>
      <c r="O403" s="166">
        <v>46136</v>
      </c>
      <c r="P403" s="163">
        <v>0</v>
      </c>
      <c r="Q403" s="163">
        <v>0</v>
      </c>
      <c r="R403" s="163">
        <v>551</v>
      </c>
      <c r="S403" s="163">
        <v>551</v>
      </c>
      <c r="T403" s="128">
        <v>551</v>
      </c>
      <c r="U403" s="128">
        <v>0</v>
      </c>
      <c r="V403" s="128">
        <v>0</v>
      </c>
      <c r="W403" s="169">
        <v>330.6</v>
      </c>
      <c r="X403" s="169">
        <v>335.7</v>
      </c>
      <c r="Y403" s="169">
        <v>2275851</v>
      </c>
      <c r="Z403" s="136"/>
      <c r="AA403" s="128">
        <v>56896.28</v>
      </c>
      <c r="AB403" s="128">
        <v>56896.28</v>
      </c>
      <c r="AC403" s="128">
        <v>2389643.5499999998</v>
      </c>
      <c r="AD403" s="143">
        <f t="shared" si="243"/>
        <v>2387253.9064499997</v>
      </c>
      <c r="AE403" s="147">
        <v>40.31</v>
      </c>
      <c r="AF403" s="169">
        <v>39.700000000000003</v>
      </c>
      <c r="AG403" s="147">
        <v>40.29</v>
      </c>
      <c r="AH403" s="170">
        <v>3.2000000000000002E-3</v>
      </c>
      <c r="AI403" s="170">
        <v>3.6200000000000003E-2</v>
      </c>
      <c r="AJ403" s="170">
        <v>5.0999999999999997E-2</v>
      </c>
      <c r="AK403" s="137">
        <f t="shared" si="259"/>
        <v>0</v>
      </c>
      <c r="AL403" s="136">
        <v>0</v>
      </c>
      <c r="AM403" s="136"/>
      <c r="AN403" s="165">
        <v>0</v>
      </c>
      <c r="AO403" s="140">
        <f t="shared" si="260"/>
        <v>0</v>
      </c>
      <c r="AP403" s="136"/>
      <c r="AQ403" s="137">
        <v>0</v>
      </c>
      <c r="AR403" s="155">
        <f t="shared" si="261"/>
        <v>0</v>
      </c>
      <c r="AS403" s="155">
        <f t="shared" si="262"/>
        <v>0</v>
      </c>
      <c r="AT403" s="137">
        <v>0</v>
      </c>
      <c r="AU403" s="136"/>
      <c r="AV403" s="136"/>
      <c r="AW403" s="137">
        <f t="shared" si="248"/>
        <v>33060</v>
      </c>
      <c r="AX403" s="136"/>
      <c r="AY403" s="137">
        <f t="shared" si="249"/>
        <v>33060</v>
      </c>
      <c r="AZ403" s="137">
        <f t="shared" si="250"/>
        <v>33570</v>
      </c>
      <c r="BA403" s="142">
        <f t="shared" si="251"/>
        <v>-510</v>
      </c>
      <c r="BB403" s="137"/>
      <c r="BC403" s="137">
        <v>0</v>
      </c>
      <c r="BD403" s="136"/>
      <c r="BE403" s="128">
        <v>336.15</v>
      </c>
      <c r="BF403" s="143">
        <f t="shared" si="252"/>
        <v>0.50422499999999992</v>
      </c>
      <c r="BG403" s="143">
        <f t="shared" si="253"/>
        <v>335.64577499999996</v>
      </c>
      <c r="BH403" s="143">
        <f t="shared" si="254"/>
        <v>335.7</v>
      </c>
      <c r="BI403" s="144">
        <f t="shared" si="255"/>
        <v>44.999999999998863</v>
      </c>
      <c r="BJ403" s="144">
        <v>0</v>
      </c>
      <c r="BK403" s="137">
        <f t="shared" si="256"/>
        <v>44.999999999998863</v>
      </c>
      <c r="BL403" s="18"/>
      <c r="BM403" s="25" t="str">
        <f t="shared" si="257"/>
        <v>Unloading no. 385 Bill No 37 ,Deduction For Oil Deduction= 0 ,Bardana= 0 ,F.M=  Brokerage/Rate Difference 0 ,Shortage = 0 ,Greenish=  ,Moisture= 0</v>
      </c>
      <c r="BN403" s="17"/>
      <c r="BO403" s="13" t="str">
        <f t="shared" si="263"/>
        <v xml:space="preserve"> Party Condition 39.7  ,F.M% 0.32 ,Greenish 3.62 ,Moisture 5.1 ,Shortage in KG= 0  ,Oil% 40.29</v>
      </c>
      <c r="BP403" s="19">
        <f t="shared" si="258"/>
        <v>6779.4191242180523</v>
      </c>
      <c r="BX403" s="27">
        <v>40.31</v>
      </c>
      <c r="BY403" s="27">
        <v>40.29</v>
      </c>
    </row>
    <row r="404" spans="1:77" s="26" customFormat="1" ht="14.25" hidden="1" x14ac:dyDescent="0.3">
      <c r="A404" s="163" t="s">
        <v>758</v>
      </c>
      <c r="B404" s="166">
        <v>46135</v>
      </c>
      <c r="C404" s="187">
        <v>386</v>
      </c>
      <c r="D404" s="163" t="s">
        <v>856</v>
      </c>
      <c r="E404" s="166">
        <v>46139</v>
      </c>
      <c r="F404" s="163" t="s">
        <v>101</v>
      </c>
      <c r="G404" s="163" t="s">
        <v>102</v>
      </c>
      <c r="H404" s="163" t="s">
        <v>103</v>
      </c>
      <c r="I404" s="157"/>
      <c r="J404" s="163" t="s">
        <v>113</v>
      </c>
      <c r="K404" s="163">
        <v>0</v>
      </c>
      <c r="L404" s="166">
        <v>46135</v>
      </c>
      <c r="M404" s="157"/>
      <c r="N404" s="163" t="s">
        <v>804</v>
      </c>
      <c r="O404" s="166">
        <v>46136</v>
      </c>
      <c r="P404" s="163">
        <v>0</v>
      </c>
      <c r="Q404" s="163">
        <v>480</v>
      </c>
      <c r="R404" s="163">
        <v>116</v>
      </c>
      <c r="S404" s="163">
        <v>596</v>
      </c>
      <c r="T404" s="128">
        <v>596</v>
      </c>
      <c r="U404" s="128">
        <v>0</v>
      </c>
      <c r="V404" s="128">
        <v>0</v>
      </c>
      <c r="W404" s="169">
        <v>357.6</v>
      </c>
      <c r="X404" s="169">
        <v>361</v>
      </c>
      <c r="Y404" s="169">
        <v>2472814.73</v>
      </c>
      <c r="Z404" s="136"/>
      <c r="AA404" s="128">
        <v>61820.37</v>
      </c>
      <c r="AB404" s="128">
        <v>61820.37</v>
      </c>
      <c r="AC404" s="128">
        <v>2596455.4700000002</v>
      </c>
      <c r="AD404" s="143">
        <f t="shared" si="243"/>
        <v>2593859.0145300003</v>
      </c>
      <c r="AE404" s="147">
        <v>39.75</v>
      </c>
      <c r="AF404" s="169">
        <v>39.9</v>
      </c>
      <c r="AG404" s="147">
        <v>39.729999999999997</v>
      </c>
      <c r="AH404" s="170">
        <v>3.0000000000000001E-3</v>
      </c>
      <c r="AI404" s="170">
        <v>3.85E-2</v>
      </c>
      <c r="AJ404" s="170">
        <v>4.2000000000000003E-2</v>
      </c>
      <c r="AK404" s="137">
        <v>0</v>
      </c>
      <c r="AL404" s="136">
        <v>0</v>
      </c>
      <c r="AM404" s="136"/>
      <c r="AN404" s="165">
        <v>0</v>
      </c>
      <c r="AO404" s="140">
        <f t="shared" si="260"/>
        <v>3526.6653028523492</v>
      </c>
      <c r="AP404" s="136"/>
      <c r="AQ404" s="137">
        <v>0</v>
      </c>
      <c r="AR404" s="155">
        <f t="shared" si="261"/>
        <v>3526.6653028523492</v>
      </c>
      <c r="AS404" s="155">
        <f t="shared" si="262"/>
        <v>3703</v>
      </c>
      <c r="AT404" s="137">
        <v>51</v>
      </c>
      <c r="AU404" s="136"/>
      <c r="AV404" s="136"/>
      <c r="AW404" s="137">
        <f t="shared" si="248"/>
        <v>35760</v>
      </c>
      <c r="AX404" s="136"/>
      <c r="AY404" s="137">
        <f t="shared" si="249"/>
        <v>35760</v>
      </c>
      <c r="AZ404" s="137">
        <f t="shared" si="250"/>
        <v>36100</v>
      </c>
      <c r="BA404" s="142">
        <f t="shared" si="251"/>
        <v>-340</v>
      </c>
      <c r="BB404" s="137"/>
      <c r="BC404" s="137">
        <v>0</v>
      </c>
      <c r="BD404" s="136"/>
      <c r="BE404" s="128">
        <v>361.4</v>
      </c>
      <c r="BF404" s="143">
        <f t="shared" si="252"/>
        <v>0.54209999999999992</v>
      </c>
      <c r="BG404" s="143">
        <f t="shared" si="253"/>
        <v>360.85789999999997</v>
      </c>
      <c r="BH404" s="143">
        <f t="shared" si="254"/>
        <v>361</v>
      </c>
      <c r="BI404" s="144">
        <f t="shared" si="255"/>
        <v>39.999999999997726</v>
      </c>
      <c r="BJ404" s="144">
        <v>0</v>
      </c>
      <c r="BK404" s="137">
        <f t="shared" si="256"/>
        <v>39.999999999997726</v>
      </c>
      <c r="BL404" s="18"/>
      <c r="BM404" s="25" t="str">
        <f t="shared" si="257"/>
        <v>Unloading no. 386 Bill No L/PB/26-27/59 ,Deduction For Oil Deduction= 0 ,Bardana= 0 ,F.M=  Brokerage/Rate Difference 0 ,Shortage = 3526.66530285235 ,Greenish=  ,Moisture= 0</v>
      </c>
      <c r="BN404" s="17"/>
      <c r="BO404" s="13" t="str">
        <f t="shared" si="263"/>
        <v xml:space="preserve"> Party Condition 39.9  ,F.M% 0.3 ,Greenish 3.85 ,Moisture 4.2 ,Shortage in KG= 51  ,Oil% 39.73</v>
      </c>
      <c r="BP404" s="19">
        <f t="shared" si="258"/>
        <v>6840.1331432053958</v>
      </c>
      <c r="BX404" s="27">
        <v>39.75</v>
      </c>
      <c r="BY404" s="27">
        <v>39.729999999999997</v>
      </c>
    </row>
    <row r="405" spans="1:77" s="26" customFormat="1" ht="14.25" hidden="1" x14ac:dyDescent="0.3">
      <c r="A405" s="163" t="s">
        <v>769</v>
      </c>
      <c r="B405" s="166">
        <v>46136</v>
      </c>
      <c r="C405" s="187">
        <v>387</v>
      </c>
      <c r="D405" s="163" t="s">
        <v>857</v>
      </c>
      <c r="E405" s="166">
        <v>46139</v>
      </c>
      <c r="F405" s="163" t="s">
        <v>436</v>
      </c>
      <c r="G405" s="163" t="s">
        <v>437</v>
      </c>
      <c r="H405" s="163" t="s">
        <v>438</v>
      </c>
      <c r="I405" s="157"/>
      <c r="J405" s="163" t="s">
        <v>113</v>
      </c>
      <c r="K405" s="163">
        <v>0</v>
      </c>
      <c r="L405" s="166">
        <v>46136</v>
      </c>
      <c r="M405" s="157"/>
      <c r="N405" s="163">
        <v>69</v>
      </c>
      <c r="O405" s="166">
        <v>46137</v>
      </c>
      <c r="P405" s="163">
        <v>0</v>
      </c>
      <c r="Q405" s="163">
        <v>401</v>
      </c>
      <c r="R405" s="163">
        <v>100</v>
      </c>
      <c r="S405" s="163">
        <v>501</v>
      </c>
      <c r="T405" s="128">
        <v>501</v>
      </c>
      <c r="U405" s="128">
        <v>0</v>
      </c>
      <c r="V405" s="128">
        <v>0</v>
      </c>
      <c r="W405" s="169">
        <v>300.60000000000002</v>
      </c>
      <c r="X405" s="169">
        <v>305</v>
      </c>
      <c r="Y405" s="169">
        <v>2022563.05</v>
      </c>
      <c r="Z405" s="136"/>
      <c r="AA405" s="128">
        <v>50564.08</v>
      </c>
      <c r="AB405" s="128">
        <v>50564.08</v>
      </c>
      <c r="AC405" s="128">
        <v>2123691.2000000002</v>
      </c>
      <c r="AD405" s="143">
        <f t="shared" si="243"/>
        <v>2121567.5088000004</v>
      </c>
      <c r="AE405" s="147">
        <v>40.049999999999997</v>
      </c>
      <c r="AF405" s="169">
        <v>39.1</v>
      </c>
      <c r="AG405" s="147">
        <v>40.01</v>
      </c>
      <c r="AH405" s="170">
        <v>3.8999999999999998E-3</v>
      </c>
      <c r="AI405" s="170">
        <v>3.4000000000000002E-2</v>
      </c>
      <c r="AJ405" s="170">
        <v>5.2999999999999999E-2</v>
      </c>
      <c r="AK405" s="137">
        <f t="shared" si="259"/>
        <v>0</v>
      </c>
      <c r="AL405" s="136">
        <v>0</v>
      </c>
      <c r="AM405" s="136"/>
      <c r="AN405" s="165">
        <v>0</v>
      </c>
      <c r="AO405" s="140">
        <f t="shared" si="260"/>
        <v>0</v>
      </c>
      <c r="AP405" s="136"/>
      <c r="AQ405" s="137">
        <v>0</v>
      </c>
      <c r="AR405" s="155">
        <f t="shared" si="261"/>
        <v>0</v>
      </c>
      <c r="AS405" s="155">
        <f t="shared" si="262"/>
        <v>0</v>
      </c>
      <c r="AT405" s="137">
        <v>0</v>
      </c>
      <c r="AU405" s="136"/>
      <c r="AV405" s="136"/>
      <c r="AW405" s="137">
        <f t="shared" si="248"/>
        <v>30060.000000000004</v>
      </c>
      <c r="AX405" s="136"/>
      <c r="AY405" s="137">
        <f t="shared" si="249"/>
        <v>30060.000000000004</v>
      </c>
      <c r="AZ405" s="137">
        <f t="shared" si="250"/>
        <v>30500</v>
      </c>
      <c r="BA405" s="142">
        <f t="shared" si="251"/>
        <v>-439.99999999999636</v>
      </c>
      <c r="BB405" s="137"/>
      <c r="BC405" s="137">
        <v>0</v>
      </c>
      <c r="BD405" s="136"/>
      <c r="BE405" s="128">
        <v>305.10000000000002</v>
      </c>
      <c r="BF405" s="143">
        <f t="shared" si="252"/>
        <v>0.45765</v>
      </c>
      <c r="BG405" s="143">
        <f t="shared" si="253"/>
        <v>304.64235000000002</v>
      </c>
      <c r="BH405" s="143">
        <f t="shared" si="254"/>
        <v>305</v>
      </c>
      <c r="BI405" s="144">
        <f t="shared" si="255"/>
        <v>10.000000000002274</v>
      </c>
      <c r="BJ405" s="144">
        <v>0</v>
      </c>
      <c r="BK405" s="137">
        <f t="shared" si="256"/>
        <v>10.000000000002274</v>
      </c>
      <c r="BL405" s="18"/>
      <c r="BM405" s="25" t="str">
        <f t="shared" si="257"/>
        <v>Unloading no. 387 Bill No 69 ,Deduction For Oil Deduction= 0 ,Bardana= 0 ,F.M=  Brokerage/Rate Difference 0 ,Shortage = 0 ,Greenish=  ,Moisture= 0</v>
      </c>
      <c r="BN405" s="17"/>
      <c r="BO405" s="13" t="str">
        <f t="shared" si="263"/>
        <v xml:space="preserve"> Party Condition 39.1  ,F.M% 0.39 ,Greenish 3.4 ,Moisture 5.3 ,Shortage in KG= 0  ,Oil% 40.01</v>
      </c>
      <c r="BP405" s="19">
        <f t="shared" si="258"/>
        <v>6631.3542622950818</v>
      </c>
      <c r="BX405" s="27">
        <v>40.049999999999997</v>
      </c>
      <c r="BY405" s="27">
        <v>40.01</v>
      </c>
    </row>
    <row r="406" spans="1:77" s="26" customFormat="1" ht="14.25" hidden="1" x14ac:dyDescent="0.3">
      <c r="A406" s="163" t="s">
        <v>770</v>
      </c>
      <c r="B406" s="166">
        <v>46136</v>
      </c>
      <c r="C406" s="187">
        <v>388</v>
      </c>
      <c r="D406" s="163" t="s">
        <v>858</v>
      </c>
      <c r="E406" s="166">
        <v>46139</v>
      </c>
      <c r="F406" s="163" t="s">
        <v>101</v>
      </c>
      <c r="G406" s="163" t="s">
        <v>102</v>
      </c>
      <c r="H406" s="163" t="s">
        <v>103</v>
      </c>
      <c r="I406" s="157"/>
      <c r="J406" s="163" t="s">
        <v>113</v>
      </c>
      <c r="K406" s="163">
        <v>0</v>
      </c>
      <c r="L406" s="166">
        <v>46136</v>
      </c>
      <c r="M406" s="157"/>
      <c r="N406" s="163" t="s">
        <v>805</v>
      </c>
      <c r="O406" s="166">
        <v>46137</v>
      </c>
      <c r="P406" s="163">
        <v>0</v>
      </c>
      <c r="Q406" s="163">
        <v>310</v>
      </c>
      <c r="R406" s="163">
        <v>195</v>
      </c>
      <c r="S406" s="163">
        <v>505</v>
      </c>
      <c r="T406" s="128">
        <v>505</v>
      </c>
      <c r="U406" s="128">
        <v>0</v>
      </c>
      <c r="V406" s="128">
        <v>0</v>
      </c>
      <c r="W406" s="169">
        <v>303</v>
      </c>
      <c r="X406" s="169">
        <v>307.5</v>
      </c>
      <c r="Y406" s="169">
        <v>2105699.5099999998</v>
      </c>
      <c r="Z406" s="136"/>
      <c r="AA406" s="128">
        <v>52642.49</v>
      </c>
      <c r="AB406" s="128">
        <v>52642.49</v>
      </c>
      <c r="AC406" s="128">
        <v>2210984.4900000002</v>
      </c>
      <c r="AD406" s="143">
        <f t="shared" si="243"/>
        <v>2208773.50551</v>
      </c>
      <c r="AE406" s="147">
        <v>39.520000000000003</v>
      </c>
      <c r="AF406" s="169">
        <v>39.9</v>
      </c>
      <c r="AG406" s="147">
        <v>39.5</v>
      </c>
      <c r="AH406" s="170">
        <v>2.5000000000000001E-3</v>
      </c>
      <c r="AI406" s="170">
        <v>3.5400000000000001E-2</v>
      </c>
      <c r="AJ406" s="170">
        <v>3.9E-2</v>
      </c>
      <c r="AK406" s="137">
        <f t="shared" si="259"/>
        <v>21109.769523809446</v>
      </c>
      <c r="AL406" s="136">
        <v>0</v>
      </c>
      <c r="AM406" s="136"/>
      <c r="AN406" s="165">
        <v>0</v>
      </c>
      <c r="AO406" s="140">
        <f t="shared" si="260"/>
        <v>0</v>
      </c>
      <c r="AP406" s="136"/>
      <c r="AQ406" s="137">
        <v>0</v>
      </c>
      <c r="AR406" s="155">
        <f t="shared" si="261"/>
        <v>21109.769523809446</v>
      </c>
      <c r="AS406" s="155">
        <f t="shared" si="262"/>
        <v>22165</v>
      </c>
      <c r="AT406" s="137">
        <v>0</v>
      </c>
      <c r="AU406" s="136"/>
      <c r="AV406" s="136"/>
      <c r="AW406" s="137">
        <f t="shared" si="248"/>
        <v>30300</v>
      </c>
      <c r="AX406" s="136"/>
      <c r="AY406" s="137">
        <f t="shared" si="249"/>
        <v>30300</v>
      </c>
      <c r="AZ406" s="137">
        <f t="shared" si="250"/>
        <v>30750</v>
      </c>
      <c r="BA406" s="142">
        <f t="shared" si="251"/>
        <v>-450</v>
      </c>
      <c r="BB406" s="137"/>
      <c r="BC406" s="137">
        <v>0</v>
      </c>
      <c r="BD406" s="136"/>
      <c r="BE406" s="128">
        <v>307.89999999999998</v>
      </c>
      <c r="BF406" s="143">
        <f t="shared" si="252"/>
        <v>0.46184999999999993</v>
      </c>
      <c r="BG406" s="143">
        <f t="shared" si="253"/>
        <v>307.43814999999995</v>
      </c>
      <c r="BH406" s="143">
        <f t="shared" si="254"/>
        <v>307.5</v>
      </c>
      <c r="BI406" s="144">
        <f t="shared" si="255"/>
        <v>39.999999999997726</v>
      </c>
      <c r="BJ406" s="144">
        <v>0</v>
      </c>
      <c r="BK406" s="137">
        <f t="shared" si="256"/>
        <v>39.999999999997726</v>
      </c>
      <c r="BL406" s="18"/>
      <c r="BM406" s="25" t="str">
        <f t="shared" si="257"/>
        <v>Unloading no. 388 Bill No L/PB/26-27/62 ,Deduction For Oil Deduction= 21109.7695238094 ,Bardana= 0 ,F.M=  Brokerage/Rate Difference 0 ,Shortage = 0 ,Greenish=  ,Moisture= 0</v>
      </c>
      <c r="BN406" s="17"/>
      <c r="BO406" s="13" t="str">
        <f t="shared" si="263"/>
        <v xml:space="preserve"> Party Condition 39.9  ,F.M% 0.25 ,Greenish 3.54 ,Moisture 3.9 ,Shortage in KG= 0  ,Oil% 39.5</v>
      </c>
      <c r="BP406" s="19">
        <f t="shared" si="258"/>
        <v>6779.1536275648468</v>
      </c>
      <c r="BX406" s="27">
        <v>39.520000000000003</v>
      </c>
      <c r="BY406" s="27">
        <v>39.5</v>
      </c>
    </row>
    <row r="407" spans="1:77" s="26" customFormat="1" ht="14.25" hidden="1" x14ac:dyDescent="0.3">
      <c r="A407" s="163" t="s">
        <v>770</v>
      </c>
      <c r="B407" s="166">
        <v>46136</v>
      </c>
      <c r="C407" s="187">
        <v>389</v>
      </c>
      <c r="D407" s="163" t="s">
        <v>859</v>
      </c>
      <c r="E407" s="166">
        <v>46139</v>
      </c>
      <c r="F407" s="163" t="s">
        <v>101</v>
      </c>
      <c r="G407" s="163" t="s">
        <v>102</v>
      </c>
      <c r="H407" s="163" t="s">
        <v>103</v>
      </c>
      <c r="I407" s="157"/>
      <c r="J407" s="163" t="s">
        <v>113</v>
      </c>
      <c r="K407" s="163">
        <v>0</v>
      </c>
      <c r="L407" s="166">
        <v>46136</v>
      </c>
      <c r="M407" s="157"/>
      <c r="N407" s="163" t="s">
        <v>806</v>
      </c>
      <c r="O407" s="166">
        <v>46137</v>
      </c>
      <c r="P407" s="163">
        <v>0</v>
      </c>
      <c r="Q407" s="163">
        <v>460</v>
      </c>
      <c r="R407" s="163">
        <v>73</v>
      </c>
      <c r="S407" s="163">
        <v>533</v>
      </c>
      <c r="T407" s="128">
        <v>533</v>
      </c>
      <c r="U407" s="128">
        <v>0</v>
      </c>
      <c r="V407" s="128">
        <v>0</v>
      </c>
      <c r="W407" s="169">
        <v>319.8</v>
      </c>
      <c r="X407" s="169">
        <v>323.60000000000002</v>
      </c>
      <c r="Y407" s="169">
        <v>2222451.17</v>
      </c>
      <c r="Z407" s="136"/>
      <c r="AA407" s="128">
        <v>55561.279999999999</v>
      </c>
      <c r="AB407" s="128">
        <v>55561.279999999999</v>
      </c>
      <c r="AC407" s="128">
        <v>2333573.73</v>
      </c>
      <c r="AD407" s="143">
        <f t="shared" si="243"/>
        <v>2331240.1562700002</v>
      </c>
      <c r="AE407" s="147">
        <v>39.74</v>
      </c>
      <c r="AF407" s="169">
        <v>39.9</v>
      </c>
      <c r="AG407" s="147">
        <v>39.74</v>
      </c>
      <c r="AH407" s="170">
        <v>2.7000000000000001E-3</v>
      </c>
      <c r="AI407" s="170">
        <v>3.5000000000000003E-2</v>
      </c>
      <c r="AJ407" s="170">
        <v>5.8000000000000003E-2</v>
      </c>
      <c r="AK407" s="137">
        <v>0</v>
      </c>
      <c r="AL407" s="136">
        <v>0</v>
      </c>
      <c r="AM407" s="136"/>
      <c r="AN407" s="165">
        <v>0</v>
      </c>
      <c r="AO407" s="140">
        <f t="shared" si="260"/>
        <v>625.45530112570361</v>
      </c>
      <c r="AP407" s="136"/>
      <c r="AQ407" s="137">
        <v>0</v>
      </c>
      <c r="AR407" s="155">
        <f t="shared" si="261"/>
        <v>625.45530112570361</v>
      </c>
      <c r="AS407" s="155">
        <f t="shared" si="262"/>
        <v>657</v>
      </c>
      <c r="AT407" s="137">
        <v>9</v>
      </c>
      <c r="AU407" s="136"/>
      <c r="AV407" s="136"/>
      <c r="AW407" s="137">
        <f t="shared" si="248"/>
        <v>31980</v>
      </c>
      <c r="AX407" s="136"/>
      <c r="AY407" s="137">
        <f t="shared" si="249"/>
        <v>31980</v>
      </c>
      <c r="AZ407" s="137">
        <f t="shared" si="250"/>
        <v>32360.000000000004</v>
      </c>
      <c r="BA407" s="142">
        <f t="shared" si="251"/>
        <v>-380.00000000000364</v>
      </c>
      <c r="BB407" s="137"/>
      <c r="BC407" s="137">
        <v>0</v>
      </c>
      <c r="BD407" s="136"/>
      <c r="BE407" s="128">
        <v>323.8</v>
      </c>
      <c r="BF407" s="143">
        <f t="shared" si="252"/>
        <v>0.48570000000000002</v>
      </c>
      <c r="BG407" s="143">
        <f t="shared" si="253"/>
        <v>323.3143</v>
      </c>
      <c r="BH407" s="143">
        <f t="shared" si="254"/>
        <v>323.60000000000002</v>
      </c>
      <c r="BI407" s="144">
        <f t="shared" si="255"/>
        <v>19.999999999998863</v>
      </c>
      <c r="BJ407" s="144">
        <v>0</v>
      </c>
      <c r="BK407" s="137">
        <f t="shared" si="256"/>
        <v>19.999999999998863</v>
      </c>
      <c r="BL407" s="18"/>
      <c r="BM407" s="25" t="str">
        <f t="shared" si="257"/>
        <v>Unloading no. 389 Bill No L/PB/26-27/65 ,Deduction For Oil Deduction= 0 ,Bardana= 0 ,F.M=  Brokerage/Rate Difference 0 ,Shortage = 625.455301125704 ,Greenish=  ,Moisture= 0</v>
      </c>
      <c r="BN407" s="17"/>
      <c r="BO407" s="13" t="str">
        <f t="shared" si="263"/>
        <v xml:space="preserve"> Party Condition 39.9  ,F.M% 0.27 ,Greenish 3.5 ,Moisture 5.8 ,Shortage in KG= 9  ,Oil% 39.74</v>
      </c>
      <c r="BP407" s="19">
        <f t="shared" si="258"/>
        <v>6865.9632716281649</v>
      </c>
      <c r="BX407" s="27">
        <v>39.74</v>
      </c>
      <c r="BY407" s="27">
        <v>39.74</v>
      </c>
    </row>
    <row r="408" spans="1:77" s="26" customFormat="1" ht="14.25" hidden="1" x14ac:dyDescent="0.3">
      <c r="A408" s="163" t="s">
        <v>753</v>
      </c>
      <c r="B408" s="166">
        <v>46134</v>
      </c>
      <c r="C408" s="187">
        <v>390</v>
      </c>
      <c r="D408" s="163" t="s">
        <v>860</v>
      </c>
      <c r="E408" s="166">
        <v>46139</v>
      </c>
      <c r="F408" s="163" t="s">
        <v>104</v>
      </c>
      <c r="G408" s="163" t="s">
        <v>105</v>
      </c>
      <c r="H408" s="163" t="s">
        <v>106</v>
      </c>
      <c r="I408" s="157"/>
      <c r="J408" s="163" t="s">
        <v>113</v>
      </c>
      <c r="K408" s="163">
        <v>0</v>
      </c>
      <c r="L408" s="166">
        <v>46134</v>
      </c>
      <c r="M408" s="157"/>
      <c r="N408" s="163" t="s">
        <v>807</v>
      </c>
      <c r="O408" s="166">
        <v>46137</v>
      </c>
      <c r="P408" s="163">
        <v>0</v>
      </c>
      <c r="Q408" s="163">
        <v>500</v>
      </c>
      <c r="R408" s="163">
        <v>141</v>
      </c>
      <c r="S408" s="163">
        <v>641</v>
      </c>
      <c r="T408" s="128">
        <v>641</v>
      </c>
      <c r="U408" s="128">
        <v>0</v>
      </c>
      <c r="V408" s="128">
        <v>0</v>
      </c>
      <c r="W408" s="169">
        <v>320.5</v>
      </c>
      <c r="X408" s="169">
        <v>325.60000000000002</v>
      </c>
      <c r="Y408" s="169">
        <v>2183377.41</v>
      </c>
      <c r="Z408" s="136"/>
      <c r="AA408" s="128">
        <v>54584.44</v>
      </c>
      <c r="AB408" s="128">
        <v>54584.44</v>
      </c>
      <c r="AC408" s="128">
        <v>2292546.2799999998</v>
      </c>
      <c r="AD408" s="143">
        <f t="shared" si="243"/>
        <v>2290253.7337199999</v>
      </c>
      <c r="AE408" s="147">
        <v>40</v>
      </c>
      <c r="AF408" s="169">
        <v>39.299999999999997</v>
      </c>
      <c r="AG408" s="147">
        <v>40.049999999999997</v>
      </c>
      <c r="AH408" s="170">
        <v>3.5000000000000001E-3</v>
      </c>
      <c r="AI408" s="170">
        <v>3.4200000000000001E-2</v>
      </c>
      <c r="AJ408" s="170">
        <v>0.04</v>
      </c>
      <c r="AK408" s="137">
        <f t="shared" si="259"/>
        <v>0</v>
      </c>
      <c r="AL408" s="136">
        <f>641*2</f>
        <v>1282</v>
      </c>
      <c r="AM408" s="136"/>
      <c r="AN408" s="165">
        <v>0</v>
      </c>
      <c r="AO408" s="140">
        <f t="shared" si="260"/>
        <v>0</v>
      </c>
      <c r="AP408" s="136"/>
      <c r="AQ408" s="137">
        <v>0</v>
      </c>
      <c r="AR408" s="155">
        <f t="shared" si="261"/>
        <v>1282</v>
      </c>
      <c r="AS408" s="155">
        <f t="shared" si="262"/>
        <v>1346</v>
      </c>
      <c r="AT408" s="137">
        <v>0</v>
      </c>
      <c r="AU408" s="136"/>
      <c r="AV408" s="136"/>
      <c r="AW408" s="137">
        <f t="shared" si="248"/>
        <v>32050</v>
      </c>
      <c r="AX408" s="136"/>
      <c r="AY408" s="137">
        <f t="shared" si="249"/>
        <v>32050</v>
      </c>
      <c r="AZ408" s="137">
        <f t="shared" si="250"/>
        <v>32560.000000000004</v>
      </c>
      <c r="BA408" s="142">
        <f t="shared" si="251"/>
        <v>-510.00000000000364</v>
      </c>
      <c r="BB408" s="137"/>
      <c r="BC408" s="137">
        <v>0</v>
      </c>
      <c r="BD408" s="136"/>
      <c r="BE408" s="128">
        <v>325.75</v>
      </c>
      <c r="BF408" s="143">
        <f t="shared" si="252"/>
        <v>0.48862499999999998</v>
      </c>
      <c r="BG408" s="143">
        <f t="shared" si="253"/>
        <v>325.26137499999999</v>
      </c>
      <c r="BH408" s="143">
        <f t="shared" si="254"/>
        <v>325.60000000000002</v>
      </c>
      <c r="BI408" s="144">
        <f t="shared" si="255"/>
        <v>14.999999999997726</v>
      </c>
      <c r="BJ408" s="144">
        <v>0</v>
      </c>
      <c r="BK408" s="137">
        <f t="shared" si="256"/>
        <v>14.999999999997726</v>
      </c>
      <c r="BL408" s="18"/>
      <c r="BM408" s="25" t="str">
        <f t="shared" si="257"/>
        <v>Unloading no. 390 Bill No MTC/2026-27/0108 ,Deduction For Oil Deduction= 0 ,Bardana= 1282 ,F.M=  Brokerage/Rate Difference 0 ,Shortage = 0 ,Greenish=  ,Moisture= 0</v>
      </c>
      <c r="BN408" s="17"/>
      <c r="BO408" s="13" t="str">
        <f t="shared" si="263"/>
        <v xml:space="preserve"> Party Condition 39.3  ,F.M% 0.35 ,Greenish 3.42 ,Moisture 4 ,Shortage in KG= 0  ,Oil% 40</v>
      </c>
      <c r="BP408" s="19">
        <f t="shared" si="258"/>
        <v>6701.7672297297295</v>
      </c>
      <c r="BX408" s="27">
        <v>40</v>
      </c>
      <c r="BY408" s="27">
        <v>40.049999999999997</v>
      </c>
    </row>
    <row r="409" spans="1:77" s="26" customFormat="1" ht="14.25" hidden="1" x14ac:dyDescent="0.3">
      <c r="A409" s="128" t="s">
        <v>752</v>
      </c>
      <c r="B409" s="130">
        <v>46135</v>
      </c>
      <c r="C409" s="138">
        <v>391</v>
      </c>
      <c r="D409" s="128" t="s">
        <v>861</v>
      </c>
      <c r="E409" s="130">
        <v>46139</v>
      </c>
      <c r="F409" s="128" t="s">
        <v>95</v>
      </c>
      <c r="G409" s="128" t="s">
        <v>96</v>
      </c>
      <c r="H409" s="128" t="s">
        <v>97</v>
      </c>
      <c r="I409" s="136"/>
      <c r="J409" s="128" t="s">
        <v>113</v>
      </c>
      <c r="K409" s="128">
        <v>0</v>
      </c>
      <c r="L409" s="130">
        <v>46135</v>
      </c>
      <c r="M409" s="136"/>
      <c r="N409" s="128">
        <v>124</v>
      </c>
      <c r="O409" s="130">
        <v>46137</v>
      </c>
      <c r="P409" s="128">
        <v>0</v>
      </c>
      <c r="Q409" s="128">
        <v>214</v>
      </c>
      <c r="R409" s="128">
        <v>210</v>
      </c>
      <c r="S409" s="128">
        <v>424</v>
      </c>
      <c r="T409" s="128">
        <v>424</v>
      </c>
      <c r="U409" s="128">
        <v>0</v>
      </c>
      <c r="V409" s="128">
        <v>0</v>
      </c>
      <c r="W409" s="169">
        <v>254.4</v>
      </c>
      <c r="X409" s="169">
        <v>257.89999999999998</v>
      </c>
      <c r="Y409" s="169">
        <v>1761557.18</v>
      </c>
      <c r="Z409" s="136"/>
      <c r="AA409" s="128">
        <v>44038.93</v>
      </c>
      <c r="AB409" s="128">
        <v>44038.93</v>
      </c>
      <c r="AC409" s="128">
        <v>1849635.04</v>
      </c>
      <c r="AD409" s="143">
        <f t="shared" si="243"/>
        <v>1847785.40496</v>
      </c>
      <c r="AE409" s="147">
        <v>40.25</v>
      </c>
      <c r="AF409" s="169">
        <v>40.08</v>
      </c>
      <c r="AG409" s="147">
        <v>40.21</v>
      </c>
      <c r="AH409" s="170">
        <v>2.5000000000000001E-3</v>
      </c>
      <c r="AI409" s="170">
        <v>3.4200000000000001E-2</v>
      </c>
      <c r="AJ409" s="170">
        <v>5.5E-2</v>
      </c>
      <c r="AK409" s="137">
        <f t="shared" si="259"/>
        <v>0</v>
      </c>
      <c r="AL409" s="136">
        <v>0</v>
      </c>
      <c r="AM409" s="136"/>
      <c r="AN409" s="165">
        <v>0</v>
      </c>
      <c r="AO409" s="140">
        <f t="shared" si="260"/>
        <v>0</v>
      </c>
      <c r="AP409" s="136"/>
      <c r="AQ409" s="137">
        <v>0</v>
      </c>
      <c r="AR409" s="155">
        <f t="shared" si="261"/>
        <v>0</v>
      </c>
      <c r="AS409" s="155">
        <f t="shared" si="262"/>
        <v>0</v>
      </c>
      <c r="AT409" s="137">
        <v>0</v>
      </c>
      <c r="AU409" s="136" t="s">
        <v>664</v>
      </c>
      <c r="AV409" s="136"/>
      <c r="AW409" s="137">
        <f t="shared" si="248"/>
        <v>25440</v>
      </c>
      <c r="AX409" s="136"/>
      <c r="AY409" s="137">
        <f t="shared" si="249"/>
        <v>25440</v>
      </c>
      <c r="AZ409" s="137">
        <f t="shared" si="250"/>
        <v>25789.999999999996</v>
      </c>
      <c r="BA409" s="142">
        <f t="shared" si="251"/>
        <v>-349.99999999999636</v>
      </c>
      <c r="BB409" s="137"/>
      <c r="BC409" s="137">
        <v>0</v>
      </c>
      <c r="BD409" s="136"/>
      <c r="BE409" s="128">
        <v>258.10000000000002</v>
      </c>
      <c r="BF409" s="143">
        <f t="shared" si="252"/>
        <v>0.38715000000000005</v>
      </c>
      <c r="BG409" s="143">
        <f t="shared" si="253"/>
        <v>257.71285</v>
      </c>
      <c r="BH409" s="143">
        <f t="shared" si="254"/>
        <v>257.89999999999998</v>
      </c>
      <c r="BI409" s="144">
        <f t="shared" si="255"/>
        <v>20.000000000004547</v>
      </c>
      <c r="BJ409" s="144">
        <v>0</v>
      </c>
      <c r="BK409" s="137">
        <f t="shared" si="256"/>
        <v>20.000000000004547</v>
      </c>
      <c r="BL409" s="18"/>
      <c r="BM409" s="25" t="str">
        <f t="shared" si="257"/>
        <v>Unloading no. 391 Bill No 124 ,Deduction For Oil Deduction= 0 ,Bardana= 0 ,F.M=  Brokerage/Rate Difference 0 ,Shortage = 0 ,Greenish=  ,Moisture= 0</v>
      </c>
      <c r="BN409" s="17"/>
      <c r="BO409" s="13" t="str">
        <f t="shared" si="263"/>
        <v xml:space="preserve"> Party Condition 40.08  ,F.M% 0.25 ,Greenish 3.42 ,Moisture 5.5 ,Shortage in KG= 0  ,Oil% 40.21</v>
      </c>
      <c r="BP409" s="19">
        <f t="shared" si="258"/>
        <v>6830.3884451337735</v>
      </c>
      <c r="BX409" s="27">
        <v>40.25</v>
      </c>
      <c r="BY409" s="27">
        <v>40.21</v>
      </c>
    </row>
    <row r="410" spans="1:77" s="26" customFormat="1" ht="14.25" hidden="1" x14ac:dyDescent="0.3">
      <c r="A410" s="128" t="s">
        <v>771</v>
      </c>
      <c r="B410" s="130">
        <v>46136</v>
      </c>
      <c r="C410" s="138">
        <v>392</v>
      </c>
      <c r="D410" s="128" t="s">
        <v>862</v>
      </c>
      <c r="E410" s="130">
        <v>46139</v>
      </c>
      <c r="F410" s="128" t="s">
        <v>467</v>
      </c>
      <c r="G410" s="128" t="s">
        <v>468</v>
      </c>
      <c r="H410" s="128" t="s">
        <v>506</v>
      </c>
      <c r="I410" s="136"/>
      <c r="J410" s="128" t="s">
        <v>113</v>
      </c>
      <c r="K410" s="128">
        <v>0</v>
      </c>
      <c r="L410" s="130">
        <v>46136</v>
      </c>
      <c r="M410" s="136"/>
      <c r="N410" s="128" t="s">
        <v>808</v>
      </c>
      <c r="O410" s="130">
        <v>46137</v>
      </c>
      <c r="P410" s="128">
        <v>0</v>
      </c>
      <c r="Q410" s="128">
        <v>207</v>
      </c>
      <c r="R410" s="128">
        <v>200</v>
      </c>
      <c r="S410" s="128">
        <v>407</v>
      </c>
      <c r="T410" s="128">
        <v>407</v>
      </c>
      <c r="U410" s="128">
        <v>0</v>
      </c>
      <c r="V410" s="128">
        <v>0</v>
      </c>
      <c r="W410" s="169">
        <v>244.2</v>
      </c>
      <c r="X410" s="169">
        <v>246.9</v>
      </c>
      <c r="Y410" s="169">
        <v>1677700</v>
      </c>
      <c r="Z410" s="136"/>
      <c r="AA410" s="128">
        <v>41942.5</v>
      </c>
      <c r="AB410" s="128">
        <v>41942.5</v>
      </c>
      <c r="AC410" s="128">
        <v>1761585</v>
      </c>
      <c r="AD410" s="143">
        <f t="shared" si="243"/>
        <v>1759823.415</v>
      </c>
      <c r="AE410" s="147">
        <v>41.02</v>
      </c>
      <c r="AF410" s="169">
        <v>39.89</v>
      </c>
      <c r="AG410" s="147">
        <v>40.92</v>
      </c>
      <c r="AH410" s="170">
        <v>4.3E-3</v>
      </c>
      <c r="AI410" s="170">
        <v>3.9E-2</v>
      </c>
      <c r="AJ410" s="170">
        <v>4.2999999999999997E-2</v>
      </c>
      <c r="AK410" s="137">
        <f t="shared" si="259"/>
        <v>0</v>
      </c>
      <c r="AL410" s="136">
        <v>0</v>
      </c>
      <c r="AM410" s="136"/>
      <c r="AN410" s="165">
        <v>0</v>
      </c>
      <c r="AO410" s="140">
        <f t="shared" si="260"/>
        <v>0</v>
      </c>
      <c r="AP410" s="136"/>
      <c r="AQ410" s="137">
        <v>0</v>
      </c>
      <c r="AR410" s="155">
        <f t="shared" si="261"/>
        <v>0</v>
      </c>
      <c r="AS410" s="155">
        <f t="shared" si="262"/>
        <v>0</v>
      </c>
      <c r="AT410" s="137">
        <v>0</v>
      </c>
      <c r="AU410" s="136"/>
      <c r="AV410" s="136"/>
      <c r="AW410" s="137">
        <f t="shared" si="248"/>
        <v>24420</v>
      </c>
      <c r="AX410" s="136"/>
      <c r="AY410" s="137">
        <f t="shared" si="249"/>
        <v>24420</v>
      </c>
      <c r="AZ410" s="137">
        <f t="shared" si="250"/>
        <v>24690</v>
      </c>
      <c r="BA410" s="142">
        <f t="shared" si="251"/>
        <v>-270</v>
      </c>
      <c r="BB410" s="137"/>
      <c r="BC410" s="137">
        <v>0</v>
      </c>
      <c r="BD410" s="136"/>
      <c r="BE410" s="128">
        <v>247.1</v>
      </c>
      <c r="BF410" s="143">
        <f t="shared" si="252"/>
        <v>0.37064999999999998</v>
      </c>
      <c r="BG410" s="143">
        <f t="shared" si="253"/>
        <v>246.72934999999998</v>
      </c>
      <c r="BH410" s="143">
        <f t="shared" si="254"/>
        <v>246.9</v>
      </c>
      <c r="BI410" s="144">
        <f t="shared" si="255"/>
        <v>19.999999999998863</v>
      </c>
      <c r="BJ410" s="144">
        <v>0</v>
      </c>
      <c r="BK410" s="137">
        <f t="shared" si="256"/>
        <v>19.999999999998863</v>
      </c>
      <c r="BL410" s="18"/>
      <c r="BM410" s="25" t="str">
        <f t="shared" si="257"/>
        <v>Unloading no. 392 Bill No GDS/26-27/160 ,Deduction For Oil Deduction= 0 ,Bardana= 0 ,F.M=  Brokerage/Rate Difference 0 ,Shortage = 0 ,Greenish=  ,Moisture= 0</v>
      </c>
      <c r="BN410" s="17"/>
      <c r="BO410" s="13" t="str">
        <f t="shared" si="263"/>
        <v xml:space="preserve"> Party Condition 39.89  ,F.M% 0.43 ,Greenish 3.9 ,Moisture 4.3 ,Shortage in KG= 0  ,Oil% 40.92</v>
      </c>
      <c r="BP410" s="19">
        <f t="shared" si="258"/>
        <v>6795.0587282300521</v>
      </c>
      <c r="BX410" s="27">
        <v>41.02</v>
      </c>
      <c r="BY410" s="27">
        <v>40.92</v>
      </c>
    </row>
    <row r="411" spans="1:77" s="26" customFormat="1" ht="14.25" hidden="1" x14ac:dyDescent="0.3">
      <c r="A411" s="128" t="s">
        <v>772</v>
      </c>
      <c r="B411" s="130">
        <v>46136</v>
      </c>
      <c r="C411" s="138">
        <v>393</v>
      </c>
      <c r="D411" s="128" t="s">
        <v>863</v>
      </c>
      <c r="E411" s="130">
        <v>46139</v>
      </c>
      <c r="F411" s="128" t="s">
        <v>95</v>
      </c>
      <c r="G411" s="128" t="s">
        <v>96</v>
      </c>
      <c r="H411" s="128" t="s">
        <v>97</v>
      </c>
      <c r="I411" s="136"/>
      <c r="J411" s="128" t="s">
        <v>113</v>
      </c>
      <c r="K411" s="128">
        <v>0</v>
      </c>
      <c r="L411" s="130">
        <v>46136</v>
      </c>
      <c r="M411" s="136"/>
      <c r="N411" s="128">
        <v>127</v>
      </c>
      <c r="O411" s="130">
        <v>46137</v>
      </c>
      <c r="P411" s="128">
        <v>0</v>
      </c>
      <c r="Q411" s="128">
        <v>360</v>
      </c>
      <c r="R411" s="128">
        <v>134</v>
      </c>
      <c r="S411" s="128">
        <v>494</v>
      </c>
      <c r="T411" s="128">
        <v>494</v>
      </c>
      <c r="U411" s="128">
        <v>0</v>
      </c>
      <c r="V411" s="128">
        <v>0</v>
      </c>
      <c r="W411" s="169">
        <v>296.39999999999998</v>
      </c>
      <c r="X411" s="169">
        <v>300</v>
      </c>
      <c r="Y411" s="169">
        <v>2059668.78</v>
      </c>
      <c r="Z411" s="136"/>
      <c r="AA411" s="128">
        <v>51491.72</v>
      </c>
      <c r="AB411" s="128">
        <v>51491.72</v>
      </c>
      <c r="AC411" s="128">
        <v>2162652.2200000002</v>
      </c>
      <c r="AD411" s="143">
        <f t="shared" si="243"/>
        <v>2160489.5677800002</v>
      </c>
      <c r="AE411" s="147">
        <v>40</v>
      </c>
      <c r="AF411" s="169">
        <v>40.049999999999997</v>
      </c>
      <c r="AG411" s="147">
        <v>40.06</v>
      </c>
      <c r="AH411" s="170">
        <v>2.7000000000000001E-3</v>
      </c>
      <c r="AI411" s="170">
        <v>3.61E-2</v>
      </c>
      <c r="AJ411" s="170">
        <v>4.4999999999999998E-2</v>
      </c>
      <c r="AK411" s="137">
        <v>0</v>
      </c>
      <c r="AL411" s="136">
        <v>0</v>
      </c>
      <c r="AM411" s="136"/>
      <c r="AN411" s="165">
        <v>0</v>
      </c>
      <c r="AO411" s="140">
        <f t="shared" si="260"/>
        <v>0</v>
      </c>
      <c r="AP411" s="136"/>
      <c r="AQ411" s="137">
        <v>0</v>
      </c>
      <c r="AR411" s="155">
        <f t="shared" si="261"/>
        <v>0</v>
      </c>
      <c r="AS411" s="155">
        <f t="shared" si="262"/>
        <v>0</v>
      </c>
      <c r="AT411" s="137">
        <v>0</v>
      </c>
      <c r="AU411" s="136" t="s">
        <v>664</v>
      </c>
      <c r="AV411" s="136"/>
      <c r="AW411" s="137">
        <f t="shared" si="248"/>
        <v>29639.999999999996</v>
      </c>
      <c r="AX411" s="136"/>
      <c r="AY411" s="137">
        <f t="shared" si="249"/>
        <v>29639.999999999996</v>
      </c>
      <c r="AZ411" s="137">
        <f t="shared" si="250"/>
        <v>30000</v>
      </c>
      <c r="BA411" s="142">
        <f t="shared" si="251"/>
        <v>-360.00000000000364</v>
      </c>
      <c r="BB411" s="137"/>
      <c r="BC411" s="137">
        <v>0</v>
      </c>
      <c r="BD411" s="136"/>
      <c r="BE411" s="128">
        <v>300.39999999999998</v>
      </c>
      <c r="BF411" s="143">
        <f t="shared" si="252"/>
        <v>0.45059999999999995</v>
      </c>
      <c r="BG411" s="143">
        <f t="shared" si="253"/>
        <v>299.94939999999997</v>
      </c>
      <c r="BH411" s="143">
        <f t="shared" si="254"/>
        <v>300</v>
      </c>
      <c r="BI411" s="144">
        <f t="shared" si="255"/>
        <v>39.999999999997726</v>
      </c>
      <c r="BJ411" s="144">
        <v>0</v>
      </c>
      <c r="BK411" s="137">
        <f t="shared" si="256"/>
        <v>39.999999999997726</v>
      </c>
      <c r="BL411" s="18"/>
      <c r="BM411" s="25" t="str">
        <f t="shared" si="257"/>
        <v>Unloading no. 393 Bill No 127 ,Deduction For Oil Deduction= 0 ,Bardana= 0 ,F.M=  Brokerage/Rate Difference 0 ,Shortage = 0 ,Greenish=  ,Moisture= 0</v>
      </c>
      <c r="BN411" s="17"/>
      <c r="BO411" s="13" t="str">
        <f t="shared" si="263"/>
        <v xml:space="preserve"> Party Condition 40.05  ,F.M% 0.27 ,Greenish 3.61 ,Moisture 4.5 ,Shortage in KG= 0  ,Oil% 40</v>
      </c>
      <c r="BP411" s="19">
        <f t="shared" si="258"/>
        <v>6865.5626000000002</v>
      </c>
      <c r="BX411" s="27">
        <v>40</v>
      </c>
      <c r="BY411" s="27">
        <v>40.06</v>
      </c>
    </row>
    <row r="412" spans="1:77" s="26" customFormat="1" ht="14.1" hidden="1" customHeight="1" x14ac:dyDescent="0.3">
      <c r="A412" s="128" t="s">
        <v>772</v>
      </c>
      <c r="B412" s="130">
        <v>46136</v>
      </c>
      <c r="C412" s="135">
        <v>394</v>
      </c>
      <c r="D412" s="128" t="s">
        <v>864</v>
      </c>
      <c r="E412" s="130">
        <v>46140</v>
      </c>
      <c r="F412" s="128" t="s">
        <v>95</v>
      </c>
      <c r="G412" s="128" t="s">
        <v>96</v>
      </c>
      <c r="H412" s="128" t="s">
        <v>97</v>
      </c>
      <c r="I412" s="136"/>
      <c r="J412" s="128" t="s">
        <v>113</v>
      </c>
      <c r="K412" s="128">
        <v>0</v>
      </c>
      <c r="L412" s="130">
        <v>46136</v>
      </c>
      <c r="M412" s="136"/>
      <c r="N412" s="128">
        <v>128</v>
      </c>
      <c r="O412" s="130">
        <v>46137</v>
      </c>
      <c r="P412" s="128">
        <v>0</v>
      </c>
      <c r="Q412" s="128">
        <v>250</v>
      </c>
      <c r="R412" s="128">
        <v>252</v>
      </c>
      <c r="S412" s="128">
        <v>502</v>
      </c>
      <c r="T412" s="128">
        <v>502</v>
      </c>
      <c r="U412" s="128">
        <v>0</v>
      </c>
      <c r="V412" s="128">
        <v>0</v>
      </c>
      <c r="W412" s="169">
        <v>301.2</v>
      </c>
      <c r="X412" s="169">
        <v>305.7</v>
      </c>
      <c r="Y412" s="169">
        <v>2093023.74</v>
      </c>
      <c r="Z412" s="136"/>
      <c r="AA412" s="128">
        <v>52325.59</v>
      </c>
      <c r="AB412" s="128">
        <v>52325.59</v>
      </c>
      <c r="AC412" s="128">
        <v>2197674.9300000002</v>
      </c>
      <c r="AD412" s="143">
        <f t="shared" si="243"/>
        <v>2195477.25507</v>
      </c>
      <c r="AE412" s="147">
        <v>40.22</v>
      </c>
      <c r="AF412" s="169">
        <v>40.049999999999997</v>
      </c>
      <c r="AG412" s="147">
        <v>40.130000000000003</v>
      </c>
      <c r="AH412" s="170">
        <v>3.7000000000000002E-3</v>
      </c>
      <c r="AI412" s="170">
        <v>0.04</v>
      </c>
      <c r="AJ412" s="170">
        <v>0.05</v>
      </c>
      <c r="AK412" s="137">
        <f t="shared" si="259"/>
        <v>0</v>
      </c>
      <c r="AL412" s="136">
        <v>0</v>
      </c>
      <c r="AM412" s="136"/>
      <c r="AN412" s="165">
        <v>0</v>
      </c>
      <c r="AO412" s="140">
        <f t="shared" si="260"/>
        <v>0</v>
      </c>
      <c r="AP412" s="136"/>
      <c r="AQ412" s="137">
        <v>0</v>
      </c>
      <c r="AR412" s="155">
        <f t="shared" si="261"/>
        <v>0</v>
      </c>
      <c r="AS412" s="155">
        <f t="shared" si="262"/>
        <v>0</v>
      </c>
      <c r="AT412" s="137">
        <v>0</v>
      </c>
      <c r="AU412" s="136" t="s">
        <v>664</v>
      </c>
      <c r="AV412" s="136"/>
      <c r="AW412" s="137">
        <f t="shared" si="248"/>
        <v>30120</v>
      </c>
      <c r="AX412" s="136"/>
      <c r="AY412" s="137">
        <f t="shared" si="249"/>
        <v>30120</v>
      </c>
      <c r="AZ412" s="137">
        <f t="shared" si="250"/>
        <v>30570</v>
      </c>
      <c r="BA412" s="142">
        <f t="shared" si="251"/>
        <v>-450</v>
      </c>
      <c r="BB412" s="137"/>
      <c r="BC412" s="137">
        <v>0</v>
      </c>
      <c r="BD412" s="136"/>
      <c r="BE412" s="128">
        <v>305.7</v>
      </c>
      <c r="BF412" s="143">
        <f t="shared" si="252"/>
        <v>0.45854999999999996</v>
      </c>
      <c r="BG412" s="143">
        <f t="shared" si="253"/>
        <v>305.24144999999999</v>
      </c>
      <c r="BH412" s="143">
        <f t="shared" si="254"/>
        <v>305.7</v>
      </c>
      <c r="BI412" s="144">
        <f t="shared" si="255"/>
        <v>0</v>
      </c>
      <c r="BJ412" s="144">
        <v>0</v>
      </c>
      <c r="BK412" s="137">
        <f t="shared" si="256"/>
        <v>0</v>
      </c>
      <c r="BL412" s="18"/>
      <c r="BM412" s="25" t="str">
        <f t="shared" si="257"/>
        <v>Unloading no. 394 Bill No 128 ,Deduction For Oil Deduction= 0 ,Bardana= 0 ,F.M=  Brokerage/Rate Difference 0 ,Shortage = 0 ,Greenish=  ,Moisture= 0</v>
      </c>
      <c r="BN412" s="17"/>
      <c r="BO412" s="13" t="str">
        <f t="shared" si="263"/>
        <v xml:space="preserve"> Party Condition 40.05  ,F.M% 0.37 ,Greenish 4 ,Moisture 5 ,Shortage in KG= 0  ,Oil% 40.13</v>
      </c>
      <c r="BP412" s="19">
        <f t="shared" si="258"/>
        <v>6846.6592737978408</v>
      </c>
      <c r="BX412" s="27">
        <v>40.22</v>
      </c>
      <c r="BY412" s="27">
        <v>40.130000000000003</v>
      </c>
    </row>
    <row r="413" spans="1:77" s="26" customFormat="1" ht="14.1" hidden="1" customHeight="1" x14ac:dyDescent="0.3">
      <c r="A413" s="128" t="s">
        <v>773</v>
      </c>
      <c r="B413" s="130">
        <v>46136</v>
      </c>
      <c r="C413" s="135">
        <v>395</v>
      </c>
      <c r="D413" s="128" t="s">
        <v>865</v>
      </c>
      <c r="E413" s="130">
        <v>46140</v>
      </c>
      <c r="F413" s="128" t="s">
        <v>98</v>
      </c>
      <c r="G413" s="128" t="s">
        <v>99</v>
      </c>
      <c r="H413" s="128" t="s">
        <v>100</v>
      </c>
      <c r="I413" s="136"/>
      <c r="J413" s="128" t="s">
        <v>113</v>
      </c>
      <c r="K413" s="128">
        <v>0</v>
      </c>
      <c r="L413" s="130">
        <v>46136</v>
      </c>
      <c r="M413" s="136"/>
      <c r="N413" s="128">
        <v>88</v>
      </c>
      <c r="O413" s="130">
        <v>46137</v>
      </c>
      <c r="P413" s="128">
        <v>0</v>
      </c>
      <c r="Q413" s="128">
        <v>400</v>
      </c>
      <c r="R413" s="128">
        <v>98</v>
      </c>
      <c r="S413" s="128">
        <v>498</v>
      </c>
      <c r="T413" s="128">
        <v>498</v>
      </c>
      <c r="U413" s="128">
        <v>0</v>
      </c>
      <c r="V413" s="128">
        <v>0</v>
      </c>
      <c r="W413" s="169">
        <v>298.8</v>
      </c>
      <c r="X413" s="169">
        <v>301.5</v>
      </c>
      <c r="Y413" s="169">
        <v>2051479.13</v>
      </c>
      <c r="Z413" s="136"/>
      <c r="AA413" s="128">
        <v>51286.98</v>
      </c>
      <c r="AB413" s="128">
        <v>51286.98</v>
      </c>
      <c r="AC413" s="128">
        <v>2154053.09</v>
      </c>
      <c r="AD413" s="143">
        <f t="shared" si="243"/>
        <v>2151899.0369099998</v>
      </c>
      <c r="AE413" s="147">
        <v>40.03</v>
      </c>
      <c r="AF413" s="169">
        <v>39.74</v>
      </c>
      <c r="AG413" s="147">
        <v>40.159999999999997</v>
      </c>
      <c r="AH413" s="170">
        <v>4.1999999999999997E-3</v>
      </c>
      <c r="AI413" s="170">
        <v>4.2000000000000003E-2</v>
      </c>
      <c r="AJ413" s="170">
        <v>4.3999999999999997E-2</v>
      </c>
      <c r="AK413" s="137">
        <f t="shared" si="259"/>
        <v>0</v>
      </c>
      <c r="AL413" s="136">
        <f>498*5.5</f>
        <v>2739</v>
      </c>
      <c r="AM413" s="136"/>
      <c r="AN413" s="165">
        <v>0</v>
      </c>
      <c r="AO413" s="140">
        <f t="shared" si="260"/>
        <v>3844.8069370816602</v>
      </c>
      <c r="AP413" s="136"/>
      <c r="AQ413" s="137">
        <v>0</v>
      </c>
      <c r="AR413" s="155">
        <f t="shared" si="261"/>
        <v>6583.8069370816602</v>
      </c>
      <c r="AS413" s="155">
        <f t="shared" si="262"/>
        <v>6913</v>
      </c>
      <c r="AT413" s="137">
        <v>56</v>
      </c>
      <c r="AU413" s="136" t="s">
        <v>664</v>
      </c>
      <c r="AV413" s="136"/>
      <c r="AW413" s="137">
        <f t="shared" si="248"/>
        <v>29880</v>
      </c>
      <c r="AX413" s="136"/>
      <c r="AY413" s="137">
        <f t="shared" si="249"/>
        <v>29880</v>
      </c>
      <c r="AZ413" s="137">
        <f t="shared" si="250"/>
        <v>30150</v>
      </c>
      <c r="BA413" s="142">
        <f t="shared" si="251"/>
        <v>-270</v>
      </c>
      <c r="BB413" s="137"/>
      <c r="BC413" s="137">
        <v>0</v>
      </c>
      <c r="BD413" s="136"/>
      <c r="BE413" s="128">
        <v>302.2</v>
      </c>
      <c r="BF413" s="143">
        <f t="shared" si="252"/>
        <v>0.45329999999999998</v>
      </c>
      <c r="BG413" s="143">
        <f t="shared" si="253"/>
        <v>301.74669999999998</v>
      </c>
      <c r="BH413" s="143">
        <f t="shared" si="254"/>
        <v>301.5</v>
      </c>
      <c r="BI413" s="144">
        <f t="shared" si="255"/>
        <v>69.999999999998863</v>
      </c>
      <c r="BJ413" s="144">
        <v>0</v>
      </c>
      <c r="BK413" s="137">
        <f t="shared" si="256"/>
        <v>69.999999999998863</v>
      </c>
      <c r="BL413" s="18"/>
      <c r="BM413" s="25" t="str">
        <f t="shared" si="257"/>
        <v>Unloading no. 395 Bill No 88 ,Deduction For Oil Deduction= 0 ,Bardana= 2739 ,F.M=  Brokerage/Rate Difference 0 ,Shortage = 3844.80693708166 ,Greenish=  ,Moisture= 0</v>
      </c>
      <c r="BN413" s="17"/>
      <c r="BO413" s="13" t="str">
        <f t="shared" si="263"/>
        <v xml:space="preserve"> Party Condition 39.74  ,F.M% 0.42 ,Greenish 4.2 ,Moisture 4.4 ,Shortage in KG= 56  ,Oil% 40.03</v>
      </c>
      <c r="BP413" s="19">
        <f t="shared" si="258"/>
        <v>6782.4057149682194</v>
      </c>
      <c r="BX413" s="27">
        <v>40.03</v>
      </c>
      <c r="BY413" s="27">
        <v>40.159999999999997</v>
      </c>
    </row>
    <row r="414" spans="1:77" s="26" customFormat="1" ht="14.1" hidden="1" customHeight="1" x14ac:dyDescent="0.3">
      <c r="A414" s="128" t="s">
        <v>772</v>
      </c>
      <c r="B414" s="130">
        <v>46136</v>
      </c>
      <c r="C414" s="191">
        <v>396</v>
      </c>
      <c r="D414" s="161" t="s">
        <v>866</v>
      </c>
      <c r="E414" s="192">
        <v>46140</v>
      </c>
      <c r="F414" s="161" t="s">
        <v>95</v>
      </c>
      <c r="G414" s="161" t="s">
        <v>96</v>
      </c>
      <c r="H414" s="161" t="s">
        <v>97</v>
      </c>
      <c r="I414" s="193"/>
      <c r="J414" s="161" t="s">
        <v>113</v>
      </c>
      <c r="K414" s="161">
        <v>0</v>
      </c>
      <c r="L414" s="192">
        <v>46136</v>
      </c>
      <c r="M414" s="193"/>
      <c r="N414" s="161">
        <v>126</v>
      </c>
      <c r="O414" s="130">
        <v>46137</v>
      </c>
      <c r="P414" s="128">
        <v>0</v>
      </c>
      <c r="Q414" s="128">
        <v>500</v>
      </c>
      <c r="R414" s="128">
        <v>99</v>
      </c>
      <c r="S414" s="128">
        <v>599</v>
      </c>
      <c r="T414" s="128">
        <v>599</v>
      </c>
      <c r="U414" s="128">
        <v>0</v>
      </c>
      <c r="V414" s="128">
        <v>0</v>
      </c>
      <c r="W414" s="169">
        <v>359.4</v>
      </c>
      <c r="X414" s="169">
        <v>362.5</v>
      </c>
      <c r="Y414" s="169">
        <v>2497452.63</v>
      </c>
      <c r="Z414" s="136"/>
      <c r="AA414" s="128">
        <v>62436.32</v>
      </c>
      <c r="AB414" s="128">
        <v>62436.32</v>
      </c>
      <c r="AC414" s="128">
        <v>2622325.2599999998</v>
      </c>
      <c r="AD414" s="143">
        <f t="shared" si="243"/>
        <v>2619702.9347399999</v>
      </c>
      <c r="AE414" s="147">
        <v>40.229999999999997</v>
      </c>
      <c r="AF414" s="169">
        <v>40.049999999999997</v>
      </c>
      <c r="AG414" s="147">
        <v>40.07</v>
      </c>
      <c r="AH414" s="170">
        <v>4.1000000000000003E-3</v>
      </c>
      <c r="AI414" s="170">
        <v>4.7E-2</v>
      </c>
      <c r="AJ414" s="170">
        <v>4.3999999999999997E-2</v>
      </c>
      <c r="AK414" s="137">
        <f t="shared" si="259"/>
        <v>0</v>
      </c>
      <c r="AL414" s="136">
        <v>0</v>
      </c>
      <c r="AM414" s="136"/>
      <c r="AN414" s="165">
        <v>0</v>
      </c>
      <c r="AO414" s="140">
        <f t="shared" si="260"/>
        <v>5698.1390000000001</v>
      </c>
      <c r="AP414" s="136"/>
      <c r="AQ414" s="137">
        <v>0</v>
      </c>
      <c r="AR414" s="155">
        <f t="shared" si="261"/>
        <v>5698.1390000000001</v>
      </c>
      <c r="AS414" s="155">
        <f t="shared" si="262"/>
        <v>5983</v>
      </c>
      <c r="AT414" s="137">
        <v>82</v>
      </c>
      <c r="AU414" s="136" t="s">
        <v>664</v>
      </c>
      <c r="AV414" s="136"/>
      <c r="AW414" s="137">
        <f t="shared" si="248"/>
        <v>35940</v>
      </c>
      <c r="AX414" s="136"/>
      <c r="AY414" s="137">
        <f t="shared" si="249"/>
        <v>35940</v>
      </c>
      <c r="AZ414" s="137">
        <f t="shared" si="250"/>
        <v>36250</v>
      </c>
      <c r="BA414" s="142">
        <f t="shared" si="251"/>
        <v>-310</v>
      </c>
      <c r="BB414" s="137"/>
      <c r="BC414" s="137">
        <v>0</v>
      </c>
      <c r="BD414" s="136"/>
      <c r="BE414" s="128">
        <v>363.1</v>
      </c>
      <c r="BF414" s="143">
        <f t="shared" si="252"/>
        <v>0.54465000000000008</v>
      </c>
      <c r="BG414" s="143">
        <f t="shared" si="253"/>
        <v>362.55535000000003</v>
      </c>
      <c r="BH414" s="143">
        <f t="shared" si="254"/>
        <v>362.5</v>
      </c>
      <c r="BI414" s="144">
        <f t="shared" si="255"/>
        <v>60.000000000002274</v>
      </c>
      <c r="BJ414" s="144">
        <v>0</v>
      </c>
      <c r="BK414" s="137">
        <f t="shared" si="256"/>
        <v>60.000000000002274</v>
      </c>
      <c r="BL414" s="18"/>
      <c r="BM414" s="25" t="str">
        <f t="shared" si="257"/>
        <v>Unloading no. 396 Bill No 126 ,Deduction For Oil Deduction= 0 ,Bardana= 0 ,F.M=  Brokerage/Rate Difference 0 ,Shortage = 5698.139 ,Greenish=  ,Moisture= 0</v>
      </c>
      <c r="BN414" s="17"/>
      <c r="BO414" s="13" t="str">
        <f t="shared" si="263"/>
        <v xml:space="preserve"> Party Condition 40.05  ,F.M% 0.41 ,Greenish 4.7 ,Moisture 4.4 ,Shortage in KG= 82  ,Oil% 40.07</v>
      </c>
      <c r="BP414" s="19">
        <f t="shared" si="258"/>
        <v>6873.8054924137932</v>
      </c>
      <c r="BX414" s="27">
        <v>40.229999999999997</v>
      </c>
      <c r="BY414" s="27">
        <v>40.07</v>
      </c>
    </row>
    <row r="415" spans="1:77" s="26" customFormat="1" ht="14.1" hidden="1" customHeight="1" x14ac:dyDescent="0.3">
      <c r="A415" s="128" t="s">
        <v>770</v>
      </c>
      <c r="B415" s="130">
        <v>46136</v>
      </c>
      <c r="C415" s="191">
        <v>397</v>
      </c>
      <c r="D415" s="161" t="s">
        <v>867</v>
      </c>
      <c r="E415" s="192">
        <v>46140</v>
      </c>
      <c r="F415" s="161" t="s">
        <v>101</v>
      </c>
      <c r="G415" s="161" t="s">
        <v>102</v>
      </c>
      <c r="H415" s="161" t="s">
        <v>103</v>
      </c>
      <c r="I415" s="193"/>
      <c r="J415" s="161" t="s">
        <v>113</v>
      </c>
      <c r="K415" s="161">
        <v>0</v>
      </c>
      <c r="L415" s="192">
        <v>46136</v>
      </c>
      <c r="M415" s="193"/>
      <c r="N415" s="161" t="s">
        <v>809</v>
      </c>
      <c r="O415" s="130">
        <v>46137</v>
      </c>
      <c r="P415" s="128">
        <v>0</v>
      </c>
      <c r="Q415" s="128">
        <v>400</v>
      </c>
      <c r="R415" s="128">
        <v>102</v>
      </c>
      <c r="S415" s="128">
        <v>502</v>
      </c>
      <c r="T415" s="128">
        <v>502</v>
      </c>
      <c r="U415" s="128">
        <v>0</v>
      </c>
      <c r="V415" s="128">
        <v>0</v>
      </c>
      <c r="W415" s="169">
        <v>301.2</v>
      </c>
      <c r="X415" s="169">
        <v>305.2</v>
      </c>
      <c r="Y415" s="169">
        <v>2093190.4</v>
      </c>
      <c r="Z415" s="136"/>
      <c r="AA415" s="128">
        <v>52329.760000000002</v>
      </c>
      <c r="AB415" s="128">
        <v>52329.760000000002</v>
      </c>
      <c r="AC415" s="128">
        <v>2197849.92</v>
      </c>
      <c r="AD415" s="143">
        <f t="shared" si="243"/>
        <v>2195652.07008</v>
      </c>
      <c r="AE415" s="147">
        <v>40.549999999999997</v>
      </c>
      <c r="AF415" s="169">
        <v>39.9</v>
      </c>
      <c r="AG415" s="147">
        <v>40.340000000000003</v>
      </c>
      <c r="AH415" s="170">
        <v>4.0000000000000001E-3</v>
      </c>
      <c r="AI415" s="170">
        <v>4.4999999999999998E-2</v>
      </c>
      <c r="AJ415" s="170">
        <v>4.5999999999999999E-2</v>
      </c>
      <c r="AK415" s="137">
        <f t="shared" si="259"/>
        <v>0</v>
      </c>
      <c r="AL415" s="136">
        <v>0</v>
      </c>
      <c r="AM415" s="136"/>
      <c r="AN415" s="165">
        <v>0</v>
      </c>
      <c r="AO415" s="140">
        <f t="shared" si="260"/>
        <v>0</v>
      </c>
      <c r="AP415" s="136"/>
      <c r="AQ415" s="137">
        <v>0</v>
      </c>
      <c r="AR415" s="155">
        <f t="shared" si="261"/>
        <v>0</v>
      </c>
      <c r="AS415" s="155">
        <f t="shared" si="262"/>
        <v>0</v>
      </c>
      <c r="AT415" s="137">
        <v>0</v>
      </c>
      <c r="AU415" s="136"/>
      <c r="AV415" s="136"/>
      <c r="AW415" s="137">
        <f t="shared" si="248"/>
        <v>30120</v>
      </c>
      <c r="AX415" s="136"/>
      <c r="AY415" s="137">
        <f t="shared" si="249"/>
        <v>30120</v>
      </c>
      <c r="AZ415" s="137">
        <f t="shared" si="250"/>
        <v>30520</v>
      </c>
      <c r="BA415" s="142">
        <f t="shared" si="251"/>
        <v>-400</v>
      </c>
      <c r="BB415" s="137"/>
      <c r="BC415" s="137">
        <v>0</v>
      </c>
      <c r="BD415" s="136"/>
      <c r="BE415" s="128">
        <v>305.5</v>
      </c>
      <c r="BF415" s="143">
        <f t="shared" si="252"/>
        <v>0.45824999999999994</v>
      </c>
      <c r="BG415" s="143">
        <f t="shared" si="253"/>
        <v>305.04174999999998</v>
      </c>
      <c r="BH415" s="143">
        <f t="shared" si="254"/>
        <v>305.2</v>
      </c>
      <c r="BI415" s="144">
        <f t="shared" si="255"/>
        <v>30.000000000001137</v>
      </c>
      <c r="BJ415" s="144">
        <v>0</v>
      </c>
      <c r="BK415" s="137">
        <f t="shared" si="256"/>
        <v>30.000000000001137</v>
      </c>
      <c r="BL415" s="18"/>
      <c r="BM415" s="25" t="str">
        <f t="shared" si="257"/>
        <v>Unloading no. 397 Bill No L/PB/26-27/64 ,Deduction For Oil Deduction= 0 ,Bardana= 0 ,F.M=  Brokerage/Rate Difference 0 ,Shortage = 0 ,Greenish=  ,Moisture= 0</v>
      </c>
      <c r="BN415" s="17"/>
      <c r="BO415" s="13" t="str">
        <f t="shared" si="263"/>
        <v xml:space="preserve"> Party Condition 39.9  ,F.M% 0.4 ,Greenish 4.5 ,Moisture 4.6 ,Shortage in KG= 0  ,Oil% 40.34</v>
      </c>
      <c r="BP415" s="19">
        <f t="shared" si="258"/>
        <v>6858.4220183486241</v>
      </c>
      <c r="BX415" s="27">
        <v>40.549999999999997</v>
      </c>
      <c r="BY415" s="27">
        <v>40.340000000000003</v>
      </c>
    </row>
    <row r="416" spans="1:77" s="26" customFormat="1" ht="14.1" hidden="1" customHeight="1" x14ac:dyDescent="0.3">
      <c r="A416" s="128" t="s">
        <v>772</v>
      </c>
      <c r="B416" s="194">
        <v>46136</v>
      </c>
      <c r="C416" s="191">
        <v>398</v>
      </c>
      <c r="D416" s="161" t="s">
        <v>868</v>
      </c>
      <c r="E416" s="192">
        <v>46140</v>
      </c>
      <c r="F416" s="161" t="s">
        <v>95</v>
      </c>
      <c r="G416" s="161" t="s">
        <v>96</v>
      </c>
      <c r="H416" s="161" t="s">
        <v>97</v>
      </c>
      <c r="I416" s="193"/>
      <c r="J416" s="161" t="s">
        <v>113</v>
      </c>
      <c r="K416" s="161">
        <v>0</v>
      </c>
      <c r="L416" s="192">
        <v>46136</v>
      </c>
      <c r="M416" s="193"/>
      <c r="N416" s="161">
        <v>125</v>
      </c>
      <c r="O416" s="130">
        <v>46137</v>
      </c>
      <c r="P416" s="128">
        <v>0</v>
      </c>
      <c r="Q416" s="128">
        <v>0</v>
      </c>
      <c r="R416" s="128">
        <v>545</v>
      </c>
      <c r="S416" s="128">
        <v>545</v>
      </c>
      <c r="T416" s="128">
        <v>545</v>
      </c>
      <c r="U416" s="128">
        <v>0</v>
      </c>
      <c r="V416" s="128">
        <v>0</v>
      </c>
      <c r="W416" s="169">
        <v>355.8</v>
      </c>
      <c r="X416" s="169">
        <v>330.8</v>
      </c>
      <c r="Y416" s="169">
        <v>2472436.41</v>
      </c>
      <c r="Z416" s="136"/>
      <c r="AA416" s="128">
        <v>61810.91</v>
      </c>
      <c r="AB416" s="128">
        <v>61810.91</v>
      </c>
      <c r="AC416" s="128">
        <v>2596058.23</v>
      </c>
      <c r="AD416" s="143">
        <f t="shared" ref="AD416:AD479" si="264">SUM(AC416-AC416*0.1%)</f>
        <v>2593462.1717699999</v>
      </c>
      <c r="AE416" s="147">
        <v>40.26</v>
      </c>
      <c r="AF416" s="169">
        <v>40.049999999999997</v>
      </c>
      <c r="AG416" s="147">
        <v>40.31</v>
      </c>
      <c r="AH416" s="170">
        <v>4.1999999999999997E-3</v>
      </c>
      <c r="AI416" s="195">
        <v>5.33E-2</v>
      </c>
      <c r="AJ416" s="170">
        <v>4.9000000000000002E-2</v>
      </c>
      <c r="AK416" s="137">
        <f t="shared" si="259"/>
        <v>0</v>
      </c>
      <c r="AL416" s="136">
        <v>0</v>
      </c>
      <c r="AM416" s="136"/>
      <c r="AN416" s="165">
        <v>0</v>
      </c>
      <c r="AO416" s="140">
        <f t="shared" si="260"/>
        <v>0</v>
      </c>
      <c r="AP416" s="136">
        <f>W416*32.59</f>
        <v>11595.522000000001</v>
      </c>
      <c r="AQ416" s="137">
        <v>0</v>
      </c>
      <c r="AR416" s="155">
        <f t="shared" si="261"/>
        <v>11595.522000000001</v>
      </c>
      <c r="AS416" s="155">
        <f t="shared" si="262"/>
        <v>12175</v>
      </c>
      <c r="AT416" s="137">
        <v>0</v>
      </c>
      <c r="AU416" s="136" t="s">
        <v>887</v>
      </c>
      <c r="AV416" s="136"/>
      <c r="AW416" s="137">
        <f t="shared" si="248"/>
        <v>35580</v>
      </c>
      <c r="AX416" s="136"/>
      <c r="AY416" s="137">
        <f t="shared" si="249"/>
        <v>35580</v>
      </c>
      <c r="AZ416" s="137">
        <f t="shared" si="250"/>
        <v>33080</v>
      </c>
      <c r="BA416" s="142">
        <f t="shared" si="251"/>
        <v>2500</v>
      </c>
      <c r="BB416" s="137"/>
      <c r="BC416" s="137">
        <v>0</v>
      </c>
      <c r="BD416" s="136"/>
      <c r="BE416" s="128">
        <v>359.7</v>
      </c>
      <c r="BF416" s="143">
        <f t="shared" si="252"/>
        <v>0.53954999999999997</v>
      </c>
      <c r="BG416" s="143">
        <f t="shared" si="253"/>
        <v>359.16044999999997</v>
      </c>
      <c r="BH416" s="143">
        <f t="shared" si="254"/>
        <v>330.8</v>
      </c>
      <c r="BI416" s="144">
        <f t="shared" si="255"/>
        <v>2889.9999999999977</v>
      </c>
      <c r="BJ416" s="144">
        <v>0</v>
      </c>
      <c r="BK416" s="137">
        <f t="shared" si="256"/>
        <v>2889.9999999999977</v>
      </c>
      <c r="BL416" s="18"/>
      <c r="BM416" s="25" t="str">
        <f t="shared" si="257"/>
        <v>Unloading no. 398 Bill No 125 ,Deduction For Oil Deduction= 0 ,Bardana= 0 ,F.M=  Brokerage/Rate Difference 0 ,Shortage = 0 ,Greenish= 11595.522 ,Moisture= 0</v>
      </c>
      <c r="BN416" s="17"/>
      <c r="BO416" s="13" t="str">
        <f t="shared" si="263"/>
        <v xml:space="preserve"> Party Condition 40.05  ,F.M% 0.42 ,Greenish 5.33 ,Moisture 4.9 ,Shortage in KG= 0  ,Oil% 40.26</v>
      </c>
      <c r="BP416" s="19">
        <f t="shared" si="258"/>
        <v>7439.0595163240632</v>
      </c>
      <c r="BX416" s="27">
        <v>40.26</v>
      </c>
      <c r="BY416" s="27">
        <v>40.31</v>
      </c>
    </row>
    <row r="417" spans="1:77" s="26" customFormat="1" ht="14.1" hidden="1" customHeight="1" x14ac:dyDescent="0.3">
      <c r="A417" s="128" t="s">
        <v>774</v>
      </c>
      <c r="B417" s="130">
        <v>46136</v>
      </c>
      <c r="C417" s="191">
        <v>399</v>
      </c>
      <c r="D417" s="161" t="s">
        <v>869</v>
      </c>
      <c r="E417" s="192">
        <v>46140</v>
      </c>
      <c r="F417" s="161" t="s">
        <v>436</v>
      </c>
      <c r="G417" s="161" t="s">
        <v>437</v>
      </c>
      <c r="H417" s="161" t="s">
        <v>438</v>
      </c>
      <c r="I417" s="193"/>
      <c r="J417" s="161" t="s">
        <v>113</v>
      </c>
      <c r="K417" s="161">
        <v>0</v>
      </c>
      <c r="L417" s="192">
        <v>46136</v>
      </c>
      <c r="M417" s="193"/>
      <c r="N417" s="161">
        <v>70</v>
      </c>
      <c r="O417" s="130">
        <v>46137</v>
      </c>
      <c r="P417" s="128">
        <v>0</v>
      </c>
      <c r="Q417" s="128">
        <v>332</v>
      </c>
      <c r="R417" s="128">
        <v>200</v>
      </c>
      <c r="S417" s="128">
        <v>532</v>
      </c>
      <c r="T417" s="128">
        <v>532</v>
      </c>
      <c r="U417" s="128">
        <v>0</v>
      </c>
      <c r="V417" s="128">
        <v>0</v>
      </c>
      <c r="W417" s="169">
        <v>319.2</v>
      </c>
      <c r="X417" s="169">
        <v>324.10000000000002</v>
      </c>
      <c r="Y417" s="169">
        <v>2150629.15</v>
      </c>
      <c r="Z417" s="136"/>
      <c r="AA417" s="128">
        <v>53765.73</v>
      </c>
      <c r="AB417" s="128">
        <v>53765.73</v>
      </c>
      <c r="AC417" s="128">
        <v>2258160.61</v>
      </c>
      <c r="AD417" s="143">
        <f t="shared" si="264"/>
        <v>2255902.4493899997</v>
      </c>
      <c r="AE417" s="147">
        <v>40.25</v>
      </c>
      <c r="AF417" s="169">
        <v>39.15</v>
      </c>
      <c r="AG417" s="147">
        <v>40.04</v>
      </c>
      <c r="AH417" s="170">
        <v>3.5000000000000001E-3</v>
      </c>
      <c r="AI417" s="170">
        <v>3.9399999999999998E-2</v>
      </c>
      <c r="AJ417" s="170">
        <v>4.2999999999999997E-2</v>
      </c>
      <c r="AK417" s="137">
        <f t="shared" si="259"/>
        <v>0</v>
      </c>
      <c r="AL417" s="136">
        <v>0</v>
      </c>
      <c r="AM417" s="136"/>
      <c r="AN417" s="165">
        <v>0</v>
      </c>
      <c r="AO417" s="140">
        <f t="shared" si="260"/>
        <v>0</v>
      </c>
      <c r="AP417" s="136"/>
      <c r="AQ417" s="137">
        <v>0</v>
      </c>
      <c r="AR417" s="155">
        <f t="shared" si="261"/>
        <v>0</v>
      </c>
      <c r="AS417" s="155">
        <f t="shared" si="262"/>
        <v>0</v>
      </c>
      <c r="AT417" s="137">
        <v>0</v>
      </c>
      <c r="AU417" s="136" t="s">
        <v>664</v>
      </c>
      <c r="AV417" s="136"/>
      <c r="AW417" s="137">
        <f t="shared" si="248"/>
        <v>31920</v>
      </c>
      <c r="AX417" s="136"/>
      <c r="AY417" s="137">
        <f t="shared" si="249"/>
        <v>31920</v>
      </c>
      <c r="AZ417" s="137">
        <f t="shared" si="250"/>
        <v>32410.000000000004</v>
      </c>
      <c r="BA417" s="142">
        <f t="shared" si="251"/>
        <v>-490.00000000000364</v>
      </c>
      <c r="BB417" s="137"/>
      <c r="BC417" s="137">
        <v>0</v>
      </c>
      <c r="BD417" s="136"/>
      <c r="BE417" s="128">
        <v>323.7</v>
      </c>
      <c r="BF417" s="143">
        <f t="shared" si="252"/>
        <v>0.48554999999999998</v>
      </c>
      <c r="BG417" s="143">
        <f t="shared" si="253"/>
        <v>323.21445</v>
      </c>
      <c r="BH417" s="143">
        <f t="shared" si="254"/>
        <v>324.10000000000002</v>
      </c>
      <c r="BI417" s="144">
        <f t="shared" si="255"/>
        <v>-40.000000000003411</v>
      </c>
      <c r="BJ417" s="144">
        <v>0</v>
      </c>
      <c r="BK417" s="137">
        <f t="shared" si="256"/>
        <v>-40.000000000003411</v>
      </c>
      <c r="BL417" s="18"/>
      <c r="BM417" s="25" t="str">
        <f t="shared" si="257"/>
        <v>Unloading no. 399 Bill No 70 ,Deduction For Oil Deduction= 0 ,Bardana= 0 ,F.M=  Brokerage/Rate Difference 0 ,Shortage = 0 ,Greenish=  ,Moisture= 0</v>
      </c>
      <c r="BN417" s="17"/>
      <c r="BO417" s="13" t="str">
        <f t="shared" si="263"/>
        <v xml:space="preserve"> Party Condition 39.15  ,F.M% 0.35 ,Greenish 3.94 ,Moisture 4.3 ,Shortage in KG= 0  ,Oil% 40.04</v>
      </c>
      <c r="BP417" s="19">
        <f t="shared" si="258"/>
        <v>6635.6962357297125</v>
      </c>
      <c r="BX417" s="27">
        <v>40.25</v>
      </c>
      <c r="BY417" s="27">
        <v>40.04</v>
      </c>
    </row>
    <row r="418" spans="1:77" s="26" customFormat="1" ht="14.1" hidden="1" customHeight="1" x14ac:dyDescent="0.3">
      <c r="A418" s="128" t="s">
        <v>775</v>
      </c>
      <c r="B418" s="194">
        <v>46137</v>
      </c>
      <c r="C418" s="191">
        <v>400</v>
      </c>
      <c r="D418" s="161" t="s">
        <v>870</v>
      </c>
      <c r="E418" s="192">
        <v>46140</v>
      </c>
      <c r="F418" s="161" t="s">
        <v>203</v>
      </c>
      <c r="G418" s="161" t="s">
        <v>204</v>
      </c>
      <c r="H418" s="161" t="s">
        <v>205</v>
      </c>
      <c r="I418" s="193"/>
      <c r="J418" s="161" t="s">
        <v>113</v>
      </c>
      <c r="K418" s="161">
        <v>0</v>
      </c>
      <c r="L418" s="192">
        <v>46137</v>
      </c>
      <c r="M418" s="193"/>
      <c r="N418" s="161">
        <v>8</v>
      </c>
      <c r="O418" s="130">
        <v>46137</v>
      </c>
      <c r="P418" s="128">
        <v>0</v>
      </c>
      <c r="Q418" s="128">
        <v>267</v>
      </c>
      <c r="R418" s="128">
        <v>0</v>
      </c>
      <c r="S418" s="128">
        <v>267</v>
      </c>
      <c r="T418" s="128">
        <v>267</v>
      </c>
      <c r="U418" s="128">
        <v>0</v>
      </c>
      <c r="V418" s="128">
        <v>0</v>
      </c>
      <c r="W418" s="169">
        <v>160.19999999999999</v>
      </c>
      <c r="X418" s="169">
        <v>162.69999999999999</v>
      </c>
      <c r="Y418" s="169">
        <v>1101399.03</v>
      </c>
      <c r="Z418" s="136"/>
      <c r="AA418" s="128">
        <v>27534.98</v>
      </c>
      <c r="AB418" s="128">
        <v>27534.98</v>
      </c>
      <c r="AC418" s="128">
        <v>1156468.98</v>
      </c>
      <c r="AD418" s="143">
        <f t="shared" si="264"/>
        <v>1155312.5110200001</v>
      </c>
      <c r="AE418" s="147">
        <v>40.25</v>
      </c>
      <c r="AF418" s="169">
        <v>39.6</v>
      </c>
      <c r="AG418" s="147">
        <v>40.01</v>
      </c>
      <c r="AH418" s="170">
        <v>3.8E-3</v>
      </c>
      <c r="AI418" s="195">
        <v>5.4399999999999997E-2</v>
      </c>
      <c r="AJ418" s="170">
        <v>4.5999999999999999E-2</v>
      </c>
      <c r="AK418" s="137">
        <f t="shared" si="259"/>
        <v>0</v>
      </c>
      <c r="AL418" s="136">
        <f>267*3</f>
        <v>801</v>
      </c>
      <c r="AM418" s="136"/>
      <c r="AN418" s="165">
        <v>215.62</v>
      </c>
      <c r="AO418" s="140">
        <f t="shared" si="260"/>
        <v>0</v>
      </c>
      <c r="AP418" s="136">
        <v>5349.31</v>
      </c>
      <c r="AQ418" s="137">
        <v>0</v>
      </c>
      <c r="AR418" s="155">
        <f t="shared" si="261"/>
        <v>6365.93</v>
      </c>
      <c r="AS418" s="155">
        <f t="shared" si="262"/>
        <v>6684</v>
      </c>
      <c r="AT418" s="137">
        <v>0</v>
      </c>
      <c r="AU418" s="136" t="s">
        <v>664</v>
      </c>
      <c r="AV418" s="136"/>
      <c r="AW418" s="137">
        <f t="shared" si="248"/>
        <v>16019.999999999998</v>
      </c>
      <c r="AX418" s="136"/>
      <c r="AY418" s="137">
        <f t="shared" si="249"/>
        <v>16019.999999999998</v>
      </c>
      <c r="AZ418" s="137">
        <f t="shared" si="250"/>
        <v>16269.999999999998</v>
      </c>
      <c r="BA418" s="142">
        <f t="shared" si="251"/>
        <v>-250</v>
      </c>
      <c r="BB418" s="137"/>
      <c r="BC418" s="137">
        <v>0</v>
      </c>
      <c r="BD418" s="136"/>
      <c r="BE418" s="128">
        <v>162.65</v>
      </c>
      <c r="BF418" s="143">
        <f t="shared" si="252"/>
        <v>0.243975</v>
      </c>
      <c r="BG418" s="143">
        <f t="shared" si="253"/>
        <v>162.406025</v>
      </c>
      <c r="BH418" s="143">
        <f t="shared" si="254"/>
        <v>162.69999999999999</v>
      </c>
      <c r="BI418" s="144">
        <f t="shared" si="255"/>
        <v>-4.9999999999982947</v>
      </c>
      <c r="BJ418" s="144">
        <v>0</v>
      </c>
      <c r="BK418" s="137">
        <f t="shared" si="256"/>
        <v>-4.9999999999982947</v>
      </c>
      <c r="BL418" s="18"/>
      <c r="BM418" s="25" t="str">
        <f t="shared" si="257"/>
        <v>Unloading no. 400 Bill No 8 ,Deduction For Oil Deduction= 0 ,Bardana= 801 ,F.M=  Brokerage/Rate Difference 215.62 ,Shortage = 0 ,Greenish= 5349.31 ,Moisture= 0</v>
      </c>
      <c r="BN418" s="17"/>
      <c r="BO418" s="13" t="str">
        <f t="shared" si="263"/>
        <v xml:space="preserve"> Party Condition 39.6  ,F.M% 0.38 ,Greenish 5.44 ,Moisture 4.6 ,Shortage in KG= 0  ,Oil% 40.01</v>
      </c>
      <c r="BP418" s="19">
        <f t="shared" si="258"/>
        <v>6730.3816840811323</v>
      </c>
      <c r="BX418" s="27">
        <v>40.25</v>
      </c>
      <c r="BY418" s="27">
        <v>40.01</v>
      </c>
    </row>
    <row r="419" spans="1:77" s="26" customFormat="1" ht="14.1" hidden="1" customHeight="1" x14ac:dyDescent="0.3">
      <c r="A419" s="128" t="s">
        <v>776</v>
      </c>
      <c r="B419" s="130">
        <v>46136</v>
      </c>
      <c r="C419" s="191">
        <v>401</v>
      </c>
      <c r="D419" s="161" t="s">
        <v>871</v>
      </c>
      <c r="E419" s="192">
        <v>46140</v>
      </c>
      <c r="F419" s="161" t="s">
        <v>107</v>
      </c>
      <c r="G419" s="161" t="s">
        <v>108</v>
      </c>
      <c r="H419" s="161" t="s">
        <v>109</v>
      </c>
      <c r="I419" s="193"/>
      <c r="J419" s="161" t="s">
        <v>113</v>
      </c>
      <c r="K419" s="161">
        <v>0</v>
      </c>
      <c r="L419" s="192">
        <v>46136</v>
      </c>
      <c r="M419" s="193"/>
      <c r="N419" s="161">
        <v>119</v>
      </c>
      <c r="O419" s="130">
        <v>46137</v>
      </c>
      <c r="P419" s="128">
        <v>0</v>
      </c>
      <c r="Q419" s="128">
        <v>196</v>
      </c>
      <c r="R419" s="128">
        <v>0</v>
      </c>
      <c r="S419" s="128">
        <v>196</v>
      </c>
      <c r="T419" s="128">
        <v>196</v>
      </c>
      <c r="U419" s="128">
        <v>0</v>
      </c>
      <c r="V419" s="128">
        <v>0</v>
      </c>
      <c r="W419" s="169">
        <v>117.6</v>
      </c>
      <c r="X419" s="169">
        <v>118.8</v>
      </c>
      <c r="Y419" s="169">
        <v>806433.77</v>
      </c>
      <c r="Z419" s="136"/>
      <c r="AA419" s="128">
        <v>20160.84</v>
      </c>
      <c r="AB419" s="128">
        <v>20160.84</v>
      </c>
      <c r="AC419" s="128">
        <v>846755.46</v>
      </c>
      <c r="AD419" s="143">
        <f t="shared" si="264"/>
        <v>845908.70453999995</v>
      </c>
      <c r="AE419" s="147">
        <v>39.799999999999997</v>
      </c>
      <c r="AF419" s="169">
        <v>39.409999999999997</v>
      </c>
      <c r="AG419" s="147">
        <v>39.619999999999997</v>
      </c>
      <c r="AH419" s="170">
        <v>4.0000000000000001E-3</v>
      </c>
      <c r="AI419" s="170">
        <v>0.05</v>
      </c>
      <c r="AJ419" s="170">
        <v>4.2999999999999997E-2</v>
      </c>
      <c r="AK419" s="137">
        <f t="shared" si="259"/>
        <v>0</v>
      </c>
      <c r="AL419" s="136">
        <f>196*6</f>
        <v>1176</v>
      </c>
      <c r="AM419" s="136"/>
      <c r="AN419" s="165">
        <f>W419*1.62</f>
        <v>190.512</v>
      </c>
      <c r="AO419" s="140">
        <f t="shared" si="260"/>
        <v>0</v>
      </c>
      <c r="AP419" s="136"/>
      <c r="AQ419" s="137">
        <v>0</v>
      </c>
      <c r="AR419" s="155">
        <f t="shared" si="261"/>
        <v>1366.5119999999999</v>
      </c>
      <c r="AS419" s="155">
        <f t="shared" si="262"/>
        <v>1435</v>
      </c>
      <c r="AT419" s="137">
        <v>0</v>
      </c>
      <c r="AU419" s="136" t="s">
        <v>664</v>
      </c>
      <c r="AV419" s="136"/>
      <c r="AW419" s="137">
        <f t="shared" si="248"/>
        <v>11760</v>
      </c>
      <c r="AX419" s="136"/>
      <c r="AY419" s="137">
        <f t="shared" si="249"/>
        <v>11760</v>
      </c>
      <c r="AZ419" s="137">
        <f t="shared" si="250"/>
        <v>11880</v>
      </c>
      <c r="BA419" s="142">
        <f t="shared" si="251"/>
        <v>-120</v>
      </c>
      <c r="BB419" s="137"/>
      <c r="BC419" s="137">
        <v>0</v>
      </c>
      <c r="BD419" s="136"/>
      <c r="BE419" s="128">
        <v>118.9</v>
      </c>
      <c r="BF419" s="143">
        <f t="shared" si="252"/>
        <v>0.17835000000000001</v>
      </c>
      <c r="BG419" s="143">
        <f t="shared" si="253"/>
        <v>118.72165000000001</v>
      </c>
      <c r="BH419" s="143">
        <f t="shared" si="254"/>
        <v>118.8</v>
      </c>
      <c r="BI419" s="144">
        <f t="shared" si="255"/>
        <v>10.000000000000853</v>
      </c>
      <c r="BJ419" s="144">
        <v>0</v>
      </c>
      <c r="BK419" s="137">
        <f t="shared" si="256"/>
        <v>10.000000000000853</v>
      </c>
      <c r="BL419" s="18"/>
      <c r="BM419" s="25" t="str">
        <f t="shared" si="257"/>
        <v>Unloading no. 401 Bill No 119 ,Deduction For Oil Deduction= 0 ,Bardana= 1176 ,F.M=  Brokerage/Rate Difference 190.512 ,Shortage = 0 ,Greenish=  ,Moisture= 0</v>
      </c>
      <c r="BN419" s="17"/>
      <c r="BO419" s="13" t="str">
        <f t="shared" si="263"/>
        <v xml:space="preserve"> Party Condition 39.41  ,F.M% 0.4 ,Greenish 5 ,Moisture 4.3 ,Shortage in KG= 0  ,Oil% 39.62</v>
      </c>
      <c r="BP419" s="19">
        <f t="shared" si="258"/>
        <v>6776.6604208754216</v>
      </c>
      <c r="BX419" s="27">
        <v>39.799999999999997</v>
      </c>
      <c r="BY419" s="27">
        <v>39.619999999999997</v>
      </c>
    </row>
    <row r="420" spans="1:77" s="26" customFormat="1" ht="14.1" hidden="1" customHeight="1" x14ac:dyDescent="0.3">
      <c r="A420" s="128" t="s">
        <v>776</v>
      </c>
      <c r="B420" s="130">
        <v>46136</v>
      </c>
      <c r="C420" s="191">
        <v>402</v>
      </c>
      <c r="D420" s="161" t="s">
        <v>872</v>
      </c>
      <c r="E420" s="192">
        <v>46140</v>
      </c>
      <c r="F420" s="161" t="s">
        <v>107</v>
      </c>
      <c r="G420" s="161" t="s">
        <v>108</v>
      </c>
      <c r="H420" s="161" t="s">
        <v>109</v>
      </c>
      <c r="I420" s="193"/>
      <c r="J420" s="161" t="s">
        <v>113</v>
      </c>
      <c r="K420" s="161">
        <v>0</v>
      </c>
      <c r="L420" s="192">
        <v>46136</v>
      </c>
      <c r="M420" s="193"/>
      <c r="N420" s="161">
        <v>118</v>
      </c>
      <c r="O420" s="130">
        <v>46137</v>
      </c>
      <c r="P420" s="128">
        <v>0</v>
      </c>
      <c r="Q420" s="128">
        <v>190</v>
      </c>
      <c r="R420" s="128">
        <v>10</v>
      </c>
      <c r="S420" s="128">
        <v>200</v>
      </c>
      <c r="T420" s="128">
        <v>200</v>
      </c>
      <c r="U420" s="128">
        <v>0</v>
      </c>
      <c r="V420" s="128">
        <v>0</v>
      </c>
      <c r="W420" s="169">
        <v>120</v>
      </c>
      <c r="X420" s="169">
        <v>124</v>
      </c>
      <c r="Y420" s="169">
        <v>822891.6</v>
      </c>
      <c r="Z420" s="136"/>
      <c r="AA420" s="128">
        <v>20572.29</v>
      </c>
      <c r="AB420" s="128">
        <v>20572.29</v>
      </c>
      <c r="AC420" s="128">
        <v>864036.18</v>
      </c>
      <c r="AD420" s="143">
        <f t="shared" si="264"/>
        <v>863172.14382</v>
      </c>
      <c r="AE420" s="147">
        <v>40.119999999999997</v>
      </c>
      <c r="AF420" s="169">
        <v>39.409999999999997</v>
      </c>
      <c r="AG420" s="147">
        <v>40.020000000000003</v>
      </c>
      <c r="AH420" s="170">
        <v>4.0000000000000001E-3</v>
      </c>
      <c r="AI420" s="170">
        <v>4.9599999999999998E-2</v>
      </c>
      <c r="AJ420" s="170">
        <v>5.0999999999999997E-2</v>
      </c>
      <c r="AK420" s="137">
        <f t="shared" si="259"/>
        <v>0</v>
      </c>
      <c r="AL420" s="136">
        <f>200*6</f>
        <v>1200</v>
      </c>
      <c r="AM420" s="136"/>
      <c r="AN420" s="165">
        <f>W420*1.62</f>
        <v>194.4</v>
      </c>
      <c r="AO420" s="140">
        <f t="shared" si="260"/>
        <v>2125.8033</v>
      </c>
      <c r="AP420" s="136"/>
      <c r="AQ420" s="137">
        <v>0</v>
      </c>
      <c r="AR420" s="155">
        <f t="shared" si="261"/>
        <v>3520.2033000000001</v>
      </c>
      <c r="AS420" s="155">
        <f t="shared" si="262"/>
        <v>3696</v>
      </c>
      <c r="AT420" s="137">
        <v>31</v>
      </c>
      <c r="AU420" s="136" t="s">
        <v>664</v>
      </c>
      <c r="AV420" s="136"/>
      <c r="AW420" s="137">
        <f t="shared" si="248"/>
        <v>12000</v>
      </c>
      <c r="AX420" s="136"/>
      <c r="AY420" s="137">
        <f t="shared" si="249"/>
        <v>12000</v>
      </c>
      <c r="AZ420" s="137">
        <f t="shared" si="250"/>
        <v>12400</v>
      </c>
      <c r="BA420" s="142">
        <f t="shared" si="251"/>
        <v>-400</v>
      </c>
      <c r="BB420" s="137"/>
      <c r="BC420" s="137">
        <v>0</v>
      </c>
      <c r="BD420" s="136"/>
      <c r="BE420" s="128">
        <v>121.5</v>
      </c>
      <c r="BF420" s="143">
        <f t="shared" si="252"/>
        <v>0.18224999999999997</v>
      </c>
      <c r="BG420" s="143">
        <f t="shared" si="253"/>
        <v>121.31775</v>
      </c>
      <c r="BH420" s="143">
        <f t="shared" si="254"/>
        <v>124</v>
      </c>
      <c r="BI420" s="144">
        <f t="shared" si="255"/>
        <v>-250</v>
      </c>
      <c r="BJ420" s="144">
        <v>0</v>
      </c>
      <c r="BK420" s="137">
        <f t="shared" si="256"/>
        <v>-250</v>
      </c>
      <c r="BL420" s="18"/>
      <c r="BM420" s="25" t="str">
        <f t="shared" si="257"/>
        <v>Unloading no. 402 Bill No 118 ,Deduction For Oil Deduction= 0 ,Bardana= 1200 ,F.M=  Brokerage/Rate Difference 194.4 ,Shortage = 2125.8033 ,Greenish=  ,Moisture= 0</v>
      </c>
      <c r="BN420" s="17"/>
      <c r="BO420" s="13" t="str">
        <f t="shared" si="263"/>
        <v xml:space="preserve"> Party Condition 39.41  ,F.M% 0.4 ,Greenish 4.96 ,Moisture 5.1 ,Shortage in KG= 31  ,Oil% 40.02</v>
      </c>
      <c r="BP420" s="19">
        <f t="shared" si="258"/>
        <v>6607.8338443548382</v>
      </c>
      <c r="BX420" s="27">
        <v>40.119999999999997</v>
      </c>
      <c r="BY420" s="27">
        <v>40.020000000000003</v>
      </c>
    </row>
    <row r="421" spans="1:77" s="26" customFormat="1" ht="14.1" hidden="1" customHeight="1" x14ac:dyDescent="0.3">
      <c r="A421" s="128" t="s">
        <v>777</v>
      </c>
      <c r="B421" s="130">
        <v>46135</v>
      </c>
      <c r="C421" s="191">
        <v>403</v>
      </c>
      <c r="D421" s="161" t="s">
        <v>873</v>
      </c>
      <c r="E421" s="192">
        <v>46140</v>
      </c>
      <c r="F421" s="161" t="s">
        <v>104</v>
      </c>
      <c r="G421" s="161" t="s">
        <v>105</v>
      </c>
      <c r="H421" s="161" t="s">
        <v>106</v>
      </c>
      <c r="I421" s="193"/>
      <c r="J421" s="161" t="s">
        <v>113</v>
      </c>
      <c r="K421" s="161">
        <v>0</v>
      </c>
      <c r="L421" s="192">
        <v>46135</v>
      </c>
      <c r="M421" s="193"/>
      <c r="N421" s="161" t="s">
        <v>810</v>
      </c>
      <c r="O421" s="130">
        <v>46137</v>
      </c>
      <c r="P421" s="128">
        <v>0</v>
      </c>
      <c r="Q421" s="128">
        <v>503</v>
      </c>
      <c r="R421" s="128">
        <v>100</v>
      </c>
      <c r="S421" s="128">
        <v>603</v>
      </c>
      <c r="T421" s="128">
        <v>603</v>
      </c>
      <c r="U421" s="128">
        <v>0</v>
      </c>
      <c r="V421" s="128">
        <v>0</v>
      </c>
      <c r="W421" s="169">
        <v>301.5</v>
      </c>
      <c r="X421" s="169">
        <v>306.7</v>
      </c>
      <c r="Y421" s="169">
        <v>2050200</v>
      </c>
      <c r="Z421" s="136"/>
      <c r="AA421" s="128">
        <v>51255</v>
      </c>
      <c r="AB421" s="128">
        <v>51255</v>
      </c>
      <c r="AC421" s="128">
        <v>2152710</v>
      </c>
      <c r="AD421" s="143">
        <f t="shared" si="264"/>
        <v>2150557.29</v>
      </c>
      <c r="AE421" s="147">
        <v>40.409999999999997</v>
      </c>
      <c r="AF421" s="169">
        <v>39.4</v>
      </c>
      <c r="AG421" s="147">
        <v>40.33</v>
      </c>
      <c r="AH421" s="170">
        <v>3.8999999999999998E-3</v>
      </c>
      <c r="AI421" s="170">
        <v>4.8000000000000001E-2</v>
      </c>
      <c r="AJ421" s="170">
        <v>4.3999999999999997E-2</v>
      </c>
      <c r="AK421" s="137">
        <f t="shared" si="259"/>
        <v>0</v>
      </c>
      <c r="AL421" s="136">
        <f>603*2</f>
        <v>1206</v>
      </c>
      <c r="AM421" s="136"/>
      <c r="AN421" s="165">
        <v>0</v>
      </c>
      <c r="AO421" s="140">
        <f t="shared" si="260"/>
        <v>0</v>
      </c>
      <c r="AP421" s="136"/>
      <c r="AQ421" s="137">
        <v>0</v>
      </c>
      <c r="AR421" s="155">
        <f t="shared" si="261"/>
        <v>1206</v>
      </c>
      <c r="AS421" s="155">
        <f t="shared" si="262"/>
        <v>1266</v>
      </c>
      <c r="AT421" s="137">
        <v>0</v>
      </c>
      <c r="AU421" s="136"/>
      <c r="AV421" s="136"/>
      <c r="AW421" s="137">
        <f t="shared" si="248"/>
        <v>30150</v>
      </c>
      <c r="AX421" s="136"/>
      <c r="AY421" s="137">
        <f t="shared" si="249"/>
        <v>30150</v>
      </c>
      <c r="AZ421" s="137">
        <f t="shared" si="250"/>
        <v>30670</v>
      </c>
      <c r="BA421" s="142">
        <f t="shared" si="251"/>
        <v>-520</v>
      </c>
      <c r="BB421" s="137"/>
      <c r="BC421" s="137">
        <v>0</v>
      </c>
      <c r="BD421" s="136"/>
      <c r="BE421" s="128">
        <v>306.39999999999998</v>
      </c>
      <c r="BF421" s="143">
        <f t="shared" si="252"/>
        <v>0.45959999999999995</v>
      </c>
      <c r="BG421" s="143">
        <f t="shared" si="253"/>
        <v>305.94039999999995</v>
      </c>
      <c r="BH421" s="143">
        <f t="shared" si="254"/>
        <v>306.7</v>
      </c>
      <c r="BI421" s="144">
        <f t="shared" si="255"/>
        <v>-30.000000000001137</v>
      </c>
      <c r="BJ421" s="144">
        <v>0</v>
      </c>
      <c r="BK421" s="137">
        <f t="shared" si="256"/>
        <v>-30.000000000001137</v>
      </c>
      <c r="BL421" s="18"/>
      <c r="BM421" s="25" t="str">
        <f t="shared" si="257"/>
        <v>Unloading no. 403 Bill No MTC/2026-27/0109 ,Deduction For Oil Deduction= 0 ,Bardana= 1206 ,F.M=  Brokerage/Rate Difference 0 ,Shortage = 0 ,Greenish=  ,Moisture= 0</v>
      </c>
      <c r="BN421" s="17"/>
      <c r="BO421" s="13" t="str">
        <f t="shared" si="263"/>
        <v xml:space="preserve"> Party Condition 39.4  ,F.M% 0.39 ,Greenish 4.8 ,Moisture 4.4 ,Shortage in KG= 0  ,Oil% 40.33</v>
      </c>
      <c r="BP421" s="19">
        <f t="shared" si="258"/>
        <v>6680.7760026084125</v>
      </c>
      <c r="BX421" s="27">
        <v>40.409999999999997</v>
      </c>
      <c r="BY421" s="27">
        <v>40.33</v>
      </c>
    </row>
    <row r="422" spans="1:77" s="26" customFormat="1" ht="14.1" hidden="1" customHeight="1" x14ac:dyDescent="0.3">
      <c r="A422" s="128" t="s">
        <v>778</v>
      </c>
      <c r="B422" s="130">
        <v>46136</v>
      </c>
      <c r="C422" s="191">
        <v>404</v>
      </c>
      <c r="D422" s="161" t="s">
        <v>874</v>
      </c>
      <c r="E422" s="192">
        <v>46140</v>
      </c>
      <c r="F422" s="161" t="s">
        <v>110</v>
      </c>
      <c r="G422" s="161" t="s">
        <v>111</v>
      </c>
      <c r="H422" s="161" t="s">
        <v>112</v>
      </c>
      <c r="I422" s="193"/>
      <c r="J422" s="161" t="s">
        <v>113</v>
      </c>
      <c r="K422" s="161">
        <v>0</v>
      </c>
      <c r="L422" s="192">
        <v>46136</v>
      </c>
      <c r="M422" s="193"/>
      <c r="N422" s="161" t="s">
        <v>811</v>
      </c>
      <c r="O422" s="130">
        <v>46137</v>
      </c>
      <c r="P422" s="128">
        <v>0</v>
      </c>
      <c r="Q422" s="128">
        <v>500</v>
      </c>
      <c r="R422" s="128">
        <v>137</v>
      </c>
      <c r="S422" s="128">
        <v>637</v>
      </c>
      <c r="T422" s="128">
        <v>637</v>
      </c>
      <c r="U422" s="128">
        <v>0</v>
      </c>
      <c r="V422" s="128">
        <v>0</v>
      </c>
      <c r="W422" s="169">
        <v>382.2</v>
      </c>
      <c r="X422" s="169">
        <v>386.9</v>
      </c>
      <c r="Y422" s="169">
        <v>2604438.2000000002</v>
      </c>
      <c r="Z422" s="136"/>
      <c r="AA422" s="128">
        <v>65110.96</v>
      </c>
      <c r="AB422" s="128">
        <v>65110.96</v>
      </c>
      <c r="AC422" s="128">
        <v>2734660.11</v>
      </c>
      <c r="AD422" s="143">
        <f t="shared" si="264"/>
        <v>2731925.4498899998</v>
      </c>
      <c r="AE422" s="147">
        <v>40.53</v>
      </c>
      <c r="AF422" s="169">
        <v>39.74</v>
      </c>
      <c r="AG422" s="147">
        <v>40.25</v>
      </c>
      <c r="AH422" s="170">
        <v>4.4000000000000003E-3</v>
      </c>
      <c r="AI422" s="170">
        <v>4.24E-2</v>
      </c>
      <c r="AJ422" s="170">
        <v>4.8000000000000001E-2</v>
      </c>
      <c r="AK422" s="137">
        <f t="shared" si="259"/>
        <v>0</v>
      </c>
      <c r="AL422" s="136">
        <f>637*5</f>
        <v>3185</v>
      </c>
      <c r="AM422" s="136"/>
      <c r="AN422" s="165">
        <v>0</v>
      </c>
      <c r="AO422" s="140">
        <f t="shared" si="260"/>
        <v>0</v>
      </c>
      <c r="AP422" s="136"/>
      <c r="AQ422" s="137">
        <v>0</v>
      </c>
      <c r="AR422" s="155">
        <f t="shared" si="261"/>
        <v>3185</v>
      </c>
      <c r="AS422" s="155">
        <f t="shared" si="262"/>
        <v>3344</v>
      </c>
      <c r="AT422" s="137">
        <v>0</v>
      </c>
      <c r="AU422" s="136" t="s">
        <v>664</v>
      </c>
      <c r="AV422" s="136"/>
      <c r="AW422" s="137">
        <f t="shared" si="248"/>
        <v>38220</v>
      </c>
      <c r="AX422" s="136"/>
      <c r="AY422" s="137">
        <f t="shared" si="249"/>
        <v>38220</v>
      </c>
      <c r="AZ422" s="137">
        <f t="shared" si="250"/>
        <v>38690</v>
      </c>
      <c r="BA422" s="142">
        <f t="shared" si="251"/>
        <v>-470</v>
      </c>
      <c r="BB422" s="137"/>
      <c r="BC422" s="137">
        <v>0</v>
      </c>
      <c r="BD422" s="136"/>
      <c r="BE422" s="128">
        <v>387.3</v>
      </c>
      <c r="BF422" s="143">
        <f t="shared" si="252"/>
        <v>0.58094999999999997</v>
      </c>
      <c r="BG422" s="143">
        <f t="shared" si="253"/>
        <v>386.71905000000004</v>
      </c>
      <c r="BH422" s="143">
        <f t="shared" si="254"/>
        <v>386.9</v>
      </c>
      <c r="BI422" s="144">
        <f t="shared" si="255"/>
        <v>40.000000000003411</v>
      </c>
      <c r="BJ422" s="144">
        <v>0</v>
      </c>
      <c r="BK422" s="137">
        <f t="shared" si="256"/>
        <v>40.000000000003411</v>
      </c>
      <c r="BL422" s="18"/>
      <c r="BM422" s="25" t="str">
        <f t="shared" si="257"/>
        <v>Unloading no. 404 Bill No G1675 ,Deduction For Oil Deduction= 0 ,Bardana= 3185 ,F.M=  Brokerage/Rate Difference 0 ,Shortage = 0 ,Greenish=  ,Moisture= 0</v>
      </c>
      <c r="BN422" s="17"/>
      <c r="BO422" s="13" t="str">
        <f t="shared" si="263"/>
        <v xml:space="preserve"> Party Condition 39.74  ,F.M% 0.44 ,Greenish 4.24 ,Moisture 4.8 ,Shortage in KG= 0  ,Oil% 40.25</v>
      </c>
      <c r="BP422" s="19">
        <f t="shared" si="258"/>
        <v>6723.3217885758604</v>
      </c>
      <c r="BX422" s="27">
        <v>40.53</v>
      </c>
      <c r="BY422" s="27">
        <v>40.25</v>
      </c>
    </row>
    <row r="423" spans="1:77" s="26" customFormat="1" ht="14.1" hidden="1" customHeight="1" x14ac:dyDescent="0.3">
      <c r="A423" s="128" t="s">
        <v>770</v>
      </c>
      <c r="B423" s="130">
        <v>46136</v>
      </c>
      <c r="C423" s="191">
        <v>405</v>
      </c>
      <c r="D423" s="161" t="s">
        <v>875</v>
      </c>
      <c r="E423" s="192">
        <v>46140</v>
      </c>
      <c r="F423" s="161" t="s">
        <v>101</v>
      </c>
      <c r="G423" s="161" t="s">
        <v>102</v>
      </c>
      <c r="H423" s="161" t="s">
        <v>103</v>
      </c>
      <c r="I423" s="193"/>
      <c r="J423" s="161" t="s">
        <v>113</v>
      </c>
      <c r="K423" s="161">
        <v>0</v>
      </c>
      <c r="L423" s="192">
        <v>46136</v>
      </c>
      <c r="M423" s="193"/>
      <c r="N423" s="161" t="s">
        <v>812</v>
      </c>
      <c r="O423" s="130">
        <v>46137</v>
      </c>
      <c r="P423" s="128">
        <v>0</v>
      </c>
      <c r="Q423" s="128">
        <v>420</v>
      </c>
      <c r="R423" s="128">
        <v>213</v>
      </c>
      <c r="S423" s="128">
        <v>633</v>
      </c>
      <c r="T423" s="128">
        <v>633</v>
      </c>
      <c r="U423" s="128">
        <v>0</v>
      </c>
      <c r="V423" s="128">
        <v>0</v>
      </c>
      <c r="W423" s="169">
        <v>379.8</v>
      </c>
      <c r="X423" s="169">
        <v>384.2</v>
      </c>
      <c r="Y423" s="169">
        <v>2639421.37</v>
      </c>
      <c r="Z423" s="136"/>
      <c r="AA423" s="128">
        <v>65985.53</v>
      </c>
      <c r="AB423" s="128">
        <v>65985.53</v>
      </c>
      <c r="AC423" s="128">
        <v>2771392.44</v>
      </c>
      <c r="AD423" s="143">
        <f t="shared" si="264"/>
        <v>2768621.0475599999</v>
      </c>
      <c r="AE423" s="196">
        <v>39.549999999999997</v>
      </c>
      <c r="AF423" s="169">
        <v>39.9</v>
      </c>
      <c r="AG423" s="147">
        <v>39.69</v>
      </c>
      <c r="AH423" s="170">
        <v>3.5000000000000001E-3</v>
      </c>
      <c r="AI423" s="170">
        <v>3.7400000000000003E-2</v>
      </c>
      <c r="AJ423" s="170">
        <v>4.1000000000000002E-2</v>
      </c>
      <c r="AK423" s="137">
        <f t="shared" si="259"/>
        <v>23152.819035087814</v>
      </c>
      <c r="AL423" s="136">
        <v>0</v>
      </c>
      <c r="AM423" s="136"/>
      <c r="AN423" s="165">
        <v>0</v>
      </c>
      <c r="AO423" s="140">
        <f t="shared" si="260"/>
        <v>1528.8907356503423</v>
      </c>
      <c r="AP423" s="136"/>
      <c r="AQ423" s="137">
        <v>0</v>
      </c>
      <c r="AR423" s="155">
        <f t="shared" si="261"/>
        <v>24681.709770738154</v>
      </c>
      <c r="AS423" s="155">
        <f t="shared" si="262"/>
        <v>25916</v>
      </c>
      <c r="AT423" s="137">
        <v>22</v>
      </c>
      <c r="AU423" s="136"/>
      <c r="AV423" s="136"/>
      <c r="AW423" s="137">
        <f t="shared" si="248"/>
        <v>37980</v>
      </c>
      <c r="AX423" s="136"/>
      <c r="AY423" s="137">
        <f t="shared" si="249"/>
        <v>37980</v>
      </c>
      <c r="AZ423" s="137">
        <f t="shared" si="250"/>
        <v>38420</v>
      </c>
      <c r="BA423" s="142">
        <f t="shared" si="251"/>
        <v>-440</v>
      </c>
      <c r="BB423" s="137"/>
      <c r="BC423" s="137">
        <v>0</v>
      </c>
      <c r="BD423" s="136"/>
      <c r="BE423" s="128">
        <v>384.6</v>
      </c>
      <c r="BF423" s="143">
        <f t="shared" si="252"/>
        <v>0.57689999999999997</v>
      </c>
      <c r="BG423" s="143">
        <f t="shared" si="253"/>
        <v>384.0231</v>
      </c>
      <c r="BH423" s="143">
        <f t="shared" si="254"/>
        <v>384.2</v>
      </c>
      <c r="BI423" s="144">
        <f t="shared" si="255"/>
        <v>40.000000000003411</v>
      </c>
      <c r="BJ423" s="144">
        <v>0</v>
      </c>
      <c r="BK423" s="137">
        <f t="shared" si="256"/>
        <v>40.000000000003411</v>
      </c>
      <c r="BL423" s="18"/>
      <c r="BM423" s="25" t="str">
        <f t="shared" si="257"/>
        <v>Unloading no. 405 Bill No L/PB/26-27/67 ,Deduction For Oil Deduction= 23152.8190350878 ,Bardana= 0 ,F.M=  Brokerage/Rate Difference 0 ,Shortage = 1528.89073565034 ,Greenish=  ,Moisture= 0</v>
      </c>
      <c r="BN423" s="17"/>
      <c r="BO423" s="13" t="str">
        <f t="shared" si="263"/>
        <v xml:space="preserve"> Party Condition 39.9  ,F.M% 0.35 ,Greenish 3.74 ,Moisture 4.1 ,Shortage in KG= 22  ,Oil% 39.55</v>
      </c>
      <c r="BP423" s="19">
        <f t="shared" si="258"/>
        <v>6805.6732436992761</v>
      </c>
      <c r="BX423" s="27">
        <v>39.549999999999997</v>
      </c>
      <c r="BY423" s="27">
        <v>39.69</v>
      </c>
    </row>
    <row r="424" spans="1:77" s="26" customFormat="1" ht="14.1" hidden="1" customHeight="1" x14ac:dyDescent="0.3">
      <c r="A424" s="128" t="s">
        <v>779</v>
      </c>
      <c r="B424" s="130">
        <v>46135</v>
      </c>
      <c r="C424" s="191">
        <v>406</v>
      </c>
      <c r="D424" s="161" t="s">
        <v>876</v>
      </c>
      <c r="E424" s="192">
        <v>46140</v>
      </c>
      <c r="F424" s="161" t="s">
        <v>467</v>
      </c>
      <c r="G424" s="161" t="s">
        <v>468</v>
      </c>
      <c r="H424" s="161" t="s">
        <v>506</v>
      </c>
      <c r="I424" s="193"/>
      <c r="J424" s="161" t="s">
        <v>113</v>
      </c>
      <c r="K424" s="161">
        <v>0</v>
      </c>
      <c r="L424" s="192">
        <v>46135</v>
      </c>
      <c r="M424" s="193"/>
      <c r="N424" s="161" t="s">
        <v>813</v>
      </c>
      <c r="O424" s="130">
        <v>46137</v>
      </c>
      <c r="P424" s="128">
        <v>0</v>
      </c>
      <c r="Q424" s="128">
        <v>347</v>
      </c>
      <c r="R424" s="128">
        <v>50</v>
      </c>
      <c r="S424" s="128">
        <v>397</v>
      </c>
      <c r="T424" s="128">
        <v>397</v>
      </c>
      <c r="U424" s="128">
        <v>0</v>
      </c>
      <c r="V424" s="128">
        <v>0</v>
      </c>
      <c r="W424" s="169">
        <v>238.2</v>
      </c>
      <c r="X424" s="169">
        <v>241.4</v>
      </c>
      <c r="Y424" s="169">
        <v>1608064</v>
      </c>
      <c r="Z424" s="136"/>
      <c r="AA424" s="128">
        <v>40201.599999999999</v>
      </c>
      <c r="AB424" s="128">
        <v>40201.599999999999</v>
      </c>
      <c r="AC424" s="128">
        <v>1688467.2</v>
      </c>
      <c r="AD424" s="143">
        <f t="shared" si="264"/>
        <v>1686778.7327999999</v>
      </c>
      <c r="AE424" s="147">
        <v>40.31</v>
      </c>
      <c r="AF424" s="169">
        <v>38.85</v>
      </c>
      <c r="AG424" s="147">
        <v>40.03</v>
      </c>
      <c r="AH424" s="170">
        <v>3.0000000000000001E-3</v>
      </c>
      <c r="AI424" s="170">
        <v>3.8600000000000002E-2</v>
      </c>
      <c r="AJ424" s="170">
        <v>4.2999999999999997E-2</v>
      </c>
      <c r="AK424" s="137">
        <f t="shared" si="259"/>
        <v>0</v>
      </c>
      <c r="AL424" s="136">
        <v>0</v>
      </c>
      <c r="AM424" s="136"/>
      <c r="AN424" s="165">
        <v>0</v>
      </c>
      <c r="AO424" s="140">
        <f t="shared" si="260"/>
        <v>0</v>
      </c>
      <c r="AP424" s="136"/>
      <c r="AQ424" s="137">
        <v>0</v>
      </c>
      <c r="AR424" s="155">
        <f t="shared" si="261"/>
        <v>0</v>
      </c>
      <c r="AS424" s="155">
        <f t="shared" si="262"/>
        <v>0</v>
      </c>
      <c r="AT424" s="137">
        <v>0</v>
      </c>
      <c r="AU424" s="136" t="s">
        <v>664</v>
      </c>
      <c r="AV424" s="136"/>
      <c r="AW424" s="137">
        <f t="shared" si="248"/>
        <v>23820</v>
      </c>
      <c r="AX424" s="136"/>
      <c r="AY424" s="137">
        <f t="shared" si="249"/>
        <v>23820</v>
      </c>
      <c r="AZ424" s="137">
        <f t="shared" si="250"/>
        <v>24140</v>
      </c>
      <c r="BA424" s="142">
        <f t="shared" si="251"/>
        <v>-320</v>
      </c>
      <c r="BB424" s="137"/>
      <c r="BC424" s="137">
        <v>0</v>
      </c>
      <c r="BD424" s="136"/>
      <c r="BE424" s="128">
        <v>241.6</v>
      </c>
      <c r="BF424" s="143">
        <f t="shared" si="252"/>
        <v>0.36239999999999994</v>
      </c>
      <c r="BG424" s="143">
        <f t="shared" si="253"/>
        <v>241.23759999999999</v>
      </c>
      <c r="BH424" s="143">
        <f t="shared" si="254"/>
        <v>241.4</v>
      </c>
      <c r="BI424" s="144">
        <f t="shared" si="255"/>
        <v>19.999999999998863</v>
      </c>
      <c r="BJ424" s="144">
        <v>0</v>
      </c>
      <c r="BK424" s="137">
        <f t="shared" si="256"/>
        <v>19.999999999998863</v>
      </c>
      <c r="BL424" s="18"/>
      <c r="BM424" s="25" t="str">
        <f t="shared" si="257"/>
        <v>Unloading no. 406 Bill No GDS/26-27/159 ,Deduction For Oil Deduction= 0 ,Bardana= 0 ,F.M=  Brokerage/Rate Difference 0 ,Shortage = 0 ,Greenish=  ,Moisture= 0</v>
      </c>
      <c r="BN424" s="17"/>
      <c r="BO424" s="13" t="str">
        <f t="shared" si="263"/>
        <v xml:space="preserve"> Party Condition 38.85  ,F.M% 0.3 ,Greenish 3.86 ,Moisture 4.3 ,Shortage in KG= 0  ,Oil% 40.03</v>
      </c>
      <c r="BP424" s="19">
        <f t="shared" si="258"/>
        <v>6661.4084507042253</v>
      </c>
      <c r="BX424" s="27">
        <v>40.31</v>
      </c>
      <c r="BY424" s="27">
        <v>40.03</v>
      </c>
    </row>
    <row r="425" spans="1:77" s="26" customFormat="1" ht="14.1" hidden="1" customHeight="1" x14ac:dyDescent="0.3">
      <c r="A425" s="128" t="s">
        <v>753</v>
      </c>
      <c r="B425" s="130">
        <v>46134</v>
      </c>
      <c r="C425" s="191">
        <v>407</v>
      </c>
      <c r="D425" s="161" t="s">
        <v>877</v>
      </c>
      <c r="E425" s="192">
        <v>46140</v>
      </c>
      <c r="F425" s="161" t="s">
        <v>104</v>
      </c>
      <c r="G425" s="161" t="s">
        <v>105</v>
      </c>
      <c r="H425" s="161" t="s">
        <v>106</v>
      </c>
      <c r="I425" s="193"/>
      <c r="J425" s="161" t="s">
        <v>113</v>
      </c>
      <c r="K425" s="161">
        <v>0</v>
      </c>
      <c r="L425" s="192">
        <v>46134</v>
      </c>
      <c r="M425" s="193"/>
      <c r="N425" s="161" t="s">
        <v>814</v>
      </c>
      <c r="O425" s="130">
        <v>46136</v>
      </c>
      <c r="P425" s="128">
        <v>0</v>
      </c>
      <c r="Q425" s="128">
        <v>600</v>
      </c>
      <c r="R425" s="128">
        <v>74</v>
      </c>
      <c r="S425" s="128">
        <v>674</v>
      </c>
      <c r="T425" s="128">
        <v>674</v>
      </c>
      <c r="U425" s="128">
        <v>0</v>
      </c>
      <c r="V425" s="128">
        <v>0</v>
      </c>
      <c r="W425" s="169">
        <v>337</v>
      </c>
      <c r="X425" s="169">
        <v>342.5</v>
      </c>
      <c r="Y425" s="169">
        <v>2295782.17</v>
      </c>
      <c r="Z425" s="136"/>
      <c r="AA425" s="128">
        <v>57394.55</v>
      </c>
      <c r="AB425" s="128">
        <v>57394.55</v>
      </c>
      <c r="AC425" s="128">
        <v>2410571.2799999998</v>
      </c>
      <c r="AD425" s="143">
        <f t="shared" si="264"/>
        <v>2408160.70872</v>
      </c>
      <c r="AE425" s="147">
        <v>39.76</v>
      </c>
      <c r="AF425" s="169">
        <v>39.299999999999997</v>
      </c>
      <c r="AG425" s="147">
        <v>39.67</v>
      </c>
      <c r="AH425" s="170">
        <v>4.4999999999999997E-3</v>
      </c>
      <c r="AI425" s="170">
        <v>4.1000000000000002E-2</v>
      </c>
      <c r="AJ425" s="170">
        <v>3.7999999999999999E-2</v>
      </c>
      <c r="AK425" s="137">
        <f t="shared" si="259"/>
        <v>0</v>
      </c>
      <c r="AL425" s="136">
        <f>674*2</f>
        <v>1348</v>
      </c>
      <c r="AM425" s="136"/>
      <c r="AN425" s="165">
        <v>0</v>
      </c>
      <c r="AO425" s="140">
        <f t="shared" si="260"/>
        <v>0</v>
      </c>
      <c r="AP425" s="136"/>
      <c r="AQ425" s="137">
        <v>0</v>
      </c>
      <c r="AR425" s="155">
        <f t="shared" si="261"/>
        <v>1348</v>
      </c>
      <c r="AS425" s="155">
        <f t="shared" si="262"/>
        <v>1415</v>
      </c>
      <c r="AT425" s="137">
        <v>0</v>
      </c>
      <c r="AU425" s="136"/>
      <c r="AV425" s="136"/>
      <c r="AW425" s="137">
        <f t="shared" si="248"/>
        <v>33700</v>
      </c>
      <c r="AX425" s="136"/>
      <c r="AY425" s="137">
        <f t="shared" si="249"/>
        <v>33700</v>
      </c>
      <c r="AZ425" s="137">
        <f t="shared" si="250"/>
        <v>34250</v>
      </c>
      <c r="BA425" s="142">
        <f t="shared" si="251"/>
        <v>-550</v>
      </c>
      <c r="BB425" s="137"/>
      <c r="BC425" s="137">
        <v>0</v>
      </c>
      <c r="BD425" s="136"/>
      <c r="BE425" s="128">
        <v>342.6</v>
      </c>
      <c r="BF425" s="143">
        <f t="shared" si="252"/>
        <v>0.51390000000000002</v>
      </c>
      <c r="BG425" s="143">
        <f t="shared" si="253"/>
        <v>342.08610000000004</v>
      </c>
      <c r="BH425" s="143">
        <f t="shared" si="254"/>
        <v>342.5</v>
      </c>
      <c r="BI425" s="144">
        <f t="shared" si="255"/>
        <v>10.000000000002274</v>
      </c>
      <c r="BJ425" s="144">
        <v>0</v>
      </c>
      <c r="BK425" s="137">
        <f t="shared" si="256"/>
        <v>10.000000000002274</v>
      </c>
      <c r="BL425" s="18"/>
      <c r="BM425" s="25" t="str">
        <f t="shared" si="257"/>
        <v>Unloading no. 407 Bill No MTC/2026-27/0104 ,Deduction For Oil Deduction= 0 ,Bardana= 1348 ,F.M=  Brokerage/Rate Difference 0 ,Shortage = 0 ,Greenish=  ,Moisture= 0</v>
      </c>
      <c r="BN425" s="17"/>
      <c r="BO425" s="13" t="str">
        <f t="shared" si="263"/>
        <v xml:space="preserve"> Party Condition 39.3  ,F.M% 0.45 ,Greenish 4.1 ,Moisture 3.8 ,Shortage in KG= 0  ,Oil% 39.67</v>
      </c>
      <c r="BP425" s="19">
        <f t="shared" si="258"/>
        <v>6699.0778686131389</v>
      </c>
      <c r="BX425" s="27">
        <v>39.76</v>
      </c>
      <c r="BY425" s="27">
        <v>39.67</v>
      </c>
    </row>
    <row r="426" spans="1:77" s="26" customFormat="1" ht="14.1" hidden="1" customHeight="1" x14ac:dyDescent="0.3">
      <c r="A426" s="128" t="s">
        <v>780</v>
      </c>
      <c r="B426" s="130">
        <v>46137</v>
      </c>
      <c r="C426" s="135">
        <v>408</v>
      </c>
      <c r="D426" s="128" t="s">
        <v>878</v>
      </c>
      <c r="E426" s="130">
        <v>46140</v>
      </c>
      <c r="F426" s="128" t="s">
        <v>467</v>
      </c>
      <c r="G426" s="128" t="s">
        <v>468</v>
      </c>
      <c r="H426" s="128" t="s">
        <v>506</v>
      </c>
      <c r="I426" s="136"/>
      <c r="J426" s="128" t="s">
        <v>113</v>
      </c>
      <c r="K426" s="128">
        <v>0</v>
      </c>
      <c r="L426" s="130">
        <v>46137</v>
      </c>
      <c r="M426" s="136"/>
      <c r="N426" s="128" t="s">
        <v>815</v>
      </c>
      <c r="O426" s="130">
        <v>46138</v>
      </c>
      <c r="P426" s="128">
        <v>0</v>
      </c>
      <c r="Q426" s="128">
        <v>450</v>
      </c>
      <c r="R426" s="128">
        <v>94</v>
      </c>
      <c r="S426" s="128">
        <v>544</v>
      </c>
      <c r="T426" s="128">
        <v>544</v>
      </c>
      <c r="U426" s="128">
        <v>0</v>
      </c>
      <c r="V426" s="128">
        <v>0</v>
      </c>
      <c r="W426" s="169">
        <v>326.39999999999998</v>
      </c>
      <c r="X426" s="169">
        <v>330.7</v>
      </c>
      <c r="Y426" s="169">
        <v>2200762</v>
      </c>
      <c r="Z426" s="136"/>
      <c r="AA426" s="128">
        <v>55019.05</v>
      </c>
      <c r="AB426" s="128">
        <v>55019.05</v>
      </c>
      <c r="AC426" s="128">
        <v>2310800.1</v>
      </c>
      <c r="AD426" s="143">
        <f t="shared" si="264"/>
        <v>2308489.2999</v>
      </c>
      <c r="AE426" s="147">
        <v>40.08</v>
      </c>
      <c r="AF426" s="169">
        <v>38.81</v>
      </c>
      <c r="AG426" s="147">
        <v>40.06</v>
      </c>
      <c r="AH426" s="170">
        <v>3.3999999999999998E-3</v>
      </c>
      <c r="AI426" s="170">
        <v>3.5099999999999999E-2</v>
      </c>
      <c r="AJ426" s="170">
        <v>3.7999999999999999E-2</v>
      </c>
      <c r="AK426" s="137">
        <f t="shared" si="259"/>
        <v>0</v>
      </c>
      <c r="AL426" s="136">
        <v>0</v>
      </c>
      <c r="AM426" s="136"/>
      <c r="AN426" s="165">
        <v>0</v>
      </c>
      <c r="AO426" s="140">
        <f t="shared" si="260"/>
        <v>0</v>
      </c>
      <c r="AP426" s="136"/>
      <c r="AQ426" s="137">
        <v>0</v>
      </c>
      <c r="AR426" s="155">
        <f t="shared" si="261"/>
        <v>0</v>
      </c>
      <c r="AS426" s="155">
        <f t="shared" si="262"/>
        <v>0</v>
      </c>
      <c r="AT426" s="137">
        <v>0</v>
      </c>
      <c r="AU426" s="136"/>
      <c r="AV426" s="136"/>
      <c r="AW426" s="137">
        <f t="shared" si="248"/>
        <v>32639.999999999996</v>
      </c>
      <c r="AX426" s="136"/>
      <c r="AY426" s="137">
        <f t="shared" si="249"/>
        <v>32639.999999999996</v>
      </c>
      <c r="AZ426" s="137">
        <f t="shared" si="250"/>
        <v>33070</v>
      </c>
      <c r="BA426" s="142">
        <f t="shared" si="251"/>
        <v>-430.00000000000364</v>
      </c>
      <c r="BB426" s="137"/>
      <c r="BC426" s="137">
        <v>0</v>
      </c>
      <c r="BD426" s="136"/>
      <c r="BE426" s="128">
        <v>331.25</v>
      </c>
      <c r="BF426" s="143">
        <f t="shared" si="252"/>
        <v>0.49687500000000001</v>
      </c>
      <c r="BG426" s="143">
        <f t="shared" si="253"/>
        <v>330.75312500000001</v>
      </c>
      <c r="BH426" s="143">
        <f t="shared" si="254"/>
        <v>330.7</v>
      </c>
      <c r="BI426" s="144">
        <f t="shared" si="255"/>
        <v>55.000000000001137</v>
      </c>
      <c r="BJ426" s="144">
        <v>0</v>
      </c>
      <c r="BK426" s="137">
        <f t="shared" si="256"/>
        <v>55.000000000001137</v>
      </c>
      <c r="BL426" s="18"/>
      <c r="BM426" s="25" t="str">
        <f t="shared" si="257"/>
        <v>Unloading no. 408 Bill No GDS/26-27/163 ,Deduction For Oil Deduction= 0 ,Bardana= 0 ,F.M=  Brokerage/Rate Difference 0 ,Shortage = 0 ,Greenish=  ,Moisture= 0</v>
      </c>
      <c r="BN426" s="17"/>
      <c r="BO426" s="13" t="str">
        <f t="shared" si="263"/>
        <v xml:space="preserve"> Party Condition 38.81  ,F.M% 0.34 ,Greenish 3.51 ,Moisture 3.8 ,Shortage in KG= 0  ,Oil% 40.06</v>
      </c>
      <c r="BP426" s="19">
        <f t="shared" si="258"/>
        <v>6654.8593891744786</v>
      </c>
      <c r="BX426" s="27">
        <v>40.08</v>
      </c>
      <c r="BY426" s="27">
        <v>40.06</v>
      </c>
    </row>
    <row r="427" spans="1:77" s="26" customFormat="1" ht="14.1" hidden="1" customHeight="1" x14ac:dyDescent="0.3">
      <c r="A427" s="128" t="s">
        <v>781</v>
      </c>
      <c r="B427" s="130">
        <v>46136</v>
      </c>
      <c r="C427" s="135">
        <v>409</v>
      </c>
      <c r="D427" s="128" t="s">
        <v>879</v>
      </c>
      <c r="E427" s="130">
        <v>46140</v>
      </c>
      <c r="F427" s="128" t="s">
        <v>110</v>
      </c>
      <c r="G427" s="128" t="s">
        <v>111</v>
      </c>
      <c r="H427" s="128" t="s">
        <v>112</v>
      </c>
      <c r="I427" s="136"/>
      <c r="J427" s="128" t="s">
        <v>113</v>
      </c>
      <c r="K427" s="128">
        <v>0</v>
      </c>
      <c r="L427" s="130">
        <v>46136</v>
      </c>
      <c r="M427" s="136"/>
      <c r="N427" s="128" t="s">
        <v>816</v>
      </c>
      <c r="O427" s="130">
        <v>46137</v>
      </c>
      <c r="P427" s="128">
        <v>0</v>
      </c>
      <c r="Q427" s="128">
        <v>650</v>
      </c>
      <c r="R427" s="128">
        <v>17</v>
      </c>
      <c r="S427" s="128">
        <v>667</v>
      </c>
      <c r="T427" s="128">
        <v>667</v>
      </c>
      <c r="U427" s="128">
        <v>0</v>
      </c>
      <c r="V427" s="128">
        <v>0</v>
      </c>
      <c r="W427" s="169">
        <v>400.2</v>
      </c>
      <c r="X427" s="169">
        <v>405.6</v>
      </c>
      <c r="Y427" s="169">
        <v>2726696</v>
      </c>
      <c r="Z427" s="136"/>
      <c r="AA427" s="169">
        <v>68167.399999999994</v>
      </c>
      <c r="AB427" s="169">
        <v>68167.399999999994</v>
      </c>
      <c r="AC427" s="169">
        <v>2863030.8</v>
      </c>
      <c r="AD427" s="143">
        <f t="shared" si="264"/>
        <v>2860167.7692</v>
      </c>
      <c r="AE427" s="147">
        <v>40.17</v>
      </c>
      <c r="AF427" s="169">
        <v>39.479999999999997</v>
      </c>
      <c r="AG427" s="147">
        <v>40.15</v>
      </c>
      <c r="AH427" s="170">
        <v>4.4999999999999997E-3</v>
      </c>
      <c r="AI427" s="170">
        <v>4.1399999999999999E-2</v>
      </c>
      <c r="AJ427" s="170">
        <v>5.3999999999999999E-2</v>
      </c>
      <c r="AK427" s="137">
        <f t="shared" si="259"/>
        <v>0</v>
      </c>
      <c r="AL427" s="136">
        <f>667*5</f>
        <v>3335</v>
      </c>
      <c r="AM427" s="136"/>
      <c r="AN427" s="165">
        <v>0</v>
      </c>
      <c r="AO427" s="140">
        <f t="shared" si="260"/>
        <v>0</v>
      </c>
      <c r="AP427" s="136"/>
      <c r="AQ427" s="137">
        <v>0</v>
      </c>
      <c r="AR427" s="155">
        <f t="shared" si="261"/>
        <v>3335</v>
      </c>
      <c r="AS427" s="155">
        <f t="shared" si="262"/>
        <v>3502</v>
      </c>
      <c r="AT427" s="137">
        <v>0</v>
      </c>
      <c r="AU427" s="136" t="s">
        <v>664</v>
      </c>
      <c r="AV427" s="136"/>
      <c r="AW427" s="137">
        <f t="shared" si="248"/>
        <v>40020</v>
      </c>
      <c r="AX427" s="136"/>
      <c r="AY427" s="137">
        <f t="shared" si="249"/>
        <v>40020</v>
      </c>
      <c r="AZ427" s="137">
        <f t="shared" si="250"/>
        <v>40560</v>
      </c>
      <c r="BA427" s="142">
        <f t="shared" si="251"/>
        <v>-540</v>
      </c>
      <c r="BB427" s="137"/>
      <c r="BC427" s="137">
        <v>0</v>
      </c>
      <c r="BD427" s="136"/>
      <c r="BE427" s="128">
        <v>406.1</v>
      </c>
      <c r="BF427" s="143">
        <f t="shared" si="252"/>
        <v>0.60914999999999997</v>
      </c>
      <c r="BG427" s="143">
        <f t="shared" si="253"/>
        <v>405.49085000000002</v>
      </c>
      <c r="BH427" s="143">
        <f t="shared" si="254"/>
        <v>405.6</v>
      </c>
      <c r="BI427" s="144">
        <f t="shared" si="255"/>
        <v>50</v>
      </c>
      <c r="BJ427" s="144">
        <v>0</v>
      </c>
      <c r="BK427" s="137">
        <f t="shared" si="256"/>
        <v>50</v>
      </c>
      <c r="BL427" s="18"/>
      <c r="BM427" s="25" t="str">
        <f t="shared" si="257"/>
        <v>Unloading no. 409 Bill No G1677 ,Deduction For Oil Deduction= 0 ,Bardana= 3335 ,F.M=  Brokerage/Rate Difference 0 ,Shortage = 0 ,Greenish=  ,Moisture= 0</v>
      </c>
      <c r="BN427" s="17"/>
      <c r="BO427" s="13" t="str">
        <f t="shared" si="263"/>
        <v xml:space="preserve"> Party Condition 39.48  ,F.M% 0.45 ,Greenish 4.14 ,Moisture 5.4 ,Shortage in KG= 0  ,Oil% 40.15</v>
      </c>
      <c r="BP427" s="19">
        <f t="shared" si="258"/>
        <v>6714.4008875739637</v>
      </c>
      <c r="BX427" s="27">
        <v>40.17</v>
      </c>
      <c r="BY427" s="27">
        <v>40.15</v>
      </c>
    </row>
    <row r="428" spans="1:77" s="26" customFormat="1" ht="14.1" hidden="1" customHeight="1" x14ac:dyDescent="0.3">
      <c r="A428" s="128" t="s">
        <v>770</v>
      </c>
      <c r="B428" s="130">
        <v>46136</v>
      </c>
      <c r="C428" s="135">
        <v>410</v>
      </c>
      <c r="D428" s="128" t="s">
        <v>880</v>
      </c>
      <c r="E428" s="130">
        <v>46140</v>
      </c>
      <c r="F428" s="128" t="s">
        <v>101</v>
      </c>
      <c r="G428" s="128" t="s">
        <v>102</v>
      </c>
      <c r="H428" s="128" t="s">
        <v>103</v>
      </c>
      <c r="I428" s="136"/>
      <c r="J428" s="128" t="s">
        <v>113</v>
      </c>
      <c r="K428" s="128">
        <v>0</v>
      </c>
      <c r="L428" s="130">
        <v>46136</v>
      </c>
      <c r="M428" s="136"/>
      <c r="N428" s="128" t="s">
        <v>817</v>
      </c>
      <c r="O428" s="130">
        <v>46137</v>
      </c>
      <c r="P428" s="128">
        <v>0</v>
      </c>
      <c r="Q428" s="128">
        <v>420</v>
      </c>
      <c r="R428" s="128">
        <v>201</v>
      </c>
      <c r="S428" s="128">
        <v>621</v>
      </c>
      <c r="T428" s="128">
        <v>621</v>
      </c>
      <c r="U428" s="128">
        <v>0</v>
      </c>
      <c r="V428" s="128">
        <v>0</v>
      </c>
      <c r="W428" s="169">
        <v>375</v>
      </c>
      <c r="X428" s="169">
        <v>376.9</v>
      </c>
      <c r="Y428" s="169">
        <v>2606063.75</v>
      </c>
      <c r="Z428" s="136"/>
      <c r="AA428" s="169">
        <v>65151.59</v>
      </c>
      <c r="AB428" s="169">
        <v>65151.59</v>
      </c>
      <c r="AC428" s="169">
        <v>2736366.94</v>
      </c>
      <c r="AD428" s="143">
        <f t="shared" si="264"/>
        <v>2733630.5730599998</v>
      </c>
      <c r="AE428" s="147">
        <v>39.75</v>
      </c>
      <c r="AF428" s="169">
        <v>39.9</v>
      </c>
      <c r="AG428" s="147">
        <v>39.729999999999997</v>
      </c>
      <c r="AH428" s="170">
        <v>2.8999999999999998E-3</v>
      </c>
      <c r="AI428" s="170">
        <v>3.9600000000000003E-2</v>
      </c>
      <c r="AJ428" s="170">
        <v>4.3999999999999997E-2</v>
      </c>
      <c r="AK428" s="137">
        <v>0</v>
      </c>
      <c r="AL428" s="136">
        <v>0</v>
      </c>
      <c r="AM428" s="136"/>
      <c r="AN428" s="165">
        <v>164</v>
      </c>
      <c r="AO428" s="140">
        <f t="shared" si="260"/>
        <v>18485.678866666665</v>
      </c>
      <c r="AP428" s="136"/>
      <c r="AQ428" s="137">
        <v>0</v>
      </c>
      <c r="AR428" s="155">
        <f t="shared" si="261"/>
        <v>18649.678866666665</v>
      </c>
      <c r="AS428" s="155">
        <f t="shared" si="262"/>
        <v>19582</v>
      </c>
      <c r="AT428" s="137">
        <v>266</v>
      </c>
      <c r="AU428" s="136" t="s">
        <v>888</v>
      </c>
      <c r="AV428" s="136"/>
      <c r="AW428" s="137">
        <f t="shared" si="248"/>
        <v>37500</v>
      </c>
      <c r="AX428" s="136"/>
      <c r="AY428" s="137">
        <f t="shared" si="249"/>
        <v>37500</v>
      </c>
      <c r="AZ428" s="137">
        <f t="shared" si="250"/>
        <v>37690</v>
      </c>
      <c r="BA428" s="142">
        <f t="shared" si="251"/>
        <v>-190</v>
      </c>
      <c r="BB428" s="137"/>
      <c r="BC428" s="137">
        <v>0</v>
      </c>
      <c r="BD428" s="136"/>
      <c r="BE428" s="128">
        <v>380.6</v>
      </c>
      <c r="BF428" s="143">
        <f t="shared" si="252"/>
        <v>0.57090000000000007</v>
      </c>
      <c r="BG428" s="143">
        <f t="shared" si="253"/>
        <v>380.02910000000003</v>
      </c>
      <c r="BH428" s="143">
        <f t="shared" si="254"/>
        <v>376.9</v>
      </c>
      <c r="BI428" s="144">
        <f t="shared" si="255"/>
        <v>370.00000000000455</v>
      </c>
      <c r="BJ428" s="144">
        <v>0</v>
      </c>
      <c r="BK428" s="137">
        <f t="shared" si="256"/>
        <v>370.00000000000455</v>
      </c>
      <c r="BL428" s="18"/>
      <c r="BM428" s="25" t="str">
        <f t="shared" si="257"/>
        <v>Unloading no. 410 Bill No L/PB/26-27/66 ,Deduction For Oil Deduction= 0 ,Bardana= 0 ,F.M=  Brokerage/Rate Difference 164 ,Shortage = 18485.6788666667 ,Greenish=  ,Moisture= 0</v>
      </c>
      <c r="BN428" s="17"/>
      <c r="BO428" s="13" t="str">
        <f t="shared" si="263"/>
        <v xml:space="preserve"> Party Condition 39.9  ,F.M% 0.29 ,Greenish 3.96 ,Moisture 4.4 ,Shortage in KG= 266  ,Oil% 39.73</v>
      </c>
      <c r="BP428" s="19">
        <f t="shared" si="258"/>
        <v>6864.9882492261431</v>
      </c>
      <c r="BX428" s="27">
        <v>39.75</v>
      </c>
      <c r="BY428" s="27">
        <v>39.729999999999997</v>
      </c>
    </row>
    <row r="429" spans="1:77" s="26" customFormat="1" ht="14.1" hidden="1" customHeight="1" x14ac:dyDescent="0.3">
      <c r="A429" s="128" t="s">
        <v>770</v>
      </c>
      <c r="B429" s="166">
        <v>46136</v>
      </c>
      <c r="C429" s="164">
        <v>411</v>
      </c>
      <c r="D429" s="163" t="s">
        <v>881</v>
      </c>
      <c r="E429" s="166">
        <v>46140</v>
      </c>
      <c r="F429" s="163" t="s">
        <v>101</v>
      </c>
      <c r="G429" s="163" t="s">
        <v>102</v>
      </c>
      <c r="H429" s="163" t="s">
        <v>103</v>
      </c>
      <c r="I429" s="157"/>
      <c r="J429" s="163" t="s">
        <v>113</v>
      </c>
      <c r="K429" s="163">
        <v>0</v>
      </c>
      <c r="L429" s="166">
        <v>46136</v>
      </c>
      <c r="M429" s="157"/>
      <c r="N429" s="163" t="s">
        <v>818</v>
      </c>
      <c r="O429" s="166">
        <v>46137</v>
      </c>
      <c r="P429" s="163">
        <v>0</v>
      </c>
      <c r="Q429" s="163">
        <v>470</v>
      </c>
      <c r="R429" s="163">
        <v>31</v>
      </c>
      <c r="S429" s="163">
        <v>501</v>
      </c>
      <c r="T429" s="163">
        <v>501</v>
      </c>
      <c r="U429" s="163">
        <v>0</v>
      </c>
      <c r="V429" s="163">
        <v>0</v>
      </c>
      <c r="W429" s="188">
        <v>300.60000000000002</v>
      </c>
      <c r="X429" s="188">
        <v>303.5</v>
      </c>
      <c r="Y429" s="188">
        <v>2089020.7</v>
      </c>
      <c r="Z429" s="157"/>
      <c r="AA429" s="169">
        <v>52225.52</v>
      </c>
      <c r="AB429" s="169">
        <v>52225.52</v>
      </c>
      <c r="AC429" s="169">
        <v>2193471.7400000002</v>
      </c>
      <c r="AD429" s="143">
        <f t="shared" si="264"/>
        <v>2191278.2682600003</v>
      </c>
      <c r="AE429" s="147">
        <v>40.03</v>
      </c>
      <c r="AF429" s="169">
        <v>39.9</v>
      </c>
      <c r="AG429" s="147">
        <v>39.93</v>
      </c>
      <c r="AH429" s="170">
        <v>4.3E-3</v>
      </c>
      <c r="AI429" s="170">
        <v>4.3999999999999997E-2</v>
      </c>
      <c r="AJ429" s="170">
        <v>5.2999999999999999E-2</v>
      </c>
      <c r="AK429" s="137">
        <f t="shared" si="259"/>
        <v>0</v>
      </c>
      <c r="AL429" s="136">
        <v>0</v>
      </c>
      <c r="AM429" s="136"/>
      <c r="AN429" s="165">
        <v>0</v>
      </c>
      <c r="AO429" s="140">
        <f t="shared" si="260"/>
        <v>5281.6225282767791</v>
      </c>
      <c r="AP429" s="136"/>
      <c r="AQ429" s="137">
        <v>0</v>
      </c>
      <c r="AR429" s="155">
        <f t="shared" si="261"/>
        <v>5281.6225282767791</v>
      </c>
      <c r="AS429" s="155">
        <f t="shared" si="262"/>
        <v>5546</v>
      </c>
      <c r="AT429" s="137">
        <v>76</v>
      </c>
      <c r="AU429" s="136"/>
      <c r="AV429" s="136"/>
      <c r="AW429" s="137">
        <f t="shared" si="248"/>
        <v>30060.000000000004</v>
      </c>
      <c r="AX429" s="136"/>
      <c r="AY429" s="137">
        <f t="shared" si="249"/>
        <v>30060.000000000004</v>
      </c>
      <c r="AZ429" s="137">
        <f t="shared" si="250"/>
        <v>30350</v>
      </c>
      <c r="BA429" s="142">
        <f t="shared" si="251"/>
        <v>-289.99999999999636</v>
      </c>
      <c r="BB429" s="137"/>
      <c r="BC429" s="137">
        <v>0</v>
      </c>
      <c r="BD429" s="136"/>
      <c r="BE429" s="128">
        <v>304.8</v>
      </c>
      <c r="BF429" s="143">
        <f t="shared" si="252"/>
        <v>0.4572</v>
      </c>
      <c r="BG429" s="143">
        <f t="shared" si="253"/>
        <v>304.34280000000001</v>
      </c>
      <c r="BH429" s="143">
        <f t="shared" si="254"/>
        <v>303.5</v>
      </c>
      <c r="BI429" s="144">
        <f t="shared" si="255"/>
        <v>130.00000000000114</v>
      </c>
      <c r="BJ429" s="144">
        <v>0</v>
      </c>
      <c r="BK429" s="137">
        <f t="shared" si="256"/>
        <v>130.00000000000114</v>
      </c>
      <c r="BL429" s="18"/>
      <c r="BM429" s="25" t="str">
        <f t="shared" si="257"/>
        <v>Unloading no. 411 Bill No L/PB/26-27/63 ,Deduction For Oil Deduction= 0 ,Bardana= 0 ,F.M=  Brokerage/Rate Difference 0 ,Shortage = 5281.62252827678 ,Greenish=  ,Moisture= 0</v>
      </c>
      <c r="BN429" s="17"/>
      <c r="BO429" s="13" t="str">
        <f t="shared" si="263"/>
        <v xml:space="preserve"> Party Condition 39.9  ,F.M% 0.43 ,Greenish 4.4 ,Moisture 5.3 ,Shortage in KG= 76  ,Oil% 39.93</v>
      </c>
      <c r="BP429" s="19">
        <f t="shared" si="258"/>
        <v>6865.6971251127616</v>
      </c>
      <c r="BX429" s="27">
        <v>40.03</v>
      </c>
      <c r="BY429" s="27">
        <v>39.93</v>
      </c>
    </row>
    <row r="430" spans="1:77" s="26" customFormat="1" ht="14.1" hidden="1" customHeight="1" x14ac:dyDescent="0.3">
      <c r="A430" s="128" t="s">
        <v>782</v>
      </c>
      <c r="B430" s="166">
        <v>46137</v>
      </c>
      <c r="C430" s="164">
        <v>412</v>
      </c>
      <c r="D430" s="163" t="s">
        <v>882</v>
      </c>
      <c r="E430" s="166">
        <v>46140</v>
      </c>
      <c r="F430" s="163" t="s">
        <v>436</v>
      </c>
      <c r="G430" s="163" t="s">
        <v>437</v>
      </c>
      <c r="H430" s="163" t="s">
        <v>438</v>
      </c>
      <c r="I430" s="157"/>
      <c r="J430" s="163" t="s">
        <v>113</v>
      </c>
      <c r="K430" s="163">
        <v>0</v>
      </c>
      <c r="L430" s="166">
        <v>46137</v>
      </c>
      <c r="M430" s="157"/>
      <c r="N430" s="163">
        <v>72</v>
      </c>
      <c r="O430" s="166">
        <v>46137</v>
      </c>
      <c r="P430" s="163">
        <v>0</v>
      </c>
      <c r="Q430" s="163">
        <v>450</v>
      </c>
      <c r="R430" s="163">
        <v>135</v>
      </c>
      <c r="S430" s="163">
        <v>585</v>
      </c>
      <c r="T430" s="163">
        <v>585</v>
      </c>
      <c r="U430" s="163">
        <v>0</v>
      </c>
      <c r="V430" s="163">
        <v>0</v>
      </c>
      <c r="W430" s="188">
        <v>351</v>
      </c>
      <c r="X430" s="188">
        <v>357.1</v>
      </c>
      <c r="Y430" s="188">
        <v>2406269.9700000002</v>
      </c>
      <c r="Z430" s="157"/>
      <c r="AA430" s="169">
        <v>60156.75</v>
      </c>
      <c r="AB430" s="169">
        <v>60156.75</v>
      </c>
      <c r="AC430" s="169">
        <v>2526583.4700000002</v>
      </c>
      <c r="AD430" s="143">
        <f t="shared" si="264"/>
        <v>2524056.8865300003</v>
      </c>
      <c r="AE430" s="147">
        <v>40.04</v>
      </c>
      <c r="AF430" s="169">
        <v>39.65</v>
      </c>
      <c r="AG430" s="147">
        <v>40.049999999999997</v>
      </c>
      <c r="AH430" s="170">
        <v>4.7000000000000002E-3</v>
      </c>
      <c r="AI430" s="170">
        <v>0.04</v>
      </c>
      <c r="AJ430" s="170">
        <v>4.1000000000000002E-2</v>
      </c>
      <c r="AK430" s="137">
        <f t="shared" si="259"/>
        <v>0</v>
      </c>
      <c r="AL430" s="136">
        <v>0</v>
      </c>
      <c r="AM430" s="136"/>
      <c r="AN430" s="165">
        <v>0</v>
      </c>
      <c r="AO430" s="140">
        <f t="shared" si="260"/>
        <v>0</v>
      </c>
      <c r="AP430" s="136"/>
      <c r="AQ430" s="137">
        <v>0</v>
      </c>
      <c r="AR430" s="155">
        <f t="shared" si="261"/>
        <v>0</v>
      </c>
      <c r="AS430" s="155">
        <f t="shared" si="262"/>
        <v>0</v>
      </c>
      <c r="AT430" s="137">
        <v>0</v>
      </c>
      <c r="AU430" s="136"/>
      <c r="AV430" s="136"/>
      <c r="AW430" s="137">
        <f t="shared" si="248"/>
        <v>35100</v>
      </c>
      <c r="AX430" s="136"/>
      <c r="AY430" s="137">
        <f t="shared" si="249"/>
        <v>35100</v>
      </c>
      <c r="AZ430" s="137">
        <f t="shared" si="250"/>
        <v>35710</v>
      </c>
      <c r="BA430" s="142">
        <f t="shared" si="251"/>
        <v>-610</v>
      </c>
      <c r="BB430" s="137"/>
      <c r="BC430" s="137">
        <v>0</v>
      </c>
      <c r="BD430" s="136"/>
      <c r="BE430" s="128">
        <v>356.8</v>
      </c>
      <c r="BF430" s="143">
        <f t="shared" si="252"/>
        <v>0.53520000000000001</v>
      </c>
      <c r="BG430" s="143">
        <f t="shared" si="253"/>
        <v>356.26480000000004</v>
      </c>
      <c r="BH430" s="143">
        <f t="shared" si="254"/>
        <v>357.1</v>
      </c>
      <c r="BI430" s="144">
        <f t="shared" si="255"/>
        <v>-30.000000000001137</v>
      </c>
      <c r="BJ430" s="144">
        <v>0</v>
      </c>
      <c r="BK430" s="137">
        <f t="shared" si="256"/>
        <v>-30.000000000001137</v>
      </c>
      <c r="BL430" s="18"/>
      <c r="BM430" s="25" t="str">
        <f t="shared" si="257"/>
        <v>Unloading no. 412 Bill No 72 ,Deduction For Oil Deduction= 0 ,Bardana= 0 ,F.M=  Brokerage/Rate Difference 0 ,Shortage = 0 ,Greenish=  ,Moisture= 0</v>
      </c>
      <c r="BN430" s="17"/>
      <c r="BO430" s="13" t="str">
        <f t="shared" si="263"/>
        <v xml:space="preserve"> Party Condition 39.65  ,F.M% 0.47 ,Greenish 4 ,Moisture 4.1 ,Shortage in KG= 0  ,Oil% 40.04</v>
      </c>
      <c r="BP430" s="19">
        <f t="shared" si="258"/>
        <v>6738.3645197423693</v>
      </c>
      <c r="BX430" s="27">
        <v>40.04</v>
      </c>
      <c r="BY430" s="27">
        <v>40.049999999999997</v>
      </c>
    </row>
    <row r="431" spans="1:77" s="26" customFormat="1" ht="14.1" hidden="1" customHeight="1" x14ac:dyDescent="0.3">
      <c r="A431" s="128" t="s">
        <v>783</v>
      </c>
      <c r="B431" s="166">
        <v>46137</v>
      </c>
      <c r="C431" s="164">
        <v>413</v>
      </c>
      <c r="D431" s="163" t="s">
        <v>883</v>
      </c>
      <c r="E431" s="166">
        <v>46140</v>
      </c>
      <c r="F431" s="163" t="s">
        <v>200</v>
      </c>
      <c r="G431" s="163" t="s">
        <v>201</v>
      </c>
      <c r="H431" s="163" t="s">
        <v>202</v>
      </c>
      <c r="I431" s="157"/>
      <c r="J431" s="163" t="s">
        <v>113</v>
      </c>
      <c r="K431" s="163">
        <v>0</v>
      </c>
      <c r="L431" s="166">
        <v>46137</v>
      </c>
      <c r="M431" s="157"/>
      <c r="N431" s="163">
        <v>38</v>
      </c>
      <c r="O431" s="166">
        <v>46137</v>
      </c>
      <c r="P431" s="163">
        <v>0</v>
      </c>
      <c r="Q431" s="163">
        <v>400</v>
      </c>
      <c r="R431" s="163">
        <v>35</v>
      </c>
      <c r="S431" s="163">
        <v>435</v>
      </c>
      <c r="T431" s="163">
        <v>435</v>
      </c>
      <c r="U431" s="163">
        <v>0</v>
      </c>
      <c r="V431" s="163">
        <v>0</v>
      </c>
      <c r="W431" s="188">
        <v>261</v>
      </c>
      <c r="X431" s="188">
        <v>265</v>
      </c>
      <c r="Y431" s="188">
        <v>1815027.93</v>
      </c>
      <c r="Z431" s="157"/>
      <c r="AA431" s="169">
        <v>45375.7</v>
      </c>
      <c r="AB431" s="169">
        <v>45375.7</v>
      </c>
      <c r="AC431" s="169">
        <v>1905779.33</v>
      </c>
      <c r="AD431" s="143">
        <f t="shared" si="264"/>
        <v>1903873.55067</v>
      </c>
      <c r="AE431" s="147">
        <v>41.04</v>
      </c>
      <c r="AF431" s="169">
        <v>40.299999999999997</v>
      </c>
      <c r="AG431" s="147">
        <v>40.98</v>
      </c>
      <c r="AH431" s="170">
        <v>3.8E-3</v>
      </c>
      <c r="AI431" s="170">
        <v>0.04</v>
      </c>
      <c r="AJ431" s="170">
        <v>4.4999999999999998E-2</v>
      </c>
      <c r="AK431" s="137">
        <f t="shared" si="259"/>
        <v>0</v>
      </c>
      <c r="AL431" s="136">
        <v>0</v>
      </c>
      <c r="AM431" s="136"/>
      <c r="AN431" s="165">
        <v>0</v>
      </c>
      <c r="AO431" s="140">
        <f t="shared" si="260"/>
        <v>0</v>
      </c>
      <c r="AP431" s="136"/>
      <c r="AQ431" s="137">
        <v>0</v>
      </c>
      <c r="AR431" s="155">
        <f t="shared" si="261"/>
        <v>0</v>
      </c>
      <c r="AS431" s="155">
        <f t="shared" si="262"/>
        <v>0</v>
      </c>
      <c r="AT431" s="137">
        <v>0</v>
      </c>
      <c r="AU431" s="136"/>
      <c r="AV431" s="136"/>
      <c r="AW431" s="137">
        <f t="shared" ref="AW431:AW433" si="265">W431*100</f>
        <v>26100</v>
      </c>
      <c r="AX431" s="136"/>
      <c r="AY431" s="137">
        <f t="shared" ref="AY431:AY433" si="266">+AW431+AX431</f>
        <v>26100</v>
      </c>
      <c r="AZ431" s="137">
        <f t="shared" ref="AZ431:AZ433" si="267">X431*100</f>
        <v>26500</v>
      </c>
      <c r="BA431" s="142">
        <f t="shared" ref="BA431:BA433" si="268">AY431-AZ431</f>
        <v>-400</v>
      </c>
      <c r="BB431" s="137"/>
      <c r="BC431" s="137">
        <v>0</v>
      </c>
      <c r="BD431" s="136"/>
      <c r="BE431" s="128">
        <v>265.55</v>
      </c>
      <c r="BF431" s="143">
        <f t="shared" ref="BF431:BF433" si="269">+BE431*0.15/100</f>
        <v>0.39832500000000004</v>
      </c>
      <c r="BG431" s="143">
        <f t="shared" ref="BG431:BG433" si="270">BE431-BF431</f>
        <v>265.15167500000001</v>
      </c>
      <c r="BH431" s="143">
        <f t="shared" ref="BH431:BH433" si="271">X431</f>
        <v>265</v>
      </c>
      <c r="BI431" s="144">
        <f t="shared" ref="BI431:BI433" si="272">(BE431-BH431)*100</f>
        <v>55.000000000001137</v>
      </c>
      <c r="BJ431" s="144">
        <v>0</v>
      </c>
      <c r="BK431" s="137">
        <f t="shared" ref="BK431:BK433" si="273">BI431</f>
        <v>55.000000000001137</v>
      </c>
      <c r="BL431" s="18"/>
      <c r="BM431" s="25" t="str">
        <f t="shared" ref="BM431:BM433" si="274">+$C$1&amp;" "&amp;C431 &amp;" "&amp;$N$1&amp;" "&amp;N431&amp;" "&amp;$BM$1&amp;" "&amp;$AK$1&amp;" "&amp;AK431&amp;" "&amp;$AL$1&amp;" "&amp;AL431&amp;" "&amp;$AM$1&amp;" "&amp;AM431&amp;" "&amp;$AN$1&amp;" "&amp;AN431&amp;" "&amp;$AO$1&amp;" "&amp;AO431&amp;" "&amp;$AP$1&amp;" "&amp;AP431&amp;" "&amp;$AQ$1&amp;" "&amp;AQ431</f>
        <v>Unloading no. 413 Bill No 38 ,Deduction For Oil Deduction= 0 ,Bardana= 0 ,F.M=  Brokerage/Rate Difference 0 ,Shortage = 0 ,Greenish=  ,Moisture= 0</v>
      </c>
      <c r="BN431" s="17"/>
      <c r="BO431" s="13" t="str">
        <f t="shared" si="263"/>
        <v xml:space="preserve"> Party Condition 40.3  ,F.M% 0.38 ,Greenish 4 ,Moisture 4.5 ,Shortage in KG= 0  ,Oil% 40.98</v>
      </c>
      <c r="BP431" s="19">
        <f t="shared" ref="BP431:BP433" si="275">(Y431-AR431)/X431</f>
        <v>6849.1619999999994</v>
      </c>
      <c r="BX431" s="27">
        <v>41.04</v>
      </c>
      <c r="BY431" s="27">
        <v>40.98</v>
      </c>
    </row>
    <row r="432" spans="1:77" s="26" customFormat="1" ht="14.1" hidden="1" customHeight="1" x14ac:dyDescent="0.3">
      <c r="A432" s="128" t="s">
        <v>784</v>
      </c>
      <c r="B432" s="166">
        <v>46137</v>
      </c>
      <c r="C432" s="164">
        <v>414</v>
      </c>
      <c r="D432" s="163" t="s">
        <v>884</v>
      </c>
      <c r="E432" s="166">
        <v>46140</v>
      </c>
      <c r="F432" s="163" t="s">
        <v>98</v>
      </c>
      <c r="G432" s="163" t="s">
        <v>99</v>
      </c>
      <c r="H432" s="163" t="s">
        <v>100</v>
      </c>
      <c r="I432" s="157"/>
      <c r="J432" s="163" t="s">
        <v>113</v>
      </c>
      <c r="K432" s="163">
        <v>0</v>
      </c>
      <c r="L432" s="166">
        <v>46137</v>
      </c>
      <c r="M432" s="157"/>
      <c r="N432" s="163">
        <v>89</v>
      </c>
      <c r="O432" s="166">
        <v>46138</v>
      </c>
      <c r="P432" s="163">
        <v>0</v>
      </c>
      <c r="Q432" s="163">
        <v>303</v>
      </c>
      <c r="R432" s="163">
        <v>300</v>
      </c>
      <c r="S432" s="163">
        <v>603</v>
      </c>
      <c r="T432" s="163">
        <v>603</v>
      </c>
      <c r="U432" s="163">
        <v>0</v>
      </c>
      <c r="V432" s="163">
        <v>0</v>
      </c>
      <c r="W432" s="188">
        <v>361.8</v>
      </c>
      <c r="X432" s="188">
        <v>364.6</v>
      </c>
      <c r="Y432" s="188">
        <v>2479374.4</v>
      </c>
      <c r="Z432" s="157"/>
      <c r="AA432" s="169">
        <v>61984.36</v>
      </c>
      <c r="AB432" s="169">
        <v>61984.36</v>
      </c>
      <c r="AC432" s="169">
        <v>2603343.12</v>
      </c>
      <c r="AD432" s="143">
        <f t="shared" si="264"/>
        <v>2600739.7768800003</v>
      </c>
      <c r="AE432" s="147">
        <v>40.14</v>
      </c>
      <c r="AF432" s="169">
        <v>39.32</v>
      </c>
      <c r="AG432" s="147">
        <v>40</v>
      </c>
      <c r="AH432" s="170">
        <v>4.1000000000000003E-3</v>
      </c>
      <c r="AI432" s="170">
        <v>4.58E-2</v>
      </c>
      <c r="AJ432" s="170">
        <v>0.05</v>
      </c>
      <c r="AK432" s="137">
        <f t="shared" ref="AK432:AK433" si="276">+IF(AF432=42,IF(MIN(AE432,AG432)&lt;AF432,Y432*((AF432-MIN(AE432,AG432))/AF432)),IF(MIN(AE432,AG432)&lt;AF432,Y432*((AF432-MIN(AE432,AG432))/AF432),0))</f>
        <v>0</v>
      </c>
      <c r="AL432" s="136">
        <f>603*5.5</f>
        <v>3316.5</v>
      </c>
      <c r="AM432" s="136"/>
      <c r="AN432" s="165">
        <v>0</v>
      </c>
      <c r="AO432" s="140">
        <f t="shared" ref="AO432:AO433" si="277">AT432*Y432/AW432</f>
        <v>7880.8196793808738</v>
      </c>
      <c r="AP432" s="136"/>
      <c r="AQ432" s="137">
        <v>0</v>
      </c>
      <c r="AR432" s="155">
        <f t="shared" ref="AR432:AR433" si="278">SUM(AK432:AQ432)</f>
        <v>11197.319679380875</v>
      </c>
      <c r="AS432" s="155">
        <f t="shared" ref="AS432:AS433" si="279">ROUND(AR432*1.05,0)</f>
        <v>11757</v>
      </c>
      <c r="AT432" s="137">
        <v>115</v>
      </c>
      <c r="AU432" s="136" t="s">
        <v>664</v>
      </c>
      <c r="AV432" s="136"/>
      <c r="AW432" s="137">
        <f t="shared" si="265"/>
        <v>36180</v>
      </c>
      <c r="AX432" s="136"/>
      <c r="AY432" s="137">
        <f t="shared" si="266"/>
        <v>36180</v>
      </c>
      <c r="AZ432" s="137">
        <f t="shared" si="267"/>
        <v>36460</v>
      </c>
      <c r="BA432" s="142">
        <f t="shared" si="268"/>
        <v>-280</v>
      </c>
      <c r="BB432" s="137"/>
      <c r="BC432" s="137">
        <v>0</v>
      </c>
      <c r="BD432" s="136"/>
      <c r="BE432" s="128">
        <v>365.6</v>
      </c>
      <c r="BF432" s="143">
        <f t="shared" si="269"/>
        <v>0.5484</v>
      </c>
      <c r="BG432" s="143">
        <f t="shared" si="270"/>
        <v>365.05160000000001</v>
      </c>
      <c r="BH432" s="143">
        <f t="shared" si="271"/>
        <v>364.6</v>
      </c>
      <c r="BI432" s="144">
        <f t="shared" si="272"/>
        <v>100</v>
      </c>
      <c r="BJ432" s="144">
        <v>0</v>
      </c>
      <c r="BK432" s="137">
        <f t="shared" si="273"/>
        <v>100</v>
      </c>
      <c r="BL432" s="18"/>
      <c r="BM432" s="25" t="str">
        <f t="shared" si="274"/>
        <v>Unloading no. 414 Bill No 89 ,Deduction For Oil Deduction= 0 ,Bardana= 3316.5 ,F.M=  Brokerage/Rate Difference 0 ,Shortage = 7880.81967938087 ,Greenish=  ,Moisture= 0</v>
      </c>
      <c r="BN432" s="17"/>
      <c r="BO432" s="13" t="str">
        <f t="shared" si="263"/>
        <v xml:space="preserve"> Party Condition 39.32  ,F.M% 0.41 ,Greenish 4.58 ,Moisture 5 ,Shortage in KG= 115  ,Oil% 40</v>
      </c>
      <c r="BP432" s="19">
        <f t="shared" si="275"/>
        <v>6769.5476695573752</v>
      </c>
      <c r="BX432" s="27">
        <v>40.14</v>
      </c>
      <c r="BY432" s="27">
        <v>40</v>
      </c>
    </row>
    <row r="433" spans="1:77" s="26" customFormat="1" ht="14.1" hidden="1" customHeight="1" x14ac:dyDescent="0.3">
      <c r="A433" s="128" t="s">
        <v>770</v>
      </c>
      <c r="B433" s="166">
        <v>46136</v>
      </c>
      <c r="C433" s="164">
        <v>415</v>
      </c>
      <c r="D433" s="163" t="s">
        <v>885</v>
      </c>
      <c r="E433" s="166">
        <v>46140</v>
      </c>
      <c r="F433" s="163" t="s">
        <v>101</v>
      </c>
      <c r="G433" s="163" t="s">
        <v>102</v>
      </c>
      <c r="H433" s="163" t="s">
        <v>103</v>
      </c>
      <c r="I433" s="157"/>
      <c r="J433" s="163" t="s">
        <v>113</v>
      </c>
      <c r="K433" s="163">
        <v>0</v>
      </c>
      <c r="L433" s="166">
        <v>46136</v>
      </c>
      <c r="M433" s="157"/>
      <c r="N433" s="163" t="s">
        <v>819</v>
      </c>
      <c r="O433" s="166">
        <v>46137</v>
      </c>
      <c r="P433" s="163">
        <v>0</v>
      </c>
      <c r="Q433" s="163">
        <v>500</v>
      </c>
      <c r="R433" s="163">
        <v>247</v>
      </c>
      <c r="S433" s="163">
        <v>747</v>
      </c>
      <c r="T433" s="163">
        <v>747</v>
      </c>
      <c r="U433" s="163">
        <v>0</v>
      </c>
      <c r="V433" s="163">
        <v>0</v>
      </c>
      <c r="W433" s="188">
        <v>448.2</v>
      </c>
      <c r="X433" s="188">
        <v>452.4</v>
      </c>
      <c r="Y433" s="188">
        <v>3114767.39</v>
      </c>
      <c r="Z433" s="157"/>
      <c r="AA433" s="169">
        <v>77869.179999999993</v>
      </c>
      <c r="AB433" s="169">
        <v>77869.179999999993</v>
      </c>
      <c r="AC433" s="169">
        <v>3270505.76</v>
      </c>
      <c r="AD433" s="143">
        <f t="shared" si="264"/>
        <v>3267235.2542399997</v>
      </c>
      <c r="AE433" s="147">
        <v>40.57</v>
      </c>
      <c r="AF433" s="169">
        <v>39.9</v>
      </c>
      <c r="AG433" s="147">
        <v>40.5</v>
      </c>
      <c r="AH433" s="170">
        <v>4.0000000000000001E-3</v>
      </c>
      <c r="AI433" s="170">
        <v>4.3799999999999999E-2</v>
      </c>
      <c r="AJ433" s="170">
        <v>4.7E-2</v>
      </c>
      <c r="AK433" s="137">
        <f t="shared" si="276"/>
        <v>0</v>
      </c>
      <c r="AL433" s="136">
        <v>0</v>
      </c>
      <c r="AM433" s="136"/>
      <c r="AN433" s="165">
        <v>0</v>
      </c>
      <c r="AO433" s="140">
        <f t="shared" si="277"/>
        <v>8686.8791555109328</v>
      </c>
      <c r="AP433" s="136"/>
      <c r="AQ433" s="137">
        <v>0</v>
      </c>
      <c r="AR433" s="155">
        <f t="shared" si="278"/>
        <v>8686.8791555109328</v>
      </c>
      <c r="AS433" s="155">
        <f t="shared" si="279"/>
        <v>9121</v>
      </c>
      <c r="AT433" s="137">
        <v>125</v>
      </c>
      <c r="AU433" s="136" t="s">
        <v>664</v>
      </c>
      <c r="AV433" s="136"/>
      <c r="AW433" s="137">
        <f t="shared" si="265"/>
        <v>44820</v>
      </c>
      <c r="AX433" s="136"/>
      <c r="AY433" s="137">
        <f t="shared" si="266"/>
        <v>44820</v>
      </c>
      <c r="AZ433" s="137">
        <f t="shared" si="267"/>
        <v>45240</v>
      </c>
      <c r="BA433" s="142">
        <f t="shared" si="268"/>
        <v>-420</v>
      </c>
      <c r="BB433" s="137"/>
      <c r="BC433" s="137">
        <v>0</v>
      </c>
      <c r="BD433" s="136"/>
      <c r="BE433" s="128">
        <v>454</v>
      </c>
      <c r="BF433" s="143">
        <f t="shared" si="269"/>
        <v>0.68099999999999994</v>
      </c>
      <c r="BG433" s="143">
        <f t="shared" si="270"/>
        <v>453.31900000000002</v>
      </c>
      <c r="BH433" s="143">
        <f t="shared" si="271"/>
        <v>452.4</v>
      </c>
      <c r="BI433" s="144">
        <f t="shared" si="272"/>
        <v>160.00000000000227</v>
      </c>
      <c r="BJ433" s="144">
        <v>0</v>
      </c>
      <c r="BK433" s="137">
        <f t="shared" si="273"/>
        <v>160.00000000000227</v>
      </c>
      <c r="BL433" s="18"/>
      <c r="BM433" s="25" t="str">
        <f t="shared" si="274"/>
        <v>Unloading no. 415 Bill No L/PB/26-27/68 ,Deduction For Oil Deduction= 0 ,Bardana= 0 ,F.M=  Brokerage/Rate Difference 0 ,Shortage = 8686.87915551093 ,Greenish=  ,Moisture= 0</v>
      </c>
      <c r="BN433" s="17"/>
      <c r="BO433" s="13" t="str">
        <f t="shared" si="263"/>
        <v xml:space="preserve"> Party Condition 39.9  ,F.M% 0.4 ,Greenish 4.38 ,Moisture 4.7 ,Shortage in KG= 125  ,Oil% 40.5</v>
      </c>
      <c r="BP433" s="19">
        <f t="shared" si="275"/>
        <v>6865.7836225563424</v>
      </c>
      <c r="BX433" s="27">
        <v>40.57</v>
      </c>
      <c r="BY433" s="27">
        <v>40.5</v>
      </c>
    </row>
    <row r="434" spans="1:77" s="26" customFormat="1" ht="14.1" hidden="1" customHeight="1" x14ac:dyDescent="0.3">
      <c r="A434" s="163" t="s">
        <v>889</v>
      </c>
      <c r="B434" s="166">
        <v>46137</v>
      </c>
      <c r="C434" s="164">
        <v>416</v>
      </c>
      <c r="D434" s="163" t="s">
        <v>898</v>
      </c>
      <c r="E434" s="166">
        <v>46140</v>
      </c>
      <c r="F434" s="163" t="s">
        <v>98</v>
      </c>
      <c r="G434" s="163" t="s">
        <v>99</v>
      </c>
      <c r="H434" s="163" t="s">
        <v>100</v>
      </c>
      <c r="I434" s="157"/>
      <c r="J434" s="163" t="s">
        <v>113</v>
      </c>
      <c r="K434" s="163">
        <v>0</v>
      </c>
      <c r="L434" s="166">
        <v>46137</v>
      </c>
      <c r="M434" s="157"/>
      <c r="N434" s="163">
        <v>90</v>
      </c>
      <c r="O434" s="166">
        <v>46138</v>
      </c>
      <c r="P434" s="163">
        <v>0</v>
      </c>
      <c r="Q434" s="163">
        <v>196</v>
      </c>
      <c r="R434" s="163">
        <v>100</v>
      </c>
      <c r="S434" s="163">
        <v>296</v>
      </c>
      <c r="T434" s="163">
        <v>296</v>
      </c>
      <c r="U434" s="163">
        <v>0</v>
      </c>
      <c r="V434" s="163">
        <v>0</v>
      </c>
      <c r="W434" s="163">
        <v>177.6</v>
      </c>
      <c r="X434" s="163">
        <v>179.1</v>
      </c>
      <c r="Y434" s="188">
        <v>1217497.1399999999</v>
      </c>
      <c r="Z434" s="157"/>
      <c r="AA434" s="188">
        <v>30437.43</v>
      </c>
      <c r="AB434" s="188">
        <v>30437.43</v>
      </c>
      <c r="AC434" s="188">
        <v>1278372</v>
      </c>
      <c r="AD434" s="197">
        <f t="shared" si="264"/>
        <v>1277093.628</v>
      </c>
      <c r="AE434" s="147">
        <v>40.159999999999997</v>
      </c>
      <c r="AF434" s="188">
        <v>39.5</v>
      </c>
      <c r="AG434" s="196">
        <v>40.07</v>
      </c>
      <c r="AH434" s="198">
        <v>4.4999999999999997E-3</v>
      </c>
      <c r="AI434" s="198">
        <v>3.6999999999999998E-2</v>
      </c>
      <c r="AJ434" s="198">
        <v>4.8000000000000001E-2</v>
      </c>
      <c r="AK434" s="155">
        <f t="shared" ref="AK434:AK452" si="280">+IF(AF434=42,IF(MIN(AE434,AG434)&lt;AF434,Y434*((AF434-MIN(AE434,AG434))/AF434)),IF(MIN(AE434,AG434)&lt;AF434,Y434*((AF434-MIN(AE434,AG434))/AF434),0))</f>
        <v>0</v>
      </c>
      <c r="AL434" s="157">
        <f>296*5.5</f>
        <v>1628</v>
      </c>
      <c r="AM434" s="157"/>
      <c r="AN434" s="165">
        <v>0</v>
      </c>
      <c r="AO434" s="140">
        <f t="shared" ref="AO434:AO452" si="281">AT434*Y434/AW434</f>
        <v>2947.7689763513513</v>
      </c>
      <c r="AP434" s="136"/>
      <c r="AQ434" s="137">
        <v>0</v>
      </c>
      <c r="AR434" s="155">
        <f t="shared" ref="AR434:AR452" si="282">SUM(AK434:AQ434)</f>
        <v>4575.7689763513517</v>
      </c>
      <c r="AS434" s="155">
        <f t="shared" ref="AS434:AS452" si="283">ROUND(AR434*1.05,0)</f>
        <v>4805</v>
      </c>
      <c r="AT434" s="137">
        <v>43</v>
      </c>
      <c r="AU434" s="136" t="s">
        <v>664</v>
      </c>
      <c r="AV434" s="136"/>
      <c r="AW434" s="137">
        <f t="shared" ref="AW434" si="284">W434*100</f>
        <v>17760</v>
      </c>
      <c r="AX434" s="136"/>
      <c r="AY434" s="137">
        <f t="shared" ref="AY434" si="285">+AW434+AX434</f>
        <v>17760</v>
      </c>
      <c r="AZ434" s="137">
        <f t="shared" ref="AZ434" si="286">X434*100</f>
        <v>17910</v>
      </c>
      <c r="BA434" s="142">
        <f t="shared" ref="BA434" si="287">AY434-AZ434</f>
        <v>-150</v>
      </c>
      <c r="BB434" s="137"/>
      <c r="BC434" s="137">
        <v>0</v>
      </c>
      <c r="BD434" s="136"/>
      <c r="BE434" s="159">
        <v>179.95</v>
      </c>
      <c r="BF434" s="143">
        <f t="shared" ref="BF434:BF452" si="288">+BE434*0.15/100</f>
        <v>0.26992499999999997</v>
      </c>
      <c r="BG434" s="143">
        <f t="shared" ref="BG434:BG452" si="289">BE434-BF434</f>
        <v>179.68007499999999</v>
      </c>
      <c r="BH434" s="143">
        <f t="shared" ref="BH434:BH452" si="290">X434</f>
        <v>179.1</v>
      </c>
      <c r="BI434" s="144">
        <f t="shared" ref="BI434:BI452" si="291">(BE434-BH434)*100</f>
        <v>84.999999999999432</v>
      </c>
      <c r="BJ434" s="144">
        <v>0</v>
      </c>
      <c r="BK434" s="137">
        <f t="shared" ref="BK434:BK452" si="292">BI434</f>
        <v>84.999999999999432</v>
      </c>
      <c r="BL434" s="18"/>
      <c r="BM434" s="25" t="str">
        <f t="shared" ref="BM434:BM452" si="293">+$C$1&amp;" "&amp;C434 &amp;" "&amp;$N$1&amp;" "&amp;N434&amp;" "&amp;$BM$1&amp;" "&amp;$AK$1&amp;" "&amp;AK434&amp;" "&amp;$AL$1&amp;" "&amp;AL434&amp;" "&amp;$AM$1&amp;" "&amp;AM434&amp;" "&amp;$AN$1&amp;" "&amp;AN434&amp;" "&amp;$AO$1&amp;" "&amp;AO434&amp;" "&amp;$AP$1&amp;" "&amp;AP434&amp;" "&amp;$AQ$1&amp;" "&amp;AQ434</f>
        <v>Unloading no. 416 Bill No 90 ,Deduction For Oil Deduction= 0 ,Bardana= 1628 ,F.M=  Brokerage/Rate Difference 0 ,Shortage = 2947.76897635135 ,Greenish=  ,Moisture= 0</v>
      </c>
      <c r="BN434" s="17"/>
      <c r="BO434" s="13" t="str">
        <f t="shared" si="263"/>
        <v xml:space="preserve"> Party Condition 39.5  ,F.M% 0.45 ,Greenish 3.7 ,Moisture 4.8 ,Shortage in KG= 43  ,Oil% 40.07</v>
      </c>
      <c r="BP434" s="19">
        <f t="shared" ref="BP434:BP452" si="294">(Y434-AR434)/X434</f>
        <v>6772.3136293894395</v>
      </c>
      <c r="BX434" s="30">
        <v>40.159999999999997</v>
      </c>
      <c r="BY434" s="30">
        <v>40.07</v>
      </c>
    </row>
    <row r="435" spans="1:77" s="26" customFormat="1" ht="14.1" hidden="1" customHeight="1" x14ac:dyDescent="0.3">
      <c r="A435" s="163" t="s">
        <v>890</v>
      </c>
      <c r="B435" s="166">
        <v>46137</v>
      </c>
      <c r="C435" s="164">
        <v>417</v>
      </c>
      <c r="D435" s="163" t="s">
        <v>899</v>
      </c>
      <c r="E435" s="166">
        <v>46141</v>
      </c>
      <c r="F435" s="163" t="s">
        <v>95</v>
      </c>
      <c r="G435" s="163" t="s">
        <v>96</v>
      </c>
      <c r="H435" s="163" t="s">
        <v>97</v>
      </c>
      <c r="I435" s="157"/>
      <c r="J435" s="163" t="s">
        <v>113</v>
      </c>
      <c r="K435" s="163">
        <v>0</v>
      </c>
      <c r="L435" s="166">
        <v>46137</v>
      </c>
      <c r="M435" s="157"/>
      <c r="N435" s="163">
        <v>130</v>
      </c>
      <c r="O435" s="166">
        <v>46138</v>
      </c>
      <c r="P435" s="163">
        <v>0</v>
      </c>
      <c r="Q435" s="163">
        <v>200</v>
      </c>
      <c r="R435" s="163">
        <v>294</v>
      </c>
      <c r="S435" s="163">
        <v>494</v>
      </c>
      <c r="T435" s="163">
        <v>494</v>
      </c>
      <c r="U435" s="163">
        <v>0</v>
      </c>
      <c r="V435" s="163">
        <v>0</v>
      </c>
      <c r="W435" s="188">
        <v>296.39999999999998</v>
      </c>
      <c r="X435" s="188">
        <v>299.7</v>
      </c>
      <c r="Y435" s="188">
        <v>2063596.08</v>
      </c>
      <c r="Z435" s="157"/>
      <c r="AA435" s="188">
        <v>51589.9</v>
      </c>
      <c r="AB435" s="188">
        <v>51589.9</v>
      </c>
      <c r="AC435" s="188">
        <v>2166775.88</v>
      </c>
      <c r="AD435" s="197">
        <f t="shared" si="264"/>
        <v>2164609.1041199998</v>
      </c>
      <c r="AE435" s="147">
        <v>40.71</v>
      </c>
      <c r="AF435" s="188">
        <v>40.090000000000003</v>
      </c>
      <c r="AG435" s="147">
        <v>40.68</v>
      </c>
      <c r="AH435" s="198">
        <v>4.0000000000000001E-3</v>
      </c>
      <c r="AI435" s="198">
        <v>3.1800000000000002E-2</v>
      </c>
      <c r="AJ435" s="198">
        <v>5.1999999999999998E-2</v>
      </c>
      <c r="AK435" s="155">
        <f t="shared" si="280"/>
        <v>0</v>
      </c>
      <c r="AL435" s="157">
        <v>0</v>
      </c>
      <c r="AM435" s="157"/>
      <c r="AN435" s="165">
        <v>0</v>
      </c>
      <c r="AO435" s="140">
        <f t="shared" si="281"/>
        <v>0</v>
      </c>
      <c r="AP435" s="136"/>
      <c r="AQ435" s="137">
        <v>0</v>
      </c>
      <c r="AR435" s="155">
        <f t="shared" si="282"/>
        <v>0</v>
      </c>
      <c r="AS435" s="155">
        <f t="shared" si="283"/>
        <v>0</v>
      </c>
      <c r="AT435" s="137">
        <v>0</v>
      </c>
      <c r="AU435" s="136" t="s">
        <v>664</v>
      </c>
      <c r="AV435" s="136"/>
      <c r="AW435" s="137">
        <f t="shared" ref="AW435:AW452" si="295">W435*100</f>
        <v>29639.999999999996</v>
      </c>
      <c r="AX435" s="136"/>
      <c r="AY435" s="137">
        <f t="shared" ref="AY435:AY452" si="296">+AW435+AX435</f>
        <v>29639.999999999996</v>
      </c>
      <c r="AZ435" s="137">
        <f t="shared" ref="AZ435:AZ452" si="297">X435*100</f>
        <v>29970</v>
      </c>
      <c r="BA435" s="142">
        <f t="shared" ref="BA435:BA452" si="298">AY435-AZ435</f>
        <v>-330.00000000000364</v>
      </c>
      <c r="BB435" s="137"/>
      <c r="BC435" s="137">
        <v>0</v>
      </c>
      <c r="BD435" s="136"/>
      <c r="BE435" s="128">
        <v>300</v>
      </c>
      <c r="BF435" s="143">
        <f t="shared" si="288"/>
        <v>0.45</v>
      </c>
      <c r="BG435" s="143">
        <f t="shared" si="289"/>
        <v>299.55</v>
      </c>
      <c r="BH435" s="143">
        <f t="shared" si="290"/>
        <v>299.7</v>
      </c>
      <c r="BI435" s="144">
        <f t="shared" si="291"/>
        <v>30.000000000001137</v>
      </c>
      <c r="BJ435" s="144">
        <v>0</v>
      </c>
      <c r="BK435" s="137">
        <f t="shared" si="292"/>
        <v>30.000000000001137</v>
      </c>
      <c r="BL435" s="18"/>
      <c r="BM435" s="25" t="str">
        <f t="shared" si="293"/>
        <v>Unloading no. 417 Bill No 130 ,Deduction For Oil Deduction= 0 ,Bardana= 0 ,F.M=  Brokerage/Rate Difference 0 ,Shortage = 0 ,Greenish=  ,Moisture= 0</v>
      </c>
      <c r="BN435" s="17"/>
      <c r="BO435" s="13" t="str">
        <f t="shared" si="263"/>
        <v xml:space="preserve"> Party Condition 40.09  ,F.M% 0.4 ,Greenish 3.18 ,Moisture 5.2 ,Shortage in KG= 0  ,Oil% 40.68</v>
      </c>
      <c r="BP435" s="19">
        <f t="shared" si="294"/>
        <v>6885.5391391391395</v>
      </c>
      <c r="BX435" s="27">
        <v>40.71</v>
      </c>
      <c r="BY435" s="27">
        <v>40.68</v>
      </c>
    </row>
    <row r="436" spans="1:77" s="26" customFormat="1" ht="14.1" hidden="1" customHeight="1" x14ac:dyDescent="0.3">
      <c r="A436" s="163" t="s">
        <v>891</v>
      </c>
      <c r="B436" s="166">
        <v>46137</v>
      </c>
      <c r="C436" s="164">
        <v>418</v>
      </c>
      <c r="D436" s="163" t="s">
        <v>900</v>
      </c>
      <c r="E436" s="166">
        <v>46141</v>
      </c>
      <c r="F436" s="163" t="s">
        <v>101</v>
      </c>
      <c r="G436" s="163" t="s">
        <v>102</v>
      </c>
      <c r="H436" s="163" t="s">
        <v>103</v>
      </c>
      <c r="I436" s="157"/>
      <c r="J436" s="163" t="s">
        <v>113</v>
      </c>
      <c r="K436" s="163">
        <v>0</v>
      </c>
      <c r="L436" s="166">
        <v>46137</v>
      </c>
      <c r="M436" s="157"/>
      <c r="N436" s="163" t="s">
        <v>916</v>
      </c>
      <c r="O436" s="166">
        <v>46138</v>
      </c>
      <c r="P436" s="163">
        <v>0</v>
      </c>
      <c r="Q436" s="163">
        <v>380</v>
      </c>
      <c r="R436" s="163">
        <v>43</v>
      </c>
      <c r="S436" s="163">
        <v>423</v>
      </c>
      <c r="T436" s="163">
        <v>423</v>
      </c>
      <c r="U436" s="163">
        <v>0</v>
      </c>
      <c r="V436" s="163">
        <v>0</v>
      </c>
      <c r="W436" s="188">
        <v>253.8</v>
      </c>
      <c r="X436" s="188">
        <v>256.7</v>
      </c>
      <c r="Y436" s="188">
        <v>1765648.53</v>
      </c>
      <c r="Z436" s="157"/>
      <c r="AA436" s="188">
        <v>44141.21</v>
      </c>
      <c r="AB436" s="188">
        <v>44141.21</v>
      </c>
      <c r="AC436" s="188">
        <v>1853930.96</v>
      </c>
      <c r="AD436" s="197">
        <f t="shared" si="264"/>
        <v>1852077.0290399999</v>
      </c>
      <c r="AE436" s="147">
        <v>40.5</v>
      </c>
      <c r="AF436" s="188">
        <v>39.950000000000003</v>
      </c>
      <c r="AG436" s="147">
        <v>40.24</v>
      </c>
      <c r="AH436" s="198">
        <v>4.1999999999999997E-3</v>
      </c>
      <c r="AI436" s="198">
        <v>3.2500000000000001E-2</v>
      </c>
      <c r="AJ436" s="198">
        <v>5.2999999999999999E-2</v>
      </c>
      <c r="AK436" s="155">
        <f t="shared" si="280"/>
        <v>0</v>
      </c>
      <c r="AL436" s="157">
        <v>0</v>
      </c>
      <c r="AM436" s="157"/>
      <c r="AN436" s="165">
        <v>0</v>
      </c>
      <c r="AO436" s="140">
        <f t="shared" si="281"/>
        <v>0</v>
      </c>
      <c r="AP436" s="136"/>
      <c r="AQ436" s="137">
        <v>0</v>
      </c>
      <c r="AR436" s="155">
        <f t="shared" si="282"/>
        <v>0</v>
      </c>
      <c r="AS436" s="155">
        <f t="shared" si="283"/>
        <v>0</v>
      </c>
      <c r="AT436" s="137">
        <v>0</v>
      </c>
      <c r="AU436" s="136" t="s">
        <v>664</v>
      </c>
      <c r="AV436" s="136"/>
      <c r="AW436" s="137">
        <f t="shared" si="295"/>
        <v>25380</v>
      </c>
      <c r="AX436" s="136"/>
      <c r="AY436" s="137">
        <f t="shared" si="296"/>
        <v>25380</v>
      </c>
      <c r="AZ436" s="137">
        <f t="shared" si="297"/>
        <v>25670</v>
      </c>
      <c r="BA436" s="142">
        <f t="shared" si="298"/>
        <v>-290</v>
      </c>
      <c r="BB436" s="137"/>
      <c r="BC436" s="137">
        <v>0</v>
      </c>
      <c r="BD436" s="136"/>
      <c r="BE436" s="128">
        <v>256.89999999999998</v>
      </c>
      <c r="BF436" s="143">
        <f t="shared" si="288"/>
        <v>0.38534999999999997</v>
      </c>
      <c r="BG436" s="143">
        <f t="shared" si="289"/>
        <v>256.51464999999996</v>
      </c>
      <c r="BH436" s="143">
        <f t="shared" si="290"/>
        <v>256.7</v>
      </c>
      <c r="BI436" s="144">
        <f t="shared" si="291"/>
        <v>19.999999999998863</v>
      </c>
      <c r="BJ436" s="144">
        <v>0</v>
      </c>
      <c r="BK436" s="137">
        <f t="shared" si="292"/>
        <v>19.999999999998863</v>
      </c>
      <c r="BL436" s="18"/>
      <c r="BM436" s="25" t="str">
        <f t="shared" si="293"/>
        <v>Unloading no. 418 Bill No L/PB/26-27/69 ,Deduction For Oil Deduction= 0 ,Bardana= 0 ,F.M=  Brokerage/Rate Difference 0 ,Shortage = 0 ,Greenish=  ,Moisture= 0</v>
      </c>
      <c r="BN436" s="17"/>
      <c r="BO436" s="13" t="str">
        <f t="shared" si="263"/>
        <v xml:space="preserve"> Party Condition 39.95  ,F.M% 0.42 ,Greenish 3.25 ,Moisture 5.3 ,Shortage in KG= 0  ,Oil% 40.24</v>
      </c>
      <c r="BP436" s="19">
        <f t="shared" si="294"/>
        <v>6878.2568367744452</v>
      </c>
      <c r="BX436" s="27">
        <v>40.5</v>
      </c>
      <c r="BY436" s="27">
        <v>40.24</v>
      </c>
    </row>
    <row r="437" spans="1:77" s="26" customFormat="1" ht="14.1" hidden="1" customHeight="1" x14ac:dyDescent="0.3">
      <c r="A437" s="163" t="s">
        <v>892</v>
      </c>
      <c r="B437" s="166">
        <v>46136</v>
      </c>
      <c r="C437" s="164">
        <v>419</v>
      </c>
      <c r="D437" s="163" t="s">
        <v>901</v>
      </c>
      <c r="E437" s="166">
        <v>46141</v>
      </c>
      <c r="F437" s="163" t="s">
        <v>98</v>
      </c>
      <c r="G437" s="163" t="s">
        <v>99</v>
      </c>
      <c r="H437" s="163" t="s">
        <v>100</v>
      </c>
      <c r="I437" s="157"/>
      <c r="J437" s="163" t="s">
        <v>113</v>
      </c>
      <c r="K437" s="163">
        <v>0</v>
      </c>
      <c r="L437" s="166">
        <v>46136</v>
      </c>
      <c r="M437" s="157"/>
      <c r="N437" s="163">
        <v>91</v>
      </c>
      <c r="O437" s="166">
        <v>46138</v>
      </c>
      <c r="P437" s="163">
        <v>0</v>
      </c>
      <c r="Q437" s="163">
        <v>400</v>
      </c>
      <c r="R437" s="163">
        <v>50</v>
      </c>
      <c r="S437" s="163">
        <v>450</v>
      </c>
      <c r="T437" s="163">
        <v>450</v>
      </c>
      <c r="U437" s="163">
        <v>0</v>
      </c>
      <c r="V437" s="163">
        <v>0</v>
      </c>
      <c r="W437" s="188">
        <v>270</v>
      </c>
      <c r="X437" s="188">
        <v>273.60000000000002</v>
      </c>
      <c r="Y437" s="188">
        <v>1843337.7</v>
      </c>
      <c r="Z437" s="157"/>
      <c r="AA437" s="188">
        <v>46083.44</v>
      </c>
      <c r="AB437" s="188">
        <v>46083.44</v>
      </c>
      <c r="AC437" s="188">
        <v>1935504.59</v>
      </c>
      <c r="AD437" s="197">
        <f t="shared" si="264"/>
        <v>1933569.0854100001</v>
      </c>
      <c r="AE437" s="147">
        <v>40.33</v>
      </c>
      <c r="AF437" s="188">
        <v>39.35</v>
      </c>
      <c r="AG437" s="147">
        <v>40.090000000000003</v>
      </c>
      <c r="AH437" s="198">
        <v>4.0000000000000001E-3</v>
      </c>
      <c r="AI437" s="198">
        <v>3.6999999999999998E-2</v>
      </c>
      <c r="AJ437" s="198">
        <v>4.8000000000000001E-2</v>
      </c>
      <c r="AK437" s="155">
        <f t="shared" si="280"/>
        <v>0</v>
      </c>
      <c r="AL437" s="157">
        <f>450*5.5</f>
        <v>2475</v>
      </c>
      <c r="AM437" s="157"/>
      <c r="AN437" s="165">
        <v>0</v>
      </c>
      <c r="AO437" s="140">
        <f t="shared" si="281"/>
        <v>0</v>
      </c>
      <c r="AP437" s="136"/>
      <c r="AQ437" s="137">
        <v>0</v>
      </c>
      <c r="AR437" s="155">
        <f t="shared" si="282"/>
        <v>2475</v>
      </c>
      <c r="AS437" s="155">
        <f t="shared" si="283"/>
        <v>2599</v>
      </c>
      <c r="AT437" s="137">
        <v>0</v>
      </c>
      <c r="AU437" s="136" t="s">
        <v>664</v>
      </c>
      <c r="AV437" s="136"/>
      <c r="AW437" s="137">
        <f t="shared" si="295"/>
        <v>27000</v>
      </c>
      <c r="AX437" s="136"/>
      <c r="AY437" s="137">
        <f t="shared" si="296"/>
        <v>27000</v>
      </c>
      <c r="AZ437" s="137">
        <f t="shared" si="297"/>
        <v>27360.000000000004</v>
      </c>
      <c r="BA437" s="142">
        <f t="shared" si="298"/>
        <v>-360.00000000000364</v>
      </c>
      <c r="BB437" s="137"/>
      <c r="BC437" s="137">
        <v>0</v>
      </c>
      <c r="BD437" s="136"/>
      <c r="BE437" s="128">
        <v>273.75</v>
      </c>
      <c r="BF437" s="143">
        <f t="shared" si="288"/>
        <v>0.41062500000000002</v>
      </c>
      <c r="BG437" s="143">
        <f t="shared" si="289"/>
        <v>273.33937500000002</v>
      </c>
      <c r="BH437" s="143">
        <f t="shared" si="290"/>
        <v>273.60000000000002</v>
      </c>
      <c r="BI437" s="144">
        <f t="shared" si="291"/>
        <v>14.999999999997726</v>
      </c>
      <c r="BJ437" s="144">
        <v>0</v>
      </c>
      <c r="BK437" s="137">
        <f t="shared" si="292"/>
        <v>14.999999999997726</v>
      </c>
      <c r="BL437" s="18"/>
      <c r="BM437" s="25" t="str">
        <f t="shared" si="293"/>
        <v>Unloading no. 419 Bill No 91 ,Deduction For Oil Deduction= 0 ,Bardana= 2475 ,F.M=  Brokerage/Rate Difference 0 ,Shortage = 0 ,Greenish=  ,Moisture= 0</v>
      </c>
      <c r="BN437" s="17"/>
      <c r="BO437" s="13" t="str">
        <f t="shared" si="263"/>
        <v xml:space="preserve"> Party Condition 39.35  ,F.M% 0.4 ,Greenish 3.7 ,Moisture 4.8 ,Shortage in KG= 0  ,Oil% 40.09</v>
      </c>
      <c r="BP437" s="19">
        <f t="shared" si="294"/>
        <v>6728.2993421052624</v>
      </c>
      <c r="BX437" s="27">
        <v>40.33</v>
      </c>
      <c r="BY437" s="27">
        <v>40.090000000000003</v>
      </c>
    </row>
    <row r="438" spans="1:77" s="26" customFormat="1" ht="14.1" hidden="1" customHeight="1" x14ac:dyDescent="0.3">
      <c r="A438" s="163" t="s">
        <v>890</v>
      </c>
      <c r="B438" s="166">
        <v>46137</v>
      </c>
      <c r="C438" s="164">
        <v>420</v>
      </c>
      <c r="D438" s="163" t="s">
        <v>902</v>
      </c>
      <c r="E438" s="166">
        <v>46141</v>
      </c>
      <c r="F438" s="163" t="s">
        <v>95</v>
      </c>
      <c r="G438" s="163" t="s">
        <v>96</v>
      </c>
      <c r="H438" s="163" t="s">
        <v>97</v>
      </c>
      <c r="I438" s="157"/>
      <c r="J438" s="163" t="s">
        <v>113</v>
      </c>
      <c r="K438" s="163">
        <v>0</v>
      </c>
      <c r="L438" s="166">
        <v>46137</v>
      </c>
      <c r="M438" s="157"/>
      <c r="N438" s="163">
        <v>129</v>
      </c>
      <c r="O438" s="166">
        <v>46138</v>
      </c>
      <c r="P438" s="163">
        <v>0</v>
      </c>
      <c r="Q438" s="163">
        <v>37</v>
      </c>
      <c r="R438" s="163">
        <v>400</v>
      </c>
      <c r="S438" s="163">
        <v>437</v>
      </c>
      <c r="T438" s="163">
        <v>437</v>
      </c>
      <c r="U438" s="163">
        <v>0</v>
      </c>
      <c r="V438" s="163">
        <v>0</v>
      </c>
      <c r="W438" s="188">
        <v>262.2</v>
      </c>
      <c r="X438" s="188">
        <v>265.3</v>
      </c>
      <c r="Y438" s="188">
        <v>1825488.84</v>
      </c>
      <c r="Z438" s="157"/>
      <c r="AA438" s="188">
        <v>45637.22</v>
      </c>
      <c r="AB438" s="188">
        <v>45637.22</v>
      </c>
      <c r="AC438" s="188">
        <v>1916763.28</v>
      </c>
      <c r="AD438" s="197">
        <f t="shared" si="264"/>
        <v>1914846.51672</v>
      </c>
      <c r="AE438" s="147">
        <v>40.29</v>
      </c>
      <c r="AF438" s="188">
        <v>40.090000000000003</v>
      </c>
      <c r="AG438" s="147">
        <v>40.22</v>
      </c>
      <c r="AH438" s="198">
        <v>4.0000000000000001E-3</v>
      </c>
      <c r="AI438" s="198">
        <v>0.05</v>
      </c>
      <c r="AJ438" s="198">
        <v>5.2999999999999999E-2</v>
      </c>
      <c r="AK438" s="155">
        <f t="shared" si="280"/>
        <v>0</v>
      </c>
      <c r="AL438" s="157">
        <v>0</v>
      </c>
      <c r="AM438" s="157"/>
      <c r="AN438" s="165">
        <v>0</v>
      </c>
      <c r="AO438" s="140">
        <f t="shared" si="281"/>
        <v>0</v>
      </c>
      <c r="AP438" s="136"/>
      <c r="AQ438" s="137">
        <v>0</v>
      </c>
      <c r="AR438" s="155">
        <f t="shared" si="282"/>
        <v>0</v>
      </c>
      <c r="AS438" s="155">
        <f t="shared" si="283"/>
        <v>0</v>
      </c>
      <c r="AT438" s="137">
        <v>0</v>
      </c>
      <c r="AU438" s="136" t="s">
        <v>664</v>
      </c>
      <c r="AV438" s="136"/>
      <c r="AW438" s="137">
        <f t="shared" si="295"/>
        <v>26220</v>
      </c>
      <c r="AX438" s="136"/>
      <c r="AY438" s="137">
        <f t="shared" si="296"/>
        <v>26220</v>
      </c>
      <c r="AZ438" s="137">
        <f t="shared" si="297"/>
        <v>26530</v>
      </c>
      <c r="BA438" s="142">
        <f t="shared" si="298"/>
        <v>-310</v>
      </c>
      <c r="BB438" s="137"/>
      <c r="BC438" s="137">
        <v>0</v>
      </c>
      <c r="BD438" s="136"/>
      <c r="BE438" s="128"/>
      <c r="BF438" s="143">
        <f t="shared" si="288"/>
        <v>0</v>
      </c>
      <c r="BG438" s="143">
        <f t="shared" si="289"/>
        <v>0</v>
      </c>
      <c r="BH438" s="143">
        <f t="shared" si="290"/>
        <v>265.3</v>
      </c>
      <c r="BI438" s="144">
        <f t="shared" si="291"/>
        <v>-26530</v>
      </c>
      <c r="BJ438" s="144">
        <v>0</v>
      </c>
      <c r="BK438" s="137">
        <f t="shared" si="292"/>
        <v>-26530</v>
      </c>
      <c r="BL438" s="18"/>
      <c r="BM438" s="25" t="str">
        <f t="shared" si="293"/>
        <v>Unloading no. 420 Bill No 129 ,Deduction For Oil Deduction= 0 ,Bardana= 0 ,F.M=  Brokerage/Rate Difference 0 ,Shortage = 0 ,Greenish=  ,Moisture= 0</v>
      </c>
      <c r="BN438" s="17"/>
      <c r="BO438" s="13" t="str">
        <f t="shared" si="263"/>
        <v xml:space="preserve"> Party Condition 40.09  ,F.M% 0.4 ,Greenish 5 ,Moisture 5.3 ,Shortage in KG= 0  ,Oil% 40.22</v>
      </c>
      <c r="BP438" s="19">
        <f t="shared" si="294"/>
        <v>6880.847493403694</v>
      </c>
      <c r="BX438" s="27">
        <v>40.29</v>
      </c>
      <c r="BY438" s="27">
        <v>40.22</v>
      </c>
    </row>
    <row r="439" spans="1:77" s="26" customFormat="1" ht="14.1" hidden="1" customHeight="1" x14ac:dyDescent="0.3">
      <c r="A439" s="163" t="s">
        <v>891</v>
      </c>
      <c r="B439" s="166">
        <v>46137</v>
      </c>
      <c r="C439" s="164">
        <v>421</v>
      </c>
      <c r="D439" s="163" t="s">
        <v>903</v>
      </c>
      <c r="E439" s="166">
        <v>46141</v>
      </c>
      <c r="F439" s="163" t="s">
        <v>101</v>
      </c>
      <c r="G439" s="163" t="s">
        <v>102</v>
      </c>
      <c r="H439" s="163" t="s">
        <v>103</v>
      </c>
      <c r="I439" s="157"/>
      <c r="J439" s="163" t="s">
        <v>113</v>
      </c>
      <c r="K439" s="163">
        <v>0</v>
      </c>
      <c r="L439" s="166">
        <v>46137</v>
      </c>
      <c r="M439" s="157"/>
      <c r="N439" s="163" t="s">
        <v>917</v>
      </c>
      <c r="O439" s="166">
        <v>46138</v>
      </c>
      <c r="P439" s="163">
        <v>0</v>
      </c>
      <c r="Q439" s="163">
        <v>327</v>
      </c>
      <c r="R439" s="163">
        <v>100</v>
      </c>
      <c r="S439" s="163">
        <v>427</v>
      </c>
      <c r="T439" s="163">
        <v>427</v>
      </c>
      <c r="U439" s="163">
        <v>0</v>
      </c>
      <c r="V439" s="163">
        <v>0</v>
      </c>
      <c r="W439" s="188">
        <v>256.2</v>
      </c>
      <c r="X439" s="188">
        <v>259.3</v>
      </c>
      <c r="Y439" s="188">
        <v>1782344.97</v>
      </c>
      <c r="Z439" s="157"/>
      <c r="AA439" s="188">
        <v>44558.62</v>
      </c>
      <c r="AB439" s="188">
        <v>44558.62</v>
      </c>
      <c r="AC439" s="188">
        <v>1871462.22</v>
      </c>
      <c r="AD439" s="197">
        <f t="shared" si="264"/>
        <v>1869590.7577799999</v>
      </c>
      <c r="AE439" s="147">
        <v>40.340000000000003</v>
      </c>
      <c r="AF439" s="188">
        <v>39.950000000000003</v>
      </c>
      <c r="AG439" s="147">
        <v>40.24</v>
      </c>
      <c r="AH439" s="198">
        <v>2.5999999999999999E-3</v>
      </c>
      <c r="AI439" s="198">
        <v>3.5000000000000003E-2</v>
      </c>
      <c r="AJ439" s="198">
        <v>5.3999999999999999E-2</v>
      </c>
      <c r="AK439" s="155">
        <f t="shared" si="280"/>
        <v>0</v>
      </c>
      <c r="AL439" s="157">
        <v>0</v>
      </c>
      <c r="AM439" s="157"/>
      <c r="AN439" s="165">
        <v>0</v>
      </c>
      <c r="AO439" s="140">
        <f t="shared" si="281"/>
        <v>0</v>
      </c>
      <c r="AP439" s="136"/>
      <c r="AQ439" s="137">
        <v>0</v>
      </c>
      <c r="AR439" s="155">
        <f t="shared" si="282"/>
        <v>0</v>
      </c>
      <c r="AS439" s="155">
        <f t="shared" si="283"/>
        <v>0</v>
      </c>
      <c r="AT439" s="137">
        <v>0</v>
      </c>
      <c r="AU439" s="136" t="s">
        <v>664</v>
      </c>
      <c r="AV439" s="136"/>
      <c r="AW439" s="137">
        <f t="shared" si="295"/>
        <v>25620</v>
      </c>
      <c r="AX439" s="136"/>
      <c r="AY439" s="137">
        <f t="shared" si="296"/>
        <v>25620</v>
      </c>
      <c r="AZ439" s="137">
        <f t="shared" si="297"/>
        <v>25930</v>
      </c>
      <c r="BA439" s="142">
        <f t="shared" si="298"/>
        <v>-310</v>
      </c>
      <c r="BB439" s="137"/>
      <c r="BC439" s="137">
        <v>0</v>
      </c>
      <c r="BD439" s="136"/>
      <c r="BE439" s="128">
        <v>259.8</v>
      </c>
      <c r="BF439" s="143">
        <f t="shared" si="288"/>
        <v>0.38969999999999999</v>
      </c>
      <c r="BG439" s="143">
        <f t="shared" si="289"/>
        <v>259.41030000000001</v>
      </c>
      <c r="BH439" s="143">
        <f t="shared" si="290"/>
        <v>259.3</v>
      </c>
      <c r="BI439" s="144">
        <f t="shared" si="291"/>
        <v>50</v>
      </c>
      <c r="BJ439" s="144">
        <v>0</v>
      </c>
      <c r="BK439" s="137">
        <f t="shared" si="292"/>
        <v>50</v>
      </c>
      <c r="BL439" s="18"/>
      <c r="BM439" s="25" t="str">
        <f t="shared" si="293"/>
        <v>Unloading no. 421 Bill No L/PB/26-27/70 ,Deduction For Oil Deduction= 0 ,Bardana= 0 ,F.M=  Brokerage/Rate Difference 0 ,Shortage = 0 ,Greenish=  ,Moisture= 0</v>
      </c>
      <c r="BN439" s="17"/>
      <c r="BO439" s="13" t="str">
        <f t="shared" si="263"/>
        <v xml:space="preserve"> Party Condition 39.95  ,F.M% 0.26 ,Greenish 3.5 ,Moisture 5.4 ,Shortage in KG= 0  ,Oil% 40.24</v>
      </c>
      <c r="BP439" s="19">
        <f t="shared" si="294"/>
        <v>6873.6790204396448</v>
      </c>
      <c r="BX439" s="27">
        <v>40.340000000000003</v>
      </c>
      <c r="BY439" s="27">
        <v>40.24</v>
      </c>
    </row>
    <row r="440" spans="1:77" s="26" customFormat="1" ht="14.1" hidden="1" customHeight="1" x14ac:dyDescent="0.3">
      <c r="A440" s="163" t="s">
        <v>891</v>
      </c>
      <c r="B440" s="166">
        <v>46137</v>
      </c>
      <c r="C440" s="164">
        <v>422</v>
      </c>
      <c r="D440" s="163" t="s">
        <v>904</v>
      </c>
      <c r="E440" s="166">
        <v>46141</v>
      </c>
      <c r="F440" s="163" t="s">
        <v>101</v>
      </c>
      <c r="G440" s="163" t="s">
        <v>102</v>
      </c>
      <c r="H440" s="163" t="s">
        <v>103</v>
      </c>
      <c r="I440" s="157"/>
      <c r="J440" s="163" t="s">
        <v>113</v>
      </c>
      <c r="K440" s="163">
        <v>0</v>
      </c>
      <c r="L440" s="166">
        <v>46137</v>
      </c>
      <c r="M440" s="157"/>
      <c r="N440" s="163" t="s">
        <v>918</v>
      </c>
      <c r="O440" s="166">
        <v>46138</v>
      </c>
      <c r="P440" s="163">
        <v>0</v>
      </c>
      <c r="Q440" s="163">
        <v>500</v>
      </c>
      <c r="R440" s="163">
        <v>106</v>
      </c>
      <c r="S440" s="163">
        <v>606</v>
      </c>
      <c r="T440" s="163">
        <v>606</v>
      </c>
      <c r="U440" s="163">
        <v>0</v>
      </c>
      <c r="V440" s="163">
        <v>0</v>
      </c>
      <c r="W440" s="188">
        <v>363.6</v>
      </c>
      <c r="X440" s="188">
        <v>368.2</v>
      </c>
      <c r="Y440" s="188">
        <v>2529510.66</v>
      </c>
      <c r="Z440" s="157"/>
      <c r="AA440" s="188">
        <v>63237.77</v>
      </c>
      <c r="AB440" s="188">
        <v>63237.77</v>
      </c>
      <c r="AC440" s="188">
        <v>2655986.19</v>
      </c>
      <c r="AD440" s="197">
        <f t="shared" si="264"/>
        <v>2653330.2038099999</v>
      </c>
      <c r="AE440" s="147">
        <v>40.11</v>
      </c>
      <c r="AF440" s="188">
        <v>39.950000000000003</v>
      </c>
      <c r="AG440" s="147">
        <v>40.06</v>
      </c>
      <c r="AH440" s="198">
        <v>2.8999999999999998E-3</v>
      </c>
      <c r="AI440" s="198">
        <v>3.56E-2</v>
      </c>
      <c r="AJ440" s="198">
        <v>4.8000000000000001E-2</v>
      </c>
      <c r="AK440" s="155">
        <f t="shared" si="280"/>
        <v>0</v>
      </c>
      <c r="AL440" s="157">
        <v>0</v>
      </c>
      <c r="AM440" s="157"/>
      <c r="AN440" s="165">
        <v>0</v>
      </c>
      <c r="AO440" s="140">
        <f t="shared" si="281"/>
        <v>0</v>
      </c>
      <c r="AP440" s="136"/>
      <c r="AQ440" s="137">
        <v>0</v>
      </c>
      <c r="AR440" s="155">
        <f t="shared" si="282"/>
        <v>0</v>
      </c>
      <c r="AS440" s="155">
        <f t="shared" si="283"/>
        <v>0</v>
      </c>
      <c r="AT440" s="137">
        <v>0</v>
      </c>
      <c r="AU440" s="136" t="s">
        <v>664</v>
      </c>
      <c r="AV440" s="136"/>
      <c r="AW440" s="137">
        <f t="shared" si="295"/>
        <v>36360</v>
      </c>
      <c r="AX440" s="136"/>
      <c r="AY440" s="137">
        <f t="shared" si="296"/>
        <v>36360</v>
      </c>
      <c r="AZ440" s="137">
        <f t="shared" si="297"/>
        <v>36820</v>
      </c>
      <c r="BA440" s="142">
        <f t="shared" si="298"/>
        <v>-460</v>
      </c>
      <c r="BB440" s="137"/>
      <c r="BC440" s="137">
        <v>0</v>
      </c>
      <c r="BD440" s="136"/>
      <c r="BE440" s="128">
        <v>368.3</v>
      </c>
      <c r="BF440" s="143">
        <f t="shared" si="288"/>
        <v>0.55245</v>
      </c>
      <c r="BG440" s="143">
        <f t="shared" si="289"/>
        <v>367.74754999999999</v>
      </c>
      <c r="BH440" s="143">
        <f t="shared" si="290"/>
        <v>368.2</v>
      </c>
      <c r="BI440" s="144">
        <f t="shared" si="291"/>
        <v>10.000000000002274</v>
      </c>
      <c r="BJ440" s="144">
        <v>0</v>
      </c>
      <c r="BK440" s="137">
        <f t="shared" si="292"/>
        <v>10.000000000002274</v>
      </c>
      <c r="BL440" s="18"/>
      <c r="BM440" s="25" t="str">
        <f t="shared" si="293"/>
        <v>Unloading no. 422 Bill No L/PB/26-27/74 ,Deduction For Oil Deduction= 0 ,Bardana= 0 ,F.M=  Brokerage/Rate Difference 0 ,Shortage = 0 ,Greenish=  ,Moisture= 0</v>
      </c>
      <c r="BN440" s="17"/>
      <c r="BO440" s="13" t="str">
        <f t="shared" si="263"/>
        <v xml:space="preserve"> Party Condition 39.95  ,F.M% 0.29 ,Greenish 3.56 ,Moisture 4.8 ,Shortage in KG= 0  ,Oil% 40.06</v>
      </c>
      <c r="BP440" s="19">
        <f t="shared" si="294"/>
        <v>6869.9366105377521</v>
      </c>
      <c r="BX440" s="27">
        <v>40.11</v>
      </c>
      <c r="BY440" s="27">
        <v>40.06</v>
      </c>
    </row>
    <row r="441" spans="1:77" s="26" customFormat="1" ht="14.1" hidden="1" customHeight="1" x14ac:dyDescent="0.3">
      <c r="A441" s="163" t="s">
        <v>893</v>
      </c>
      <c r="B441" s="166">
        <v>46137</v>
      </c>
      <c r="C441" s="164">
        <v>423</v>
      </c>
      <c r="D441" s="163" t="s">
        <v>905</v>
      </c>
      <c r="E441" s="166">
        <v>46141</v>
      </c>
      <c r="F441" s="163" t="s">
        <v>110</v>
      </c>
      <c r="G441" s="163" t="s">
        <v>111</v>
      </c>
      <c r="H441" s="163" t="s">
        <v>112</v>
      </c>
      <c r="I441" s="157"/>
      <c r="J441" s="163" t="s">
        <v>113</v>
      </c>
      <c r="K441" s="163">
        <v>0</v>
      </c>
      <c r="L441" s="166">
        <v>46137</v>
      </c>
      <c r="M441" s="157"/>
      <c r="N441" s="163" t="s">
        <v>919</v>
      </c>
      <c r="O441" s="166">
        <v>46139</v>
      </c>
      <c r="P441" s="163">
        <v>0</v>
      </c>
      <c r="Q441" s="163">
        <v>399</v>
      </c>
      <c r="R441" s="163">
        <v>100</v>
      </c>
      <c r="S441" s="163">
        <v>499</v>
      </c>
      <c r="T441" s="163">
        <v>499</v>
      </c>
      <c r="U441" s="163">
        <v>0</v>
      </c>
      <c r="V441" s="163">
        <v>0</v>
      </c>
      <c r="W441" s="188">
        <v>299.39999999999998</v>
      </c>
      <c r="X441" s="188">
        <v>303.39999999999998</v>
      </c>
      <c r="Y441" s="188">
        <v>2054582.6</v>
      </c>
      <c r="Z441" s="157"/>
      <c r="AA441" s="188">
        <v>51364.57</v>
      </c>
      <c r="AB441" s="188">
        <v>51364.57</v>
      </c>
      <c r="AC441" s="188">
        <v>2157311.73</v>
      </c>
      <c r="AD441" s="197">
        <f t="shared" si="264"/>
        <v>2155154.4182699998</v>
      </c>
      <c r="AE441" s="147">
        <v>40.700000000000003</v>
      </c>
      <c r="AF441" s="188">
        <v>39.61</v>
      </c>
      <c r="AG441" s="147">
        <v>40.590000000000003</v>
      </c>
      <c r="AH441" s="198">
        <v>3.0000000000000001E-3</v>
      </c>
      <c r="AI441" s="198">
        <v>3.5999999999999997E-2</v>
      </c>
      <c r="AJ441" s="198">
        <v>4.5999999999999999E-2</v>
      </c>
      <c r="AK441" s="155">
        <f t="shared" si="280"/>
        <v>0</v>
      </c>
      <c r="AL441" s="157">
        <f>499*5</f>
        <v>2495</v>
      </c>
      <c r="AM441" s="157"/>
      <c r="AN441" s="165">
        <v>0</v>
      </c>
      <c r="AO441" s="140">
        <f t="shared" si="281"/>
        <v>0</v>
      </c>
      <c r="AP441" s="136"/>
      <c r="AQ441" s="137">
        <v>0</v>
      </c>
      <c r="AR441" s="155">
        <f t="shared" si="282"/>
        <v>2495</v>
      </c>
      <c r="AS441" s="155">
        <f t="shared" si="283"/>
        <v>2620</v>
      </c>
      <c r="AT441" s="137">
        <v>0</v>
      </c>
      <c r="AU441" s="136" t="s">
        <v>664</v>
      </c>
      <c r="AV441" s="136"/>
      <c r="AW441" s="137">
        <f t="shared" si="295"/>
        <v>29939.999999999996</v>
      </c>
      <c r="AX441" s="136"/>
      <c r="AY441" s="137">
        <f t="shared" si="296"/>
        <v>29939.999999999996</v>
      </c>
      <c r="AZ441" s="137">
        <f t="shared" si="297"/>
        <v>30339.999999999996</v>
      </c>
      <c r="BA441" s="142">
        <f t="shared" si="298"/>
        <v>-400</v>
      </c>
      <c r="BB441" s="137"/>
      <c r="BC441" s="137">
        <v>0</v>
      </c>
      <c r="BD441" s="136"/>
      <c r="BE441" s="128">
        <v>303.7</v>
      </c>
      <c r="BF441" s="143">
        <f t="shared" si="288"/>
        <v>0.45555000000000001</v>
      </c>
      <c r="BG441" s="143">
        <f t="shared" si="289"/>
        <v>303.24444999999997</v>
      </c>
      <c r="BH441" s="143">
        <f t="shared" si="290"/>
        <v>303.39999999999998</v>
      </c>
      <c r="BI441" s="144">
        <f t="shared" si="291"/>
        <v>30.000000000001137</v>
      </c>
      <c r="BJ441" s="144">
        <v>0</v>
      </c>
      <c r="BK441" s="137">
        <f t="shared" si="292"/>
        <v>30.000000000001137</v>
      </c>
      <c r="BL441" s="18"/>
      <c r="BM441" s="25" t="str">
        <f t="shared" si="293"/>
        <v>Unloading no. 423 Bill No G1680 ,Deduction For Oil Deduction= 0 ,Bardana= 2495 ,F.M=  Brokerage/Rate Difference 0 ,Shortage = 0 ,Greenish=  ,Moisture= 0</v>
      </c>
      <c r="BN441" s="17"/>
      <c r="BO441" s="13" t="str">
        <f t="shared" si="263"/>
        <v xml:space="preserve"> Party Condition 39.61  ,F.M% 0.3 ,Greenish 3.6 ,Moisture 4.6 ,Shortage in KG= 0  ,Oil% 40.59</v>
      </c>
      <c r="BP441" s="19">
        <f t="shared" si="294"/>
        <v>6763.6374423203697</v>
      </c>
      <c r="BX441" s="27">
        <v>40.700000000000003</v>
      </c>
      <c r="BY441" s="27">
        <v>40.590000000000003</v>
      </c>
    </row>
    <row r="442" spans="1:77" s="26" customFormat="1" ht="14.1" hidden="1" customHeight="1" x14ac:dyDescent="0.3">
      <c r="A442" s="163" t="s">
        <v>777</v>
      </c>
      <c r="B442" s="166">
        <v>46135</v>
      </c>
      <c r="C442" s="164">
        <v>424</v>
      </c>
      <c r="D442" s="163" t="s">
        <v>906</v>
      </c>
      <c r="E442" s="166">
        <v>46141</v>
      </c>
      <c r="F442" s="163" t="s">
        <v>104</v>
      </c>
      <c r="G442" s="163" t="s">
        <v>105</v>
      </c>
      <c r="H442" s="163" t="s">
        <v>106</v>
      </c>
      <c r="I442" s="157"/>
      <c r="J442" s="163" t="s">
        <v>113</v>
      </c>
      <c r="K442" s="163">
        <v>0</v>
      </c>
      <c r="L442" s="166">
        <v>46135</v>
      </c>
      <c r="M442" s="157"/>
      <c r="N442" s="163" t="s">
        <v>920</v>
      </c>
      <c r="O442" s="166">
        <v>46137</v>
      </c>
      <c r="P442" s="163">
        <v>0</v>
      </c>
      <c r="Q442" s="163">
        <v>770</v>
      </c>
      <c r="R442" s="163">
        <v>50</v>
      </c>
      <c r="S442" s="163">
        <v>820</v>
      </c>
      <c r="T442" s="163">
        <v>820</v>
      </c>
      <c r="U442" s="163">
        <v>0</v>
      </c>
      <c r="V442" s="163">
        <v>0</v>
      </c>
      <c r="W442" s="188">
        <v>410</v>
      </c>
      <c r="X442" s="188">
        <v>416.1</v>
      </c>
      <c r="Y442" s="188">
        <v>2788000</v>
      </c>
      <c r="Z442" s="157"/>
      <c r="AA442" s="188">
        <v>69700</v>
      </c>
      <c r="AB442" s="188">
        <v>69700</v>
      </c>
      <c r="AC442" s="188">
        <v>2927400</v>
      </c>
      <c r="AD442" s="197">
        <f t="shared" si="264"/>
        <v>2924472.6</v>
      </c>
      <c r="AE442" s="147">
        <v>40.19</v>
      </c>
      <c r="AF442" s="188">
        <v>39.4</v>
      </c>
      <c r="AG442" s="147">
        <v>40.090000000000003</v>
      </c>
      <c r="AH442" s="198">
        <v>2.8E-3</v>
      </c>
      <c r="AI442" s="198">
        <v>3.4000000000000002E-2</v>
      </c>
      <c r="AJ442" s="198">
        <v>4.5999999999999999E-2</v>
      </c>
      <c r="AK442" s="155">
        <f t="shared" si="280"/>
        <v>0</v>
      </c>
      <c r="AL442" s="157">
        <f>820*2</f>
        <v>1640</v>
      </c>
      <c r="AM442" s="157"/>
      <c r="AN442" s="165">
        <v>0</v>
      </c>
      <c r="AO442" s="140">
        <f t="shared" si="281"/>
        <v>0</v>
      </c>
      <c r="AP442" s="136"/>
      <c r="AQ442" s="137">
        <v>0</v>
      </c>
      <c r="AR442" s="155">
        <f t="shared" si="282"/>
        <v>1640</v>
      </c>
      <c r="AS442" s="155">
        <f t="shared" si="283"/>
        <v>1722</v>
      </c>
      <c r="AT442" s="137">
        <v>0</v>
      </c>
      <c r="AU442" s="136" t="s">
        <v>664</v>
      </c>
      <c r="AV442" s="136"/>
      <c r="AW442" s="137">
        <f t="shared" si="295"/>
        <v>41000</v>
      </c>
      <c r="AX442" s="136"/>
      <c r="AY442" s="137">
        <f t="shared" si="296"/>
        <v>41000</v>
      </c>
      <c r="AZ442" s="137">
        <f t="shared" si="297"/>
        <v>41610</v>
      </c>
      <c r="BA442" s="142">
        <f t="shared" si="298"/>
        <v>-610</v>
      </c>
      <c r="BB442" s="137"/>
      <c r="BC442" s="137">
        <v>0</v>
      </c>
      <c r="BD442" s="136"/>
      <c r="BE442" s="128">
        <v>416.45</v>
      </c>
      <c r="BF442" s="143">
        <f t="shared" si="288"/>
        <v>0.62467499999999998</v>
      </c>
      <c r="BG442" s="143">
        <f t="shared" si="289"/>
        <v>415.82532499999996</v>
      </c>
      <c r="BH442" s="143">
        <f t="shared" si="290"/>
        <v>416.1</v>
      </c>
      <c r="BI442" s="144">
        <f t="shared" si="291"/>
        <v>34.999999999996589</v>
      </c>
      <c r="BJ442" s="144">
        <v>0</v>
      </c>
      <c r="BK442" s="137">
        <f t="shared" si="292"/>
        <v>34.999999999996589</v>
      </c>
      <c r="BL442" s="18"/>
      <c r="BM442" s="25" t="str">
        <f t="shared" si="293"/>
        <v>Unloading no. 424 Bill No MTC/2026-27/0111 ,Deduction For Oil Deduction= 0 ,Bardana= 1640 ,F.M=  Brokerage/Rate Difference 0 ,Shortage = 0 ,Greenish=  ,Moisture= 0</v>
      </c>
      <c r="BN442" s="17"/>
      <c r="BO442" s="13" t="str">
        <f t="shared" si="263"/>
        <v xml:space="preserve"> Party Condition 39.4  ,F.M% 0.28 ,Greenish 3.4 ,Moisture 4.6 ,Shortage in KG= 0  ,Oil% 40.09</v>
      </c>
      <c r="BP442" s="19">
        <f t="shared" si="294"/>
        <v>6696.3710646479212</v>
      </c>
      <c r="BX442" s="27">
        <v>40.19</v>
      </c>
      <c r="BY442" s="27">
        <v>40.090000000000003</v>
      </c>
    </row>
    <row r="443" spans="1:77" s="26" customFormat="1" ht="14.1" hidden="1" customHeight="1" x14ac:dyDescent="0.3">
      <c r="A443" s="163" t="s">
        <v>777</v>
      </c>
      <c r="B443" s="166">
        <v>46135</v>
      </c>
      <c r="C443" s="164">
        <v>425</v>
      </c>
      <c r="D443" s="163" t="s">
        <v>907</v>
      </c>
      <c r="E443" s="166">
        <v>46141</v>
      </c>
      <c r="F443" s="163" t="s">
        <v>104</v>
      </c>
      <c r="G443" s="163" t="s">
        <v>105</v>
      </c>
      <c r="H443" s="163" t="s">
        <v>106</v>
      </c>
      <c r="I443" s="157"/>
      <c r="J443" s="163" t="s">
        <v>113</v>
      </c>
      <c r="K443" s="163">
        <v>0</v>
      </c>
      <c r="L443" s="166">
        <v>46135</v>
      </c>
      <c r="M443" s="157"/>
      <c r="N443" s="163" t="s">
        <v>921</v>
      </c>
      <c r="O443" s="166">
        <v>46137</v>
      </c>
      <c r="P443" s="163">
        <v>0</v>
      </c>
      <c r="Q443" s="163">
        <v>500</v>
      </c>
      <c r="R443" s="163">
        <v>287</v>
      </c>
      <c r="S443" s="163">
        <v>787</v>
      </c>
      <c r="T443" s="163">
        <v>787</v>
      </c>
      <c r="U443" s="163">
        <v>0</v>
      </c>
      <c r="V443" s="163">
        <v>0</v>
      </c>
      <c r="W443" s="188">
        <v>393.5</v>
      </c>
      <c r="X443" s="188">
        <v>401.2</v>
      </c>
      <c r="Y443" s="188">
        <v>2675800</v>
      </c>
      <c r="Z443" s="157"/>
      <c r="AA443" s="188">
        <v>66895</v>
      </c>
      <c r="AB443" s="188">
        <v>66895</v>
      </c>
      <c r="AC443" s="188">
        <v>2809590</v>
      </c>
      <c r="AD443" s="197">
        <f t="shared" si="264"/>
        <v>2806780.41</v>
      </c>
      <c r="AE443" s="147">
        <v>39.6</v>
      </c>
      <c r="AF443" s="188">
        <v>39.4</v>
      </c>
      <c r="AG443" s="147">
        <v>39.479999999999997</v>
      </c>
      <c r="AH443" s="198">
        <v>3.7000000000000002E-3</v>
      </c>
      <c r="AI443" s="198">
        <v>3.3500000000000002E-2</v>
      </c>
      <c r="AJ443" s="198">
        <v>4.3999999999999997E-2</v>
      </c>
      <c r="AK443" s="155">
        <f t="shared" si="280"/>
        <v>0</v>
      </c>
      <c r="AL443" s="157">
        <f>787*2</f>
        <v>1574</v>
      </c>
      <c r="AM443" s="157"/>
      <c r="AN443" s="165">
        <v>0</v>
      </c>
      <c r="AO443" s="140">
        <f t="shared" si="281"/>
        <v>0</v>
      </c>
      <c r="AP443" s="136"/>
      <c r="AQ443" s="137">
        <v>0</v>
      </c>
      <c r="AR443" s="155">
        <f t="shared" si="282"/>
        <v>1574</v>
      </c>
      <c r="AS443" s="155">
        <f t="shared" si="283"/>
        <v>1653</v>
      </c>
      <c r="AT443" s="137">
        <v>0</v>
      </c>
      <c r="AU443" s="136"/>
      <c r="AV443" s="136"/>
      <c r="AW443" s="137">
        <f t="shared" si="295"/>
        <v>39350</v>
      </c>
      <c r="AX443" s="136"/>
      <c r="AY443" s="137">
        <f t="shared" si="296"/>
        <v>39350</v>
      </c>
      <c r="AZ443" s="137">
        <f t="shared" si="297"/>
        <v>40120</v>
      </c>
      <c r="BA443" s="142">
        <f t="shared" si="298"/>
        <v>-770</v>
      </c>
      <c r="BB443" s="137"/>
      <c r="BC443" s="137">
        <v>0</v>
      </c>
      <c r="BD443" s="136"/>
      <c r="BE443" s="128">
        <v>400.8</v>
      </c>
      <c r="BF443" s="143">
        <f t="shared" si="288"/>
        <v>0.60119999999999996</v>
      </c>
      <c r="BG443" s="143">
        <f t="shared" si="289"/>
        <v>400.19880000000001</v>
      </c>
      <c r="BH443" s="143">
        <f t="shared" si="290"/>
        <v>401.2</v>
      </c>
      <c r="BI443" s="144">
        <f t="shared" si="291"/>
        <v>-39.999999999997726</v>
      </c>
      <c r="BJ443" s="144">
        <v>0</v>
      </c>
      <c r="BK443" s="137">
        <f t="shared" si="292"/>
        <v>-39.999999999997726</v>
      </c>
      <c r="BL443" s="18"/>
      <c r="BM443" s="25" t="str">
        <f t="shared" si="293"/>
        <v>Unloading no. 425 Bill No MTC/2026-27/0113 ,Deduction For Oil Deduction= 0 ,Bardana= 1574 ,F.M=  Brokerage/Rate Difference 0 ,Shortage = 0 ,Greenish=  ,Moisture= 0</v>
      </c>
      <c r="BN443" s="17"/>
      <c r="BO443" s="13" t="str">
        <f t="shared" si="263"/>
        <v xml:space="preserve"> Party Condition 39.4  ,F.M% 0.37 ,Greenish 3.35 ,Moisture 4.4 ,Shortage in KG= 0  ,Oil% 39.48</v>
      </c>
      <c r="BP443" s="19">
        <f t="shared" si="294"/>
        <v>6665.5682951146564</v>
      </c>
      <c r="BX443" s="27">
        <v>39.6</v>
      </c>
      <c r="BY443" s="27">
        <v>39.479999999999997</v>
      </c>
    </row>
    <row r="444" spans="1:77" s="26" customFormat="1" ht="14.1" hidden="1" customHeight="1" x14ac:dyDescent="0.3">
      <c r="A444" s="163" t="s">
        <v>891</v>
      </c>
      <c r="B444" s="166">
        <v>46137</v>
      </c>
      <c r="C444" s="164">
        <v>426</v>
      </c>
      <c r="D444" s="163" t="s">
        <v>908</v>
      </c>
      <c r="E444" s="166">
        <v>46141</v>
      </c>
      <c r="F444" s="163" t="s">
        <v>101</v>
      </c>
      <c r="G444" s="163" t="s">
        <v>102</v>
      </c>
      <c r="H444" s="163" t="s">
        <v>103</v>
      </c>
      <c r="I444" s="157"/>
      <c r="J444" s="163" t="s">
        <v>113</v>
      </c>
      <c r="K444" s="163">
        <v>0</v>
      </c>
      <c r="L444" s="166">
        <v>46137</v>
      </c>
      <c r="M444" s="157"/>
      <c r="N444" s="163" t="s">
        <v>922</v>
      </c>
      <c r="O444" s="166">
        <v>46138</v>
      </c>
      <c r="P444" s="163">
        <v>0</v>
      </c>
      <c r="Q444" s="163">
        <v>450</v>
      </c>
      <c r="R444" s="163">
        <v>74</v>
      </c>
      <c r="S444" s="163">
        <v>524</v>
      </c>
      <c r="T444" s="163">
        <v>524</v>
      </c>
      <c r="U444" s="163">
        <v>0</v>
      </c>
      <c r="V444" s="163">
        <v>0</v>
      </c>
      <c r="W444" s="188">
        <v>314.39999999999998</v>
      </c>
      <c r="X444" s="188">
        <v>316.89999999999998</v>
      </c>
      <c r="Y444" s="188">
        <v>2187233.64</v>
      </c>
      <c r="Z444" s="157"/>
      <c r="AA444" s="188">
        <v>54680.84</v>
      </c>
      <c r="AB444" s="188">
        <v>54680.84</v>
      </c>
      <c r="AC444" s="188">
        <v>2296595.3199999998</v>
      </c>
      <c r="AD444" s="197">
        <f t="shared" si="264"/>
        <v>2294298.72468</v>
      </c>
      <c r="AE444" s="147">
        <v>40.200000000000003</v>
      </c>
      <c r="AF444" s="188">
        <v>39.950000000000003</v>
      </c>
      <c r="AG444" s="147">
        <v>40.159999999999997</v>
      </c>
      <c r="AH444" s="198">
        <v>2.8999999999999998E-3</v>
      </c>
      <c r="AI444" s="198">
        <v>3.6200000000000003E-2</v>
      </c>
      <c r="AJ444" s="198">
        <v>5.2999999999999999E-2</v>
      </c>
      <c r="AK444" s="155">
        <f t="shared" si="280"/>
        <v>0</v>
      </c>
      <c r="AL444" s="157">
        <v>0</v>
      </c>
      <c r="AM444" s="157"/>
      <c r="AN444" s="165">
        <v>0</v>
      </c>
      <c r="AO444" s="140">
        <f t="shared" si="281"/>
        <v>6469.8705000000009</v>
      </c>
      <c r="AP444" s="136"/>
      <c r="AQ444" s="137">
        <v>0</v>
      </c>
      <c r="AR444" s="155">
        <f t="shared" si="282"/>
        <v>6469.8705000000009</v>
      </c>
      <c r="AS444" s="155">
        <f t="shared" si="283"/>
        <v>6793</v>
      </c>
      <c r="AT444" s="137">
        <v>93</v>
      </c>
      <c r="AU444" s="136" t="s">
        <v>664</v>
      </c>
      <c r="AV444" s="136"/>
      <c r="AW444" s="137">
        <f t="shared" si="295"/>
        <v>31439.999999999996</v>
      </c>
      <c r="AX444" s="136"/>
      <c r="AY444" s="137">
        <f t="shared" si="296"/>
        <v>31439.999999999996</v>
      </c>
      <c r="AZ444" s="137">
        <f t="shared" si="297"/>
        <v>31689.999999999996</v>
      </c>
      <c r="BA444" s="142">
        <f t="shared" si="298"/>
        <v>-250</v>
      </c>
      <c r="BB444" s="137"/>
      <c r="BC444" s="137">
        <v>0</v>
      </c>
      <c r="BD444" s="136"/>
      <c r="BE444" s="128">
        <v>317.89999999999998</v>
      </c>
      <c r="BF444" s="143">
        <f t="shared" si="288"/>
        <v>0.47684999999999994</v>
      </c>
      <c r="BG444" s="143">
        <f t="shared" si="289"/>
        <v>317.42314999999996</v>
      </c>
      <c r="BH444" s="143">
        <f t="shared" si="290"/>
        <v>316.89999999999998</v>
      </c>
      <c r="BI444" s="144">
        <f t="shared" si="291"/>
        <v>100</v>
      </c>
      <c r="BJ444" s="144">
        <v>0</v>
      </c>
      <c r="BK444" s="137">
        <f t="shared" si="292"/>
        <v>100</v>
      </c>
      <c r="BL444" s="18"/>
      <c r="BM444" s="25" t="str">
        <f t="shared" si="293"/>
        <v>Unloading no. 426 Bill No L/PB/26-27/71 ,Deduction For Oil Deduction= 0 ,Bardana= 0 ,F.M=  Brokerage/Rate Difference 0 ,Shortage = 6469.8705 ,Greenish=  ,Moisture= 0</v>
      </c>
      <c r="BN444" s="17"/>
      <c r="BO444" s="13" t="str">
        <f t="shared" si="263"/>
        <v xml:space="preserve"> Party Condition 39.95  ,F.M% 0.29 ,Greenish 3.62 ,Moisture 5.3 ,Shortage in KG= 93  ,Oil% 40.16</v>
      </c>
      <c r="BP444" s="19">
        <f t="shared" si="294"/>
        <v>6881.5518128747244</v>
      </c>
      <c r="BX444" s="27">
        <v>40.200000000000003</v>
      </c>
      <c r="BY444" s="27">
        <v>40.159999999999997</v>
      </c>
    </row>
    <row r="445" spans="1:77" s="26" customFormat="1" ht="14.1" hidden="1" customHeight="1" x14ac:dyDescent="0.3">
      <c r="A445" s="163" t="s">
        <v>891</v>
      </c>
      <c r="B445" s="166">
        <v>46137</v>
      </c>
      <c r="C445" s="164">
        <v>427</v>
      </c>
      <c r="D445" s="163" t="s">
        <v>909</v>
      </c>
      <c r="E445" s="166">
        <v>46141</v>
      </c>
      <c r="F445" s="163" t="s">
        <v>101</v>
      </c>
      <c r="G445" s="163" t="s">
        <v>102</v>
      </c>
      <c r="H445" s="163" t="s">
        <v>103</v>
      </c>
      <c r="I445" s="157"/>
      <c r="J445" s="163" t="s">
        <v>113</v>
      </c>
      <c r="K445" s="163">
        <v>0</v>
      </c>
      <c r="L445" s="166">
        <v>46137</v>
      </c>
      <c r="M445" s="157"/>
      <c r="N445" s="163" t="s">
        <v>923</v>
      </c>
      <c r="O445" s="166">
        <v>46138</v>
      </c>
      <c r="P445" s="163">
        <v>0</v>
      </c>
      <c r="Q445" s="163">
        <v>318</v>
      </c>
      <c r="R445" s="163">
        <v>200</v>
      </c>
      <c r="S445" s="163">
        <v>518</v>
      </c>
      <c r="T445" s="163">
        <v>518</v>
      </c>
      <c r="U445" s="163">
        <v>0</v>
      </c>
      <c r="V445" s="163">
        <v>0</v>
      </c>
      <c r="W445" s="188">
        <v>310.8</v>
      </c>
      <c r="X445" s="188">
        <v>314.7</v>
      </c>
      <c r="Y445" s="188">
        <v>2162188.98</v>
      </c>
      <c r="Z445" s="157"/>
      <c r="AA445" s="188">
        <v>54054.720000000001</v>
      </c>
      <c r="AB445" s="188">
        <v>54054.720000000001</v>
      </c>
      <c r="AC445" s="188">
        <v>2270298.4300000002</v>
      </c>
      <c r="AD445" s="197">
        <f t="shared" si="264"/>
        <v>2268028.1315700002</v>
      </c>
      <c r="AE445" s="147">
        <v>40.24</v>
      </c>
      <c r="AF445" s="188">
        <v>39.950000000000003</v>
      </c>
      <c r="AG445" s="147">
        <v>39.97</v>
      </c>
      <c r="AH445" s="198">
        <v>3.3E-3</v>
      </c>
      <c r="AI445" s="198">
        <v>3.5499999999999997E-2</v>
      </c>
      <c r="AJ445" s="198">
        <v>0.05</v>
      </c>
      <c r="AK445" s="155">
        <f t="shared" si="280"/>
        <v>0</v>
      </c>
      <c r="AL445" s="157">
        <v>0</v>
      </c>
      <c r="AM445" s="157"/>
      <c r="AN445" s="165">
        <v>0</v>
      </c>
      <c r="AO445" s="140">
        <f t="shared" si="281"/>
        <v>0</v>
      </c>
      <c r="AP445" s="136"/>
      <c r="AQ445" s="137">
        <v>0</v>
      </c>
      <c r="AR445" s="155">
        <f t="shared" si="282"/>
        <v>0</v>
      </c>
      <c r="AS445" s="155">
        <f t="shared" si="283"/>
        <v>0</v>
      </c>
      <c r="AT445" s="137">
        <v>0</v>
      </c>
      <c r="AU445" s="136" t="s">
        <v>664</v>
      </c>
      <c r="AV445" s="136"/>
      <c r="AW445" s="137">
        <f t="shared" si="295"/>
        <v>31080</v>
      </c>
      <c r="AX445" s="136"/>
      <c r="AY445" s="137">
        <f t="shared" si="296"/>
        <v>31080</v>
      </c>
      <c r="AZ445" s="137">
        <f t="shared" si="297"/>
        <v>31470</v>
      </c>
      <c r="BA445" s="142">
        <f t="shared" si="298"/>
        <v>-390</v>
      </c>
      <c r="BB445" s="137"/>
      <c r="BC445" s="137">
        <v>0</v>
      </c>
      <c r="BD445" s="136"/>
      <c r="BE445" s="128">
        <v>315.10000000000002</v>
      </c>
      <c r="BF445" s="143">
        <f t="shared" si="288"/>
        <v>0.47265000000000001</v>
      </c>
      <c r="BG445" s="143">
        <f t="shared" si="289"/>
        <v>314.62735000000004</v>
      </c>
      <c r="BH445" s="143">
        <f t="shared" si="290"/>
        <v>314.7</v>
      </c>
      <c r="BI445" s="144">
        <f t="shared" si="291"/>
        <v>40.000000000003411</v>
      </c>
      <c r="BJ445" s="144">
        <v>0</v>
      </c>
      <c r="BK445" s="137">
        <f t="shared" si="292"/>
        <v>40.000000000003411</v>
      </c>
      <c r="BL445" s="18"/>
      <c r="BM445" s="25" t="str">
        <f t="shared" si="293"/>
        <v>Unloading no. 427 Bill No L/PB/26-27/72 ,Deduction For Oil Deduction= 0 ,Bardana= 0 ,F.M=  Brokerage/Rate Difference 0 ,Shortage = 0 ,Greenish=  ,Moisture= 0</v>
      </c>
      <c r="BN445" s="17"/>
      <c r="BO445" s="13" t="str">
        <f t="shared" si="263"/>
        <v xml:space="preserve"> Party Condition 39.95  ,F.M% 0.33 ,Greenish 3.55 ,Moisture 5 ,Shortage in KG= 0  ,Oil% 39.97</v>
      </c>
      <c r="BP445" s="19">
        <f t="shared" si="294"/>
        <v>6870.6354623450907</v>
      </c>
      <c r="BX445" s="27">
        <v>40.24</v>
      </c>
      <c r="BY445" s="27">
        <v>39.97</v>
      </c>
    </row>
    <row r="446" spans="1:77" s="26" customFormat="1" ht="14.1" hidden="1" customHeight="1" x14ac:dyDescent="0.3">
      <c r="A446" s="163" t="s">
        <v>894</v>
      </c>
      <c r="B446" s="166">
        <v>46136</v>
      </c>
      <c r="C446" s="164">
        <v>428</v>
      </c>
      <c r="D446" s="163" t="s">
        <v>910</v>
      </c>
      <c r="E446" s="166">
        <v>46141</v>
      </c>
      <c r="F446" s="163" t="s">
        <v>98</v>
      </c>
      <c r="G446" s="163" t="s">
        <v>99</v>
      </c>
      <c r="H446" s="163" t="s">
        <v>100</v>
      </c>
      <c r="I446" s="157"/>
      <c r="J446" s="163" t="s">
        <v>113</v>
      </c>
      <c r="K446" s="163">
        <v>0</v>
      </c>
      <c r="L446" s="166">
        <v>46136</v>
      </c>
      <c r="M446" s="157"/>
      <c r="N446" s="163">
        <v>92</v>
      </c>
      <c r="O446" s="166">
        <v>46138</v>
      </c>
      <c r="P446" s="163">
        <v>0</v>
      </c>
      <c r="Q446" s="163">
        <v>400</v>
      </c>
      <c r="R446" s="163">
        <v>89</v>
      </c>
      <c r="S446" s="163">
        <v>489</v>
      </c>
      <c r="T446" s="163">
        <v>489</v>
      </c>
      <c r="U446" s="163">
        <v>0</v>
      </c>
      <c r="V446" s="163">
        <v>0</v>
      </c>
      <c r="W446" s="188">
        <v>293.39999999999998</v>
      </c>
      <c r="X446" s="188">
        <v>296.3</v>
      </c>
      <c r="Y446" s="188">
        <v>2003070.16</v>
      </c>
      <c r="Z446" s="157"/>
      <c r="AA446" s="188">
        <v>50076.75</v>
      </c>
      <c r="AB446" s="188">
        <v>50076.75</v>
      </c>
      <c r="AC446" s="188">
        <v>2103223.67</v>
      </c>
      <c r="AD446" s="197">
        <f t="shared" si="264"/>
        <v>2101120.4463299997</v>
      </c>
      <c r="AE446" s="147">
        <v>40.229999999999997</v>
      </c>
      <c r="AF446" s="188">
        <v>39.26</v>
      </c>
      <c r="AG446" s="147">
        <v>40.07</v>
      </c>
      <c r="AH446" s="198">
        <v>3.8E-3</v>
      </c>
      <c r="AI446" s="198">
        <v>3.6499999999999998E-2</v>
      </c>
      <c r="AJ446" s="198">
        <v>4.3999999999999997E-2</v>
      </c>
      <c r="AK446" s="155">
        <f t="shared" si="280"/>
        <v>0</v>
      </c>
      <c r="AL446" s="157">
        <f>489*5.5</f>
        <v>2689.5</v>
      </c>
      <c r="AM446" s="157"/>
      <c r="AN446" s="165">
        <v>0</v>
      </c>
      <c r="AO446" s="140">
        <f t="shared" si="281"/>
        <v>2048.1289979550102</v>
      </c>
      <c r="AP446" s="136"/>
      <c r="AQ446" s="137">
        <v>0</v>
      </c>
      <c r="AR446" s="155">
        <f t="shared" si="282"/>
        <v>4737.6289979550102</v>
      </c>
      <c r="AS446" s="155">
        <f t="shared" si="283"/>
        <v>4975</v>
      </c>
      <c r="AT446" s="137">
        <v>30</v>
      </c>
      <c r="AU446" s="136" t="s">
        <v>664</v>
      </c>
      <c r="AV446" s="136"/>
      <c r="AW446" s="137">
        <f t="shared" si="295"/>
        <v>29339.999999999996</v>
      </c>
      <c r="AX446" s="136"/>
      <c r="AY446" s="137">
        <f t="shared" si="296"/>
        <v>29339.999999999996</v>
      </c>
      <c r="AZ446" s="137">
        <f t="shared" si="297"/>
        <v>29630</v>
      </c>
      <c r="BA446" s="142">
        <f t="shared" si="298"/>
        <v>-290.00000000000364</v>
      </c>
      <c r="BB446" s="137"/>
      <c r="BC446" s="137">
        <v>0</v>
      </c>
      <c r="BD446" s="136"/>
      <c r="BE446" s="128">
        <v>297.10000000000002</v>
      </c>
      <c r="BF446" s="143">
        <f t="shared" si="288"/>
        <v>0.44565000000000005</v>
      </c>
      <c r="BG446" s="143">
        <f t="shared" si="289"/>
        <v>296.65435000000002</v>
      </c>
      <c r="BH446" s="143">
        <f t="shared" si="290"/>
        <v>296.3</v>
      </c>
      <c r="BI446" s="144">
        <f t="shared" si="291"/>
        <v>80.000000000001137</v>
      </c>
      <c r="BJ446" s="144">
        <v>0</v>
      </c>
      <c r="BK446" s="137">
        <f t="shared" si="292"/>
        <v>80.000000000001137</v>
      </c>
      <c r="BL446" s="18"/>
      <c r="BM446" s="25" t="str">
        <f t="shared" si="293"/>
        <v>Unloading no. 428 Bill No 92 ,Deduction For Oil Deduction= 0 ,Bardana= 2689.5 ,F.M=  Brokerage/Rate Difference 0 ,Shortage = 2048.12899795501 ,Greenish=  ,Moisture= 0</v>
      </c>
      <c r="BN446" s="17"/>
      <c r="BO446" s="13" t="str">
        <f t="shared" si="263"/>
        <v xml:space="preserve"> Party Condition 39.26  ,F.M% 0.38 ,Greenish 3.65 ,Moisture 4.4 ,Shortage in KG= 30  ,Oil% 40.07</v>
      </c>
      <c r="BP446" s="19">
        <f t="shared" si="294"/>
        <v>6744.2879885320444</v>
      </c>
      <c r="BX446" s="27">
        <v>40.229999999999997</v>
      </c>
      <c r="BY446" s="27">
        <v>40.07</v>
      </c>
    </row>
    <row r="447" spans="1:77" s="26" customFormat="1" ht="14.1" hidden="1" customHeight="1" x14ac:dyDescent="0.3">
      <c r="A447" s="163" t="s">
        <v>895</v>
      </c>
      <c r="B447" s="166">
        <v>46137</v>
      </c>
      <c r="C447" s="164">
        <v>429</v>
      </c>
      <c r="D447" s="163" t="s">
        <v>911</v>
      </c>
      <c r="E447" s="166">
        <v>46141</v>
      </c>
      <c r="F447" s="163" t="s">
        <v>104</v>
      </c>
      <c r="G447" s="163" t="s">
        <v>105</v>
      </c>
      <c r="H447" s="163" t="s">
        <v>106</v>
      </c>
      <c r="I447" s="157"/>
      <c r="J447" s="163" t="s">
        <v>113</v>
      </c>
      <c r="K447" s="163">
        <v>0</v>
      </c>
      <c r="L447" s="166">
        <v>46137</v>
      </c>
      <c r="M447" s="157"/>
      <c r="N447" s="163" t="s">
        <v>924</v>
      </c>
      <c r="O447" s="166">
        <v>46138</v>
      </c>
      <c r="P447" s="163">
        <v>0</v>
      </c>
      <c r="Q447" s="163">
        <v>587</v>
      </c>
      <c r="R447" s="163">
        <v>40</v>
      </c>
      <c r="S447" s="163">
        <v>627</v>
      </c>
      <c r="T447" s="163">
        <v>627</v>
      </c>
      <c r="U447" s="163">
        <v>0</v>
      </c>
      <c r="V447" s="163">
        <v>0</v>
      </c>
      <c r="W447" s="188">
        <v>313.5</v>
      </c>
      <c r="X447" s="188">
        <v>319</v>
      </c>
      <c r="Y447" s="188">
        <v>2152327.98</v>
      </c>
      <c r="Z447" s="157"/>
      <c r="AA447" s="188">
        <v>53808.2</v>
      </c>
      <c r="AB447" s="188">
        <v>53808.2</v>
      </c>
      <c r="AC447" s="188">
        <v>2259944.38</v>
      </c>
      <c r="AD447" s="197">
        <f t="shared" si="264"/>
        <v>2257684.4356200001</v>
      </c>
      <c r="AE447" s="147">
        <v>40.049999999999997</v>
      </c>
      <c r="AF447" s="188">
        <v>39.4</v>
      </c>
      <c r="AG447" s="147">
        <v>40.07</v>
      </c>
      <c r="AH447" s="198">
        <v>3.3999999999999998E-3</v>
      </c>
      <c r="AI447" s="198">
        <v>3.5000000000000003E-2</v>
      </c>
      <c r="AJ447" s="198">
        <v>4.4999999999999998E-2</v>
      </c>
      <c r="AK447" s="155">
        <f t="shared" si="280"/>
        <v>0</v>
      </c>
      <c r="AL447" s="157">
        <f>627*2</f>
        <v>1254</v>
      </c>
      <c r="AM447" s="157"/>
      <c r="AN447" s="165">
        <v>0</v>
      </c>
      <c r="AO447" s="140">
        <f t="shared" si="281"/>
        <v>0</v>
      </c>
      <c r="AP447" s="136"/>
      <c r="AQ447" s="137">
        <v>0</v>
      </c>
      <c r="AR447" s="155">
        <f t="shared" si="282"/>
        <v>1254</v>
      </c>
      <c r="AS447" s="155">
        <f t="shared" si="283"/>
        <v>1317</v>
      </c>
      <c r="AT447" s="137">
        <v>0</v>
      </c>
      <c r="AU447" s="136" t="s">
        <v>664</v>
      </c>
      <c r="AV447" s="136"/>
      <c r="AW447" s="137">
        <f t="shared" si="295"/>
        <v>31350</v>
      </c>
      <c r="AX447" s="136"/>
      <c r="AY447" s="137">
        <f t="shared" si="296"/>
        <v>31350</v>
      </c>
      <c r="AZ447" s="137">
        <f t="shared" si="297"/>
        <v>31900</v>
      </c>
      <c r="BA447" s="142">
        <f t="shared" si="298"/>
        <v>-550</v>
      </c>
      <c r="BB447" s="137"/>
      <c r="BC447" s="137">
        <v>0</v>
      </c>
      <c r="BD447" s="136"/>
      <c r="BE447" s="128">
        <v>319.05</v>
      </c>
      <c r="BF447" s="143">
        <f t="shared" si="288"/>
        <v>0.47857500000000003</v>
      </c>
      <c r="BG447" s="143">
        <f t="shared" si="289"/>
        <v>318.57142500000003</v>
      </c>
      <c r="BH447" s="143">
        <f t="shared" si="290"/>
        <v>319</v>
      </c>
      <c r="BI447" s="144">
        <f t="shared" si="291"/>
        <v>5.0000000000011369</v>
      </c>
      <c r="BJ447" s="144">
        <v>0</v>
      </c>
      <c r="BK447" s="137">
        <f t="shared" si="292"/>
        <v>5.0000000000011369</v>
      </c>
      <c r="BL447" s="18"/>
      <c r="BM447" s="25" t="str">
        <f t="shared" si="293"/>
        <v>Unloading no. 429 Bill No MTC/2026-27/0118 ,Deduction For Oil Deduction= 0 ,Bardana= 1254 ,F.M=  Brokerage/Rate Difference 0 ,Shortage = 0 ,Greenish=  ,Moisture= 0</v>
      </c>
      <c r="BN447" s="17"/>
      <c r="BO447" s="13" t="str">
        <f t="shared" si="263"/>
        <v xml:space="preserve"> Party Condition 39.4  ,F.M% 0.34 ,Greenish 3.5 ,Moisture 4.5 ,Shortage in KG= 0  ,Oil% 40.05</v>
      </c>
      <c r="BP447" s="19">
        <f t="shared" si="294"/>
        <v>6743.178620689655</v>
      </c>
      <c r="BX447" s="27">
        <v>40.049999999999997</v>
      </c>
      <c r="BY447" s="27">
        <v>40.07</v>
      </c>
    </row>
    <row r="448" spans="1:77" s="26" customFormat="1" ht="14.1" hidden="1" customHeight="1" x14ac:dyDescent="0.3">
      <c r="A448" s="163" t="s">
        <v>777</v>
      </c>
      <c r="B448" s="166">
        <v>46135</v>
      </c>
      <c r="C448" s="164">
        <v>430</v>
      </c>
      <c r="D448" s="163" t="s">
        <v>912</v>
      </c>
      <c r="E448" s="166">
        <v>46141</v>
      </c>
      <c r="F448" s="163" t="s">
        <v>104</v>
      </c>
      <c r="G448" s="163" t="s">
        <v>105</v>
      </c>
      <c r="H448" s="163" t="s">
        <v>106</v>
      </c>
      <c r="I448" s="157"/>
      <c r="J448" s="163" t="s">
        <v>113</v>
      </c>
      <c r="K448" s="163">
        <v>0</v>
      </c>
      <c r="L448" s="166">
        <v>46135</v>
      </c>
      <c r="M448" s="157"/>
      <c r="N448" s="163" t="s">
        <v>925</v>
      </c>
      <c r="O448" s="166">
        <v>46137</v>
      </c>
      <c r="P448" s="163">
        <v>0</v>
      </c>
      <c r="Q448" s="163">
        <v>800</v>
      </c>
      <c r="R448" s="163">
        <v>19</v>
      </c>
      <c r="S448" s="163">
        <v>819</v>
      </c>
      <c r="T448" s="163">
        <v>819</v>
      </c>
      <c r="U448" s="163">
        <v>0</v>
      </c>
      <c r="V448" s="163">
        <v>0</v>
      </c>
      <c r="W448" s="188">
        <v>409.5</v>
      </c>
      <c r="X448" s="188">
        <v>415.9</v>
      </c>
      <c r="Y448" s="188">
        <v>2784600</v>
      </c>
      <c r="Z448" s="199"/>
      <c r="AA448" s="188">
        <v>69615</v>
      </c>
      <c r="AB448" s="188">
        <v>69615</v>
      </c>
      <c r="AC448" s="188">
        <v>2923830</v>
      </c>
      <c r="AD448" s="197">
        <f t="shared" si="264"/>
        <v>2920906.17</v>
      </c>
      <c r="AE448" s="197">
        <v>40.5</v>
      </c>
      <c r="AF448" s="188">
        <v>39.4</v>
      </c>
      <c r="AG448" s="147">
        <v>40.549999999999997</v>
      </c>
      <c r="AH448" s="198">
        <v>3.0000000000000001E-3</v>
      </c>
      <c r="AI448" s="198">
        <v>3.5700000000000003E-2</v>
      </c>
      <c r="AJ448" s="198">
        <v>4.7E-2</v>
      </c>
      <c r="AK448" s="155">
        <f t="shared" si="280"/>
        <v>0</v>
      </c>
      <c r="AL448" s="157">
        <f>819*2</f>
        <v>1638</v>
      </c>
      <c r="AM448" s="157"/>
      <c r="AN448" s="165">
        <v>0</v>
      </c>
      <c r="AO448" s="140">
        <f t="shared" si="281"/>
        <v>0</v>
      </c>
      <c r="AP448" s="136"/>
      <c r="AQ448" s="137">
        <v>0</v>
      </c>
      <c r="AR448" s="155">
        <f t="shared" si="282"/>
        <v>1638</v>
      </c>
      <c r="AS448" s="155">
        <f t="shared" si="283"/>
        <v>1720</v>
      </c>
      <c r="AT448" s="137">
        <v>0</v>
      </c>
      <c r="AU448" s="136"/>
      <c r="AV448" s="136"/>
      <c r="AW448" s="137">
        <f t="shared" si="295"/>
        <v>40950</v>
      </c>
      <c r="AX448" s="136"/>
      <c r="AY448" s="137">
        <f t="shared" si="296"/>
        <v>40950</v>
      </c>
      <c r="AZ448" s="137">
        <f t="shared" si="297"/>
        <v>41590</v>
      </c>
      <c r="BA448" s="142">
        <f t="shared" si="298"/>
        <v>-640</v>
      </c>
      <c r="BB448" s="137"/>
      <c r="BC448" s="137">
        <v>0</v>
      </c>
      <c r="BD448" s="136"/>
      <c r="BE448" s="128">
        <v>416.15</v>
      </c>
      <c r="BF448" s="143">
        <f t="shared" si="288"/>
        <v>0.62422499999999992</v>
      </c>
      <c r="BG448" s="143">
        <f t="shared" si="289"/>
        <v>415.52577499999995</v>
      </c>
      <c r="BH448" s="143">
        <f t="shared" si="290"/>
        <v>415.9</v>
      </c>
      <c r="BI448" s="144">
        <f t="shared" si="291"/>
        <v>25</v>
      </c>
      <c r="BJ448" s="144">
        <v>0</v>
      </c>
      <c r="BK448" s="137">
        <f t="shared" si="292"/>
        <v>25</v>
      </c>
      <c r="BL448" s="18"/>
      <c r="BM448" s="25" t="str">
        <f t="shared" si="293"/>
        <v>Unloading no. 430 Bill No MTC/2026-27/0110 ,Deduction For Oil Deduction= 0 ,Bardana= 1638 ,F.M=  Brokerage/Rate Difference 0 ,Shortage = 0 ,Greenish=  ,Moisture= 0</v>
      </c>
      <c r="BN448" s="17"/>
      <c r="BO448" s="13" t="str">
        <f t="shared" si="263"/>
        <v xml:space="preserve"> Party Condition 39.4  ,F.M% 0.3 ,Greenish 3.57 ,Moisture 4.7 ,Shortage in KG= 0  ,Oil% 40.5</v>
      </c>
      <c r="BP448" s="19">
        <f t="shared" si="294"/>
        <v>6691.4210146669875</v>
      </c>
      <c r="BX448" s="27">
        <v>40.5</v>
      </c>
      <c r="BY448" s="27">
        <v>40.549999999999997</v>
      </c>
    </row>
    <row r="449" spans="1:77" s="26" customFormat="1" ht="14.1" hidden="1" customHeight="1" x14ac:dyDescent="0.3">
      <c r="A449" s="163" t="s">
        <v>896</v>
      </c>
      <c r="B449" s="166">
        <v>46136</v>
      </c>
      <c r="C449" s="164">
        <v>431</v>
      </c>
      <c r="D449" s="163" t="s">
        <v>913</v>
      </c>
      <c r="E449" s="166">
        <v>46141</v>
      </c>
      <c r="F449" s="163" t="s">
        <v>104</v>
      </c>
      <c r="G449" s="163" t="s">
        <v>105</v>
      </c>
      <c r="H449" s="163" t="s">
        <v>106</v>
      </c>
      <c r="I449" s="157"/>
      <c r="J449" s="163" t="s">
        <v>113</v>
      </c>
      <c r="K449" s="163">
        <v>0</v>
      </c>
      <c r="L449" s="166">
        <v>46136</v>
      </c>
      <c r="M449" s="157"/>
      <c r="N449" s="163" t="s">
        <v>926</v>
      </c>
      <c r="O449" s="166">
        <v>46138</v>
      </c>
      <c r="P449" s="163">
        <v>0</v>
      </c>
      <c r="Q449" s="163">
        <v>600</v>
      </c>
      <c r="R449" s="163">
        <v>105</v>
      </c>
      <c r="S449" s="163">
        <v>705</v>
      </c>
      <c r="T449" s="163">
        <v>705</v>
      </c>
      <c r="U449" s="163">
        <v>0</v>
      </c>
      <c r="V449" s="163">
        <v>0</v>
      </c>
      <c r="W449" s="188">
        <v>352.5</v>
      </c>
      <c r="X449" s="188">
        <v>358.3</v>
      </c>
      <c r="Y449" s="188">
        <v>2398875.2999999998</v>
      </c>
      <c r="Z449" s="199"/>
      <c r="AA449" s="188">
        <v>59971.88</v>
      </c>
      <c r="AB449" s="188">
        <v>59971.88</v>
      </c>
      <c r="AC449" s="188">
        <v>2518819.0699999998</v>
      </c>
      <c r="AD449" s="197">
        <f t="shared" si="264"/>
        <v>2516300.2509299996</v>
      </c>
      <c r="AE449" s="197">
        <v>39.26</v>
      </c>
      <c r="AF449" s="188">
        <v>39.5</v>
      </c>
      <c r="AG449" s="147">
        <v>39.22</v>
      </c>
      <c r="AH449" s="198">
        <v>2.8999999999999998E-3</v>
      </c>
      <c r="AI449" s="198">
        <v>3.5400000000000001E-2</v>
      </c>
      <c r="AJ449" s="198">
        <v>4.9000000000000002E-2</v>
      </c>
      <c r="AK449" s="155">
        <v>0</v>
      </c>
      <c r="AL449" s="157">
        <f>705*2</f>
        <v>1410</v>
      </c>
      <c r="AM449" s="157"/>
      <c r="AN449" s="165">
        <v>0</v>
      </c>
      <c r="AO449" s="140">
        <f t="shared" si="281"/>
        <v>0</v>
      </c>
      <c r="AP449" s="136"/>
      <c r="AQ449" s="137">
        <v>0</v>
      </c>
      <c r="AR449" s="155">
        <f t="shared" si="282"/>
        <v>1410</v>
      </c>
      <c r="AS449" s="155">
        <f t="shared" si="283"/>
        <v>1481</v>
      </c>
      <c r="AT449" s="137">
        <v>0</v>
      </c>
      <c r="AU449" s="136"/>
      <c r="AV449" s="136"/>
      <c r="AW449" s="137">
        <f t="shared" si="295"/>
        <v>35250</v>
      </c>
      <c r="AX449" s="136"/>
      <c r="AY449" s="137">
        <f t="shared" si="296"/>
        <v>35250</v>
      </c>
      <c r="AZ449" s="137">
        <f t="shared" si="297"/>
        <v>35830</v>
      </c>
      <c r="BA449" s="142">
        <f t="shared" si="298"/>
        <v>-580</v>
      </c>
      <c r="BB449" s="137"/>
      <c r="BC449" s="137">
        <v>0</v>
      </c>
      <c r="BD449" s="136"/>
      <c r="BE449" s="128">
        <v>358.25</v>
      </c>
      <c r="BF449" s="143">
        <f t="shared" si="288"/>
        <v>0.53737499999999994</v>
      </c>
      <c r="BG449" s="143">
        <f t="shared" si="289"/>
        <v>357.712625</v>
      </c>
      <c r="BH449" s="143">
        <f t="shared" si="290"/>
        <v>358.3</v>
      </c>
      <c r="BI449" s="144">
        <f t="shared" si="291"/>
        <v>-5.0000000000011369</v>
      </c>
      <c r="BJ449" s="144">
        <v>0</v>
      </c>
      <c r="BK449" s="137">
        <f t="shared" si="292"/>
        <v>-5.0000000000011369</v>
      </c>
      <c r="BL449" s="18"/>
      <c r="BM449" s="25" t="str">
        <f t="shared" si="293"/>
        <v>Unloading no. 431 Bill No MTC/2026-27/0115 ,Deduction For Oil Deduction= 0 ,Bardana= 1410 ,F.M=  Brokerage/Rate Difference 0 ,Shortage = 0 ,Greenish=  ,Moisture= 0</v>
      </c>
      <c r="BN449" s="17"/>
      <c r="BO449" s="13" t="str">
        <f t="shared" si="263"/>
        <v xml:space="preserve"> Party Condition 39.5  ,F.M% 0.29 ,Greenish 3.54 ,Moisture 4.9 ,Shortage in KG= 0  ,Oil% 39.22</v>
      </c>
      <c r="BP449" s="19">
        <f t="shared" si="294"/>
        <v>6691.2232765838671</v>
      </c>
      <c r="BX449" s="27">
        <v>39.26</v>
      </c>
      <c r="BY449" s="27">
        <v>39.22</v>
      </c>
    </row>
    <row r="450" spans="1:77" s="26" customFormat="1" ht="14.1" hidden="1" customHeight="1" x14ac:dyDescent="0.3">
      <c r="A450" s="163" t="s">
        <v>763</v>
      </c>
      <c r="B450" s="166">
        <v>46135</v>
      </c>
      <c r="C450" s="200">
        <v>432</v>
      </c>
      <c r="D450" s="163" t="s">
        <v>914</v>
      </c>
      <c r="E450" s="166">
        <v>46141</v>
      </c>
      <c r="F450" s="163" t="s">
        <v>110</v>
      </c>
      <c r="G450" s="163" t="s">
        <v>111</v>
      </c>
      <c r="H450" s="163" t="s">
        <v>112</v>
      </c>
      <c r="I450" s="157"/>
      <c r="J450" s="163" t="s">
        <v>113</v>
      </c>
      <c r="K450" s="163">
        <v>0</v>
      </c>
      <c r="L450" s="166">
        <v>46135</v>
      </c>
      <c r="M450" s="157"/>
      <c r="N450" s="163" t="s">
        <v>927</v>
      </c>
      <c r="O450" s="166">
        <v>46138</v>
      </c>
      <c r="P450" s="163">
        <v>0</v>
      </c>
      <c r="Q450" s="163">
        <v>22</v>
      </c>
      <c r="R450" s="163">
        <v>0</v>
      </c>
      <c r="S450" s="163">
        <v>22</v>
      </c>
      <c r="T450" s="163">
        <v>22</v>
      </c>
      <c r="U450" s="163">
        <v>0</v>
      </c>
      <c r="V450" s="163">
        <v>0</v>
      </c>
      <c r="W450" s="188">
        <v>13.2</v>
      </c>
      <c r="X450" s="188">
        <f>353-337.2</f>
        <v>15.800000000000011</v>
      </c>
      <c r="Y450" s="188">
        <v>89724.800000000003</v>
      </c>
      <c r="Z450" s="199"/>
      <c r="AA450" s="188">
        <v>2243.12</v>
      </c>
      <c r="AB450" s="188">
        <v>2243.12</v>
      </c>
      <c r="AC450" s="188">
        <v>94211.04</v>
      </c>
      <c r="AD450" s="197">
        <f t="shared" si="264"/>
        <v>94116.828959999999</v>
      </c>
      <c r="AE450" s="197">
        <v>40.22</v>
      </c>
      <c r="AF450" s="188">
        <v>39.4</v>
      </c>
      <c r="AG450" s="147">
        <v>40.19</v>
      </c>
      <c r="AH450" s="198">
        <v>2.7000000000000001E-3</v>
      </c>
      <c r="AI450" s="198">
        <v>0.04</v>
      </c>
      <c r="AJ450" s="198">
        <v>4.2999999999999997E-2</v>
      </c>
      <c r="AK450" s="155">
        <f t="shared" si="280"/>
        <v>0</v>
      </c>
      <c r="AL450" s="157">
        <f>22*5</f>
        <v>110</v>
      </c>
      <c r="AM450" s="157"/>
      <c r="AN450" s="165">
        <v>0</v>
      </c>
      <c r="AO450" s="140">
        <f t="shared" si="281"/>
        <v>0</v>
      </c>
      <c r="AP450" s="136"/>
      <c r="AQ450" s="137">
        <v>0</v>
      </c>
      <c r="AR450" s="145">
        <f t="shared" si="282"/>
        <v>110</v>
      </c>
      <c r="AS450" s="155">
        <f t="shared" si="283"/>
        <v>116</v>
      </c>
      <c r="AT450" s="137">
        <v>0</v>
      </c>
      <c r="AU450" s="136" t="s">
        <v>664</v>
      </c>
      <c r="AV450" s="136"/>
      <c r="AW450" s="137">
        <f t="shared" si="295"/>
        <v>1320</v>
      </c>
      <c r="AX450" s="136"/>
      <c r="AY450" s="137">
        <f t="shared" si="296"/>
        <v>1320</v>
      </c>
      <c r="AZ450" s="137">
        <f t="shared" si="297"/>
        <v>1580.0000000000011</v>
      </c>
      <c r="BA450" s="142">
        <f t="shared" si="298"/>
        <v>-260.00000000000114</v>
      </c>
      <c r="BB450" s="137"/>
      <c r="BC450" s="137">
        <v>0</v>
      </c>
      <c r="BD450" s="136"/>
      <c r="BE450" s="128">
        <v>353.45</v>
      </c>
      <c r="BF450" s="143">
        <f t="shared" si="288"/>
        <v>0.53017499999999995</v>
      </c>
      <c r="BG450" s="143">
        <f t="shared" si="289"/>
        <v>352.919825</v>
      </c>
      <c r="BH450" s="143">
        <f t="shared" si="290"/>
        <v>15.800000000000011</v>
      </c>
      <c r="BI450" s="144">
        <f t="shared" si="291"/>
        <v>33765</v>
      </c>
      <c r="BJ450" s="144">
        <v>0</v>
      </c>
      <c r="BK450" s="137">
        <f t="shared" si="292"/>
        <v>33765</v>
      </c>
      <c r="BL450" s="18"/>
      <c r="BM450" s="25" t="str">
        <f t="shared" si="293"/>
        <v>Unloading no. 432 Bill No G1678/1679 ,Deduction For Oil Deduction= 0 ,Bardana= 110 ,F.M=  Brokerage/Rate Difference 0 ,Shortage = 0 ,Greenish=  ,Moisture= 0</v>
      </c>
      <c r="BN450" s="17"/>
      <c r="BO450" s="13" t="str">
        <f t="shared" si="263"/>
        <v xml:space="preserve"> Party Condition 39.4  ,F.M% 0.27 ,Greenish 4 ,Moisture 4.3 ,Shortage in KG= 0  ,Oil% 40.19</v>
      </c>
      <c r="BP450" s="19">
        <f t="shared" si="294"/>
        <v>5671.8227848101224</v>
      </c>
      <c r="BX450" s="27">
        <v>40.22</v>
      </c>
      <c r="BY450" s="27">
        <v>40.19</v>
      </c>
    </row>
    <row r="451" spans="1:77" s="26" customFormat="1" ht="14.1" hidden="1" customHeight="1" x14ac:dyDescent="0.3">
      <c r="A451" s="163" t="s">
        <v>897</v>
      </c>
      <c r="B451" s="166">
        <v>46135</v>
      </c>
      <c r="C451" s="200">
        <v>432</v>
      </c>
      <c r="D451" s="163" t="s">
        <v>914</v>
      </c>
      <c r="E451" s="166">
        <v>46141</v>
      </c>
      <c r="F451" s="163" t="s">
        <v>110</v>
      </c>
      <c r="G451" s="163" t="s">
        <v>111</v>
      </c>
      <c r="H451" s="163" t="s">
        <v>112</v>
      </c>
      <c r="I451" s="157"/>
      <c r="J451" s="163" t="s">
        <v>113</v>
      </c>
      <c r="K451" s="163">
        <v>0</v>
      </c>
      <c r="L451" s="166">
        <v>46135</v>
      </c>
      <c r="M451" s="157"/>
      <c r="N451" s="163" t="s">
        <v>927</v>
      </c>
      <c r="O451" s="166">
        <v>46138</v>
      </c>
      <c r="P451" s="163">
        <v>0</v>
      </c>
      <c r="Q451" s="163">
        <v>412</v>
      </c>
      <c r="R451" s="163">
        <v>150</v>
      </c>
      <c r="S451" s="163">
        <v>562</v>
      </c>
      <c r="T451" s="163">
        <v>562</v>
      </c>
      <c r="U451" s="163">
        <v>0</v>
      </c>
      <c r="V451" s="163">
        <v>0</v>
      </c>
      <c r="W451" s="188">
        <v>337.2</v>
      </c>
      <c r="X451" s="188">
        <f>353-15.8</f>
        <v>337.2</v>
      </c>
      <c r="Y451" s="188">
        <v>2304200</v>
      </c>
      <c r="Z451" s="199"/>
      <c r="AA451" s="188">
        <v>57605</v>
      </c>
      <c r="AB451" s="188">
        <v>57605</v>
      </c>
      <c r="AC451" s="188">
        <v>2419410</v>
      </c>
      <c r="AD451" s="197">
        <f t="shared" si="264"/>
        <v>2416990.59</v>
      </c>
      <c r="AE451" s="197">
        <v>40.22</v>
      </c>
      <c r="AF451" s="188">
        <v>39.67</v>
      </c>
      <c r="AG451" s="147">
        <v>40.19</v>
      </c>
      <c r="AH451" s="198">
        <v>2.7000000000000001E-3</v>
      </c>
      <c r="AI451" s="198">
        <v>0.04</v>
      </c>
      <c r="AJ451" s="198">
        <v>4.2999999999999997E-2</v>
      </c>
      <c r="AK451" s="155">
        <f t="shared" si="280"/>
        <v>0</v>
      </c>
      <c r="AL451" s="157">
        <f>562*5</f>
        <v>2810</v>
      </c>
      <c r="AM451" s="157"/>
      <c r="AN451" s="165">
        <v>0</v>
      </c>
      <c r="AO451" s="140">
        <f t="shared" si="281"/>
        <v>8405</v>
      </c>
      <c r="AP451" s="136"/>
      <c r="AQ451" s="137">
        <v>0</v>
      </c>
      <c r="AR451" s="145">
        <f t="shared" si="282"/>
        <v>11215</v>
      </c>
      <c r="AS451" s="155">
        <f t="shared" si="283"/>
        <v>11776</v>
      </c>
      <c r="AT451" s="137">
        <v>123</v>
      </c>
      <c r="AU451" s="136" t="s">
        <v>664</v>
      </c>
      <c r="AV451" s="136"/>
      <c r="AW451" s="137">
        <f t="shared" si="295"/>
        <v>33720</v>
      </c>
      <c r="AX451" s="136"/>
      <c r="AY451" s="137">
        <f t="shared" si="296"/>
        <v>33720</v>
      </c>
      <c r="AZ451" s="137">
        <f t="shared" si="297"/>
        <v>33720</v>
      </c>
      <c r="BA451" s="142">
        <f t="shared" si="298"/>
        <v>0</v>
      </c>
      <c r="BB451" s="137"/>
      <c r="BC451" s="137">
        <v>0</v>
      </c>
      <c r="BD451" s="136"/>
      <c r="BE451" s="128">
        <v>353.45</v>
      </c>
      <c r="BF451" s="143">
        <f t="shared" si="288"/>
        <v>0.53017499999999995</v>
      </c>
      <c r="BG451" s="143">
        <f t="shared" si="289"/>
        <v>352.919825</v>
      </c>
      <c r="BH451" s="143">
        <f t="shared" si="290"/>
        <v>337.2</v>
      </c>
      <c r="BI451" s="144">
        <f t="shared" si="291"/>
        <v>1625</v>
      </c>
      <c r="BJ451" s="144">
        <v>0</v>
      </c>
      <c r="BK451" s="137">
        <f t="shared" si="292"/>
        <v>1625</v>
      </c>
      <c r="BL451" s="18"/>
      <c r="BM451" s="25" t="str">
        <f t="shared" si="293"/>
        <v>Unloading no. 432 Bill No G1678/1679 ,Deduction For Oil Deduction= 0 ,Bardana= 2810 ,F.M=  Brokerage/Rate Difference 0 ,Shortage = 8405 ,Greenish=  ,Moisture= 0</v>
      </c>
      <c r="BN451" s="17"/>
      <c r="BO451" s="13" t="str">
        <f t="shared" ref="BO451:BO500" si="299">+" "&amp;$AF$1&amp;" "&amp;AF451&amp;" "&amp;" "&amp;$AH$1&amp;" "&amp;AH451*100&amp;" "&amp;$AI$1&amp;" "&amp;AI451*100&amp;" "&amp;$AJ$1&amp;" "&amp;AJ451*100&amp;" ,"&amp;$AT$1&amp;" "&amp;AT451&amp;" "&amp;IF(AE451&gt;AG451," ,Oil%"&amp;" "&amp;AG451," ,Oil%"&amp;" "&amp;AE451)</f>
        <v xml:space="preserve"> Party Condition 39.67  ,F.M% 0.27 ,Greenish 4 ,Moisture 4.3 ,Shortage in KG= 123  ,Oil% 40.19</v>
      </c>
      <c r="BP451" s="19">
        <f t="shared" si="294"/>
        <v>6800.0741399762755</v>
      </c>
      <c r="BX451" s="27">
        <v>40.22</v>
      </c>
      <c r="BY451" s="27">
        <v>40.19</v>
      </c>
    </row>
    <row r="452" spans="1:77" s="26" customFormat="1" ht="14.1" hidden="1" customHeight="1" x14ac:dyDescent="0.3">
      <c r="A452" s="163" t="s">
        <v>891</v>
      </c>
      <c r="B452" s="166">
        <v>46137</v>
      </c>
      <c r="C452" s="164">
        <v>433</v>
      </c>
      <c r="D452" s="163" t="s">
        <v>915</v>
      </c>
      <c r="E452" s="166">
        <v>46141</v>
      </c>
      <c r="F452" s="163" t="s">
        <v>101</v>
      </c>
      <c r="G452" s="163" t="s">
        <v>102</v>
      </c>
      <c r="H452" s="163" t="s">
        <v>103</v>
      </c>
      <c r="I452" s="157"/>
      <c r="J452" s="163" t="s">
        <v>113</v>
      </c>
      <c r="K452" s="163">
        <v>0</v>
      </c>
      <c r="L452" s="166">
        <v>46137</v>
      </c>
      <c r="M452" s="157"/>
      <c r="N452" s="163" t="s">
        <v>928</v>
      </c>
      <c r="O452" s="166">
        <v>46138</v>
      </c>
      <c r="P452" s="163">
        <v>0</v>
      </c>
      <c r="Q452" s="163">
        <v>500</v>
      </c>
      <c r="R452" s="163">
        <v>143</v>
      </c>
      <c r="S452" s="163">
        <v>643</v>
      </c>
      <c r="T452" s="163">
        <v>643</v>
      </c>
      <c r="U452" s="163">
        <v>0</v>
      </c>
      <c r="V452" s="163">
        <v>0</v>
      </c>
      <c r="W452" s="188">
        <v>385.8</v>
      </c>
      <c r="X452" s="188">
        <v>390.3</v>
      </c>
      <c r="Y452" s="188">
        <v>2683952.73</v>
      </c>
      <c r="Z452" s="199"/>
      <c r="AA452" s="188">
        <v>67098.820000000007</v>
      </c>
      <c r="AB452" s="188">
        <v>67098.820000000007</v>
      </c>
      <c r="AC452" s="188">
        <v>2818150.37</v>
      </c>
      <c r="AD452" s="197">
        <f t="shared" si="264"/>
        <v>2815332.2196300002</v>
      </c>
      <c r="AE452" s="197">
        <v>40.299999999999997</v>
      </c>
      <c r="AF452" s="188">
        <v>39.950000000000003</v>
      </c>
      <c r="AG452" s="147">
        <v>40.32</v>
      </c>
      <c r="AH452" s="198">
        <v>4.0000000000000001E-3</v>
      </c>
      <c r="AI452" s="198">
        <v>3.2399999999999998E-2</v>
      </c>
      <c r="AJ452" s="198">
        <v>5.0999999999999997E-2</v>
      </c>
      <c r="AK452" s="155">
        <f t="shared" si="280"/>
        <v>0</v>
      </c>
      <c r="AL452" s="157">
        <v>0</v>
      </c>
      <c r="AM452" s="157"/>
      <c r="AN452" s="165">
        <v>0</v>
      </c>
      <c r="AO452" s="140">
        <f t="shared" si="281"/>
        <v>0</v>
      </c>
      <c r="AP452" s="136"/>
      <c r="AQ452" s="137">
        <v>0</v>
      </c>
      <c r="AR452" s="155">
        <f t="shared" si="282"/>
        <v>0</v>
      </c>
      <c r="AS452" s="155">
        <f t="shared" si="283"/>
        <v>0</v>
      </c>
      <c r="AT452" s="137">
        <v>0</v>
      </c>
      <c r="AU452" s="136"/>
      <c r="AV452" s="136"/>
      <c r="AW452" s="137">
        <f t="shared" si="295"/>
        <v>38580</v>
      </c>
      <c r="AX452" s="136"/>
      <c r="AY452" s="137">
        <f t="shared" si="296"/>
        <v>38580</v>
      </c>
      <c r="AZ452" s="137">
        <f t="shared" si="297"/>
        <v>39030</v>
      </c>
      <c r="BA452" s="142">
        <f t="shared" si="298"/>
        <v>-450</v>
      </c>
      <c r="BB452" s="137"/>
      <c r="BC452" s="137">
        <v>0</v>
      </c>
      <c r="BD452" s="136"/>
      <c r="BE452" s="128">
        <v>390.7</v>
      </c>
      <c r="BF452" s="143">
        <f t="shared" si="288"/>
        <v>0.58604999999999996</v>
      </c>
      <c r="BG452" s="143">
        <f t="shared" si="289"/>
        <v>390.11394999999999</v>
      </c>
      <c r="BH452" s="143">
        <f t="shared" si="290"/>
        <v>390.3</v>
      </c>
      <c r="BI452" s="144">
        <f t="shared" si="291"/>
        <v>39.999999999997726</v>
      </c>
      <c r="BJ452" s="144">
        <v>0</v>
      </c>
      <c r="BK452" s="137">
        <f t="shared" si="292"/>
        <v>39.999999999997726</v>
      </c>
      <c r="BL452" s="18"/>
      <c r="BM452" s="25" t="str">
        <f t="shared" si="293"/>
        <v>Unloading no. 433 Bill No L/PB/26-27/73 ,Deduction For Oil Deduction= 0 ,Bardana= 0 ,F.M=  Brokerage/Rate Difference 0 ,Shortage = 0 ,Greenish=  ,Moisture= 0</v>
      </c>
      <c r="BN452" s="17"/>
      <c r="BO452" s="13" t="str">
        <f t="shared" si="299"/>
        <v xml:space="preserve"> Party Condition 39.95  ,F.M% 0.4 ,Greenish 3.24 ,Moisture 5.1 ,Shortage in KG= 0  ,Oil% 40.3</v>
      </c>
      <c r="BP452" s="19">
        <f t="shared" si="294"/>
        <v>6876.6403535741738</v>
      </c>
      <c r="BX452" s="30">
        <v>40.299999999999997</v>
      </c>
      <c r="BY452" s="30">
        <v>40.32</v>
      </c>
    </row>
    <row r="453" spans="1:77" s="26" customFormat="1" ht="14.1" hidden="1" customHeight="1" x14ac:dyDescent="0.3">
      <c r="A453" s="128" t="s">
        <v>929</v>
      </c>
      <c r="B453" s="130">
        <v>46137</v>
      </c>
      <c r="C453" s="135">
        <v>434</v>
      </c>
      <c r="D453" s="128" t="s">
        <v>947</v>
      </c>
      <c r="E453" s="130">
        <v>46142</v>
      </c>
      <c r="F453" s="128" t="s">
        <v>98</v>
      </c>
      <c r="G453" s="128" t="s">
        <v>99</v>
      </c>
      <c r="H453" s="128" t="s">
        <v>199</v>
      </c>
      <c r="I453" s="157"/>
      <c r="J453" s="163" t="s">
        <v>113</v>
      </c>
      <c r="K453" s="163">
        <v>0</v>
      </c>
      <c r="L453" s="130">
        <v>46137</v>
      </c>
      <c r="M453" s="136"/>
      <c r="N453" s="128">
        <v>94</v>
      </c>
      <c r="O453" s="130">
        <v>46139</v>
      </c>
      <c r="P453" s="128">
        <v>0</v>
      </c>
      <c r="Q453" s="128">
        <v>334</v>
      </c>
      <c r="R453" s="128">
        <v>200</v>
      </c>
      <c r="S453" s="128">
        <v>534</v>
      </c>
      <c r="T453" s="128">
        <v>534</v>
      </c>
      <c r="U453" s="163">
        <v>0</v>
      </c>
      <c r="V453" s="163">
        <v>0</v>
      </c>
      <c r="W453" s="169">
        <v>320.39999999999998</v>
      </c>
      <c r="X453" s="169">
        <v>322.7</v>
      </c>
      <c r="Y453" s="169">
        <v>2190019.44</v>
      </c>
      <c r="Z453" s="165"/>
      <c r="AA453" s="169">
        <v>54750.49</v>
      </c>
      <c r="AB453" s="169">
        <v>54750.49</v>
      </c>
      <c r="AC453" s="169">
        <v>2299520.41</v>
      </c>
      <c r="AD453" s="197">
        <f t="shared" si="264"/>
        <v>2297220.8895900003</v>
      </c>
      <c r="AE453" s="147">
        <v>39.950000000000003</v>
      </c>
      <c r="AF453" s="169">
        <v>39.299999999999997</v>
      </c>
      <c r="AG453" s="147">
        <v>39.9</v>
      </c>
      <c r="AH453" s="170">
        <v>2.8999999999999998E-3</v>
      </c>
      <c r="AI453" s="170">
        <v>3.9E-2</v>
      </c>
      <c r="AJ453" s="170">
        <v>4.8000000000000001E-2</v>
      </c>
      <c r="AK453" s="155">
        <f t="shared" ref="AK453:AK485" si="300">+IF(AF453=42,IF(MIN(AE453,AG453)&lt;AF453,Y453*((AF453-MIN(AE453,AG453))/AF453)),IF(MIN(AE453,AG453)&lt;AF453,Y453*((AF453-MIN(AE453,AG453))/AF453),0))</f>
        <v>0</v>
      </c>
      <c r="AL453" s="157">
        <f>534*5.5</f>
        <v>2937</v>
      </c>
      <c r="AM453" s="157"/>
      <c r="AN453" s="165">
        <v>0</v>
      </c>
      <c r="AO453" s="140">
        <f t="shared" ref="AO453:AO485" si="301">AT453*Y453/AW453</f>
        <v>8202.32</v>
      </c>
      <c r="AP453" s="136"/>
      <c r="AQ453" s="137">
        <v>0</v>
      </c>
      <c r="AR453" s="155">
        <f t="shared" ref="AR453:AR485" si="302">SUM(AK453:AQ453)</f>
        <v>11139.32</v>
      </c>
      <c r="AS453" s="155">
        <f t="shared" ref="AS453:AS485" si="303">ROUND(AR453*1.05,0)</f>
        <v>11696</v>
      </c>
      <c r="AT453" s="137">
        <v>120</v>
      </c>
      <c r="AU453" s="136"/>
      <c r="AV453" s="136"/>
      <c r="AW453" s="137">
        <f t="shared" ref="AW453:AW485" si="304">W453*100</f>
        <v>32039.999999999996</v>
      </c>
      <c r="AX453" s="136"/>
      <c r="AY453" s="137">
        <f t="shared" ref="AY453:AY485" si="305">+AW453+AX453</f>
        <v>32039.999999999996</v>
      </c>
      <c r="AZ453" s="137">
        <f t="shared" ref="AZ453:AZ485" si="306">X453*100</f>
        <v>32270</v>
      </c>
      <c r="BA453" s="142">
        <f t="shared" ref="BA453:BA485" si="307">AY453-AZ453</f>
        <v>-230.00000000000364</v>
      </c>
      <c r="BB453" s="137"/>
      <c r="BC453" s="137">
        <v>0</v>
      </c>
      <c r="BD453" s="136"/>
      <c r="BE453" s="128">
        <v>323.55</v>
      </c>
      <c r="BF453" s="143">
        <f t="shared" ref="BF453:BF485" si="308">+BE453*0.15/100</f>
        <v>0.48532500000000001</v>
      </c>
      <c r="BG453" s="143">
        <f t="shared" ref="BG453:BG485" si="309">BE453-BF453</f>
        <v>323.06467500000002</v>
      </c>
      <c r="BH453" s="143">
        <f t="shared" ref="BH453:BH485" si="310">X453</f>
        <v>322.7</v>
      </c>
      <c r="BI453" s="144">
        <f t="shared" ref="BI453:BI485" si="311">(BE453-BH453)*100</f>
        <v>85.000000000002274</v>
      </c>
      <c r="BJ453" s="144">
        <v>0</v>
      </c>
      <c r="BK453" s="137">
        <f t="shared" ref="BK453:BK485" si="312">BI453</f>
        <v>85.000000000002274</v>
      </c>
      <c r="BL453" s="18"/>
      <c r="BM453" s="25" t="str">
        <f t="shared" ref="BM453:BM485" si="313">+$C$1&amp;" "&amp;C453 &amp;" "&amp;$N$1&amp;" "&amp;N453&amp;" "&amp;$BM$1&amp;" "&amp;$AK$1&amp;" "&amp;AK453&amp;" "&amp;$AL$1&amp;" "&amp;AL453&amp;" "&amp;$AM$1&amp;" "&amp;AM453&amp;" "&amp;$AN$1&amp;" "&amp;AN453&amp;" "&amp;$AO$1&amp;" "&amp;AO453&amp;" "&amp;$AP$1&amp;" "&amp;AP453&amp;" "&amp;$AQ$1&amp;" "&amp;AQ453</f>
        <v>Unloading no. 434 Bill No 94 ,Deduction For Oil Deduction= 0 ,Bardana= 2937 ,F.M=  Brokerage/Rate Difference 0 ,Shortage = 8202.32 ,Greenish=  ,Moisture= 0</v>
      </c>
      <c r="BN453" s="17"/>
      <c r="BO453" s="13" t="str">
        <f t="shared" si="299"/>
        <v xml:space="preserve"> Party Condition 39.3  ,F.M% 0.29 ,Greenish 3.9 ,Moisture 4.8 ,Shortage in KG= 120  ,Oil% 39.9</v>
      </c>
      <c r="BP453" s="19">
        <f t="shared" ref="BP453:BP485" si="314">(Y453-AR453)/X453</f>
        <v>6752.0301208552837</v>
      </c>
      <c r="BX453" s="30">
        <v>39.950000000000003</v>
      </c>
      <c r="BY453" s="30">
        <v>39.9</v>
      </c>
    </row>
    <row r="454" spans="1:77" s="26" customFormat="1" ht="14.1" hidden="1" customHeight="1" x14ac:dyDescent="0.3">
      <c r="A454" s="128" t="s">
        <v>930</v>
      </c>
      <c r="B454" s="130">
        <v>46137</v>
      </c>
      <c r="C454" s="135">
        <v>435</v>
      </c>
      <c r="D454" s="128" t="s">
        <v>948</v>
      </c>
      <c r="E454" s="130">
        <v>46142</v>
      </c>
      <c r="F454" s="128" t="s">
        <v>98</v>
      </c>
      <c r="G454" s="128" t="s">
        <v>99</v>
      </c>
      <c r="H454" s="128" t="s">
        <v>199</v>
      </c>
      <c r="I454" s="157"/>
      <c r="J454" s="163" t="s">
        <v>113</v>
      </c>
      <c r="K454" s="163">
        <v>0</v>
      </c>
      <c r="L454" s="130">
        <v>46137</v>
      </c>
      <c r="M454" s="136"/>
      <c r="N454" s="128">
        <v>95</v>
      </c>
      <c r="O454" s="130">
        <v>46139</v>
      </c>
      <c r="P454" s="128">
        <v>0</v>
      </c>
      <c r="Q454" s="128">
        <v>550</v>
      </c>
      <c r="R454" s="128">
        <v>51</v>
      </c>
      <c r="S454" s="128">
        <v>601</v>
      </c>
      <c r="T454" s="128">
        <v>601</v>
      </c>
      <c r="U454" s="163">
        <v>0</v>
      </c>
      <c r="V454" s="163">
        <v>0</v>
      </c>
      <c r="W454" s="169">
        <v>360.6</v>
      </c>
      <c r="X454" s="169">
        <v>364.2</v>
      </c>
      <c r="Y454" s="169">
        <v>2456160.79</v>
      </c>
      <c r="Z454" s="165"/>
      <c r="AA454" s="169">
        <v>61404.02</v>
      </c>
      <c r="AB454" s="169">
        <v>61404.02</v>
      </c>
      <c r="AC454" s="169">
        <v>2578968.83</v>
      </c>
      <c r="AD454" s="197">
        <f t="shared" si="264"/>
        <v>2576389.8611699999</v>
      </c>
      <c r="AE454" s="147">
        <v>39.81</v>
      </c>
      <c r="AF454" s="169">
        <v>39.17</v>
      </c>
      <c r="AG454" s="147">
        <v>39.85</v>
      </c>
      <c r="AH454" s="170">
        <v>3.5000000000000001E-3</v>
      </c>
      <c r="AI454" s="170">
        <v>3.5999999999999997E-2</v>
      </c>
      <c r="AJ454" s="170">
        <v>4.9000000000000002E-2</v>
      </c>
      <c r="AK454" s="155">
        <f t="shared" si="300"/>
        <v>0</v>
      </c>
      <c r="AL454" s="157">
        <f>601*5.5</f>
        <v>3305.5</v>
      </c>
      <c r="AM454" s="157"/>
      <c r="AN454" s="165">
        <v>0</v>
      </c>
      <c r="AO454" s="140">
        <f t="shared" si="301"/>
        <v>2315.8476666666666</v>
      </c>
      <c r="AP454" s="136"/>
      <c r="AQ454" s="137">
        <v>0</v>
      </c>
      <c r="AR454" s="155">
        <f t="shared" si="302"/>
        <v>5621.3476666666666</v>
      </c>
      <c r="AS454" s="155">
        <f t="shared" si="303"/>
        <v>5902</v>
      </c>
      <c r="AT454" s="137">
        <v>34</v>
      </c>
      <c r="AU454" s="136"/>
      <c r="AV454" s="136"/>
      <c r="AW454" s="137">
        <f t="shared" si="304"/>
        <v>36060</v>
      </c>
      <c r="AX454" s="136"/>
      <c r="AY454" s="137">
        <f t="shared" si="305"/>
        <v>36060</v>
      </c>
      <c r="AZ454" s="137">
        <f t="shared" si="306"/>
        <v>36420</v>
      </c>
      <c r="BA454" s="142">
        <f t="shared" si="307"/>
        <v>-360</v>
      </c>
      <c r="BB454" s="137"/>
      <c r="BC454" s="137">
        <v>0</v>
      </c>
      <c r="BD454" s="136"/>
      <c r="BE454" s="128">
        <v>365</v>
      </c>
      <c r="BF454" s="143">
        <f t="shared" si="308"/>
        <v>0.54749999999999999</v>
      </c>
      <c r="BG454" s="143">
        <f t="shared" si="309"/>
        <v>364.45249999999999</v>
      </c>
      <c r="BH454" s="143">
        <f t="shared" si="310"/>
        <v>364.2</v>
      </c>
      <c r="BI454" s="144">
        <f t="shared" si="311"/>
        <v>80.000000000001137</v>
      </c>
      <c r="BJ454" s="144">
        <v>0</v>
      </c>
      <c r="BK454" s="137">
        <f t="shared" si="312"/>
        <v>80.000000000001137</v>
      </c>
      <c r="BL454" s="18"/>
      <c r="BM454" s="25" t="str">
        <f t="shared" si="313"/>
        <v>Unloading no. 435 Bill No 95 ,Deduction For Oil Deduction= 0 ,Bardana= 3305.5 ,F.M=  Brokerage/Rate Difference 0 ,Shortage = 2315.84766666667 ,Greenish=  ,Moisture= 0</v>
      </c>
      <c r="BN454" s="17"/>
      <c r="BO454" s="13" t="str">
        <f t="shared" si="299"/>
        <v xml:space="preserve"> Party Condition 39.17  ,F.M% 0.35 ,Greenish 3.6 ,Moisture 4.9 ,Shortage in KG= 34  ,Oil% 39.81</v>
      </c>
      <c r="BP454" s="19">
        <f t="shared" si="314"/>
        <v>6728.5542073952038</v>
      </c>
      <c r="BX454" s="30">
        <v>39.81</v>
      </c>
      <c r="BY454" s="30">
        <v>39.85</v>
      </c>
    </row>
    <row r="455" spans="1:77" s="26" customFormat="1" ht="14.1" hidden="1" customHeight="1" x14ac:dyDescent="0.3">
      <c r="A455" s="128" t="s">
        <v>931</v>
      </c>
      <c r="B455" s="130">
        <v>46139</v>
      </c>
      <c r="C455" s="135">
        <v>436</v>
      </c>
      <c r="D455" s="128" t="s">
        <v>949</v>
      </c>
      <c r="E455" s="130">
        <v>46142</v>
      </c>
      <c r="F455" s="128" t="s">
        <v>98</v>
      </c>
      <c r="G455" s="128" t="s">
        <v>99</v>
      </c>
      <c r="H455" s="128" t="s">
        <v>199</v>
      </c>
      <c r="I455" s="157"/>
      <c r="J455" s="163" t="s">
        <v>113</v>
      </c>
      <c r="K455" s="163">
        <v>0</v>
      </c>
      <c r="L455" s="130">
        <v>46139</v>
      </c>
      <c r="M455" s="136"/>
      <c r="N455" s="128">
        <v>97</v>
      </c>
      <c r="O455" s="130">
        <v>46139</v>
      </c>
      <c r="P455" s="128">
        <v>0</v>
      </c>
      <c r="Q455" s="128">
        <v>450</v>
      </c>
      <c r="R455" s="128">
        <v>65</v>
      </c>
      <c r="S455" s="128">
        <v>515</v>
      </c>
      <c r="T455" s="128">
        <v>515</v>
      </c>
      <c r="U455" s="163">
        <v>0</v>
      </c>
      <c r="V455" s="163">
        <v>0</v>
      </c>
      <c r="W455" s="169">
        <v>309</v>
      </c>
      <c r="X455" s="169">
        <v>312.60000000000002</v>
      </c>
      <c r="Y455" s="169">
        <v>2129935.9700000002</v>
      </c>
      <c r="Z455" s="165"/>
      <c r="AA455" s="169">
        <v>53248.4</v>
      </c>
      <c r="AB455" s="169">
        <v>53248.4</v>
      </c>
      <c r="AC455" s="169">
        <v>2236432.77</v>
      </c>
      <c r="AD455" s="197">
        <f t="shared" si="264"/>
        <v>2234196.3372300002</v>
      </c>
      <c r="AE455" s="196">
        <v>39.36</v>
      </c>
      <c r="AF455" s="169">
        <v>39.75</v>
      </c>
      <c r="AG455" s="147">
        <v>39.53</v>
      </c>
      <c r="AH455" s="170">
        <v>4.0000000000000001E-3</v>
      </c>
      <c r="AI455" s="170">
        <v>0.03</v>
      </c>
      <c r="AJ455" s="170">
        <v>5.3999999999999999E-2</v>
      </c>
      <c r="AK455" s="155">
        <f t="shared" si="300"/>
        <v>20897.48498867928</v>
      </c>
      <c r="AL455" s="157">
        <f>515*5.5</f>
        <v>2832.5</v>
      </c>
      <c r="AM455" s="157"/>
      <c r="AN455" s="165">
        <v>0</v>
      </c>
      <c r="AO455" s="140">
        <f t="shared" si="301"/>
        <v>0</v>
      </c>
      <c r="AP455" s="136"/>
      <c r="AQ455" s="137">
        <v>0</v>
      </c>
      <c r="AR455" s="155">
        <f t="shared" si="302"/>
        <v>23729.98498867928</v>
      </c>
      <c r="AS455" s="155">
        <f t="shared" si="303"/>
        <v>24916</v>
      </c>
      <c r="AT455" s="137">
        <v>0</v>
      </c>
      <c r="AU455" s="136"/>
      <c r="AV455" s="136"/>
      <c r="AW455" s="137">
        <f t="shared" si="304"/>
        <v>30900</v>
      </c>
      <c r="AX455" s="136"/>
      <c r="AY455" s="137">
        <f t="shared" si="305"/>
        <v>30900</v>
      </c>
      <c r="AZ455" s="137">
        <f t="shared" si="306"/>
        <v>31260.000000000004</v>
      </c>
      <c r="BA455" s="142">
        <f t="shared" si="307"/>
        <v>-360.00000000000364</v>
      </c>
      <c r="BB455" s="137"/>
      <c r="BC455" s="137">
        <v>0</v>
      </c>
      <c r="BD455" s="136"/>
      <c r="BE455" s="128">
        <v>312.95</v>
      </c>
      <c r="BF455" s="143">
        <f t="shared" si="308"/>
        <v>0.46942499999999998</v>
      </c>
      <c r="BG455" s="143">
        <f t="shared" si="309"/>
        <v>312.48057499999999</v>
      </c>
      <c r="BH455" s="143">
        <f t="shared" si="310"/>
        <v>312.60000000000002</v>
      </c>
      <c r="BI455" s="144">
        <f t="shared" si="311"/>
        <v>34.999999999996589</v>
      </c>
      <c r="BJ455" s="144">
        <v>0</v>
      </c>
      <c r="BK455" s="137">
        <f t="shared" si="312"/>
        <v>34.999999999996589</v>
      </c>
      <c r="BL455" s="18"/>
      <c r="BM455" s="25" t="str">
        <f t="shared" si="313"/>
        <v>Unloading no. 436 Bill No 97 ,Deduction For Oil Deduction= 20897.4849886793 ,Bardana= 2832.5 ,F.M=  Brokerage/Rate Difference 0 ,Shortage = 0 ,Greenish=  ,Moisture= 0</v>
      </c>
      <c r="BN455" s="17"/>
      <c r="BO455" s="13" t="str">
        <f t="shared" si="299"/>
        <v xml:space="preserve"> Party Condition 39.75  ,F.M% 0.4 ,Greenish 3 ,Moisture 5.4 ,Shortage in KG= 0  ,Oil% 39.36</v>
      </c>
      <c r="BP455" s="19">
        <f t="shared" si="314"/>
        <v>6737.7030870483713</v>
      </c>
      <c r="BX455" s="30">
        <v>39.36</v>
      </c>
      <c r="BY455" s="30">
        <v>39.53</v>
      </c>
    </row>
    <row r="456" spans="1:77" s="26" customFormat="1" ht="14.1" hidden="1" customHeight="1" x14ac:dyDescent="0.3">
      <c r="A456" s="128" t="s">
        <v>932</v>
      </c>
      <c r="B456" s="130">
        <v>46139</v>
      </c>
      <c r="C456" s="135">
        <v>437</v>
      </c>
      <c r="D456" s="128" t="s">
        <v>950</v>
      </c>
      <c r="E456" s="130">
        <v>46142</v>
      </c>
      <c r="F456" s="128" t="s">
        <v>98</v>
      </c>
      <c r="G456" s="128" t="s">
        <v>99</v>
      </c>
      <c r="H456" s="128" t="s">
        <v>199</v>
      </c>
      <c r="I456" s="157"/>
      <c r="J456" s="163" t="s">
        <v>113</v>
      </c>
      <c r="K456" s="163">
        <v>0</v>
      </c>
      <c r="L456" s="130">
        <v>46139</v>
      </c>
      <c r="M456" s="136"/>
      <c r="N456" s="128">
        <v>98</v>
      </c>
      <c r="O456" s="130">
        <v>46139</v>
      </c>
      <c r="P456" s="128">
        <v>0</v>
      </c>
      <c r="Q456" s="128">
        <v>343</v>
      </c>
      <c r="R456" s="128">
        <v>300</v>
      </c>
      <c r="S456" s="128">
        <v>643</v>
      </c>
      <c r="T456" s="128">
        <v>643</v>
      </c>
      <c r="U456" s="163">
        <v>0</v>
      </c>
      <c r="V456" s="163">
        <v>0</v>
      </c>
      <c r="W456" s="169">
        <v>385.8</v>
      </c>
      <c r="X456" s="169">
        <v>389.6</v>
      </c>
      <c r="Y456" s="169">
        <v>2652188.5299999998</v>
      </c>
      <c r="Z456" s="165"/>
      <c r="AA456" s="169">
        <v>66304.710000000006</v>
      </c>
      <c r="AB456" s="169">
        <v>66304.710000000006</v>
      </c>
      <c r="AC456" s="169">
        <v>2784797.96</v>
      </c>
      <c r="AD456" s="197">
        <f t="shared" si="264"/>
        <v>2782013.1620399999</v>
      </c>
      <c r="AE456" s="147">
        <v>39.65</v>
      </c>
      <c r="AF456" s="169">
        <v>39.32</v>
      </c>
      <c r="AG456" s="147">
        <v>39.630000000000003</v>
      </c>
      <c r="AH456" s="170">
        <v>4.1000000000000003E-3</v>
      </c>
      <c r="AI456" s="170">
        <v>3.1699999999999999E-2</v>
      </c>
      <c r="AJ456" s="170">
        <v>5.7000000000000002E-2</v>
      </c>
      <c r="AK456" s="155">
        <f t="shared" si="300"/>
        <v>0</v>
      </c>
      <c r="AL456" s="157">
        <f>643*5.5</f>
        <v>3536.5</v>
      </c>
      <c r="AM456" s="157"/>
      <c r="AN456" s="165">
        <v>0</v>
      </c>
      <c r="AO456" s="140">
        <f t="shared" si="301"/>
        <v>2818.551833333333</v>
      </c>
      <c r="AP456" s="136"/>
      <c r="AQ456" s="137">
        <v>0</v>
      </c>
      <c r="AR456" s="155">
        <f t="shared" si="302"/>
        <v>6355.051833333333</v>
      </c>
      <c r="AS456" s="155">
        <f t="shared" si="303"/>
        <v>6673</v>
      </c>
      <c r="AT456" s="137">
        <v>41</v>
      </c>
      <c r="AU456" s="136"/>
      <c r="AV456" s="136"/>
      <c r="AW456" s="137">
        <f t="shared" si="304"/>
        <v>38580</v>
      </c>
      <c r="AX456" s="136"/>
      <c r="AY456" s="137">
        <f t="shared" si="305"/>
        <v>38580</v>
      </c>
      <c r="AZ456" s="137">
        <f t="shared" si="306"/>
        <v>38960</v>
      </c>
      <c r="BA456" s="142">
        <f t="shared" si="307"/>
        <v>-380</v>
      </c>
      <c r="BB456" s="137"/>
      <c r="BC456" s="137">
        <v>0</v>
      </c>
      <c r="BD456" s="136"/>
      <c r="BE456" s="128">
        <v>390.6</v>
      </c>
      <c r="BF456" s="143">
        <f t="shared" si="308"/>
        <v>0.58590000000000009</v>
      </c>
      <c r="BG456" s="143">
        <f t="shared" si="309"/>
        <v>390.01410000000004</v>
      </c>
      <c r="BH456" s="143">
        <f t="shared" si="310"/>
        <v>389.6</v>
      </c>
      <c r="BI456" s="144">
        <f t="shared" si="311"/>
        <v>100</v>
      </c>
      <c r="BJ456" s="144">
        <v>0</v>
      </c>
      <c r="BK456" s="137">
        <f t="shared" si="312"/>
        <v>100</v>
      </c>
      <c r="BL456" s="18"/>
      <c r="BM456" s="25" t="str">
        <f t="shared" si="313"/>
        <v>Unloading no. 437 Bill No 98 ,Deduction For Oil Deduction= 0 ,Bardana= 3536.5 ,F.M=  Brokerage/Rate Difference 0 ,Shortage = 2818.55183333333 ,Greenish=  ,Moisture= 0</v>
      </c>
      <c r="BN456" s="17"/>
      <c r="BO456" s="13" t="str">
        <f t="shared" si="299"/>
        <v xml:space="preserve"> Party Condition 39.32  ,F.M% 0.41 ,Greenish 3.17 ,Moisture 5.7 ,Shortage in KG= 41  ,Oil% 39.63</v>
      </c>
      <c r="BP456" s="19">
        <f t="shared" si="314"/>
        <v>6791.1536913928803</v>
      </c>
      <c r="BX456" s="30">
        <v>39.65</v>
      </c>
      <c r="BY456" s="30">
        <v>39.630000000000003</v>
      </c>
    </row>
    <row r="457" spans="1:77" s="26" customFormat="1" ht="14.1" hidden="1" customHeight="1" x14ac:dyDescent="0.3">
      <c r="A457" s="128" t="s">
        <v>933</v>
      </c>
      <c r="B457" s="130">
        <v>46137</v>
      </c>
      <c r="C457" s="135">
        <v>438</v>
      </c>
      <c r="D457" s="128" t="s">
        <v>951</v>
      </c>
      <c r="E457" s="130">
        <v>46142</v>
      </c>
      <c r="F457" s="128" t="s">
        <v>110</v>
      </c>
      <c r="G457" s="128" t="s">
        <v>111</v>
      </c>
      <c r="H457" s="128" t="s">
        <v>112</v>
      </c>
      <c r="I457" s="157"/>
      <c r="J457" s="163" t="s">
        <v>113</v>
      </c>
      <c r="K457" s="163">
        <v>0</v>
      </c>
      <c r="L457" s="130">
        <v>46137</v>
      </c>
      <c r="M457" s="136"/>
      <c r="N457" s="128" t="s">
        <v>978</v>
      </c>
      <c r="O457" s="130">
        <v>46139</v>
      </c>
      <c r="P457" s="128">
        <v>0</v>
      </c>
      <c r="Q457" s="128">
        <v>400</v>
      </c>
      <c r="R457" s="128">
        <v>13</v>
      </c>
      <c r="S457" s="128">
        <v>413</v>
      </c>
      <c r="T457" s="128">
        <v>413</v>
      </c>
      <c r="U457" s="163">
        <v>0</v>
      </c>
      <c r="V457" s="163">
        <v>0</v>
      </c>
      <c r="W457" s="169">
        <v>247.8</v>
      </c>
      <c r="X457" s="169">
        <v>250.7</v>
      </c>
      <c r="Y457" s="169">
        <v>1702220.8</v>
      </c>
      <c r="Z457" s="165"/>
      <c r="AA457" s="169">
        <v>42555.519999999997</v>
      </c>
      <c r="AB457" s="169">
        <v>42555.519999999997</v>
      </c>
      <c r="AC457" s="169">
        <v>1787331.84</v>
      </c>
      <c r="AD457" s="197">
        <f t="shared" si="264"/>
        <v>1785544.50816</v>
      </c>
      <c r="AE457" s="147">
        <v>40.42</v>
      </c>
      <c r="AF457" s="169">
        <v>39.700000000000003</v>
      </c>
      <c r="AG457" s="147">
        <v>40.33</v>
      </c>
      <c r="AH457" s="170">
        <v>3.2000000000000002E-3</v>
      </c>
      <c r="AI457" s="170">
        <v>3.6400000000000002E-2</v>
      </c>
      <c r="AJ457" s="170">
        <v>4.7E-2</v>
      </c>
      <c r="AK457" s="155">
        <f t="shared" si="300"/>
        <v>0</v>
      </c>
      <c r="AL457" s="157">
        <f>413*5</f>
        <v>2065</v>
      </c>
      <c r="AM457" s="157"/>
      <c r="AN457" s="165">
        <v>0</v>
      </c>
      <c r="AO457" s="140">
        <f t="shared" si="301"/>
        <v>0</v>
      </c>
      <c r="AP457" s="136"/>
      <c r="AQ457" s="137">
        <v>0</v>
      </c>
      <c r="AR457" s="155">
        <f t="shared" si="302"/>
        <v>2065</v>
      </c>
      <c r="AS457" s="155">
        <f t="shared" si="303"/>
        <v>2168</v>
      </c>
      <c r="AT457" s="137">
        <v>0</v>
      </c>
      <c r="AU457" s="136"/>
      <c r="AV457" s="136"/>
      <c r="AW457" s="137">
        <f t="shared" si="304"/>
        <v>24780</v>
      </c>
      <c r="AX457" s="136"/>
      <c r="AY457" s="137">
        <f t="shared" si="305"/>
        <v>24780</v>
      </c>
      <c r="AZ457" s="137">
        <f t="shared" si="306"/>
        <v>25070</v>
      </c>
      <c r="BA457" s="142">
        <f t="shared" si="307"/>
        <v>-290</v>
      </c>
      <c r="BB457" s="137"/>
      <c r="BC457" s="137">
        <v>0</v>
      </c>
      <c r="BD457" s="136"/>
      <c r="BE457" s="128">
        <v>251.05</v>
      </c>
      <c r="BF457" s="143">
        <f t="shared" si="308"/>
        <v>0.37657499999999999</v>
      </c>
      <c r="BG457" s="143">
        <f t="shared" si="309"/>
        <v>250.67342500000001</v>
      </c>
      <c r="BH457" s="143">
        <f t="shared" si="310"/>
        <v>250.7</v>
      </c>
      <c r="BI457" s="144">
        <f t="shared" si="311"/>
        <v>35.000000000002274</v>
      </c>
      <c r="BJ457" s="144">
        <v>0</v>
      </c>
      <c r="BK457" s="137">
        <f t="shared" si="312"/>
        <v>35.000000000002274</v>
      </c>
      <c r="BL457" s="18"/>
      <c r="BM457" s="25" t="str">
        <f t="shared" si="313"/>
        <v>Unloading no. 438 Bill No G1682 ,Deduction For Oil Deduction= 0 ,Bardana= 2065 ,F.M=  Brokerage/Rate Difference 0 ,Shortage = 0 ,Greenish=  ,Moisture= 0</v>
      </c>
      <c r="BN457" s="17"/>
      <c r="BO457" s="13" t="str">
        <f t="shared" si="299"/>
        <v xml:space="preserve"> Party Condition 39.7  ,F.M% 0.32 ,Greenish 3.64 ,Moisture 4.7 ,Shortage in KG= 0  ,Oil% 40.33</v>
      </c>
      <c r="BP457" s="19">
        <f t="shared" si="314"/>
        <v>6781.6346230554454</v>
      </c>
      <c r="BX457" s="30">
        <v>40.42</v>
      </c>
      <c r="BY457" s="30">
        <v>40.33</v>
      </c>
    </row>
    <row r="458" spans="1:77" s="26" customFormat="1" ht="14.1" hidden="1" customHeight="1" x14ac:dyDescent="0.3">
      <c r="A458" s="128" t="s">
        <v>891</v>
      </c>
      <c r="B458" s="201">
        <v>46137</v>
      </c>
      <c r="C458" s="135">
        <v>439</v>
      </c>
      <c r="D458" s="128" t="s">
        <v>952</v>
      </c>
      <c r="E458" s="130">
        <v>46142</v>
      </c>
      <c r="F458" s="128" t="s">
        <v>101</v>
      </c>
      <c r="G458" s="128" t="s">
        <v>102</v>
      </c>
      <c r="H458" s="128" t="s">
        <v>97</v>
      </c>
      <c r="I458" s="157"/>
      <c r="J458" s="163" t="s">
        <v>113</v>
      </c>
      <c r="K458" s="163">
        <v>0</v>
      </c>
      <c r="L458" s="130">
        <v>46137</v>
      </c>
      <c r="M458" s="136"/>
      <c r="N458" s="128" t="s">
        <v>979</v>
      </c>
      <c r="O458" s="130">
        <v>46138</v>
      </c>
      <c r="P458" s="128">
        <v>0</v>
      </c>
      <c r="Q458" s="128">
        <v>339</v>
      </c>
      <c r="R458" s="128">
        <v>300</v>
      </c>
      <c r="S458" s="128">
        <v>639</v>
      </c>
      <c r="T458" s="128">
        <v>639</v>
      </c>
      <c r="U458" s="163">
        <v>0</v>
      </c>
      <c r="V458" s="163">
        <v>0</v>
      </c>
      <c r="W458" s="169">
        <v>383.4</v>
      </c>
      <c r="X458" s="169">
        <v>388.6</v>
      </c>
      <c r="Y458" s="169">
        <v>2667256.29</v>
      </c>
      <c r="Z458" s="165"/>
      <c r="AA458" s="169">
        <v>66681.41</v>
      </c>
      <c r="AB458" s="169">
        <v>66681.41</v>
      </c>
      <c r="AC458" s="169">
        <v>2800619.1</v>
      </c>
      <c r="AD458" s="197">
        <f t="shared" si="264"/>
        <v>2797818.4809000003</v>
      </c>
      <c r="AE458" s="147">
        <v>40.5</v>
      </c>
      <c r="AF458" s="169">
        <v>39.950000000000003</v>
      </c>
      <c r="AG458" s="147">
        <v>40.43</v>
      </c>
      <c r="AH458" s="170">
        <v>4.1000000000000003E-3</v>
      </c>
      <c r="AI458" s="170">
        <v>0.03</v>
      </c>
      <c r="AJ458" s="170">
        <v>5.1999999999999998E-2</v>
      </c>
      <c r="AK458" s="155">
        <f t="shared" si="300"/>
        <v>0</v>
      </c>
      <c r="AL458" s="157">
        <v>0</v>
      </c>
      <c r="AM458" s="157"/>
      <c r="AN458" s="165">
        <v>0</v>
      </c>
      <c r="AO458" s="140">
        <f t="shared" si="301"/>
        <v>0</v>
      </c>
      <c r="AP458" s="136"/>
      <c r="AQ458" s="137">
        <v>0</v>
      </c>
      <c r="AR458" s="155">
        <f t="shared" si="302"/>
        <v>0</v>
      </c>
      <c r="AS458" s="155">
        <f t="shared" si="303"/>
        <v>0</v>
      </c>
      <c r="AT458" s="137">
        <v>0</v>
      </c>
      <c r="AU458" s="136"/>
      <c r="AV458" s="136"/>
      <c r="AW458" s="137">
        <f t="shared" si="304"/>
        <v>38340</v>
      </c>
      <c r="AX458" s="136"/>
      <c r="AY458" s="137">
        <f t="shared" si="305"/>
        <v>38340</v>
      </c>
      <c r="AZ458" s="137">
        <f t="shared" si="306"/>
        <v>38860</v>
      </c>
      <c r="BA458" s="142">
        <f t="shared" si="307"/>
        <v>-520</v>
      </c>
      <c r="BB458" s="137"/>
      <c r="BC458" s="137">
        <v>0</v>
      </c>
      <c r="BD458" s="136"/>
      <c r="BE458" s="128">
        <v>389.3</v>
      </c>
      <c r="BF458" s="143">
        <f t="shared" si="308"/>
        <v>0.58394999999999997</v>
      </c>
      <c r="BG458" s="143">
        <f t="shared" si="309"/>
        <v>388.71605</v>
      </c>
      <c r="BH458" s="143">
        <f t="shared" si="310"/>
        <v>388.6</v>
      </c>
      <c r="BI458" s="144">
        <f t="shared" si="311"/>
        <v>69.999999999998863</v>
      </c>
      <c r="BJ458" s="144">
        <v>0</v>
      </c>
      <c r="BK458" s="137">
        <f t="shared" si="312"/>
        <v>69.999999999998863</v>
      </c>
      <c r="BL458" s="18"/>
      <c r="BM458" s="25" t="str">
        <f t="shared" si="313"/>
        <v>Unloading no. 439 Bill No L/PB/26-27/75 ,Deduction For Oil Deduction= 0 ,Bardana= 0 ,F.M=  Brokerage/Rate Difference 0 ,Shortage = 0 ,Greenish=  ,Moisture= 0</v>
      </c>
      <c r="BN458" s="17"/>
      <c r="BO458" s="13" t="str">
        <f t="shared" si="299"/>
        <v xml:space="preserve"> Party Condition 39.95  ,F.M% 0.41 ,Greenish 3 ,Moisture 5.2 ,Shortage in KG= 0  ,Oil% 40.43</v>
      </c>
      <c r="BP458" s="19">
        <f t="shared" si="314"/>
        <v>6863.7578229541941</v>
      </c>
      <c r="BX458" s="30">
        <v>40.5</v>
      </c>
      <c r="BY458" s="30">
        <v>40.43</v>
      </c>
    </row>
    <row r="459" spans="1:77" s="26" customFormat="1" ht="14.1" hidden="1" customHeight="1" x14ac:dyDescent="0.3">
      <c r="A459" s="128" t="s">
        <v>896</v>
      </c>
      <c r="B459" s="201">
        <v>46136</v>
      </c>
      <c r="C459" s="135">
        <v>440</v>
      </c>
      <c r="D459" s="128" t="s">
        <v>953</v>
      </c>
      <c r="E459" s="130">
        <v>46142</v>
      </c>
      <c r="F459" s="128" t="s">
        <v>104</v>
      </c>
      <c r="G459" s="128" t="s">
        <v>105</v>
      </c>
      <c r="H459" s="128" t="s">
        <v>106</v>
      </c>
      <c r="I459" s="157"/>
      <c r="J459" s="163" t="s">
        <v>113</v>
      </c>
      <c r="K459" s="163">
        <v>0</v>
      </c>
      <c r="L459" s="130">
        <v>46136</v>
      </c>
      <c r="M459" s="136"/>
      <c r="N459" s="128" t="s">
        <v>980</v>
      </c>
      <c r="O459" s="130">
        <v>46138</v>
      </c>
      <c r="P459" s="128">
        <v>0</v>
      </c>
      <c r="Q459" s="128">
        <v>510</v>
      </c>
      <c r="R459" s="128">
        <v>195</v>
      </c>
      <c r="S459" s="128">
        <v>705</v>
      </c>
      <c r="T459" s="128">
        <v>705</v>
      </c>
      <c r="U459" s="163">
        <v>0</v>
      </c>
      <c r="V459" s="163">
        <v>0</v>
      </c>
      <c r="W459" s="169">
        <v>352.5</v>
      </c>
      <c r="X459" s="169">
        <v>359</v>
      </c>
      <c r="Y459" s="169">
        <v>2398878.83</v>
      </c>
      <c r="Z459" s="165"/>
      <c r="AA459" s="169">
        <v>59971.97</v>
      </c>
      <c r="AB459" s="169">
        <v>59971.97</v>
      </c>
      <c r="AC459" s="169">
        <v>2518822.77</v>
      </c>
      <c r="AD459" s="197">
        <f t="shared" si="264"/>
        <v>2516303.94723</v>
      </c>
      <c r="AE459" s="147">
        <v>40.85</v>
      </c>
      <c r="AF459" s="169">
        <v>39.5</v>
      </c>
      <c r="AG459" s="147">
        <v>40.92</v>
      </c>
      <c r="AH459" s="170">
        <v>3.5000000000000001E-3</v>
      </c>
      <c r="AI459" s="170">
        <v>3.4799999999999998E-2</v>
      </c>
      <c r="AJ459" s="170">
        <v>5.3999999999999999E-2</v>
      </c>
      <c r="AK459" s="155">
        <f t="shared" si="300"/>
        <v>0</v>
      </c>
      <c r="AL459" s="157">
        <f>705*2</f>
        <v>1410</v>
      </c>
      <c r="AM459" s="157"/>
      <c r="AN459" s="165">
        <v>0</v>
      </c>
      <c r="AO459" s="140">
        <f t="shared" si="301"/>
        <v>0</v>
      </c>
      <c r="AP459" s="136"/>
      <c r="AQ459" s="137">
        <v>0</v>
      </c>
      <c r="AR459" s="155">
        <f t="shared" si="302"/>
        <v>1410</v>
      </c>
      <c r="AS459" s="155">
        <f t="shared" si="303"/>
        <v>1481</v>
      </c>
      <c r="AT459" s="137">
        <v>0</v>
      </c>
      <c r="AU459" s="136"/>
      <c r="AV459" s="136"/>
      <c r="AW459" s="137">
        <f t="shared" si="304"/>
        <v>35250</v>
      </c>
      <c r="AX459" s="136"/>
      <c r="AY459" s="137">
        <f t="shared" si="305"/>
        <v>35250</v>
      </c>
      <c r="AZ459" s="137">
        <f t="shared" si="306"/>
        <v>35900</v>
      </c>
      <c r="BA459" s="142">
        <f t="shared" si="307"/>
        <v>-650</v>
      </c>
      <c r="BB459" s="137"/>
      <c r="BC459" s="137">
        <v>0</v>
      </c>
      <c r="BD459" s="136"/>
      <c r="BE459" s="128">
        <v>358.75</v>
      </c>
      <c r="BF459" s="143">
        <f t="shared" si="308"/>
        <v>0.53812499999999996</v>
      </c>
      <c r="BG459" s="143">
        <f t="shared" si="309"/>
        <v>358.21187500000002</v>
      </c>
      <c r="BH459" s="143">
        <f t="shared" si="310"/>
        <v>359</v>
      </c>
      <c r="BI459" s="144">
        <f t="shared" si="311"/>
        <v>-25</v>
      </c>
      <c r="BJ459" s="144">
        <v>0</v>
      </c>
      <c r="BK459" s="137">
        <f t="shared" si="312"/>
        <v>-25</v>
      </c>
      <c r="BL459" s="18"/>
      <c r="BM459" s="25" t="str">
        <f t="shared" si="313"/>
        <v>Unloading no. 440 Bill No MTC/2026-27/0116 ,Deduction For Oil Deduction= 0 ,Bardana= 1410 ,F.M=  Brokerage/Rate Difference 0 ,Shortage = 0 ,Greenish=  ,Moisture= 0</v>
      </c>
      <c r="BN459" s="17"/>
      <c r="BO459" s="13" t="str">
        <f t="shared" si="299"/>
        <v xml:space="preserve"> Party Condition 39.5  ,F.M% 0.35 ,Greenish 3.48 ,Moisture 5.4 ,Shortage in KG= 0  ,Oil% 40.85</v>
      </c>
      <c r="BP459" s="19">
        <f t="shared" si="314"/>
        <v>6678.1861559888584</v>
      </c>
      <c r="BX459" s="30">
        <v>40.85</v>
      </c>
      <c r="BY459" s="30">
        <v>40.92</v>
      </c>
    </row>
    <row r="460" spans="1:77" s="26" customFormat="1" ht="14.1" hidden="1" customHeight="1" x14ac:dyDescent="0.3">
      <c r="A460" s="128" t="s">
        <v>896</v>
      </c>
      <c r="B460" s="201">
        <v>46136</v>
      </c>
      <c r="C460" s="135">
        <v>441</v>
      </c>
      <c r="D460" s="128" t="s">
        <v>954</v>
      </c>
      <c r="E460" s="130">
        <v>46142</v>
      </c>
      <c r="F460" s="128" t="s">
        <v>104</v>
      </c>
      <c r="G460" s="128" t="s">
        <v>105</v>
      </c>
      <c r="H460" s="128" t="s">
        <v>106</v>
      </c>
      <c r="I460" s="157"/>
      <c r="J460" s="163" t="s">
        <v>113</v>
      </c>
      <c r="K460" s="163">
        <v>0</v>
      </c>
      <c r="L460" s="130">
        <v>46136</v>
      </c>
      <c r="M460" s="136"/>
      <c r="N460" s="128" t="s">
        <v>981</v>
      </c>
      <c r="O460" s="130">
        <v>46138</v>
      </c>
      <c r="P460" s="128">
        <v>0</v>
      </c>
      <c r="Q460" s="128">
        <v>500</v>
      </c>
      <c r="R460" s="128">
        <v>279</v>
      </c>
      <c r="S460" s="128">
        <v>779</v>
      </c>
      <c r="T460" s="128">
        <v>779</v>
      </c>
      <c r="U460" s="163">
        <v>0</v>
      </c>
      <c r="V460" s="163">
        <v>0</v>
      </c>
      <c r="W460" s="169">
        <v>389.5</v>
      </c>
      <c r="X460" s="169">
        <v>396</v>
      </c>
      <c r="Y460" s="169">
        <v>2650637.09</v>
      </c>
      <c r="Z460" s="165"/>
      <c r="AA460" s="169">
        <v>66265.929999999993</v>
      </c>
      <c r="AB460" s="169">
        <v>66265.929999999993</v>
      </c>
      <c r="AC460" s="169">
        <v>2783168.94</v>
      </c>
      <c r="AD460" s="197">
        <f t="shared" si="264"/>
        <v>2780385.7710600002</v>
      </c>
      <c r="AE460" s="147">
        <v>39.68</v>
      </c>
      <c r="AF460" s="169">
        <v>39.5</v>
      </c>
      <c r="AG460" s="147">
        <v>39.72</v>
      </c>
      <c r="AH460" s="170">
        <v>3.5000000000000001E-3</v>
      </c>
      <c r="AI460" s="170">
        <v>3.5499999999999997E-2</v>
      </c>
      <c r="AJ460" s="170">
        <v>0.05</v>
      </c>
      <c r="AK460" s="155">
        <f t="shared" si="300"/>
        <v>0</v>
      </c>
      <c r="AL460" s="157">
        <f>779*2</f>
        <v>1558</v>
      </c>
      <c r="AM460" s="157"/>
      <c r="AN460" s="165">
        <v>0</v>
      </c>
      <c r="AO460" s="140">
        <f t="shared" si="301"/>
        <v>0</v>
      </c>
      <c r="AP460" s="136"/>
      <c r="AQ460" s="137">
        <v>0</v>
      </c>
      <c r="AR460" s="155">
        <f t="shared" si="302"/>
        <v>1558</v>
      </c>
      <c r="AS460" s="155">
        <f t="shared" si="303"/>
        <v>1636</v>
      </c>
      <c r="AT460" s="137">
        <v>0</v>
      </c>
      <c r="AU460" s="136"/>
      <c r="AV460" s="136"/>
      <c r="AW460" s="137">
        <f t="shared" si="304"/>
        <v>38950</v>
      </c>
      <c r="AX460" s="136"/>
      <c r="AY460" s="137">
        <f t="shared" si="305"/>
        <v>38950</v>
      </c>
      <c r="AZ460" s="137">
        <f t="shared" si="306"/>
        <v>39600</v>
      </c>
      <c r="BA460" s="142">
        <f t="shared" si="307"/>
        <v>-650</v>
      </c>
      <c r="BB460" s="137"/>
      <c r="BC460" s="137">
        <v>0</v>
      </c>
      <c r="BD460" s="136"/>
      <c r="BE460" s="128">
        <v>395.65</v>
      </c>
      <c r="BF460" s="143">
        <f t="shared" si="308"/>
        <v>0.59347499999999997</v>
      </c>
      <c r="BG460" s="143">
        <f t="shared" si="309"/>
        <v>395.05652499999997</v>
      </c>
      <c r="BH460" s="143">
        <f t="shared" si="310"/>
        <v>396</v>
      </c>
      <c r="BI460" s="144">
        <f t="shared" si="311"/>
        <v>-35.000000000002274</v>
      </c>
      <c r="BJ460" s="144">
        <v>0</v>
      </c>
      <c r="BK460" s="137">
        <f t="shared" si="312"/>
        <v>-35.000000000002274</v>
      </c>
      <c r="BL460" s="18"/>
      <c r="BM460" s="25" t="str">
        <f t="shared" si="313"/>
        <v>Unloading no. 441 Bill No MTC/2026-27/0119 ,Deduction For Oil Deduction= 0 ,Bardana= 1558 ,F.M=  Brokerage/Rate Difference 0 ,Shortage = 0 ,Greenish=  ,Moisture= 0</v>
      </c>
      <c r="BN460" s="17"/>
      <c r="BO460" s="13" t="str">
        <f t="shared" si="299"/>
        <v xml:space="preserve"> Party Condition 39.5  ,F.M% 0.35 ,Greenish 3.55 ,Moisture 5 ,Shortage in KG= 0  ,Oil% 39.68</v>
      </c>
      <c r="BP460" s="19">
        <f t="shared" si="314"/>
        <v>6689.5936616161616</v>
      </c>
      <c r="BX460" s="30">
        <v>39.68</v>
      </c>
      <c r="BY460" s="30">
        <v>39.72</v>
      </c>
    </row>
    <row r="461" spans="1:77" s="26" customFormat="1" ht="14.1" hidden="1" customHeight="1" x14ac:dyDescent="0.3">
      <c r="A461" s="128" t="s">
        <v>893</v>
      </c>
      <c r="B461" s="201">
        <v>46137</v>
      </c>
      <c r="C461" s="200">
        <v>442</v>
      </c>
      <c r="D461" s="128" t="s">
        <v>955</v>
      </c>
      <c r="E461" s="130">
        <v>46142</v>
      </c>
      <c r="F461" s="128" t="s">
        <v>110</v>
      </c>
      <c r="G461" s="128" t="s">
        <v>111</v>
      </c>
      <c r="H461" s="128" t="s">
        <v>112</v>
      </c>
      <c r="I461" s="157"/>
      <c r="J461" s="163" t="s">
        <v>113</v>
      </c>
      <c r="K461" s="163">
        <v>0</v>
      </c>
      <c r="L461" s="130">
        <v>46137</v>
      </c>
      <c r="M461" s="136"/>
      <c r="N461" s="128" t="s">
        <v>982</v>
      </c>
      <c r="O461" s="130">
        <v>46139</v>
      </c>
      <c r="P461" s="128">
        <v>0</v>
      </c>
      <c r="Q461" s="128">
        <v>273</v>
      </c>
      <c r="R461" s="128">
        <v>0</v>
      </c>
      <c r="S461" s="128">
        <v>273</v>
      </c>
      <c r="T461" s="128">
        <v>273</v>
      </c>
      <c r="U461" s="163">
        <v>0</v>
      </c>
      <c r="V461" s="163">
        <v>0</v>
      </c>
      <c r="W461" s="169">
        <v>163.80000000000001</v>
      </c>
      <c r="X461" s="169">
        <v>163.80000000000001</v>
      </c>
      <c r="Y461" s="169">
        <v>1124050.2</v>
      </c>
      <c r="Z461" s="165"/>
      <c r="AA461" s="169">
        <v>28101.26</v>
      </c>
      <c r="AB461" s="169">
        <v>28101.26</v>
      </c>
      <c r="AC461" s="169">
        <v>1180252.71</v>
      </c>
      <c r="AD461" s="197">
        <f t="shared" si="264"/>
        <v>1179072.45729</v>
      </c>
      <c r="AE461" s="147">
        <v>40.590000000000003</v>
      </c>
      <c r="AF461" s="169">
        <v>39.61</v>
      </c>
      <c r="AG461" s="147">
        <v>40.53</v>
      </c>
      <c r="AH461" s="170">
        <v>2.8999999999999998E-3</v>
      </c>
      <c r="AI461" s="170">
        <v>3.6799999999999999E-2</v>
      </c>
      <c r="AJ461" s="170">
        <v>0.05</v>
      </c>
      <c r="AK461" s="155">
        <f t="shared" si="300"/>
        <v>0</v>
      </c>
      <c r="AL461" s="157">
        <f>273*5</f>
        <v>1365</v>
      </c>
      <c r="AM461" s="157"/>
      <c r="AN461" s="165">
        <v>0</v>
      </c>
      <c r="AO461" s="140">
        <f t="shared" si="301"/>
        <v>0</v>
      </c>
      <c r="AP461" s="136"/>
      <c r="AQ461" s="137">
        <v>0</v>
      </c>
      <c r="AR461" s="155">
        <f t="shared" si="302"/>
        <v>1365</v>
      </c>
      <c r="AS461" s="155">
        <f t="shared" si="303"/>
        <v>1433</v>
      </c>
      <c r="AT461" s="137">
        <v>0</v>
      </c>
      <c r="AU461" s="136"/>
      <c r="AV461" s="136"/>
      <c r="AW461" s="137">
        <f t="shared" si="304"/>
        <v>16380.000000000002</v>
      </c>
      <c r="AX461" s="136"/>
      <c r="AY461" s="137">
        <f t="shared" si="305"/>
        <v>16380.000000000002</v>
      </c>
      <c r="AZ461" s="137">
        <f t="shared" si="306"/>
        <v>16380.000000000002</v>
      </c>
      <c r="BA461" s="142">
        <f t="shared" si="307"/>
        <v>0</v>
      </c>
      <c r="BB461" s="137"/>
      <c r="BC461" s="137">
        <v>0</v>
      </c>
      <c r="BD461" s="136"/>
      <c r="BE461" s="128">
        <v>163.80000000000001</v>
      </c>
      <c r="BF461" s="143">
        <f t="shared" si="308"/>
        <v>0.2457</v>
      </c>
      <c r="BG461" s="143">
        <f t="shared" si="309"/>
        <v>163.55430000000001</v>
      </c>
      <c r="BH461" s="143">
        <f t="shared" si="310"/>
        <v>163.80000000000001</v>
      </c>
      <c r="BI461" s="144">
        <f t="shared" si="311"/>
        <v>0</v>
      </c>
      <c r="BJ461" s="144">
        <v>0</v>
      </c>
      <c r="BK461" s="137">
        <f t="shared" si="312"/>
        <v>0</v>
      </c>
      <c r="BL461" s="18"/>
      <c r="BM461" s="25" t="str">
        <f t="shared" si="313"/>
        <v>Unloading no. 442 Bill No G1685 ,Deduction For Oil Deduction= 0 ,Bardana= 1365 ,F.M=  Brokerage/Rate Difference 0 ,Shortage = 0 ,Greenish=  ,Moisture= 0</v>
      </c>
      <c r="BN461" s="17"/>
      <c r="BO461" s="13" t="str">
        <f t="shared" si="299"/>
        <v xml:space="preserve"> Party Condition 39.61  ,F.M% 0.29 ,Greenish 3.68 ,Moisture 5 ,Shortage in KG= 0  ,Oil% 40.53</v>
      </c>
      <c r="BP461" s="19">
        <f t="shared" si="314"/>
        <v>6853.9999999999991</v>
      </c>
      <c r="BX461" s="30">
        <v>40.590000000000003</v>
      </c>
      <c r="BY461" s="30">
        <v>40.53</v>
      </c>
    </row>
    <row r="462" spans="1:77" s="26" customFormat="1" ht="14.1" hidden="1" customHeight="1" x14ac:dyDescent="0.3">
      <c r="A462" s="128" t="s">
        <v>897</v>
      </c>
      <c r="B462" s="201">
        <v>46135</v>
      </c>
      <c r="C462" s="200">
        <v>442</v>
      </c>
      <c r="D462" s="128" t="s">
        <v>955</v>
      </c>
      <c r="E462" s="130">
        <v>46142</v>
      </c>
      <c r="F462" s="128" t="s">
        <v>110</v>
      </c>
      <c r="G462" s="128" t="s">
        <v>111</v>
      </c>
      <c r="H462" s="128" t="s">
        <v>112</v>
      </c>
      <c r="I462" s="157"/>
      <c r="J462" s="163" t="s">
        <v>113</v>
      </c>
      <c r="K462" s="163">
        <v>0</v>
      </c>
      <c r="L462" s="130">
        <v>46135</v>
      </c>
      <c r="M462" s="136"/>
      <c r="N462" s="128" t="s">
        <v>983</v>
      </c>
      <c r="O462" s="130">
        <v>46139</v>
      </c>
      <c r="P462" s="128">
        <v>0</v>
      </c>
      <c r="Q462" s="128">
        <v>199</v>
      </c>
      <c r="R462" s="128">
        <v>48</v>
      </c>
      <c r="S462" s="128">
        <v>247</v>
      </c>
      <c r="T462" s="128">
        <v>247</v>
      </c>
      <c r="U462" s="163">
        <v>0</v>
      </c>
      <c r="V462" s="163">
        <v>0</v>
      </c>
      <c r="W462" s="169">
        <v>148.19999999999999</v>
      </c>
      <c r="X462" s="169">
        <v>148.19999999999999</v>
      </c>
      <c r="Y462" s="169">
        <v>1012700</v>
      </c>
      <c r="Z462" s="165"/>
      <c r="AA462" s="169">
        <v>25317.5</v>
      </c>
      <c r="AB462" s="169">
        <v>25317.5</v>
      </c>
      <c r="AC462" s="169">
        <v>1063335</v>
      </c>
      <c r="AD462" s="197">
        <f t="shared" si="264"/>
        <v>1062271.665</v>
      </c>
      <c r="AE462" s="147">
        <v>40.590000000000003</v>
      </c>
      <c r="AF462" s="169">
        <v>39.67</v>
      </c>
      <c r="AG462" s="147">
        <v>40.53</v>
      </c>
      <c r="AH462" s="170">
        <v>2.8999999999999998E-3</v>
      </c>
      <c r="AI462" s="170">
        <v>3.6799999999999999E-2</v>
      </c>
      <c r="AJ462" s="170">
        <v>0.05</v>
      </c>
      <c r="AK462" s="155">
        <f t="shared" si="300"/>
        <v>0</v>
      </c>
      <c r="AL462" s="157">
        <f>247*5</f>
        <v>1235</v>
      </c>
      <c r="AM462" s="157"/>
      <c r="AN462" s="165">
        <v>0</v>
      </c>
      <c r="AO462" s="140">
        <f t="shared" si="301"/>
        <v>0</v>
      </c>
      <c r="AP462" s="136"/>
      <c r="AQ462" s="137">
        <v>0</v>
      </c>
      <c r="AR462" s="155">
        <f t="shared" si="302"/>
        <v>1235</v>
      </c>
      <c r="AS462" s="155">
        <f t="shared" si="303"/>
        <v>1297</v>
      </c>
      <c r="AT462" s="137">
        <v>0</v>
      </c>
      <c r="AU462" s="136"/>
      <c r="AV462" s="136"/>
      <c r="AW462" s="137">
        <f t="shared" si="304"/>
        <v>14819.999999999998</v>
      </c>
      <c r="AX462" s="136"/>
      <c r="AY462" s="137">
        <f t="shared" si="305"/>
        <v>14819.999999999998</v>
      </c>
      <c r="AZ462" s="137">
        <f t="shared" si="306"/>
        <v>14819.999999999998</v>
      </c>
      <c r="BA462" s="142">
        <f t="shared" si="307"/>
        <v>0</v>
      </c>
      <c r="BB462" s="137"/>
      <c r="BC462" s="137">
        <v>0</v>
      </c>
      <c r="BD462" s="136"/>
      <c r="BE462" s="128">
        <v>148.19999999999999</v>
      </c>
      <c r="BF462" s="143">
        <f t="shared" si="308"/>
        <v>0.22229999999999997</v>
      </c>
      <c r="BG462" s="143">
        <f t="shared" si="309"/>
        <v>147.9777</v>
      </c>
      <c r="BH462" s="143">
        <f t="shared" si="310"/>
        <v>148.19999999999999</v>
      </c>
      <c r="BI462" s="144">
        <f t="shared" si="311"/>
        <v>0</v>
      </c>
      <c r="BJ462" s="144">
        <v>0</v>
      </c>
      <c r="BK462" s="137">
        <f t="shared" si="312"/>
        <v>0</v>
      </c>
      <c r="BL462" s="18"/>
      <c r="BM462" s="25" t="str">
        <f t="shared" si="313"/>
        <v>Unloading no. 442 Bill No G1683 ,Deduction For Oil Deduction= 0 ,Bardana= 1235 ,F.M=  Brokerage/Rate Difference 0 ,Shortage = 0 ,Greenish=  ,Moisture= 0</v>
      </c>
      <c r="BN462" s="17"/>
      <c r="BO462" s="13" t="str">
        <f t="shared" si="299"/>
        <v xml:space="preserve"> Party Condition 39.67  ,F.M% 0.29 ,Greenish 3.68 ,Moisture 5 ,Shortage in KG= 0  ,Oil% 40.53</v>
      </c>
      <c r="BP462" s="19">
        <f t="shared" si="314"/>
        <v>6825.0000000000009</v>
      </c>
      <c r="BX462" s="30">
        <v>40.590000000000003</v>
      </c>
      <c r="BY462" s="30">
        <v>40.53</v>
      </c>
    </row>
    <row r="463" spans="1:77" s="26" customFormat="1" ht="14.1" hidden="1" customHeight="1" x14ac:dyDescent="0.3">
      <c r="A463" s="128" t="s">
        <v>934</v>
      </c>
      <c r="B463" s="201">
        <v>46137</v>
      </c>
      <c r="C463" s="200">
        <v>442</v>
      </c>
      <c r="D463" s="128" t="s">
        <v>955</v>
      </c>
      <c r="E463" s="130">
        <v>46142</v>
      </c>
      <c r="F463" s="128" t="s">
        <v>110</v>
      </c>
      <c r="G463" s="128" t="s">
        <v>111</v>
      </c>
      <c r="H463" s="128" t="s">
        <v>112</v>
      </c>
      <c r="I463" s="157"/>
      <c r="J463" s="163" t="s">
        <v>113</v>
      </c>
      <c r="K463" s="163">
        <v>0</v>
      </c>
      <c r="L463" s="130">
        <v>46137</v>
      </c>
      <c r="M463" s="136"/>
      <c r="N463" s="128" t="s">
        <v>984</v>
      </c>
      <c r="O463" s="130">
        <v>46139</v>
      </c>
      <c r="P463" s="128">
        <v>0</v>
      </c>
      <c r="Q463" s="128">
        <v>0</v>
      </c>
      <c r="R463" s="128">
        <v>32</v>
      </c>
      <c r="S463" s="128">
        <v>32</v>
      </c>
      <c r="T463" s="128">
        <v>32</v>
      </c>
      <c r="U463" s="163">
        <v>0</v>
      </c>
      <c r="V463" s="163">
        <v>0</v>
      </c>
      <c r="W463" s="169">
        <v>19.2</v>
      </c>
      <c r="X463" s="169">
        <v>23.4</v>
      </c>
      <c r="Y463" s="169">
        <v>131852.79999999999</v>
      </c>
      <c r="Z463" s="165"/>
      <c r="AA463" s="169">
        <v>3296.32</v>
      </c>
      <c r="AB463" s="169">
        <v>3296.32</v>
      </c>
      <c r="AC463" s="169">
        <v>138445.44</v>
      </c>
      <c r="AD463" s="197">
        <f t="shared" si="264"/>
        <v>138306.99455999999</v>
      </c>
      <c r="AE463" s="147">
        <v>40.590000000000003</v>
      </c>
      <c r="AF463" s="169">
        <v>39.729999999999997</v>
      </c>
      <c r="AG463" s="147">
        <v>40.020000000000003</v>
      </c>
      <c r="AH463" s="170">
        <v>2.8999999999999998E-3</v>
      </c>
      <c r="AI463" s="170">
        <v>3.6799999999999999E-2</v>
      </c>
      <c r="AJ463" s="170">
        <v>0.05</v>
      </c>
      <c r="AK463" s="155">
        <f t="shared" si="300"/>
        <v>0</v>
      </c>
      <c r="AL463" s="157">
        <f>32*5</f>
        <v>160</v>
      </c>
      <c r="AM463" s="157"/>
      <c r="AN463" s="165">
        <v>0</v>
      </c>
      <c r="AO463" s="140">
        <f t="shared" si="301"/>
        <v>0</v>
      </c>
      <c r="AP463" s="136"/>
      <c r="AQ463" s="137">
        <v>0</v>
      </c>
      <c r="AR463" s="155">
        <f t="shared" si="302"/>
        <v>160</v>
      </c>
      <c r="AS463" s="155">
        <f t="shared" si="303"/>
        <v>168</v>
      </c>
      <c r="AT463" s="137">
        <v>0</v>
      </c>
      <c r="AU463" s="136"/>
      <c r="AV463" s="136"/>
      <c r="AW463" s="137">
        <f t="shared" si="304"/>
        <v>1920</v>
      </c>
      <c r="AX463" s="136"/>
      <c r="AY463" s="137">
        <f t="shared" si="305"/>
        <v>1920</v>
      </c>
      <c r="AZ463" s="137">
        <f t="shared" si="306"/>
        <v>2340</v>
      </c>
      <c r="BA463" s="142">
        <f t="shared" si="307"/>
        <v>-420</v>
      </c>
      <c r="BB463" s="137"/>
      <c r="BC463" s="137">
        <v>0</v>
      </c>
      <c r="BD463" s="136"/>
      <c r="BE463" s="128">
        <v>23.5</v>
      </c>
      <c r="BF463" s="143">
        <f t="shared" si="308"/>
        <v>3.5249999999999997E-2</v>
      </c>
      <c r="BG463" s="143">
        <f t="shared" si="309"/>
        <v>23.464749999999999</v>
      </c>
      <c r="BH463" s="143">
        <f t="shared" si="310"/>
        <v>23.4</v>
      </c>
      <c r="BI463" s="144">
        <f t="shared" si="311"/>
        <v>10.000000000000142</v>
      </c>
      <c r="BJ463" s="144">
        <v>0</v>
      </c>
      <c r="BK463" s="137">
        <f t="shared" si="312"/>
        <v>10.000000000000142</v>
      </c>
      <c r="BL463" s="18"/>
      <c r="BM463" s="25" t="str">
        <f t="shared" si="313"/>
        <v>Unloading no. 442 Bill No G1684 ,Deduction For Oil Deduction= 0 ,Bardana= 160 ,F.M=  Brokerage/Rate Difference 0 ,Shortage = 0 ,Greenish=  ,Moisture= 0</v>
      </c>
      <c r="BN463" s="17"/>
      <c r="BO463" s="13" t="str">
        <f t="shared" si="299"/>
        <v xml:space="preserve"> Party Condition 39.73  ,F.M% 0.29 ,Greenish 3.68 ,Moisture 5 ,Shortage in KG= 0  ,Oil% 40.02</v>
      </c>
      <c r="BP463" s="19">
        <f t="shared" si="314"/>
        <v>5627.8974358974356</v>
      </c>
      <c r="BX463" s="30">
        <v>40.590000000000003</v>
      </c>
      <c r="BY463" s="30">
        <v>40.020000000000003</v>
      </c>
    </row>
    <row r="464" spans="1:77" s="26" customFormat="1" ht="14.1" hidden="1" customHeight="1" x14ac:dyDescent="0.3">
      <c r="A464" s="128" t="s">
        <v>935</v>
      </c>
      <c r="B464" s="201">
        <v>46139</v>
      </c>
      <c r="C464" s="135">
        <v>443</v>
      </c>
      <c r="D464" s="128" t="s">
        <v>956</v>
      </c>
      <c r="E464" s="130">
        <v>46142</v>
      </c>
      <c r="F464" s="128" t="s">
        <v>436</v>
      </c>
      <c r="G464" s="128" t="s">
        <v>437</v>
      </c>
      <c r="H464" s="128" t="s">
        <v>438</v>
      </c>
      <c r="I464" s="157"/>
      <c r="J464" s="163" t="s">
        <v>113</v>
      </c>
      <c r="K464" s="163">
        <v>0</v>
      </c>
      <c r="L464" s="130">
        <v>46139</v>
      </c>
      <c r="M464" s="136"/>
      <c r="N464" s="128">
        <v>74</v>
      </c>
      <c r="O464" s="130">
        <v>46139</v>
      </c>
      <c r="P464" s="128">
        <v>0</v>
      </c>
      <c r="Q464" s="128">
        <v>420</v>
      </c>
      <c r="R464" s="128">
        <v>95</v>
      </c>
      <c r="S464" s="128">
        <v>515</v>
      </c>
      <c r="T464" s="128">
        <v>515</v>
      </c>
      <c r="U464" s="163">
        <v>0</v>
      </c>
      <c r="V464" s="163">
        <v>0</v>
      </c>
      <c r="W464" s="169">
        <v>309</v>
      </c>
      <c r="X464" s="169">
        <v>314.3</v>
      </c>
      <c r="Y464" s="169">
        <v>2113828.83</v>
      </c>
      <c r="Z464" s="165"/>
      <c r="AA464" s="169">
        <v>52845.72</v>
      </c>
      <c r="AB464" s="169">
        <v>52845.72</v>
      </c>
      <c r="AC464" s="169">
        <v>2219520.27</v>
      </c>
      <c r="AD464" s="197">
        <f t="shared" si="264"/>
        <v>2217300.7497299998</v>
      </c>
      <c r="AE464" s="147">
        <v>40.880000000000003</v>
      </c>
      <c r="AF464" s="169">
        <v>39.5</v>
      </c>
      <c r="AG464" s="147">
        <v>40.909999999999997</v>
      </c>
      <c r="AH464" s="170">
        <v>3.2000000000000002E-3</v>
      </c>
      <c r="AI464" s="170">
        <v>3.56E-2</v>
      </c>
      <c r="AJ464" s="170">
        <v>5.0999999999999997E-2</v>
      </c>
      <c r="AK464" s="155">
        <f t="shared" si="300"/>
        <v>0</v>
      </c>
      <c r="AL464" s="157">
        <v>0</v>
      </c>
      <c r="AM464" s="157"/>
      <c r="AN464" s="165">
        <v>0</v>
      </c>
      <c r="AO464" s="140">
        <f t="shared" si="301"/>
        <v>0</v>
      </c>
      <c r="AP464" s="136"/>
      <c r="AQ464" s="137">
        <v>0</v>
      </c>
      <c r="AR464" s="155">
        <f t="shared" si="302"/>
        <v>0</v>
      </c>
      <c r="AS464" s="155">
        <f t="shared" si="303"/>
        <v>0</v>
      </c>
      <c r="AT464" s="137">
        <v>0</v>
      </c>
      <c r="AU464" s="136"/>
      <c r="AV464" s="136"/>
      <c r="AW464" s="137">
        <f t="shared" si="304"/>
        <v>30900</v>
      </c>
      <c r="AX464" s="136"/>
      <c r="AY464" s="137">
        <f t="shared" si="305"/>
        <v>30900</v>
      </c>
      <c r="AZ464" s="137">
        <f t="shared" si="306"/>
        <v>31430</v>
      </c>
      <c r="BA464" s="142">
        <f t="shared" si="307"/>
        <v>-530</v>
      </c>
      <c r="BB464" s="137"/>
      <c r="BC464" s="137">
        <v>0</v>
      </c>
      <c r="BD464" s="136"/>
      <c r="BE464" s="128">
        <v>314.2</v>
      </c>
      <c r="BF464" s="143">
        <f t="shared" si="308"/>
        <v>0.47129999999999994</v>
      </c>
      <c r="BG464" s="143">
        <f t="shared" si="309"/>
        <v>313.7287</v>
      </c>
      <c r="BH464" s="143">
        <f t="shared" si="310"/>
        <v>314.3</v>
      </c>
      <c r="BI464" s="144">
        <f t="shared" si="311"/>
        <v>-10.000000000002274</v>
      </c>
      <c r="BJ464" s="144">
        <v>0</v>
      </c>
      <c r="BK464" s="137">
        <f t="shared" si="312"/>
        <v>-10.000000000002274</v>
      </c>
      <c r="BL464" s="18"/>
      <c r="BM464" s="25" t="str">
        <f t="shared" si="313"/>
        <v>Unloading no. 443 Bill No 74 ,Deduction For Oil Deduction= 0 ,Bardana= 0 ,F.M=  Brokerage/Rate Difference 0 ,Shortage = 0 ,Greenish=  ,Moisture= 0</v>
      </c>
      <c r="BN464" s="17"/>
      <c r="BO464" s="13" t="str">
        <f t="shared" si="299"/>
        <v xml:space="preserve"> Party Condition 39.5  ,F.M% 0.32 ,Greenish 3.56 ,Moisture 5.1 ,Shortage in KG= 0  ,Oil% 40.88</v>
      </c>
      <c r="BP464" s="19">
        <f t="shared" si="314"/>
        <v>6725.5132993954821</v>
      </c>
      <c r="BX464" s="30">
        <v>40.880000000000003</v>
      </c>
      <c r="BY464" s="30">
        <v>40.909999999999997</v>
      </c>
    </row>
    <row r="465" spans="1:77" s="26" customFormat="1" ht="14.1" hidden="1" customHeight="1" x14ac:dyDescent="0.3">
      <c r="A465" s="128" t="s">
        <v>890</v>
      </c>
      <c r="B465" s="201">
        <v>46137</v>
      </c>
      <c r="C465" s="135">
        <v>444</v>
      </c>
      <c r="D465" s="128" t="s">
        <v>957</v>
      </c>
      <c r="E465" s="130">
        <v>46142</v>
      </c>
      <c r="F465" s="128" t="s">
        <v>95</v>
      </c>
      <c r="G465" s="128" t="s">
        <v>96</v>
      </c>
      <c r="H465" s="128" t="s">
        <v>97</v>
      </c>
      <c r="I465" s="157"/>
      <c r="J465" s="163" t="s">
        <v>113</v>
      </c>
      <c r="K465" s="163">
        <v>0</v>
      </c>
      <c r="L465" s="130">
        <v>46137</v>
      </c>
      <c r="M465" s="136"/>
      <c r="N465" s="128">
        <v>131</v>
      </c>
      <c r="O465" s="130">
        <v>46139</v>
      </c>
      <c r="P465" s="128">
        <v>0</v>
      </c>
      <c r="Q465" s="128">
        <v>0</v>
      </c>
      <c r="R465" s="128">
        <v>406</v>
      </c>
      <c r="S465" s="128">
        <v>406</v>
      </c>
      <c r="T465" s="128">
        <v>406</v>
      </c>
      <c r="U465" s="163">
        <v>0</v>
      </c>
      <c r="V465" s="163">
        <v>0</v>
      </c>
      <c r="W465" s="169">
        <v>243.6</v>
      </c>
      <c r="X465" s="169">
        <v>245.6</v>
      </c>
      <c r="Y465" s="169">
        <v>1695991.92</v>
      </c>
      <c r="Z465" s="165"/>
      <c r="AA465" s="169">
        <v>42399.8</v>
      </c>
      <c r="AB465" s="169">
        <v>42399.8</v>
      </c>
      <c r="AC465" s="169">
        <v>1780791.52</v>
      </c>
      <c r="AD465" s="197">
        <f t="shared" si="264"/>
        <v>1779010.72848</v>
      </c>
      <c r="AE465" s="147">
        <v>40.119999999999997</v>
      </c>
      <c r="AF465" s="169">
        <v>40.090000000000003</v>
      </c>
      <c r="AG465" s="147">
        <v>40.020000000000003</v>
      </c>
      <c r="AH465" s="170">
        <v>3.3999999999999998E-3</v>
      </c>
      <c r="AI465" s="170">
        <v>3.49E-2</v>
      </c>
      <c r="AJ465" s="170">
        <v>4.4999999999999998E-2</v>
      </c>
      <c r="AK465" s="155">
        <v>0</v>
      </c>
      <c r="AL465" s="157">
        <v>0</v>
      </c>
      <c r="AM465" s="157"/>
      <c r="AN465" s="165">
        <v>0</v>
      </c>
      <c r="AO465" s="140">
        <f t="shared" si="301"/>
        <v>4595.0519999999997</v>
      </c>
      <c r="AP465" s="136"/>
      <c r="AQ465" s="137">
        <v>0</v>
      </c>
      <c r="AR465" s="155">
        <f t="shared" si="302"/>
        <v>4595.0519999999997</v>
      </c>
      <c r="AS465" s="155">
        <f t="shared" si="303"/>
        <v>4825</v>
      </c>
      <c r="AT465" s="137">
        <v>66</v>
      </c>
      <c r="AU465" s="136"/>
      <c r="AV465" s="136"/>
      <c r="AW465" s="137">
        <f t="shared" si="304"/>
        <v>24360</v>
      </c>
      <c r="AX465" s="136"/>
      <c r="AY465" s="137">
        <f t="shared" si="305"/>
        <v>24360</v>
      </c>
      <c r="AZ465" s="137">
        <f t="shared" si="306"/>
        <v>24560</v>
      </c>
      <c r="BA465" s="142">
        <f t="shared" si="307"/>
        <v>-200</v>
      </c>
      <c r="BB465" s="137"/>
      <c r="BC465" s="137">
        <v>0</v>
      </c>
      <c r="BD465" s="136"/>
      <c r="BE465" s="128">
        <v>246.2</v>
      </c>
      <c r="BF465" s="143">
        <f t="shared" si="308"/>
        <v>0.36930000000000002</v>
      </c>
      <c r="BG465" s="143">
        <f t="shared" si="309"/>
        <v>245.83069999999998</v>
      </c>
      <c r="BH465" s="143">
        <f t="shared" si="310"/>
        <v>245.6</v>
      </c>
      <c r="BI465" s="144">
        <f t="shared" si="311"/>
        <v>59.999999999999432</v>
      </c>
      <c r="BJ465" s="144">
        <v>0</v>
      </c>
      <c r="BK465" s="137">
        <f t="shared" si="312"/>
        <v>59.999999999999432</v>
      </c>
      <c r="BL465" s="18"/>
      <c r="BM465" s="25" t="str">
        <f t="shared" si="313"/>
        <v>Unloading no. 444 Bill No 131 ,Deduction For Oil Deduction= 0 ,Bardana= 0 ,F.M=  Brokerage/Rate Difference 0 ,Shortage = 4595.052 ,Greenish=  ,Moisture= 0</v>
      </c>
      <c r="BN465" s="17"/>
      <c r="BO465" s="13" t="str">
        <f t="shared" si="299"/>
        <v xml:space="preserve"> Party Condition 40.09  ,F.M% 0.34 ,Greenish 3.49 ,Moisture 4.5 ,Shortage in KG= 66  ,Oil% 40.02</v>
      </c>
      <c r="BP465" s="19">
        <f t="shared" si="314"/>
        <v>6886.7950651465799</v>
      </c>
      <c r="BX465" s="30">
        <v>40.119999999999997</v>
      </c>
      <c r="BY465" s="30">
        <v>40.020000000000003</v>
      </c>
    </row>
    <row r="466" spans="1:77" s="26" customFormat="1" ht="14.1" hidden="1" customHeight="1" x14ac:dyDescent="0.3">
      <c r="A466" s="128" t="s">
        <v>895</v>
      </c>
      <c r="B466" s="201">
        <v>46137</v>
      </c>
      <c r="C466" s="135">
        <v>445</v>
      </c>
      <c r="D466" s="128" t="s">
        <v>958</v>
      </c>
      <c r="E466" s="130">
        <v>46142</v>
      </c>
      <c r="F466" s="128" t="s">
        <v>104</v>
      </c>
      <c r="G466" s="128" t="s">
        <v>105</v>
      </c>
      <c r="H466" s="128" t="s">
        <v>106</v>
      </c>
      <c r="I466" s="157"/>
      <c r="J466" s="163" t="s">
        <v>113</v>
      </c>
      <c r="K466" s="163">
        <v>0</v>
      </c>
      <c r="L466" s="130">
        <v>46137</v>
      </c>
      <c r="M466" s="136"/>
      <c r="N466" s="128" t="s">
        <v>985</v>
      </c>
      <c r="O466" s="130">
        <v>46138</v>
      </c>
      <c r="P466" s="128">
        <v>0</v>
      </c>
      <c r="Q466" s="128">
        <v>556</v>
      </c>
      <c r="R466" s="128">
        <v>110</v>
      </c>
      <c r="S466" s="128">
        <v>666</v>
      </c>
      <c r="T466" s="128">
        <v>666</v>
      </c>
      <c r="U466" s="163">
        <v>0</v>
      </c>
      <c r="V466" s="163">
        <v>0</v>
      </c>
      <c r="W466" s="169">
        <v>333</v>
      </c>
      <c r="X466" s="169">
        <v>337.3</v>
      </c>
      <c r="Y466" s="169">
        <v>2286204.84</v>
      </c>
      <c r="Z466" s="165"/>
      <c r="AA466" s="169">
        <v>57155.12</v>
      </c>
      <c r="AB466" s="169">
        <v>57155.12</v>
      </c>
      <c r="AC466" s="169">
        <v>2400515.08</v>
      </c>
      <c r="AD466" s="197">
        <f t="shared" si="264"/>
        <v>2398114.5649200003</v>
      </c>
      <c r="AE466" s="147">
        <v>40.07</v>
      </c>
      <c r="AF466" s="169">
        <v>39.4</v>
      </c>
      <c r="AG466" s="147">
        <v>40.01</v>
      </c>
      <c r="AH466" s="170">
        <v>3.0000000000000001E-3</v>
      </c>
      <c r="AI466" s="170">
        <v>3.4200000000000001E-2</v>
      </c>
      <c r="AJ466" s="170">
        <v>5.2999999999999999E-2</v>
      </c>
      <c r="AK466" s="155">
        <f t="shared" si="300"/>
        <v>0</v>
      </c>
      <c r="AL466" s="157">
        <f>666*2</f>
        <v>1332</v>
      </c>
      <c r="AM466" s="157"/>
      <c r="AN466" s="165">
        <v>0</v>
      </c>
      <c r="AO466" s="140">
        <f t="shared" si="301"/>
        <v>1304.4411999999998</v>
      </c>
      <c r="AP466" s="136"/>
      <c r="AQ466" s="137">
        <v>0</v>
      </c>
      <c r="AR466" s="155">
        <f t="shared" si="302"/>
        <v>2636.4411999999998</v>
      </c>
      <c r="AS466" s="155">
        <f t="shared" si="303"/>
        <v>2768</v>
      </c>
      <c r="AT466" s="137">
        <v>19</v>
      </c>
      <c r="AU466" s="136"/>
      <c r="AV466" s="136"/>
      <c r="AW466" s="137">
        <f t="shared" si="304"/>
        <v>33300</v>
      </c>
      <c r="AX466" s="136"/>
      <c r="AY466" s="137">
        <f t="shared" si="305"/>
        <v>33300</v>
      </c>
      <c r="AZ466" s="137">
        <f t="shared" si="306"/>
        <v>33730</v>
      </c>
      <c r="BA466" s="142">
        <f t="shared" si="307"/>
        <v>-430</v>
      </c>
      <c r="BB466" s="137"/>
      <c r="BC466" s="137">
        <v>0</v>
      </c>
      <c r="BD466" s="136"/>
      <c r="BE466" s="128">
        <v>338.4</v>
      </c>
      <c r="BF466" s="143">
        <f t="shared" si="308"/>
        <v>0.50759999999999994</v>
      </c>
      <c r="BG466" s="143">
        <f t="shared" si="309"/>
        <v>337.89239999999995</v>
      </c>
      <c r="BH466" s="143">
        <f t="shared" si="310"/>
        <v>337.3</v>
      </c>
      <c r="BI466" s="144">
        <f t="shared" si="311"/>
        <v>109.99999999999659</v>
      </c>
      <c r="BJ466" s="144">
        <v>0</v>
      </c>
      <c r="BK466" s="137">
        <f t="shared" si="312"/>
        <v>109.99999999999659</v>
      </c>
      <c r="BL466" s="18"/>
      <c r="BM466" s="25" t="str">
        <f t="shared" si="313"/>
        <v>Unloading no. 445 Bill No MTC/2026-27/0120 ,Deduction For Oil Deduction= 0 ,Bardana= 1332 ,F.M=  Brokerage/Rate Difference 0 ,Shortage = 1304.4412 ,Greenish=  ,Moisture= 0</v>
      </c>
      <c r="BN466" s="17"/>
      <c r="BO466" s="13" t="str">
        <f t="shared" si="299"/>
        <v xml:space="preserve"> Party Condition 39.4  ,F.M% 0.3 ,Greenish 3.42 ,Moisture 5.3 ,Shortage in KG= 19  ,Oil% 40.01</v>
      </c>
      <c r="BP466" s="19">
        <f t="shared" si="314"/>
        <v>6770.140524162467</v>
      </c>
      <c r="BX466" s="27">
        <v>40.07</v>
      </c>
      <c r="BY466" s="27">
        <v>40.01</v>
      </c>
    </row>
    <row r="467" spans="1:77" s="26" customFormat="1" ht="14.1" hidden="1" customHeight="1" x14ac:dyDescent="0.3">
      <c r="A467" s="128" t="s">
        <v>896</v>
      </c>
      <c r="B467" s="201">
        <v>46136</v>
      </c>
      <c r="C467" s="135">
        <v>446</v>
      </c>
      <c r="D467" s="128" t="s">
        <v>959</v>
      </c>
      <c r="E467" s="130">
        <v>46142</v>
      </c>
      <c r="F467" s="128" t="s">
        <v>104</v>
      </c>
      <c r="G467" s="128" t="s">
        <v>105</v>
      </c>
      <c r="H467" s="128" t="s">
        <v>106</v>
      </c>
      <c r="I467" s="157"/>
      <c r="J467" s="163" t="s">
        <v>113</v>
      </c>
      <c r="K467" s="163">
        <v>0</v>
      </c>
      <c r="L467" s="130">
        <v>46136</v>
      </c>
      <c r="M467" s="136"/>
      <c r="N467" s="128" t="s">
        <v>986</v>
      </c>
      <c r="O467" s="130">
        <v>46138</v>
      </c>
      <c r="P467" s="128">
        <v>0</v>
      </c>
      <c r="Q467" s="128">
        <v>200</v>
      </c>
      <c r="R467" s="128">
        <v>63</v>
      </c>
      <c r="S467" s="128">
        <v>263</v>
      </c>
      <c r="T467" s="128">
        <v>263</v>
      </c>
      <c r="U467" s="163">
        <v>0</v>
      </c>
      <c r="V467" s="163">
        <v>0</v>
      </c>
      <c r="W467" s="169">
        <v>131.5</v>
      </c>
      <c r="X467" s="169">
        <v>133.6</v>
      </c>
      <c r="Y467" s="169">
        <v>894900.9</v>
      </c>
      <c r="Z467" s="165"/>
      <c r="AA467" s="169">
        <v>22372.52</v>
      </c>
      <c r="AB467" s="169">
        <v>22372.52</v>
      </c>
      <c r="AC467" s="169">
        <v>939645.95</v>
      </c>
      <c r="AD467" s="197">
        <f t="shared" si="264"/>
        <v>938706.30404999992</v>
      </c>
      <c r="AE467" s="147">
        <v>40.15</v>
      </c>
      <c r="AF467" s="169">
        <v>39.5</v>
      </c>
      <c r="AG467" s="147">
        <v>40.130000000000003</v>
      </c>
      <c r="AH467" s="170">
        <v>2.8999999999999998E-3</v>
      </c>
      <c r="AI467" s="170">
        <v>3.5299999999999998E-2</v>
      </c>
      <c r="AJ467" s="170">
        <v>4.2999999999999997E-2</v>
      </c>
      <c r="AK467" s="155">
        <f t="shared" si="300"/>
        <v>0</v>
      </c>
      <c r="AL467" s="157">
        <f>263*2</f>
        <v>526</v>
      </c>
      <c r="AM467" s="157"/>
      <c r="AN467" s="165">
        <v>0</v>
      </c>
      <c r="AO467" s="140">
        <f t="shared" si="301"/>
        <v>0</v>
      </c>
      <c r="AP467" s="136"/>
      <c r="AQ467" s="137">
        <v>0</v>
      </c>
      <c r="AR467" s="155">
        <f t="shared" si="302"/>
        <v>526</v>
      </c>
      <c r="AS467" s="155">
        <f t="shared" si="303"/>
        <v>552</v>
      </c>
      <c r="AT467" s="137">
        <v>0</v>
      </c>
      <c r="AU467" s="136"/>
      <c r="AV467" s="136"/>
      <c r="AW467" s="137">
        <f t="shared" si="304"/>
        <v>13150</v>
      </c>
      <c r="AX467" s="136"/>
      <c r="AY467" s="137">
        <f t="shared" si="305"/>
        <v>13150</v>
      </c>
      <c r="AZ467" s="137">
        <f t="shared" si="306"/>
        <v>13360</v>
      </c>
      <c r="BA467" s="142">
        <f t="shared" si="307"/>
        <v>-210</v>
      </c>
      <c r="BB467" s="137"/>
      <c r="BC467" s="137">
        <v>0</v>
      </c>
      <c r="BD467" s="136"/>
      <c r="BE467" s="128">
        <v>133.75</v>
      </c>
      <c r="BF467" s="143">
        <f t="shared" si="308"/>
        <v>0.200625</v>
      </c>
      <c r="BG467" s="143">
        <f t="shared" si="309"/>
        <v>133.549375</v>
      </c>
      <c r="BH467" s="143">
        <f t="shared" si="310"/>
        <v>133.6</v>
      </c>
      <c r="BI467" s="144">
        <f t="shared" si="311"/>
        <v>15.000000000000568</v>
      </c>
      <c r="BJ467" s="144">
        <v>0</v>
      </c>
      <c r="BK467" s="137">
        <f t="shared" si="312"/>
        <v>15.000000000000568</v>
      </c>
      <c r="BL467" s="18"/>
      <c r="BM467" s="25" t="str">
        <f t="shared" si="313"/>
        <v>Unloading no. 446 Bill No MTC/2026-27/0117 ,Deduction For Oil Deduction= 0 ,Bardana= 526 ,F.M=  Brokerage/Rate Difference 0 ,Shortage = 0 ,Greenish=  ,Moisture= 0</v>
      </c>
      <c r="BN467" s="17"/>
      <c r="BO467" s="13" t="str">
        <f t="shared" si="299"/>
        <v xml:space="preserve"> Party Condition 39.5  ,F.M% 0.29 ,Greenish 3.53 ,Moisture 4.3 ,Shortage in KG= 0  ,Oil% 40.13</v>
      </c>
      <c r="BP467" s="19">
        <f t="shared" si="314"/>
        <v>6694.4229041916169</v>
      </c>
      <c r="BX467" s="27">
        <v>40.15</v>
      </c>
      <c r="BY467" s="27">
        <v>40.130000000000003</v>
      </c>
    </row>
    <row r="468" spans="1:77" s="26" customFormat="1" ht="14.1" hidden="1" customHeight="1" x14ac:dyDescent="0.3">
      <c r="A468" s="128" t="s">
        <v>891</v>
      </c>
      <c r="B468" s="201">
        <v>46137</v>
      </c>
      <c r="C468" s="135">
        <v>447</v>
      </c>
      <c r="D468" s="128" t="s">
        <v>960</v>
      </c>
      <c r="E468" s="130">
        <v>46142</v>
      </c>
      <c r="F468" s="128" t="s">
        <v>101</v>
      </c>
      <c r="G468" s="128" t="s">
        <v>102</v>
      </c>
      <c r="H468" s="128" t="s">
        <v>97</v>
      </c>
      <c r="I468" s="157"/>
      <c r="J468" s="163" t="s">
        <v>113</v>
      </c>
      <c r="K468" s="163">
        <v>0</v>
      </c>
      <c r="L468" s="130">
        <v>46137</v>
      </c>
      <c r="M468" s="136"/>
      <c r="N468" s="128" t="s">
        <v>987</v>
      </c>
      <c r="O468" s="130">
        <v>46139</v>
      </c>
      <c r="P468" s="128">
        <v>0</v>
      </c>
      <c r="Q468" s="128">
        <v>579</v>
      </c>
      <c r="R468" s="128">
        <v>120</v>
      </c>
      <c r="S468" s="128">
        <v>699</v>
      </c>
      <c r="T468" s="128">
        <v>699</v>
      </c>
      <c r="U468" s="163">
        <v>0</v>
      </c>
      <c r="V468" s="163">
        <v>0</v>
      </c>
      <c r="W468" s="169">
        <v>419.4</v>
      </c>
      <c r="X468" s="169">
        <v>424.6</v>
      </c>
      <c r="Y468" s="169">
        <v>2917702.89</v>
      </c>
      <c r="Z468" s="165"/>
      <c r="AA468" s="169">
        <v>72942.570000000007</v>
      </c>
      <c r="AB468" s="169">
        <v>72942.570000000007</v>
      </c>
      <c r="AC468" s="169">
        <v>3063588.03</v>
      </c>
      <c r="AD468" s="197">
        <f t="shared" si="264"/>
        <v>3060524.4419699996</v>
      </c>
      <c r="AE468" s="147">
        <v>40.619999999999997</v>
      </c>
      <c r="AF468" s="169">
        <v>39.950000000000003</v>
      </c>
      <c r="AG468" s="147">
        <v>40.64</v>
      </c>
      <c r="AH468" s="170">
        <v>3.3E-3</v>
      </c>
      <c r="AI468" s="170">
        <v>3.3500000000000002E-2</v>
      </c>
      <c r="AJ468" s="170">
        <v>4.3999999999999997E-2</v>
      </c>
      <c r="AK468" s="155">
        <f t="shared" si="300"/>
        <v>0</v>
      </c>
      <c r="AL468" s="157">
        <v>0</v>
      </c>
      <c r="AM468" s="157"/>
      <c r="AN468" s="165">
        <v>0</v>
      </c>
      <c r="AO468" s="140">
        <f t="shared" si="301"/>
        <v>0</v>
      </c>
      <c r="AP468" s="136"/>
      <c r="AQ468" s="137">
        <v>0</v>
      </c>
      <c r="AR468" s="155">
        <f t="shared" si="302"/>
        <v>0</v>
      </c>
      <c r="AS468" s="155">
        <f t="shared" si="303"/>
        <v>0</v>
      </c>
      <c r="AT468" s="137">
        <v>0</v>
      </c>
      <c r="AU468" s="136"/>
      <c r="AV468" s="136"/>
      <c r="AW468" s="137">
        <f t="shared" si="304"/>
        <v>41940</v>
      </c>
      <c r="AX468" s="136"/>
      <c r="AY468" s="137">
        <f t="shared" si="305"/>
        <v>41940</v>
      </c>
      <c r="AZ468" s="137">
        <f t="shared" si="306"/>
        <v>42460</v>
      </c>
      <c r="BA468" s="142">
        <f t="shared" si="307"/>
        <v>-520</v>
      </c>
      <c r="BB468" s="137"/>
      <c r="BC468" s="137">
        <v>0</v>
      </c>
      <c r="BD468" s="136"/>
      <c r="BE468" s="128">
        <v>424.3</v>
      </c>
      <c r="BF468" s="143">
        <f t="shared" si="308"/>
        <v>0.63644999999999996</v>
      </c>
      <c r="BG468" s="143">
        <f t="shared" si="309"/>
        <v>423.66354999999999</v>
      </c>
      <c r="BH468" s="143">
        <f t="shared" si="310"/>
        <v>424.6</v>
      </c>
      <c r="BI468" s="144">
        <f t="shared" si="311"/>
        <v>-30.000000000001137</v>
      </c>
      <c r="BJ468" s="144">
        <v>0</v>
      </c>
      <c r="BK468" s="137">
        <f t="shared" si="312"/>
        <v>-30.000000000001137</v>
      </c>
      <c r="BL468" s="18"/>
      <c r="BM468" s="25" t="str">
        <f t="shared" si="313"/>
        <v>Unloading no. 447 Bill No L/PB/26-27/76 ,Deduction For Oil Deduction= 0 ,Bardana= 0 ,F.M=  Brokerage/Rate Difference 0 ,Shortage = 0 ,Greenish=  ,Moisture= 0</v>
      </c>
      <c r="BN468" s="17"/>
      <c r="BO468" s="13" t="str">
        <f t="shared" si="299"/>
        <v xml:space="preserve"> Party Condition 39.95  ,F.M% 0.33 ,Greenish 3.35 ,Moisture 4.4 ,Shortage in KG= 0  ,Oil% 40.62</v>
      </c>
      <c r="BP468" s="19">
        <f t="shared" si="314"/>
        <v>6871.6507065473388</v>
      </c>
      <c r="BX468" s="27">
        <v>40.619999999999997</v>
      </c>
      <c r="BY468" s="27">
        <v>40.64</v>
      </c>
    </row>
    <row r="469" spans="1:77" s="26" customFormat="1" ht="14.1" hidden="1" customHeight="1" x14ac:dyDescent="0.3">
      <c r="A469" s="128" t="s">
        <v>895</v>
      </c>
      <c r="B469" s="201">
        <v>46137</v>
      </c>
      <c r="C469" s="135">
        <v>448</v>
      </c>
      <c r="D469" s="128" t="s">
        <v>961</v>
      </c>
      <c r="E469" s="130">
        <v>46142</v>
      </c>
      <c r="F469" s="128" t="s">
        <v>104</v>
      </c>
      <c r="G469" s="128" t="s">
        <v>105</v>
      </c>
      <c r="H469" s="128" t="s">
        <v>106</v>
      </c>
      <c r="I469" s="157"/>
      <c r="J469" s="163" t="s">
        <v>113</v>
      </c>
      <c r="K469" s="163">
        <v>0</v>
      </c>
      <c r="L469" s="130">
        <v>46137</v>
      </c>
      <c r="M469" s="136"/>
      <c r="N469" s="128" t="s">
        <v>988</v>
      </c>
      <c r="O469" s="130">
        <v>46139</v>
      </c>
      <c r="P469" s="128">
        <v>0</v>
      </c>
      <c r="Q469" s="128">
        <v>396</v>
      </c>
      <c r="R469" s="128">
        <v>0</v>
      </c>
      <c r="S469" s="128">
        <v>396</v>
      </c>
      <c r="T469" s="128">
        <v>396</v>
      </c>
      <c r="U469" s="163">
        <v>0</v>
      </c>
      <c r="V469" s="163">
        <v>0</v>
      </c>
      <c r="W469" s="169">
        <v>198</v>
      </c>
      <c r="X469" s="169">
        <v>201.9</v>
      </c>
      <c r="Y469" s="169">
        <v>1359365.04</v>
      </c>
      <c r="Z469" s="165"/>
      <c r="AA469" s="169">
        <v>33984.129999999997</v>
      </c>
      <c r="AB469" s="169">
        <v>33984.129999999997</v>
      </c>
      <c r="AC469" s="169">
        <v>1427333.29</v>
      </c>
      <c r="AD469" s="197">
        <f t="shared" si="264"/>
        <v>1425905.9567100001</v>
      </c>
      <c r="AE469" s="147">
        <v>40.659999999999997</v>
      </c>
      <c r="AF469" s="169">
        <v>39.4</v>
      </c>
      <c r="AG469" s="147">
        <v>40.75</v>
      </c>
      <c r="AH469" s="170">
        <v>3.3E-3</v>
      </c>
      <c r="AI469" s="170">
        <v>0.04</v>
      </c>
      <c r="AJ469" s="170">
        <v>0.05</v>
      </c>
      <c r="AK469" s="155">
        <f t="shared" si="300"/>
        <v>0</v>
      </c>
      <c r="AL469" s="157">
        <f>396*2</f>
        <v>792</v>
      </c>
      <c r="AM469" s="157"/>
      <c r="AN469" s="165">
        <v>0</v>
      </c>
      <c r="AO469" s="140">
        <f t="shared" si="301"/>
        <v>0</v>
      </c>
      <c r="AP469" s="136"/>
      <c r="AQ469" s="137">
        <v>0</v>
      </c>
      <c r="AR469" s="155">
        <f t="shared" si="302"/>
        <v>792</v>
      </c>
      <c r="AS469" s="155">
        <f t="shared" si="303"/>
        <v>832</v>
      </c>
      <c r="AT469" s="137">
        <v>0</v>
      </c>
      <c r="AU469" s="136"/>
      <c r="AV469" s="136"/>
      <c r="AW469" s="137">
        <f t="shared" si="304"/>
        <v>19800</v>
      </c>
      <c r="AX469" s="136"/>
      <c r="AY469" s="137">
        <f t="shared" si="305"/>
        <v>19800</v>
      </c>
      <c r="AZ469" s="137">
        <f t="shared" si="306"/>
        <v>20190</v>
      </c>
      <c r="BA469" s="142">
        <f t="shared" si="307"/>
        <v>-390</v>
      </c>
      <c r="BB469" s="137"/>
      <c r="BC469" s="137">
        <v>0</v>
      </c>
      <c r="BD469" s="136"/>
      <c r="BE469" s="128">
        <v>201.6</v>
      </c>
      <c r="BF469" s="143">
        <f t="shared" si="308"/>
        <v>0.3024</v>
      </c>
      <c r="BG469" s="143">
        <f t="shared" si="309"/>
        <v>201.29759999999999</v>
      </c>
      <c r="BH469" s="143">
        <f t="shared" si="310"/>
        <v>201.9</v>
      </c>
      <c r="BI469" s="144">
        <f t="shared" si="311"/>
        <v>-30.000000000001137</v>
      </c>
      <c r="BJ469" s="144">
        <v>0</v>
      </c>
      <c r="BK469" s="137">
        <f t="shared" si="312"/>
        <v>-30.000000000001137</v>
      </c>
      <c r="BL469" s="18"/>
      <c r="BM469" s="25" t="str">
        <f t="shared" si="313"/>
        <v>Unloading no. 448 Bill No MTC/2026-27/0123 ,Deduction For Oil Deduction= 0 ,Bardana= 792 ,F.M=  Brokerage/Rate Difference 0 ,Shortage = 0 ,Greenish=  ,Moisture= 0</v>
      </c>
      <c r="BN469" s="17"/>
      <c r="BO469" s="13" t="str">
        <f t="shared" si="299"/>
        <v xml:space="preserve"> Party Condition 39.4  ,F.M% 0.33 ,Greenish 4 ,Moisture 5 ,Shortage in KG= 0  ,Oil% 40.66</v>
      </c>
      <c r="BP469" s="19">
        <f t="shared" si="314"/>
        <v>6728.9402674591383</v>
      </c>
      <c r="BX469" s="27">
        <v>40.659999999999997</v>
      </c>
      <c r="BY469" s="27">
        <v>40.75</v>
      </c>
    </row>
    <row r="470" spans="1:77" s="26" customFormat="1" ht="14.1" hidden="1" customHeight="1" x14ac:dyDescent="0.3">
      <c r="A470" s="128" t="s">
        <v>936</v>
      </c>
      <c r="B470" s="201">
        <v>46139</v>
      </c>
      <c r="C470" s="135">
        <v>449</v>
      </c>
      <c r="D470" s="128" t="s">
        <v>962</v>
      </c>
      <c r="E470" s="130">
        <v>46142</v>
      </c>
      <c r="F470" s="128" t="s">
        <v>98</v>
      </c>
      <c r="G470" s="128" t="s">
        <v>99</v>
      </c>
      <c r="H470" s="128" t="s">
        <v>199</v>
      </c>
      <c r="I470" s="157"/>
      <c r="J470" s="163" t="s">
        <v>113</v>
      </c>
      <c r="K470" s="163">
        <v>0</v>
      </c>
      <c r="L470" s="130">
        <v>46139</v>
      </c>
      <c r="M470" s="136"/>
      <c r="N470" s="128">
        <v>100</v>
      </c>
      <c r="O470" s="130">
        <v>46140</v>
      </c>
      <c r="P470" s="128">
        <v>0</v>
      </c>
      <c r="Q470" s="128">
        <v>420</v>
      </c>
      <c r="R470" s="128">
        <v>51</v>
      </c>
      <c r="S470" s="128">
        <v>471</v>
      </c>
      <c r="T470" s="128">
        <v>471</v>
      </c>
      <c r="U470" s="163">
        <v>0</v>
      </c>
      <c r="V470" s="163">
        <v>0</v>
      </c>
      <c r="W470" s="169">
        <v>282.60000000000002</v>
      </c>
      <c r="X470" s="169">
        <v>286.2</v>
      </c>
      <c r="Y470" s="169">
        <v>1949266.47</v>
      </c>
      <c r="Z470" s="165"/>
      <c r="AA470" s="169">
        <v>48731.66</v>
      </c>
      <c r="AB470" s="169">
        <v>48731.66</v>
      </c>
      <c r="AC470" s="169">
        <v>2046729.79</v>
      </c>
      <c r="AD470" s="197">
        <f t="shared" si="264"/>
        <v>2044683.06021</v>
      </c>
      <c r="AE470" s="147">
        <v>39.92</v>
      </c>
      <c r="AF470" s="169">
        <v>39.56</v>
      </c>
      <c r="AG470" s="147">
        <v>39.880000000000003</v>
      </c>
      <c r="AH470" s="170">
        <v>3.3999999999999998E-3</v>
      </c>
      <c r="AI470" s="170">
        <v>3.5999999999999997E-2</v>
      </c>
      <c r="AJ470" s="170">
        <v>4.3999999999999997E-2</v>
      </c>
      <c r="AK470" s="155">
        <f t="shared" si="300"/>
        <v>0</v>
      </c>
      <c r="AL470" s="157">
        <f>471*5.5</f>
        <v>2590.5</v>
      </c>
      <c r="AM470" s="157"/>
      <c r="AN470" s="165">
        <v>0</v>
      </c>
      <c r="AO470" s="140">
        <f t="shared" si="301"/>
        <v>0</v>
      </c>
      <c r="AP470" s="136"/>
      <c r="AQ470" s="137">
        <v>0</v>
      </c>
      <c r="AR470" s="155">
        <f t="shared" si="302"/>
        <v>2590.5</v>
      </c>
      <c r="AS470" s="155">
        <f t="shared" si="303"/>
        <v>2720</v>
      </c>
      <c r="AT470" s="137">
        <v>0</v>
      </c>
      <c r="AU470" s="136"/>
      <c r="AV470" s="136"/>
      <c r="AW470" s="137">
        <f t="shared" si="304"/>
        <v>28260.000000000004</v>
      </c>
      <c r="AX470" s="136"/>
      <c r="AY470" s="137">
        <f t="shared" si="305"/>
        <v>28260.000000000004</v>
      </c>
      <c r="AZ470" s="137">
        <f t="shared" si="306"/>
        <v>28620</v>
      </c>
      <c r="BA470" s="142">
        <f t="shared" si="307"/>
        <v>-359.99999999999636</v>
      </c>
      <c r="BB470" s="137"/>
      <c r="BC470" s="137">
        <v>0</v>
      </c>
      <c r="BD470" s="136"/>
      <c r="BE470" s="128">
        <v>286.35000000000002</v>
      </c>
      <c r="BF470" s="143">
        <f t="shared" si="308"/>
        <v>0.42952499999999999</v>
      </c>
      <c r="BG470" s="143">
        <f t="shared" si="309"/>
        <v>285.92047500000001</v>
      </c>
      <c r="BH470" s="143">
        <f t="shared" si="310"/>
        <v>286.2</v>
      </c>
      <c r="BI470" s="144">
        <f t="shared" si="311"/>
        <v>15.000000000003411</v>
      </c>
      <c r="BJ470" s="144">
        <v>0</v>
      </c>
      <c r="BK470" s="137">
        <f t="shared" si="312"/>
        <v>15.000000000003411</v>
      </c>
      <c r="BL470" s="18"/>
      <c r="BM470" s="25" t="str">
        <f t="shared" si="313"/>
        <v>Unloading no. 449 Bill No 100 ,Deduction For Oil Deduction= 0 ,Bardana= 2590.5 ,F.M=  Brokerage/Rate Difference 0 ,Shortage = 0 ,Greenish=  ,Moisture= 0</v>
      </c>
      <c r="BN470" s="17"/>
      <c r="BO470" s="13" t="str">
        <f t="shared" si="299"/>
        <v xml:space="preserve"> Party Condition 39.56  ,F.M% 0.34 ,Greenish 3.6 ,Moisture 4.4 ,Shortage in KG= 0  ,Oil% 39.88</v>
      </c>
      <c r="BP470" s="19">
        <f t="shared" si="314"/>
        <v>6801.8028301886798</v>
      </c>
      <c r="BX470" s="27">
        <v>39.92</v>
      </c>
      <c r="BY470" s="27">
        <v>39.880000000000003</v>
      </c>
    </row>
    <row r="471" spans="1:77" s="26" customFormat="1" ht="14.1" hidden="1" customHeight="1" x14ac:dyDescent="0.3">
      <c r="A471" s="128" t="s">
        <v>937</v>
      </c>
      <c r="B471" s="201">
        <v>46139</v>
      </c>
      <c r="C471" s="135">
        <v>450</v>
      </c>
      <c r="D471" s="128" t="s">
        <v>963</v>
      </c>
      <c r="E471" s="130">
        <v>46142</v>
      </c>
      <c r="F471" s="128" t="s">
        <v>95</v>
      </c>
      <c r="G471" s="128" t="s">
        <v>96</v>
      </c>
      <c r="H471" s="128" t="s">
        <v>97</v>
      </c>
      <c r="I471" s="157"/>
      <c r="J471" s="163" t="s">
        <v>113</v>
      </c>
      <c r="K471" s="163">
        <v>0</v>
      </c>
      <c r="L471" s="130">
        <v>46139</v>
      </c>
      <c r="M471" s="136"/>
      <c r="N471" s="128">
        <v>133</v>
      </c>
      <c r="O471" s="130">
        <v>46140</v>
      </c>
      <c r="P471" s="128">
        <v>0</v>
      </c>
      <c r="Q471" s="128">
        <v>200</v>
      </c>
      <c r="R471" s="128">
        <v>260</v>
      </c>
      <c r="S471" s="128">
        <v>460</v>
      </c>
      <c r="T471" s="128">
        <v>460</v>
      </c>
      <c r="U471" s="163">
        <v>0</v>
      </c>
      <c r="V471" s="163">
        <v>0</v>
      </c>
      <c r="W471" s="169">
        <v>276</v>
      </c>
      <c r="X471" s="169">
        <v>279.3</v>
      </c>
      <c r="Y471" s="169">
        <v>1936043.4</v>
      </c>
      <c r="Z471" s="165"/>
      <c r="AA471" s="169">
        <v>48401.09</v>
      </c>
      <c r="AB471" s="169">
        <v>48401.09</v>
      </c>
      <c r="AC471" s="169">
        <v>2032845.57</v>
      </c>
      <c r="AD471" s="197">
        <f t="shared" si="264"/>
        <v>2030812.7244300002</v>
      </c>
      <c r="AE471" s="147">
        <v>40.21</v>
      </c>
      <c r="AF471" s="169">
        <v>40.369999999999997</v>
      </c>
      <c r="AG471" s="196">
        <v>40.07</v>
      </c>
      <c r="AH471" s="170">
        <v>3.5999999999999999E-3</v>
      </c>
      <c r="AI471" s="170">
        <v>3.49E-2</v>
      </c>
      <c r="AJ471" s="170">
        <v>5.2999999999999999E-2</v>
      </c>
      <c r="AK471" s="155">
        <v>0</v>
      </c>
      <c r="AL471" s="157">
        <v>0</v>
      </c>
      <c r="AM471" s="157"/>
      <c r="AN471" s="165">
        <v>0</v>
      </c>
      <c r="AO471" s="140">
        <f t="shared" si="301"/>
        <v>0</v>
      </c>
      <c r="AP471" s="136"/>
      <c r="AQ471" s="137">
        <v>0</v>
      </c>
      <c r="AR471" s="155">
        <f t="shared" si="302"/>
        <v>0</v>
      </c>
      <c r="AS471" s="155">
        <f t="shared" si="303"/>
        <v>0</v>
      </c>
      <c r="AT471" s="137">
        <v>0</v>
      </c>
      <c r="AU471" s="136"/>
      <c r="AV471" s="136"/>
      <c r="AW471" s="137">
        <f t="shared" si="304"/>
        <v>27600</v>
      </c>
      <c r="AX471" s="136"/>
      <c r="AY471" s="137">
        <f t="shared" si="305"/>
        <v>27600</v>
      </c>
      <c r="AZ471" s="137">
        <f t="shared" si="306"/>
        <v>27930</v>
      </c>
      <c r="BA471" s="142">
        <f t="shared" si="307"/>
        <v>-330</v>
      </c>
      <c r="BB471" s="137"/>
      <c r="BC471" s="137">
        <v>0</v>
      </c>
      <c r="BD471" s="136"/>
      <c r="BE471" s="128">
        <v>279.60000000000002</v>
      </c>
      <c r="BF471" s="143">
        <f t="shared" si="308"/>
        <v>0.41940000000000005</v>
      </c>
      <c r="BG471" s="143">
        <f t="shared" si="309"/>
        <v>279.18060000000003</v>
      </c>
      <c r="BH471" s="143">
        <f t="shared" si="310"/>
        <v>279.3</v>
      </c>
      <c r="BI471" s="144">
        <f t="shared" si="311"/>
        <v>30.000000000001137</v>
      </c>
      <c r="BJ471" s="144">
        <v>0</v>
      </c>
      <c r="BK471" s="137">
        <f t="shared" si="312"/>
        <v>30.000000000001137</v>
      </c>
      <c r="BL471" s="18"/>
      <c r="BM471" s="25" t="str">
        <f t="shared" si="313"/>
        <v>Unloading no. 450 Bill No 133 ,Deduction For Oil Deduction= 0 ,Bardana= 0 ,F.M=  Brokerage/Rate Difference 0 ,Shortage = 0 ,Greenish=  ,Moisture= 0</v>
      </c>
      <c r="BN471" s="17"/>
      <c r="BO471" s="13" t="str">
        <f t="shared" si="299"/>
        <v xml:space="preserve"> Party Condition 40.37  ,F.M% 0.36 ,Greenish 3.49 ,Moisture 5.3 ,Shortage in KG= 0  ,Oil% 40.07</v>
      </c>
      <c r="BP471" s="19">
        <f t="shared" si="314"/>
        <v>6931.7701396348011</v>
      </c>
      <c r="BX471" s="97">
        <v>40.21</v>
      </c>
      <c r="BY471" s="97">
        <v>40.07</v>
      </c>
    </row>
    <row r="472" spans="1:77" s="26" customFormat="1" ht="14.1" hidden="1" customHeight="1" x14ac:dyDescent="0.3">
      <c r="A472" s="128" t="s">
        <v>937</v>
      </c>
      <c r="B472" s="130">
        <v>46139</v>
      </c>
      <c r="C472" s="135">
        <v>451</v>
      </c>
      <c r="D472" s="128" t="s">
        <v>964</v>
      </c>
      <c r="E472" s="130">
        <v>46143</v>
      </c>
      <c r="F472" s="128" t="s">
        <v>95</v>
      </c>
      <c r="G472" s="128" t="s">
        <v>96</v>
      </c>
      <c r="H472" s="128" t="s">
        <v>97</v>
      </c>
      <c r="I472" s="157"/>
      <c r="J472" s="163" t="s">
        <v>113</v>
      </c>
      <c r="K472" s="163">
        <v>0</v>
      </c>
      <c r="L472" s="130">
        <v>46139</v>
      </c>
      <c r="M472" s="136"/>
      <c r="N472" s="128">
        <v>132</v>
      </c>
      <c r="O472" s="130">
        <v>46140</v>
      </c>
      <c r="P472" s="128">
        <v>0</v>
      </c>
      <c r="Q472" s="128">
        <v>380</v>
      </c>
      <c r="R472" s="128">
        <v>91</v>
      </c>
      <c r="S472" s="128">
        <v>471</v>
      </c>
      <c r="T472" s="128">
        <v>471</v>
      </c>
      <c r="U472" s="163">
        <v>0</v>
      </c>
      <c r="V472" s="163">
        <v>0</v>
      </c>
      <c r="W472" s="169">
        <v>282.60000000000002</v>
      </c>
      <c r="X472" s="169">
        <v>285.89999999999998</v>
      </c>
      <c r="Y472" s="169">
        <v>1982340.09</v>
      </c>
      <c r="Z472" s="165"/>
      <c r="AA472" s="169">
        <v>49558.5</v>
      </c>
      <c r="AB472" s="169">
        <v>49558.5</v>
      </c>
      <c r="AC472" s="169">
        <v>2081457.09</v>
      </c>
      <c r="AD472" s="197">
        <f t="shared" si="264"/>
        <v>2079375.6329100002</v>
      </c>
      <c r="AE472" s="147">
        <v>40.590000000000003</v>
      </c>
      <c r="AF472" s="169">
        <v>40.369999999999997</v>
      </c>
      <c r="AG472" s="147">
        <v>40.340000000000003</v>
      </c>
      <c r="AH472" s="170">
        <v>3.2000000000000002E-3</v>
      </c>
      <c r="AI472" s="170">
        <v>3.4000000000000002E-2</v>
      </c>
      <c r="AJ472" s="170">
        <v>5.3999999999999999E-2</v>
      </c>
      <c r="AK472" s="155">
        <v>0</v>
      </c>
      <c r="AL472" s="157">
        <v>0</v>
      </c>
      <c r="AM472" s="157"/>
      <c r="AN472" s="165">
        <v>0</v>
      </c>
      <c r="AO472" s="140">
        <f t="shared" si="301"/>
        <v>0</v>
      </c>
      <c r="AP472" s="136"/>
      <c r="AQ472" s="137">
        <v>0</v>
      </c>
      <c r="AR472" s="155">
        <f t="shared" si="302"/>
        <v>0</v>
      </c>
      <c r="AS472" s="155">
        <f t="shared" si="303"/>
        <v>0</v>
      </c>
      <c r="AT472" s="137">
        <v>0</v>
      </c>
      <c r="AU472" s="136"/>
      <c r="AV472" s="136"/>
      <c r="AW472" s="137">
        <f t="shared" si="304"/>
        <v>28260.000000000004</v>
      </c>
      <c r="AX472" s="136"/>
      <c r="AY472" s="137">
        <f t="shared" si="305"/>
        <v>28260.000000000004</v>
      </c>
      <c r="AZ472" s="137">
        <f t="shared" si="306"/>
        <v>28589.999999999996</v>
      </c>
      <c r="BA472" s="142">
        <f t="shared" si="307"/>
        <v>-329.99999999999272</v>
      </c>
      <c r="BB472" s="137"/>
      <c r="BC472" s="137">
        <v>0</v>
      </c>
      <c r="BD472" s="136"/>
      <c r="BE472" s="202">
        <v>286.2</v>
      </c>
      <c r="BF472" s="143">
        <f t="shared" si="308"/>
        <v>0.42930000000000001</v>
      </c>
      <c r="BG472" s="143">
        <f t="shared" si="309"/>
        <v>285.77069999999998</v>
      </c>
      <c r="BH472" s="143">
        <f t="shared" si="310"/>
        <v>285.89999999999998</v>
      </c>
      <c r="BI472" s="144">
        <f t="shared" si="311"/>
        <v>30.000000000001137</v>
      </c>
      <c r="BJ472" s="144">
        <v>0</v>
      </c>
      <c r="BK472" s="137">
        <f t="shared" si="312"/>
        <v>30.000000000001137</v>
      </c>
      <c r="BL472" s="18"/>
      <c r="BM472" s="25" t="str">
        <f t="shared" si="313"/>
        <v>Unloading no. 451 Bill No 132 ,Deduction For Oil Deduction= 0 ,Bardana= 0 ,F.M=  Brokerage/Rate Difference 0 ,Shortage = 0 ,Greenish=  ,Moisture= 0</v>
      </c>
      <c r="BN472" s="17"/>
      <c r="BO472" s="13" t="str">
        <f t="shared" si="299"/>
        <v xml:space="preserve"> Party Condition 40.37  ,F.M% 0.32 ,Greenish 3.4 ,Moisture 5.4 ,Shortage in KG= 0  ,Oil% 40.34</v>
      </c>
      <c r="BP472" s="19">
        <f t="shared" si="314"/>
        <v>6933.683420776496</v>
      </c>
      <c r="BX472" s="27">
        <v>40.590000000000003</v>
      </c>
      <c r="BY472" s="27">
        <v>40.340000000000003</v>
      </c>
    </row>
    <row r="473" spans="1:77" s="26" customFormat="1" ht="14.1" hidden="1" customHeight="1" x14ac:dyDescent="0.3">
      <c r="A473" s="128" t="s">
        <v>938</v>
      </c>
      <c r="B473" s="130">
        <v>46139</v>
      </c>
      <c r="C473" s="135">
        <v>452</v>
      </c>
      <c r="D473" s="128" t="s">
        <v>965</v>
      </c>
      <c r="E473" s="130">
        <v>46143</v>
      </c>
      <c r="F473" s="128" t="s">
        <v>200</v>
      </c>
      <c r="G473" s="128" t="s">
        <v>201</v>
      </c>
      <c r="H473" s="128" t="s">
        <v>202</v>
      </c>
      <c r="I473" s="157"/>
      <c r="J473" s="163" t="s">
        <v>113</v>
      </c>
      <c r="K473" s="163">
        <v>0</v>
      </c>
      <c r="L473" s="130">
        <v>46139</v>
      </c>
      <c r="M473" s="136"/>
      <c r="N473" s="128">
        <v>39</v>
      </c>
      <c r="O473" s="130">
        <v>46140</v>
      </c>
      <c r="P473" s="128">
        <v>0</v>
      </c>
      <c r="Q473" s="128">
        <v>38</v>
      </c>
      <c r="R473" s="128">
        <v>440</v>
      </c>
      <c r="S473" s="128">
        <v>478</v>
      </c>
      <c r="T473" s="128">
        <v>478</v>
      </c>
      <c r="U473" s="163">
        <v>0</v>
      </c>
      <c r="V473" s="163">
        <v>0</v>
      </c>
      <c r="W473" s="169">
        <v>286.8</v>
      </c>
      <c r="X473" s="169">
        <v>291.60000000000002</v>
      </c>
      <c r="Y473" s="169">
        <v>1959322.96</v>
      </c>
      <c r="Z473" s="165"/>
      <c r="AA473" s="169">
        <v>48983.07</v>
      </c>
      <c r="AB473" s="169">
        <v>48983.07</v>
      </c>
      <c r="AC473" s="169">
        <v>2057289.11</v>
      </c>
      <c r="AD473" s="197">
        <f t="shared" si="264"/>
        <v>2055231.8208900001</v>
      </c>
      <c r="AE473" s="147">
        <v>39.35</v>
      </c>
      <c r="AF473" s="169">
        <v>39.200000000000003</v>
      </c>
      <c r="AG473" s="196">
        <v>39.19</v>
      </c>
      <c r="AH473" s="170">
        <v>3.5999999999999999E-3</v>
      </c>
      <c r="AI473" s="170">
        <v>3.4700000000000002E-2</v>
      </c>
      <c r="AJ473" s="170">
        <v>4.8000000000000001E-2</v>
      </c>
      <c r="AK473" s="155">
        <v>0</v>
      </c>
      <c r="AL473" s="157">
        <v>0</v>
      </c>
      <c r="AM473" s="157"/>
      <c r="AN473" s="165">
        <v>0</v>
      </c>
      <c r="AO473" s="140">
        <f t="shared" si="301"/>
        <v>0</v>
      </c>
      <c r="AP473" s="136"/>
      <c r="AQ473" s="137">
        <v>0</v>
      </c>
      <c r="AR473" s="155">
        <f t="shared" si="302"/>
        <v>0</v>
      </c>
      <c r="AS473" s="145">
        <f t="shared" si="303"/>
        <v>0</v>
      </c>
      <c r="AT473" s="137">
        <v>0</v>
      </c>
      <c r="AU473" s="136"/>
      <c r="AV473" s="136"/>
      <c r="AW473" s="137">
        <f t="shared" si="304"/>
        <v>28680</v>
      </c>
      <c r="AX473" s="136"/>
      <c r="AY473" s="137">
        <f t="shared" si="305"/>
        <v>28680</v>
      </c>
      <c r="AZ473" s="137">
        <f t="shared" si="306"/>
        <v>29160.000000000004</v>
      </c>
      <c r="BA473" s="142">
        <f t="shared" si="307"/>
        <v>-480.00000000000364</v>
      </c>
      <c r="BB473" s="137"/>
      <c r="BC473" s="137">
        <v>0</v>
      </c>
      <c r="BD473" s="136"/>
      <c r="BE473" s="202">
        <v>292.10000000000002</v>
      </c>
      <c r="BF473" s="143">
        <f t="shared" si="308"/>
        <v>0.43815000000000004</v>
      </c>
      <c r="BG473" s="143">
        <f t="shared" si="309"/>
        <v>291.66185000000002</v>
      </c>
      <c r="BH473" s="143">
        <f t="shared" si="310"/>
        <v>291.60000000000002</v>
      </c>
      <c r="BI473" s="144">
        <f t="shared" si="311"/>
        <v>50</v>
      </c>
      <c r="BJ473" s="144">
        <v>0</v>
      </c>
      <c r="BK473" s="137">
        <f t="shared" si="312"/>
        <v>50</v>
      </c>
      <c r="BL473" s="18"/>
      <c r="BM473" s="25" t="str">
        <f t="shared" si="313"/>
        <v>Unloading no. 452 Bill No 39 ,Deduction For Oil Deduction= 0 ,Bardana= 0 ,F.M=  Brokerage/Rate Difference 0 ,Shortage = 0 ,Greenish=  ,Moisture= 0</v>
      </c>
      <c r="BN473" s="17"/>
      <c r="BO473" s="13" t="str">
        <f t="shared" si="299"/>
        <v xml:space="preserve"> Party Condition 39.2  ,F.M% 0.36 ,Greenish 3.47 ,Moisture 4.8 ,Shortage in KG= 0  ,Oil% 39.19</v>
      </c>
      <c r="BP473" s="19">
        <f t="shared" si="314"/>
        <v>6719.2145404663916</v>
      </c>
      <c r="BX473" s="27">
        <v>39.35</v>
      </c>
      <c r="BY473" s="27">
        <v>39.19</v>
      </c>
    </row>
    <row r="474" spans="1:77" s="26" customFormat="1" ht="14.1" hidden="1" customHeight="1" x14ac:dyDescent="0.3">
      <c r="A474" s="128" t="s">
        <v>939</v>
      </c>
      <c r="B474" s="130">
        <v>46139</v>
      </c>
      <c r="C474" s="135">
        <v>453</v>
      </c>
      <c r="D474" s="128" t="s">
        <v>966</v>
      </c>
      <c r="E474" s="130">
        <v>46143</v>
      </c>
      <c r="F474" s="128" t="s">
        <v>467</v>
      </c>
      <c r="G474" s="128" t="s">
        <v>468</v>
      </c>
      <c r="H474" s="128" t="s">
        <v>506</v>
      </c>
      <c r="I474" s="157"/>
      <c r="J474" s="163" t="s">
        <v>113</v>
      </c>
      <c r="K474" s="163">
        <v>0</v>
      </c>
      <c r="L474" s="130">
        <v>46139</v>
      </c>
      <c r="M474" s="136"/>
      <c r="N474" s="128" t="s">
        <v>989</v>
      </c>
      <c r="O474" s="130">
        <v>46140</v>
      </c>
      <c r="P474" s="128">
        <v>0</v>
      </c>
      <c r="Q474" s="128">
        <v>400</v>
      </c>
      <c r="R474" s="128">
        <v>70</v>
      </c>
      <c r="S474" s="128">
        <v>470</v>
      </c>
      <c r="T474" s="128">
        <v>470</v>
      </c>
      <c r="U474" s="163">
        <v>0</v>
      </c>
      <c r="V474" s="163">
        <v>0</v>
      </c>
      <c r="W474" s="169">
        <v>282</v>
      </c>
      <c r="X474" s="169">
        <v>285.5</v>
      </c>
      <c r="Y474" s="169">
        <v>1930019</v>
      </c>
      <c r="Z474" s="165"/>
      <c r="AA474" s="169">
        <v>48250.48</v>
      </c>
      <c r="AB474" s="169">
        <v>48250.48</v>
      </c>
      <c r="AC474" s="169">
        <v>2026519.95</v>
      </c>
      <c r="AD474" s="197">
        <f t="shared" si="264"/>
        <v>2024493.4300499998</v>
      </c>
      <c r="AE474" s="147">
        <v>40.35</v>
      </c>
      <c r="AF474" s="169">
        <v>39.479999999999997</v>
      </c>
      <c r="AG474" s="147">
        <v>40.24</v>
      </c>
      <c r="AH474" s="170">
        <v>3.0000000000000001E-3</v>
      </c>
      <c r="AI474" s="170">
        <v>3.4200000000000001E-2</v>
      </c>
      <c r="AJ474" s="170">
        <v>5.2999999999999999E-2</v>
      </c>
      <c r="AK474" s="155">
        <f t="shared" si="300"/>
        <v>0</v>
      </c>
      <c r="AL474" s="157">
        <v>0</v>
      </c>
      <c r="AM474" s="157"/>
      <c r="AN474" s="165">
        <v>0</v>
      </c>
      <c r="AO474" s="140">
        <f t="shared" si="301"/>
        <v>0</v>
      </c>
      <c r="AP474" s="136"/>
      <c r="AQ474" s="137">
        <v>0</v>
      </c>
      <c r="AR474" s="155">
        <f t="shared" si="302"/>
        <v>0</v>
      </c>
      <c r="AS474" s="155">
        <f t="shared" si="303"/>
        <v>0</v>
      </c>
      <c r="AT474" s="137">
        <v>0</v>
      </c>
      <c r="AU474" s="136"/>
      <c r="AV474" s="136"/>
      <c r="AW474" s="137">
        <f t="shared" si="304"/>
        <v>28200</v>
      </c>
      <c r="AX474" s="136"/>
      <c r="AY474" s="137">
        <f t="shared" si="305"/>
        <v>28200</v>
      </c>
      <c r="AZ474" s="137">
        <f t="shared" si="306"/>
        <v>28550</v>
      </c>
      <c r="BA474" s="142">
        <f t="shared" si="307"/>
        <v>-350</v>
      </c>
      <c r="BB474" s="137"/>
      <c r="BC474" s="137">
        <v>0</v>
      </c>
      <c r="BD474" s="136"/>
      <c r="BE474" s="202">
        <v>285.3</v>
      </c>
      <c r="BF474" s="143">
        <f t="shared" si="308"/>
        <v>0.42795</v>
      </c>
      <c r="BG474" s="143">
        <f t="shared" si="309"/>
        <v>284.87205</v>
      </c>
      <c r="BH474" s="143">
        <f t="shared" si="310"/>
        <v>285.5</v>
      </c>
      <c r="BI474" s="144">
        <f t="shared" si="311"/>
        <v>-19.999999999998863</v>
      </c>
      <c r="BJ474" s="144">
        <v>0</v>
      </c>
      <c r="BK474" s="137">
        <f t="shared" si="312"/>
        <v>-19.999999999998863</v>
      </c>
      <c r="BL474" s="18"/>
      <c r="BM474" s="25" t="str">
        <f t="shared" si="313"/>
        <v>Unloading no. 453 Bill No GDS/26-27/173 ,Deduction For Oil Deduction= 0 ,Bardana= 0 ,F.M=  Brokerage/Rate Difference 0 ,Shortage = 0 ,Greenish=  ,Moisture= 0</v>
      </c>
      <c r="BN474" s="17"/>
      <c r="BO474" s="13" t="str">
        <f t="shared" si="299"/>
        <v xml:space="preserve"> Party Condition 39.48  ,F.M% 0.3 ,Greenish 3.42 ,Moisture 5.3 ,Shortage in KG= 0  ,Oil% 40.24</v>
      </c>
      <c r="BP474" s="19">
        <f t="shared" si="314"/>
        <v>6760.1366024518393</v>
      </c>
      <c r="BX474" s="27">
        <v>40.35</v>
      </c>
      <c r="BY474" s="27">
        <v>40.24</v>
      </c>
    </row>
    <row r="475" spans="1:77" s="26" customFormat="1" ht="14.1" hidden="1" customHeight="1" x14ac:dyDescent="0.3">
      <c r="A475" s="128" t="s">
        <v>940</v>
      </c>
      <c r="B475" s="130">
        <v>46139</v>
      </c>
      <c r="C475" s="135">
        <v>454</v>
      </c>
      <c r="D475" s="128" t="s">
        <v>967</v>
      </c>
      <c r="E475" s="130">
        <v>46143</v>
      </c>
      <c r="F475" s="128" t="s">
        <v>110</v>
      </c>
      <c r="G475" s="128" t="s">
        <v>111</v>
      </c>
      <c r="H475" s="128" t="s">
        <v>112</v>
      </c>
      <c r="I475" s="157"/>
      <c r="J475" s="163" t="s">
        <v>113</v>
      </c>
      <c r="K475" s="163">
        <v>0</v>
      </c>
      <c r="L475" s="130">
        <v>46139</v>
      </c>
      <c r="M475" s="136"/>
      <c r="N475" s="128" t="s">
        <v>990</v>
      </c>
      <c r="O475" s="130">
        <v>46140</v>
      </c>
      <c r="P475" s="128">
        <v>0</v>
      </c>
      <c r="Q475" s="128">
        <v>470</v>
      </c>
      <c r="R475" s="128">
        <v>45</v>
      </c>
      <c r="S475" s="128">
        <v>515</v>
      </c>
      <c r="T475" s="128">
        <v>515</v>
      </c>
      <c r="U475" s="163">
        <v>0</v>
      </c>
      <c r="V475" s="163">
        <v>0</v>
      </c>
      <c r="W475" s="169">
        <v>309</v>
      </c>
      <c r="X475" s="169">
        <v>314.7</v>
      </c>
      <c r="Y475" s="169">
        <v>2125405</v>
      </c>
      <c r="Z475" s="165"/>
      <c r="AA475" s="169">
        <v>53135.13</v>
      </c>
      <c r="AB475" s="169">
        <v>53135.13</v>
      </c>
      <c r="AC475" s="169">
        <v>2231675.25</v>
      </c>
      <c r="AD475" s="197">
        <f t="shared" si="264"/>
        <v>2229443.5747500001</v>
      </c>
      <c r="AE475" s="147">
        <v>39.72</v>
      </c>
      <c r="AF475" s="169">
        <v>39.619999999999997</v>
      </c>
      <c r="AG475" s="147">
        <v>39.42</v>
      </c>
      <c r="AH475" s="170">
        <v>3.5000000000000001E-3</v>
      </c>
      <c r="AI475" s="170">
        <v>3.6799999999999999E-2</v>
      </c>
      <c r="AJ475" s="170">
        <v>5.2999999999999999E-2</v>
      </c>
      <c r="AK475" s="155">
        <v>0</v>
      </c>
      <c r="AL475" s="157">
        <f>515*5</f>
        <v>2575</v>
      </c>
      <c r="AM475" s="157"/>
      <c r="AN475" s="165">
        <v>0</v>
      </c>
      <c r="AO475" s="140">
        <f t="shared" si="301"/>
        <v>0</v>
      </c>
      <c r="AP475" s="136"/>
      <c r="AQ475" s="137">
        <v>0</v>
      </c>
      <c r="AR475" s="155">
        <f t="shared" si="302"/>
        <v>2575</v>
      </c>
      <c r="AS475" s="145">
        <f t="shared" si="303"/>
        <v>2704</v>
      </c>
      <c r="AT475" s="137">
        <v>0</v>
      </c>
      <c r="AU475" s="136"/>
      <c r="AV475" s="136"/>
      <c r="AW475" s="137">
        <f t="shared" si="304"/>
        <v>30900</v>
      </c>
      <c r="AX475" s="136"/>
      <c r="AY475" s="137">
        <f t="shared" si="305"/>
        <v>30900</v>
      </c>
      <c r="AZ475" s="137">
        <f t="shared" si="306"/>
        <v>31470</v>
      </c>
      <c r="BA475" s="142">
        <f t="shared" si="307"/>
        <v>-570</v>
      </c>
      <c r="BB475" s="137"/>
      <c r="BC475" s="137">
        <v>0</v>
      </c>
      <c r="BD475" s="136"/>
      <c r="BE475" s="202">
        <v>315.05</v>
      </c>
      <c r="BF475" s="143">
        <f t="shared" si="308"/>
        <v>0.47257500000000002</v>
      </c>
      <c r="BG475" s="143">
        <f t="shared" si="309"/>
        <v>314.57742500000001</v>
      </c>
      <c r="BH475" s="143">
        <f t="shared" si="310"/>
        <v>314.7</v>
      </c>
      <c r="BI475" s="144">
        <f t="shared" si="311"/>
        <v>35.000000000002274</v>
      </c>
      <c r="BJ475" s="144">
        <v>0</v>
      </c>
      <c r="BK475" s="137">
        <f t="shared" si="312"/>
        <v>35.000000000002274</v>
      </c>
      <c r="BL475" s="18"/>
      <c r="BM475" s="25" t="str">
        <f t="shared" si="313"/>
        <v>Unloading no. 454 Bill No G1687 ,Deduction For Oil Deduction= 0 ,Bardana= 2575 ,F.M=  Brokerage/Rate Difference 0 ,Shortage = 0 ,Greenish=  ,Moisture= 0</v>
      </c>
      <c r="BN475" s="17"/>
      <c r="BO475" s="13" t="str">
        <f t="shared" si="299"/>
        <v xml:space="preserve"> Party Condition 39.62  ,F.M% 0.35 ,Greenish 3.68 ,Moisture 5.3 ,Shortage in KG= 0  ,Oil% 39.42</v>
      </c>
      <c r="BP475" s="19">
        <f t="shared" si="314"/>
        <v>6745.5672068636795</v>
      </c>
      <c r="BX475" s="27">
        <v>39.72</v>
      </c>
      <c r="BY475" s="27">
        <v>39.42</v>
      </c>
    </row>
    <row r="476" spans="1:77" s="26" customFormat="1" ht="14.1" hidden="1" customHeight="1" x14ac:dyDescent="0.3">
      <c r="A476" s="128" t="s">
        <v>941</v>
      </c>
      <c r="B476" s="130">
        <v>46139</v>
      </c>
      <c r="C476" s="135">
        <v>455</v>
      </c>
      <c r="D476" s="128" t="s">
        <v>968</v>
      </c>
      <c r="E476" s="130">
        <v>46143</v>
      </c>
      <c r="F476" s="128" t="s">
        <v>467</v>
      </c>
      <c r="G476" s="128" t="s">
        <v>468</v>
      </c>
      <c r="H476" s="128" t="s">
        <v>506</v>
      </c>
      <c r="I476" s="157"/>
      <c r="J476" s="163" t="s">
        <v>113</v>
      </c>
      <c r="K476" s="163">
        <v>0</v>
      </c>
      <c r="L476" s="130">
        <v>46139</v>
      </c>
      <c r="M476" s="136"/>
      <c r="N476" s="128" t="s">
        <v>991</v>
      </c>
      <c r="O476" s="130">
        <v>46140</v>
      </c>
      <c r="P476" s="128">
        <v>0</v>
      </c>
      <c r="Q476" s="128">
        <v>210</v>
      </c>
      <c r="R476" s="128">
        <v>22</v>
      </c>
      <c r="S476" s="128">
        <v>232</v>
      </c>
      <c r="T476" s="128">
        <v>232</v>
      </c>
      <c r="U476" s="163">
        <v>0</v>
      </c>
      <c r="V476" s="163">
        <v>0</v>
      </c>
      <c r="W476" s="169">
        <v>139.19999999999999</v>
      </c>
      <c r="X476" s="169">
        <v>141.1</v>
      </c>
      <c r="Y476" s="169">
        <v>950797.25</v>
      </c>
      <c r="Z476" s="165"/>
      <c r="AA476" s="169">
        <v>23769.93</v>
      </c>
      <c r="AB476" s="169">
        <v>23769.93</v>
      </c>
      <c r="AC476" s="169">
        <v>998337.11</v>
      </c>
      <c r="AD476" s="197">
        <f t="shared" si="264"/>
        <v>997338.77289000002</v>
      </c>
      <c r="AE476" s="147">
        <v>40.020000000000003</v>
      </c>
      <c r="AF476" s="169">
        <v>39.39</v>
      </c>
      <c r="AG476" s="147">
        <v>39.770000000000003</v>
      </c>
      <c r="AH476" s="170">
        <v>2.8999999999999998E-3</v>
      </c>
      <c r="AI476" s="170">
        <v>3.4200000000000001E-2</v>
      </c>
      <c r="AJ476" s="170">
        <v>4.5999999999999999E-2</v>
      </c>
      <c r="AK476" s="155">
        <f t="shared" si="300"/>
        <v>0</v>
      </c>
      <c r="AL476" s="157">
        <v>0</v>
      </c>
      <c r="AM476" s="157"/>
      <c r="AN476" s="165">
        <v>0</v>
      </c>
      <c r="AO476" s="140">
        <f t="shared" si="301"/>
        <v>0</v>
      </c>
      <c r="AP476" s="136"/>
      <c r="AQ476" s="137">
        <v>0</v>
      </c>
      <c r="AR476" s="155">
        <f t="shared" si="302"/>
        <v>0</v>
      </c>
      <c r="AS476" s="155">
        <f t="shared" si="303"/>
        <v>0</v>
      </c>
      <c r="AT476" s="137">
        <v>0</v>
      </c>
      <c r="AU476" s="136"/>
      <c r="AV476" s="136"/>
      <c r="AW476" s="137">
        <f t="shared" si="304"/>
        <v>13919.999999999998</v>
      </c>
      <c r="AX476" s="136"/>
      <c r="AY476" s="137">
        <f t="shared" si="305"/>
        <v>13919.999999999998</v>
      </c>
      <c r="AZ476" s="137">
        <f t="shared" si="306"/>
        <v>14110</v>
      </c>
      <c r="BA476" s="142">
        <f t="shared" si="307"/>
        <v>-190.00000000000182</v>
      </c>
      <c r="BB476" s="137"/>
      <c r="BC476" s="137">
        <v>0</v>
      </c>
      <c r="BD476" s="136"/>
      <c r="BE476" s="202">
        <v>141.19999999999999</v>
      </c>
      <c r="BF476" s="143">
        <f t="shared" si="308"/>
        <v>0.21179999999999996</v>
      </c>
      <c r="BG476" s="143">
        <f t="shared" si="309"/>
        <v>140.98819999999998</v>
      </c>
      <c r="BH476" s="143">
        <f t="shared" si="310"/>
        <v>141.1</v>
      </c>
      <c r="BI476" s="144">
        <f t="shared" si="311"/>
        <v>9.9999999999994316</v>
      </c>
      <c r="BJ476" s="144">
        <v>0</v>
      </c>
      <c r="BK476" s="137">
        <f t="shared" si="312"/>
        <v>9.9999999999994316</v>
      </c>
      <c r="BL476" s="18"/>
      <c r="BM476" s="25" t="str">
        <f t="shared" si="313"/>
        <v>Unloading no. 455 Bill No GDS/26-27/174 ,Deduction For Oil Deduction= 0 ,Bardana= 0 ,F.M=  Brokerage/Rate Difference 0 ,Shortage = 0 ,Greenish=  ,Moisture= 0</v>
      </c>
      <c r="BN476" s="17"/>
      <c r="BO476" s="13" t="str">
        <f t="shared" si="299"/>
        <v xml:space="preserve"> Party Condition 39.39  ,F.M% 0.29 ,Greenish 3.42 ,Moisture 4.6 ,Shortage in KG= 0  ,Oil% 39.77</v>
      </c>
      <c r="BP476" s="19">
        <f t="shared" si="314"/>
        <v>6738.4638554216872</v>
      </c>
      <c r="BX476" s="27">
        <v>40.020000000000003</v>
      </c>
      <c r="BY476" s="27">
        <v>39.770000000000003</v>
      </c>
    </row>
    <row r="477" spans="1:77" s="26" customFormat="1" ht="14.1" hidden="1" customHeight="1" x14ac:dyDescent="0.3">
      <c r="A477" s="128" t="s">
        <v>938</v>
      </c>
      <c r="B477" s="130">
        <v>46139</v>
      </c>
      <c r="C477" s="135">
        <v>456</v>
      </c>
      <c r="D477" s="128" t="s">
        <v>969</v>
      </c>
      <c r="E477" s="130">
        <v>46143</v>
      </c>
      <c r="F477" s="128" t="s">
        <v>200</v>
      </c>
      <c r="G477" s="128" t="s">
        <v>201</v>
      </c>
      <c r="H477" s="128" t="s">
        <v>202</v>
      </c>
      <c r="I477" s="157"/>
      <c r="J477" s="163" t="s">
        <v>113</v>
      </c>
      <c r="K477" s="163">
        <v>0</v>
      </c>
      <c r="L477" s="130">
        <v>46139</v>
      </c>
      <c r="M477" s="136"/>
      <c r="N477" s="128">
        <v>40</v>
      </c>
      <c r="O477" s="130">
        <v>46140</v>
      </c>
      <c r="P477" s="128">
        <v>0</v>
      </c>
      <c r="Q477" s="128">
        <v>400</v>
      </c>
      <c r="R477" s="128">
        <v>124</v>
      </c>
      <c r="S477" s="128">
        <v>524</v>
      </c>
      <c r="T477" s="128">
        <v>524</v>
      </c>
      <c r="U477" s="163">
        <v>0</v>
      </c>
      <c r="V477" s="163">
        <v>0</v>
      </c>
      <c r="W477" s="169">
        <v>314.39999999999998</v>
      </c>
      <c r="X477" s="169">
        <v>318.60000000000002</v>
      </c>
      <c r="Y477" s="169">
        <v>2147877.0499999998</v>
      </c>
      <c r="Z477" s="165"/>
      <c r="AA477" s="169">
        <v>53696.93</v>
      </c>
      <c r="AB477" s="169">
        <v>53696.93</v>
      </c>
      <c r="AC477" s="169">
        <v>2255270.9</v>
      </c>
      <c r="AD477" s="197">
        <f t="shared" si="264"/>
        <v>2253015.6291</v>
      </c>
      <c r="AE477" s="147">
        <v>39.1</v>
      </c>
      <c r="AF477" s="169">
        <v>39.200000000000003</v>
      </c>
      <c r="AG477" s="196">
        <v>38.799999999999997</v>
      </c>
      <c r="AH477" s="170">
        <v>3.5000000000000001E-3</v>
      </c>
      <c r="AI477" s="170">
        <v>3.85E-2</v>
      </c>
      <c r="AJ477" s="170">
        <v>4.9000000000000002E-2</v>
      </c>
      <c r="AK477" s="155">
        <f t="shared" si="300"/>
        <v>21917.112755102349</v>
      </c>
      <c r="AL477" s="157">
        <v>0</v>
      </c>
      <c r="AM477" s="157"/>
      <c r="AN477" s="165">
        <v>0</v>
      </c>
      <c r="AO477" s="140">
        <f t="shared" si="301"/>
        <v>0</v>
      </c>
      <c r="AP477" s="136"/>
      <c r="AQ477" s="137">
        <v>0</v>
      </c>
      <c r="AR477" s="155">
        <f t="shared" si="302"/>
        <v>21917.112755102349</v>
      </c>
      <c r="AS477" s="145">
        <f t="shared" si="303"/>
        <v>23013</v>
      </c>
      <c r="AT477" s="137">
        <v>0</v>
      </c>
      <c r="AU477" s="136"/>
      <c r="AV477" s="136"/>
      <c r="AW477" s="137">
        <f t="shared" si="304"/>
        <v>31439.999999999996</v>
      </c>
      <c r="AX477" s="136"/>
      <c r="AY477" s="137">
        <f t="shared" si="305"/>
        <v>31439.999999999996</v>
      </c>
      <c r="AZ477" s="137">
        <f t="shared" si="306"/>
        <v>31860.000000000004</v>
      </c>
      <c r="BA477" s="142">
        <f t="shared" si="307"/>
        <v>-420.00000000000728</v>
      </c>
      <c r="BB477" s="137"/>
      <c r="BC477" s="137">
        <v>0</v>
      </c>
      <c r="BD477" s="136"/>
      <c r="BE477" s="202">
        <v>319.10000000000002</v>
      </c>
      <c r="BF477" s="143">
        <f t="shared" si="308"/>
        <v>0.47865000000000002</v>
      </c>
      <c r="BG477" s="143">
        <f t="shared" si="309"/>
        <v>318.62135000000001</v>
      </c>
      <c r="BH477" s="143">
        <f t="shared" si="310"/>
        <v>318.60000000000002</v>
      </c>
      <c r="BI477" s="144">
        <f t="shared" si="311"/>
        <v>50</v>
      </c>
      <c r="BJ477" s="144">
        <v>0</v>
      </c>
      <c r="BK477" s="137">
        <f t="shared" si="312"/>
        <v>50</v>
      </c>
      <c r="BL477" s="18"/>
      <c r="BM477" s="25" t="str">
        <f t="shared" si="313"/>
        <v>Unloading no. 456 Bill No 40 ,Deduction For Oil Deduction= 21917.1127551023 ,Bardana= 0 ,F.M=  Brokerage/Rate Difference 0 ,Shortage = 0 ,Greenish=  ,Moisture= 0</v>
      </c>
      <c r="BN477" s="17"/>
      <c r="BO477" s="13" t="str">
        <f t="shared" si="299"/>
        <v xml:space="preserve"> Party Condition 39.2  ,F.M% 0.35 ,Greenish 3.85 ,Moisture 4.9 ,Shortage in KG= 0  ,Oil% 38.8</v>
      </c>
      <c r="BP477" s="19">
        <f t="shared" si="314"/>
        <v>6672.8183843217112</v>
      </c>
      <c r="BX477" s="27">
        <v>39.1</v>
      </c>
      <c r="BY477" s="27">
        <v>38.799999999999997</v>
      </c>
    </row>
    <row r="478" spans="1:77" s="26" customFormat="1" ht="14.1" hidden="1" customHeight="1" x14ac:dyDescent="0.3">
      <c r="A478" s="128" t="s">
        <v>895</v>
      </c>
      <c r="B478" s="130">
        <v>46137</v>
      </c>
      <c r="C478" s="135">
        <v>457</v>
      </c>
      <c r="D478" s="128" t="s">
        <v>970</v>
      </c>
      <c r="E478" s="130">
        <v>46143</v>
      </c>
      <c r="F478" s="128" t="s">
        <v>104</v>
      </c>
      <c r="G478" s="128" t="s">
        <v>105</v>
      </c>
      <c r="H478" s="128" t="s">
        <v>106</v>
      </c>
      <c r="I478" s="157"/>
      <c r="J478" s="163" t="s">
        <v>113</v>
      </c>
      <c r="K478" s="163">
        <v>0</v>
      </c>
      <c r="L478" s="130">
        <v>46137</v>
      </c>
      <c r="M478" s="136"/>
      <c r="N478" s="128" t="s">
        <v>992</v>
      </c>
      <c r="O478" s="130">
        <v>46140</v>
      </c>
      <c r="P478" s="128">
        <v>0</v>
      </c>
      <c r="Q478" s="128">
        <v>650</v>
      </c>
      <c r="R478" s="128">
        <v>158</v>
      </c>
      <c r="S478" s="128">
        <v>808</v>
      </c>
      <c r="T478" s="128">
        <v>808</v>
      </c>
      <c r="U478" s="163">
        <v>0</v>
      </c>
      <c r="V478" s="163">
        <v>0</v>
      </c>
      <c r="W478" s="169">
        <v>404</v>
      </c>
      <c r="X478" s="169">
        <v>411.2</v>
      </c>
      <c r="Y478" s="169">
        <v>2773653.92</v>
      </c>
      <c r="Z478" s="165"/>
      <c r="AA478" s="169">
        <v>69341.350000000006</v>
      </c>
      <c r="AB478" s="169">
        <v>69341.350000000006</v>
      </c>
      <c r="AC478" s="169">
        <v>2912336.62</v>
      </c>
      <c r="AD478" s="197">
        <f t="shared" si="264"/>
        <v>2909424.2833799999</v>
      </c>
      <c r="AE478" s="147">
        <v>39.5</v>
      </c>
      <c r="AF478" s="169">
        <v>39.4</v>
      </c>
      <c r="AG478" s="147">
        <v>39.29</v>
      </c>
      <c r="AH478" s="170">
        <v>3.2000000000000002E-3</v>
      </c>
      <c r="AI478" s="170">
        <v>3.5099999999999999E-2</v>
      </c>
      <c r="AJ478" s="170">
        <v>5.6000000000000001E-2</v>
      </c>
      <c r="AK478" s="155">
        <v>0</v>
      </c>
      <c r="AL478" s="157">
        <f>808*2</f>
        <v>1616</v>
      </c>
      <c r="AM478" s="157"/>
      <c r="AN478" s="165">
        <v>0</v>
      </c>
      <c r="AO478" s="140">
        <f t="shared" si="301"/>
        <v>0</v>
      </c>
      <c r="AP478" s="136"/>
      <c r="AQ478" s="137">
        <v>0</v>
      </c>
      <c r="AR478" s="155">
        <f t="shared" si="302"/>
        <v>1616</v>
      </c>
      <c r="AS478" s="145">
        <f t="shared" si="303"/>
        <v>1697</v>
      </c>
      <c r="AT478" s="137">
        <v>0</v>
      </c>
      <c r="AU478" s="136"/>
      <c r="AV478" s="136"/>
      <c r="AW478" s="137">
        <f t="shared" si="304"/>
        <v>40400</v>
      </c>
      <c r="AX478" s="136"/>
      <c r="AY478" s="137">
        <f t="shared" si="305"/>
        <v>40400</v>
      </c>
      <c r="AZ478" s="137">
        <f t="shared" si="306"/>
        <v>41120</v>
      </c>
      <c r="BA478" s="142">
        <f t="shared" si="307"/>
        <v>-720</v>
      </c>
      <c r="BB478" s="137"/>
      <c r="BC478" s="137">
        <v>0</v>
      </c>
      <c r="BD478" s="136"/>
      <c r="BE478" s="202">
        <v>410.65</v>
      </c>
      <c r="BF478" s="143">
        <f t="shared" si="308"/>
        <v>0.61597499999999994</v>
      </c>
      <c r="BG478" s="143">
        <f t="shared" si="309"/>
        <v>410.03402499999999</v>
      </c>
      <c r="BH478" s="143">
        <f t="shared" si="310"/>
        <v>411.2</v>
      </c>
      <c r="BI478" s="144">
        <f t="shared" si="311"/>
        <v>-55.000000000001137</v>
      </c>
      <c r="BJ478" s="144">
        <v>0</v>
      </c>
      <c r="BK478" s="137">
        <f t="shared" si="312"/>
        <v>-55.000000000001137</v>
      </c>
      <c r="BL478" s="18"/>
      <c r="BM478" s="25" t="str">
        <f t="shared" si="313"/>
        <v>Unloading no. 457 Bill No MTC/2026-27/0127 ,Deduction For Oil Deduction= 0 ,Bardana= 1616 ,F.M=  Brokerage/Rate Difference 0 ,Shortage = 0 ,Greenish=  ,Moisture= 0</v>
      </c>
      <c r="BN478" s="17"/>
      <c r="BO478" s="13" t="str">
        <f t="shared" si="299"/>
        <v xml:space="preserve"> Party Condition 39.4  ,F.M% 0.32 ,Greenish 3.51 ,Moisture 5.6 ,Shortage in KG= 0  ,Oil% 39.29</v>
      </c>
      <c r="BP478" s="19">
        <f t="shared" si="314"/>
        <v>6741.3373540856028</v>
      </c>
      <c r="BX478" s="27">
        <v>39.5</v>
      </c>
      <c r="BY478" s="27">
        <v>39.29</v>
      </c>
    </row>
    <row r="479" spans="1:77" s="26" customFormat="1" ht="14.1" hidden="1" customHeight="1" x14ac:dyDescent="0.3">
      <c r="A479" s="128" t="s">
        <v>942</v>
      </c>
      <c r="B479" s="130">
        <v>46139</v>
      </c>
      <c r="C479" s="135">
        <v>458</v>
      </c>
      <c r="D479" s="128" t="s">
        <v>971</v>
      </c>
      <c r="E479" s="130">
        <v>46143</v>
      </c>
      <c r="F479" s="128" t="s">
        <v>436</v>
      </c>
      <c r="G479" s="128" t="s">
        <v>437</v>
      </c>
      <c r="H479" s="128" t="s">
        <v>438</v>
      </c>
      <c r="I479" s="157"/>
      <c r="J479" s="163" t="s">
        <v>113</v>
      </c>
      <c r="K479" s="163">
        <v>0</v>
      </c>
      <c r="L479" s="130">
        <v>46139</v>
      </c>
      <c r="M479" s="136"/>
      <c r="N479" s="128">
        <v>75</v>
      </c>
      <c r="O479" s="130">
        <v>46140</v>
      </c>
      <c r="P479" s="128">
        <v>0</v>
      </c>
      <c r="Q479" s="128">
        <v>250</v>
      </c>
      <c r="R479" s="128">
        <v>203</v>
      </c>
      <c r="S479" s="128">
        <v>453</v>
      </c>
      <c r="T479" s="128">
        <v>453</v>
      </c>
      <c r="U479" s="163">
        <v>0</v>
      </c>
      <c r="V479" s="163">
        <v>0</v>
      </c>
      <c r="W479" s="169">
        <v>271.8</v>
      </c>
      <c r="X479" s="169">
        <v>275.5</v>
      </c>
      <c r="Y479" s="169">
        <v>1870527.6</v>
      </c>
      <c r="Z479" s="165"/>
      <c r="AA479" s="169">
        <v>46763.19</v>
      </c>
      <c r="AB479" s="169">
        <v>46763.19</v>
      </c>
      <c r="AC479" s="169">
        <v>1964053.98</v>
      </c>
      <c r="AD479" s="197">
        <f t="shared" si="264"/>
        <v>1962089.9260199999</v>
      </c>
      <c r="AE479" s="147">
        <v>40.299999999999997</v>
      </c>
      <c r="AF479" s="169">
        <v>39.799999999999997</v>
      </c>
      <c r="AG479" s="147">
        <v>40.020000000000003</v>
      </c>
      <c r="AH479" s="170">
        <v>2.5000000000000001E-3</v>
      </c>
      <c r="AI479" s="170">
        <v>3.5000000000000003E-2</v>
      </c>
      <c r="AJ479" s="170">
        <v>0.05</v>
      </c>
      <c r="AK479" s="155">
        <f t="shared" si="300"/>
        <v>0</v>
      </c>
      <c r="AL479" s="157">
        <v>0</v>
      </c>
      <c r="AM479" s="157"/>
      <c r="AN479" s="165">
        <v>0</v>
      </c>
      <c r="AO479" s="140">
        <f t="shared" si="301"/>
        <v>0</v>
      </c>
      <c r="AP479" s="136"/>
      <c r="AQ479" s="137">
        <v>0</v>
      </c>
      <c r="AR479" s="155">
        <f t="shared" si="302"/>
        <v>0</v>
      </c>
      <c r="AS479" s="155">
        <f t="shared" si="303"/>
        <v>0</v>
      </c>
      <c r="AT479" s="137">
        <v>0</v>
      </c>
      <c r="AU479" s="136"/>
      <c r="AV479" s="136"/>
      <c r="AW479" s="137">
        <f t="shared" si="304"/>
        <v>27180</v>
      </c>
      <c r="AX479" s="136"/>
      <c r="AY479" s="137">
        <f t="shared" si="305"/>
        <v>27180</v>
      </c>
      <c r="AZ479" s="137">
        <f t="shared" si="306"/>
        <v>27550</v>
      </c>
      <c r="BA479" s="142">
        <f t="shared" si="307"/>
        <v>-370</v>
      </c>
      <c r="BB479" s="137"/>
      <c r="BC479" s="137">
        <v>0</v>
      </c>
      <c r="BD479" s="136"/>
      <c r="BE479" s="202">
        <v>275.7</v>
      </c>
      <c r="BF479" s="143">
        <f t="shared" si="308"/>
        <v>0.41354999999999997</v>
      </c>
      <c r="BG479" s="143">
        <f t="shared" si="309"/>
        <v>275.28645</v>
      </c>
      <c r="BH479" s="143">
        <f t="shared" si="310"/>
        <v>275.5</v>
      </c>
      <c r="BI479" s="144">
        <f t="shared" si="311"/>
        <v>19.999999999998863</v>
      </c>
      <c r="BJ479" s="144">
        <v>0</v>
      </c>
      <c r="BK479" s="137">
        <f t="shared" si="312"/>
        <v>19.999999999998863</v>
      </c>
      <c r="BL479" s="18"/>
      <c r="BM479" s="25" t="str">
        <f t="shared" si="313"/>
        <v>Unloading no. 458 Bill No 75 ,Deduction For Oil Deduction= 0 ,Bardana= 0 ,F.M=  Brokerage/Rate Difference 0 ,Shortage = 0 ,Greenish=  ,Moisture= 0</v>
      </c>
      <c r="BN479" s="17"/>
      <c r="BO479" s="13" t="str">
        <f t="shared" si="299"/>
        <v xml:space="preserve"> Party Condition 39.8  ,F.M% 0.25 ,Greenish 3.5 ,Moisture 5 ,Shortage in KG= 0  ,Oil% 40.02</v>
      </c>
      <c r="BP479" s="19">
        <f t="shared" si="314"/>
        <v>6789.5738656987296</v>
      </c>
      <c r="BX479" s="27">
        <v>40.299999999999997</v>
      </c>
      <c r="BY479" s="27">
        <v>40.020000000000003</v>
      </c>
    </row>
    <row r="480" spans="1:77" s="26" customFormat="1" ht="14.1" hidden="1" customHeight="1" x14ac:dyDescent="0.3">
      <c r="A480" s="128" t="s">
        <v>943</v>
      </c>
      <c r="B480" s="130">
        <v>46139</v>
      </c>
      <c r="C480" s="135">
        <v>459</v>
      </c>
      <c r="D480" s="128" t="s">
        <v>972</v>
      </c>
      <c r="E480" s="130">
        <v>46143</v>
      </c>
      <c r="F480" s="128" t="s">
        <v>101</v>
      </c>
      <c r="G480" s="128" t="s">
        <v>102</v>
      </c>
      <c r="H480" s="128" t="s">
        <v>97</v>
      </c>
      <c r="I480" s="157"/>
      <c r="J480" s="163" t="s">
        <v>113</v>
      </c>
      <c r="K480" s="163">
        <v>0</v>
      </c>
      <c r="L480" s="130">
        <v>46139</v>
      </c>
      <c r="M480" s="136"/>
      <c r="N480" s="128" t="s">
        <v>993</v>
      </c>
      <c r="O480" s="130">
        <v>46140</v>
      </c>
      <c r="P480" s="128">
        <v>0</v>
      </c>
      <c r="Q480" s="128">
        <v>550</v>
      </c>
      <c r="R480" s="128">
        <v>51</v>
      </c>
      <c r="S480" s="128">
        <v>601</v>
      </c>
      <c r="T480" s="128">
        <v>601</v>
      </c>
      <c r="U480" s="163">
        <v>0</v>
      </c>
      <c r="V480" s="163">
        <v>0</v>
      </c>
      <c r="W480" s="169">
        <v>360.6</v>
      </c>
      <c r="X480" s="169">
        <v>367.3</v>
      </c>
      <c r="Y480" s="169">
        <v>2508640.11</v>
      </c>
      <c r="Z480" s="165"/>
      <c r="AA480" s="169">
        <v>62716</v>
      </c>
      <c r="AB480" s="169">
        <v>62716</v>
      </c>
      <c r="AC480" s="169">
        <v>2634072.12</v>
      </c>
      <c r="AD480" s="197">
        <f t="shared" ref="AD480:AD543" si="315">SUM(AC480-AC480*0.1%)</f>
        <v>2631438.04788</v>
      </c>
      <c r="AE480" s="147">
        <v>39.549999999999997</v>
      </c>
      <c r="AF480" s="169">
        <v>39.9</v>
      </c>
      <c r="AG480" s="196">
        <v>39.29</v>
      </c>
      <c r="AH480" s="170">
        <v>4.5999999999999999E-3</v>
      </c>
      <c r="AI480" s="170">
        <v>3.9E-2</v>
      </c>
      <c r="AJ480" s="170">
        <v>5.0999999999999997E-2</v>
      </c>
      <c r="AK480" s="155">
        <f t="shared" si="300"/>
        <v>38352.64328571425</v>
      </c>
      <c r="AL480" s="157">
        <v>0</v>
      </c>
      <c r="AM480" s="157"/>
      <c r="AN480" s="165">
        <v>0</v>
      </c>
      <c r="AO480" s="140">
        <f t="shared" si="301"/>
        <v>0</v>
      </c>
      <c r="AP480" s="136"/>
      <c r="AQ480" s="137">
        <v>0</v>
      </c>
      <c r="AR480" s="155">
        <f t="shared" si="302"/>
        <v>38352.64328571425</v>
      </c>
      <c r="AS480" s="145">
        <f t="shared" si="303"/>
        <v>40270</v>
      </c>
      <c r="AT480" s="137">
        <v>0</v>
      </c>
      <c r="AU480" s="136"/>
      <c r="AV480" s="136"/>
      <c r="AW480" s="137">
        <f t="shared" si="304"/>
        <v>36060</v>
      </c>
      <c r="AX480" s="136"/>
      <c r="AY480" s="137">
        <f t="shared" si="305"/>
        <v>36060</v>
      </c>
      <c r="AZ480" s="137">
        <f t="shared" si="306"/>
        <v>36730</v>
      </c>
      <c r="BA480" s="142">
        <f t="shared" si="307"/>
        <v>-670</v>
      </c>
      <c r="BB480" s="137"/>
      <c r="BC480" s="137">
        <v>0</v>
      </c>
      <c r="BD480" s="136"/>
      <c r="BE480" s="202">
        <v>367.8</v>
      </c>
      <c r="BF480" s="143">
        <f t="shared" si="308"/>
        <v>0.55169999999999997</v>
      </c>
      <c r="BG480" s="143">
        <f t="shared" si="309"/>
        <v>367.24830000000003</v>
      </c>
      <c r="BH480" s="143">
        <f t="shared" si="310"/>
        <v>367.3</v>
      </c>
      <c r="BI480" s="144">
        <f t="shared" si="311"/>
        <v>50</v>
      </c>
      <c r="BJ480" s="144">
        <v>0</v>
      </c>
      <c r="BK480" s="137">
        <f t="shared" si="312"/>
        <v>50</v>
      </c>
      <c r="BL480" s="18"/>
      <c r="BM480" s="25" t="str">
        <f t="shared" si="313"/>
        <v>Unloading no. 459 Bill No L/PB/26-27/78 ,Deduction For Oil Deduction= 38352.6432857142 ,Bardana= 0 ,F.M=  Brokerage/Rate Difference 0 ,Shortage = 0 ,Greenish=  ,Moisture= 0</v>
      </c>
      <c r="BN480" s="17"/>
      <c r="BO480" s="13" t="str">
        <f t="shared" si="299"/>
        <v xml:space="preserve"> Party Condition 39.9  ,F.M% 0.46 ,Greenish 3.9 ,Moisture 5.1 ,Shortage in KG= 0  ,Oil% 39.29</v>
      </c>
      <c r="BP480" s="19">
        <f t="shared" si="314"/>
        <v>6725.5308105480144</v>
      </c>
      <c r="BX480" s="27">
        <v>39.549999999999997</v>
      </c>
      <c r="BY480" s="27">
        <v>39.29</v>
      </c>
    </row>
    <row r="481" spans="1:77" s="26" customFormat="1" ht="14.1" hidden="1" customHeight="1" x14ac:dyDescent="0.3">
      <c r="A481" s="128" t="s">
        <v>943</v>
      </c>
      <c r="B481" s="130">
        <v>46139</v>
      </c>
      <c r="C481" s="135">
        <v>460</v>
      </c>
      <c r="D481" s="128" t="s">
        <v>973</v>
      </c>
      <c r="E481" s="130">
        <v>46143</v>
      </c>
      <c r="F481" s="128" t="s">
        <v>101</v>
      </c>
      <c r="G481" s="128" t="s">
        <v>102</v>
      </c>
      <c r="H481" s="128" t="s">
        <v>97</v>
      </c>
      <c r="I481" s="157"/>
      <c r="J481" s="163" t="s">
        <v>113</v>
      </c>
      <c r="K481" s="163">
        <v>0</v>
      </c>
      <c r="L481" s="130">
        <v>46139</v>
      </c>
      <c r="M481" s="136"/>
      <c r="N481" s="128" t="s">
        <v>994</v>
      </c>
      <c r="O481" s="130">
        <v>46140</v>
      </c>
      <c r="P481" s="128">
        <v>0</v>
      </c>
      <c r="Q481" s="128">
        <v>522</v>
      </c>
      <c r="R481" s="128">
        <v>250</v>
      </c>
      <c r="S481" s="128">
        <v>772</v>
      </c>
      <c r="T481" s="128">
        <v>772</v>
      </c>
      <c r="U481" s="163">
        <v>0</v>
      </c>
      <c r="V481" s="163">
        <v>0</v>
      </c>
      <c r="W481" s="169">
        <v>463.2</v>
      </c>
      <c r="X481" s="169">
        <v>471.1</v>
      </c>
      <c r="Y481" s="169">
        <v>3222412.92</v>
      </c>
      <c r="Z481" s="165"/>
      <c r="AA481" s="169">
        <v>80560.320000000007</v>
      </c>
      <c r="AB481" s="169">
        <v>80560.320000000007</v>
      </c>
      <c r="AC481" s="169">
        <v>3383533.57</v>
      </c>
      <c r="AD481" s="197">
        <f t="shared" si="315"/>
        <v>3380150.0364299999</v>
      </c>
      <c r="AE481" s="147">
        <v>39.4</v>
      </c>
      <c r="AF481" s="169">
        <v>39.9</v>
      </c>
      <c r="AG481" s="196">
        <v>39.33</v>
      </c>
      <c r="AH481" s="170">
        <v>4.3E-3</v>
      </c>
      <c r="AI481" s="170">
        <v>0.03</v>
      </c>
      <c r="AJ481" s="195">
        <v>0.05</v>
      </c>
      <c r="AK481" s="155">
        <f t="shared" si="300"/>
        <v>46034.470285714313</v>
      </c>
      <c r="AL481" s="157">
        <v>0</v>
      </c>
      <c r="AM481" s="157"/>
      <c r="AN481" s="165">
        <v>0</v>
      </c>
      <c r="AO481" s="140">
        <f t="shared" si="301"/>
        <v>0</v>
      </c>
      <c r="AP481" s="136"/>
      <c r="AQ481" s="145">
        <v>27311.53</v>
      </c>
      <c r="AR481" s="155">
        <f t="shared" si="302"/>
        <v>73346.000285714312</v>
      </c>
      <c r="AS481" s="145">
        <f t="shared" si="303"/>
        <v>77013</v>
      </c>
      <c r="AT481" s="137">
        <v>0</v>
      </c>
      <c r="AU481" s="136" t="s">
        <v>997</v>
      </c>
      <c r="AV481" s="136"/>
      <c r="AW481" s="137">
        <f t="shared" si="304"/>
        <v>46320</v>
      </c>
      <c r="AX481" s="136"/>
      <c r="AY481" s="137">
        <f t="shared" si="305"/>
        <v>46320</v>
      </c>
      <c r="AZ481" s="137">
        <f t="shared" si="306"/>
        <v>47110</v>
      </c>
      <c r="BA481" s="142">
        <f t="shared" si="307"/>
        <v>-790</v>
      </c>
      <c r="BB481" s="137"/>
      <c r="BC481" s="137">
        <v>0</v>
      </c>
      <c r="BD481" s="136"/>
      <c r="BE481" s="202">
        <v>471.4</v>
      </c>
      <c r="BF481" s="143">
        <f t="shared" si="308"/>
        <v>0.70709999999999995</v>
      </c>
      <c r="BG481" s="143">
        <f t="shared" si="309"/>
        <v>470.69289999999995</v>
      </c>
      <c r="BH481" s="143">
        <f t="shared" si="310"/>
        <v>471.1</v>
      </c>
      <c r="BI481" s="144">
        <f t="shared" si="311"/>
        <v>29.999999999995453</v>
      </c>
      <c r="BJ481" s="144">
        <v>0</v>
      </c>
      <c r="BK481" s="137">
        <f t="shared" si="312"/>
        <v>29.999999999995453</v>
      </c>
      <c r="BL481" s="18"/>
      <c r="BM481" s="25" t="str">
        <f t="shared" si="313"/>
        <v>Unloading no. 460 Bill No L/PB/26-27/77 ,Deduction For Oil Deduction= 46034.4702857143 ,Bardana= 0 ,F.M=  Brokerage/Rate Difference 0 ,Shortage = 0 ,Greenish=  ,Moisture= 27311.53</v>
      </c>
      <c r="BN481" s="17"/>
      <c r="BO481" s="13" t="str">
        <f t="shared" si="299"/>
        <v xml:space="preserve"> Party Condition 39.9  ,F.M% 0.43 ,Greenish 3 ,Moisture 5 ,Shortage in KG= 0  ,Oil% 39.33</v>
      </c>
      <c r="BP481" s="19">
        <f t="shared" si="314"/>
        <v>6684.4978130211957</v>
      </c>
      <c r="BX481" s="27">
        <v>39.4</v>
      </c>
      <c r="BY481" s="27">
        <v>39.33</v>
      </c>
    </row>
    <row r="482" spans="1:77" s="26" customFormat="1" ht="14.1" hidden="1" customHeight="1" x14ac:dyDescent="0.3">
      <c r="A482" s="128" t="s">
        <v>944</v>
      </c>
      <c r="B482" s="130">
        <v>46139</v>
      </c>
      <c r="C482" s="135">
        <v>461</v>
      </c>
      <c r="D482" s="128" t="s">
        <v>974</v>
      </c>
      <c r="E482" s="130">
        <v>46143</v>
      </c>
      <c r="F482" s="128" t="s">
        <v>110</v>
      </c>
      <c r="G482" s="128" t="s">
        <v>111</v>
      </c>
      <c r="H482" s="128" t="s">
        <v>112</v>
      </c>
      <c r="I482" s="157"/>
      <c r="J482" s="163" t="s">
        <v>113</v>
      </c>
      <c r="K482" s="163">
        <v>0</v>
      </c>
      <c r="L482" s="130">
        <v>46139</v>
      </c>
      <c r="M482" s="136"/>
      <c r="N482" s="128" t="s">
        <v>995</v>
      </c>
      <c r="O482" s="130">
        <v>46140</v>
      </c>
      <c r="P482" s="128">
        <v>0</v>
      </c>
      <c r="Q482" s="128">
        <v>663</v>
      </c>
      <c r="R482" s="128">
        <v>0</v>
      </c>
      <c r="S482" s="128">
        <v>663</v>
      </c>
      <c r="T482" s="128">
        <v>663</v>
      </c>
      <c r="U482" s="163">
        <v>0</v>
      </c>
      <c r="V482" s="163">
        <v>0</v>
      </c>
      <c r="W482" s="169">
        <v>397.8</v>
      </c>
      <c r="X482" s="169">
        <v>404.4</v>
      </c>
      <c r="Y482" s="169">
        <v>2737792.2</v>
      </c>
      <c r="Z482" s="165"/>
      <c r="AA482" s="169">
        <v>68444.81</v>
      </c>
      <c r="AB482" s="169">
        <v>68444.81</v>
      </c>
      <c r="AC482" s="169">
        <v>2874681.81</v>
      </c>
      <c r="AD482" s="197">
        <f t="shared" si="315"/>
        <v>2871807.1281900001</v>
      </c>
      <c r="AE482" s="147">
        <v>40.299999999999997</v>
      </c>
      <c r="AF482" s="169">
        <v>39.56</v>
      </c>
      <c r="AG482" s="147">
        <v>40.049999999999997</v>
      </c>
      <c r="AH482" s="170">
        <v>3.5999999999999999E-3</v>
      </c>
      <c r="AI482" s="170">
        <v>4.1000000000000002E-2</v>
      </c>
      <c r="AJ482" s="203">
        <v>0.06</v>
      </c>
      <c r="AK482" s="155">
        <f t="shared" si="300"/>
        <v>0</v>
      </c>
      <c r="AL482" s="157">
        <f>663*5</f>
        <v>3315</v>
      </c>
      <c r="AM482" s="157"/>
      <c r="AN482" s="165">
        <v>0</v>
      </c>
      <c r="AO482" s="140">
        <f t="shared" si="301"/>
        <v>0</v>
      </c>
      <c r="AP482" s="136"/>
      <c r="AQ482" s="137">
        <v>0</v>
      </c>
      <c r="AR482" s="155">
        <f t="shared" si="302"/>
        <v>3315</v>
      </c>
      <c r="AS482" s="145">
        <f t="shared" si="303"/>
        <v>3481</v>
      </c>
      <c r="AT482" s="137">
        <v>0</v>
      </c>
      <c r="AU482" s="136"/>
      <c r="AV482" s="136"/>
      <c r="AW482" s="137">
        <f t="shared" si="304"/>
        <v>39780</v>
      </c>
      <c r="AX482" s="136"/>
      <c r="AY482" s="137">
        <f t="shared" si="305"/>
        <v>39780</v>
      </c>
      <c r="AZ482" s="137">
        <f t="shared" si="306"/>
        <v>40440</v>
      </c>
      <c r="BA482" s="142">
        <f t="shared" si="307"/>
        <v>-660</v>
      </c>
      <c r="BB482" s="137"/>
      <c r="BC482" s="137">
        <v>0</v>
      </c>
      <c r="BD482" s="136"/>
      <c r="BE482" s="202">
        <v>405</v>
      </c>
      <c r="BF482" s="143">
        <f t="shared" si="308"/>
        <v>0.60750000000000004</v>
      </c>
      <c r="BG482" s="143">
        <f t="shared" si="309"/>
        <v>404.39249999999998</v>
      </c>
      <c r="BH482" s="143">
        <f t="shared" si="310"/>
        <v>404.4</v>
      </c>
      <c r="BI482" s="144">
        <f t="shared" si="311"/>
        <v>60.000000000002274</v>
      </c>
      <c r="BJ482" s="144">
        <v>0</v>
      </c>
      <c r="BK482" s="137">
        <f t="shared" si="312"/>
        <v>60.000000000002274</v>
      </c>
      <c r="BL482" s="18"/>
      <c r="BM482" s="25" t="str">
        <f t="shared" si="313"/>
        <v>Unloading no. 461 Bill No G1689 ,Deduction For Oil Deduction= 0 ,Bardana= 3315 ,F.M=  Brokerage/Rate Difference 0 ,Shortage = 0 ,Greenish=  ,Moisture= 0</v>
      </c>
      <c r="BN482" s="17"/>
      <c r="BO482" s="13" t="str">
        <f t="shared" si="299"/>
        <v xml:space="preserve"> Party Condition 39.56  ,F.M% 0.36 ,Greenish 4.1 ,Moisture 6 ,Shortage in KG= 0  ,Oil% 40.05</v>
      </c>
      <c r="BP482" s="19">
        <f t="shared" si="314"/>
        <v>6761.8130563798231</v>
      </c>
      <c r="BX482" s="27">
        <v>40.299999999999997</v>
      </c>
      <c r="BY482" s="27">
        <v>40.049999999999997</v>
      </c>
    </row>
    <row r="483" spans="1:77" s="26" customFormat="1" ht="14.1" hidden="1" customHeight="1" x14ac:dyDescent="0.3">
      <c r="A483" s="128" t="s">
        <v>945</v>
      </c>
      <c r="B483" s="130">
        <v>46139</v>
      </c>
      <c r="C483" s="135">
        <v>462</v>
      </c>
      <c r="D483" s="128" t="s">
        <v>975</v>
      </c>
      <c r="E483" s="130">
        <v>46143</v>
      </c>
      <c r="F483" s="128" t="s">
        <v>203</v>
      </c>
      <c r="G483" s="128" t="s">
        <v>204</v>
      </c>
      <c r="H483" s="128" t="s">
        <v>205</v>
      </c>
      <c r="I483" s="157"/>
      <c r="J483" s="163" t="s">
        <v>113</v>
      </c>
      <c r="K483" s="163">
        <v>0</v>
      </c>
      <c r="L483" s="130">
        <v>46139</v>
      </c>
      <c r="M483" s="136"/>
      <c r="N483" s="128">
        <v>9</v>
      </c>
      <c r="O483" s="130">
        <v>46140</v>
      </c>
      <c r="P483" s="128">
        <v>0</v>
      </c>
      <c r="Q483" s="128">
        <v>300</v>
      </c>
      <c r="R483" s="128">
        <v>117</v>
      </c>
      <c r="S483" s="128">
        <v>417</v>
      </c>
      <c r="T483" s="128">
        <v>417</v>
      </c>
      <c r="U483" s="163">
        <v>0</v>
      </c>
      <c r="V483" s="163">
        <v>0</v>
      </c>
      <c r="W483" s="169">
        <v>250.2</v>
      </c>
      <c r="X483" s="169">
        <v>253.3</v>
      </c>
      <c r="Y483" s="169">
        <v>1716567.99</v>
      </c>
      <c r="Z483" s="165"/>
      <c r="AA483" s="169">
        <v>42914.2</v>
      </c>
      <c r="AB483" s="169">
        <v>42914.2</v>
      </c>
      <c r="AC483" s="169">
        <v>1802396.39</v>
      </c>
      <c r="AD483" s="197">
        <f t="shared" si="315"/>
        <v>1800593.99361</v>
      </c>
      <c r="AE483" s="147">
        <v>40.479999999999997</v>
      </c>
      <c r="AF483" s="169">
        <v>39.9</v>
      </c>
      <c r="AG483" s="147">
        <v>40.21</v>
      </c>
      <c r="AH483" s="170">
        <v>3.3E-3</v>
      </c>
      <c r="AI483" s="170">
        <v>3.7199999999999997E-2</v>
      </c>
      <c r="AJ483" s="170">
        <v>4.9000000000000002E-2</v>
      </c>
      <c r="AK483" s="155">
        <f t="shared" si="300"/>
        <v>0</v>
      </c>
      <c r="AL483" s="157">
        <f>417*2</f>
        <v>834</v>
      </c>
      <c r="AM483" s="157"/>
      <c r="AN483" s="165">
        <v>336.28</v>
      </c>
      <c r="AO483" s="140">
        <f t="shared" si="301"/>
        <v>0</v>
      </c>
      <c r="AP483" s="136"/>
      <c r="AQ483" s="137">
        <v>0</v>
      </c>
      <c r="AR483" s="155">
        <f t="shared" si="302"/>
        <v>1170.28</v>
      </c>
      <c r="AS483" s="155">
        <f t="shared" si="303"/>
        <v>1229</v>
      </c>
      <c r="AT483" s="137">
        <v>0</v>
      </c>
      <c r="AU483" s="136"/>
      <c r="AV483" s="136"/>
      <c r="AW483" s="137">
        <f t="shared" si="304"/>
        <v>25020</v>
      </c>
      <c r="AX483" s="136"/>
      <c r="AY483" s="137">
        <f t="shared" si="305"/>
        <v>25020</v>
      </c>
      <c r="AZ483" s="137">
        <f t="shared" si="306"/>
        <v>25330</v>
      </c>
      <c r="BA483" s="142">
        <f t="shared" si="307"/>
        <v>-310</v>
      </c>
      <c r="BB483" s="137"/>
      <c r="BC483" s="137">
        <v>0</v>
      </c>
      <c r="BD483" s="136"/>
      <c r="BE483" s="202">
        <v>253.8</v>
      </c>
      <c r="BF483" s="143">
        <f t="shared" si="308"/>
        <v>0.38069999999999998</v>
      </c>
      <c r="BG483" s="143">
        <f t="shared" si="309"/>
        <v>253.41930000000002</v>
      </c>
      <c r="BH483" s="143">
        <f t="shared" si="310"/>
        <v>253.3</v>
      </c>
      <c r="BI483" s="144">
        <f t="shared" si="311"/>
        <v>50</v>
      </c>
      <c r="BJ483" s="144">
        <v>0</v>
      </c>
      <c r="BK483" s="137">
        <f t="shared" si="312"/>
        <v>50</v>
      </c>
      <c r="BL483" s="18"/>
      <c r="BM483" s="25" t="str">
        <f t="shared" si="313"/>
        <v>Unloading no. 462 Bill No 9 ,Deduction For Oil Deduction= 0 ,Bardana= 834 ,F.M=  Brokerage/Rate Difference 336.28 ,Shortage = 0 ,Greenish=  ,Moisture= 0</v>
      </c>
      <c r="BN483" s="17"/>
      <c r="BO483" s="13" t="str">
        <f t="shared" si="299"/>
        <v xml:space="preserve"> Party Condition 39.9  ,F.M% 0.33 ,Greenish 3.72 ,Moisture 4.9 ,Shortage in KG= 0  ,Oil% 40.21</v>
      </c>
      <c r="BP483" s="19">
        <f t="shared" si="314"/>
        <v>6772.1978286616659</v>
      </c>
      <c r="BX483" s="27">
        <v>40.479999999999997</v>
      </c>
      <c r="BY483" s="27">
        <v>40.21</v>
      </c>
    </row>
    <row r="484" spans="1:77" s="26" customFormat="1" ht="14.1" hidden="1" customHeight="1" x14ac:dyDescent="0.3">
      <c r="A484" s="128" t="s">
        <v>946</v>
      </c>
      <c r="B484" s="130">
        <v>46139</v>
      </c>
      <c r="C484" s="135">
        <v>463</v>
      </c>
      <c r="D484" s="128" t="s">
        <v>976</v>
      </c>
      <c r="E484" s="130">
        <v>46143</v>
      </c>
      <c r="F484" s="128" t="s">
        <v>110</v>
      </c>
      <c r="G484" s="128" t="s">
        <v>111</v>
      </c>
      <c r="H484" s="128" t="s">
        <v>112</v>
      </c>
      <c r="I484" s="157"/>
      <c r="J484" s="163" t="s">
        <v>113</v>
      </c>
      <c r="K484" s="163">
        <v>0</v>
      </c>
      <c r="L484" s="130">
        <v>46139</v>
      </c>
      <c r="M484" s="136"/>
      <c r="N484" s="128" t="s">
        <v>996</v>
      </c>
      <c r="O484" s="130">
        <v>46140</v>
      </c>
      <c r="P484" s="128">
        <v>0</v>
      </c>
      <c r="Q484" s="128">
        <v>250</v>
      </c>
      <c r="R484" s="128">
        <v>79</v>
      </c>
      <c r="S484" s="128">
        <v>329</v>
      </c>
      <c r="T484" s="128">
        <v>329</v>
      </c>
      <c r="U484" s="163">
        <v>0</v>
      </c>
      <c r="V484" s="163">
        <v>0</v>
      </c>
      <c r="W484" s="169">
        <v>197.4</v>
      </c>
      <c r="X484" s="169">
        <v>201</v>
      </c>
      <c r="Y484" s="169">
        <v>1355019.4</v>
      </c>
      <c r="Z484" s="165"/>
      <c r="AA484" s="169">
        <v>33875.49</v>
      </c>
      <c r="AB484" s="169">
        <v>33875.49</v>
      </c>
      <c r="AC484" s="169">
        <v>1422770.37</v>
      </c>
      <c r="AD484" s="197">
        <f t="shared" si="315"/>
        <v>1421347.5996300001</v>
      </c>
      <c r="AE484" s="147">
        <v>40.54</v>
      </c>
      <c r="AF484" s="169">
        <v>39.53</v>
      </c>
      <c r="AG484" s="147">
        <v>40.25</v>
      </c>
      <c r="AH484" s="170">
        <v>3.2000000000000002E-3</v>
      </c>
      <c r="AI484" s="170">
        <v>3.4000000000000002E-2</v>
      </c>
      <c r="AJ484" s="170">
        <v>4.9000000000000002E-2</v>
      </c>
      <c r="AK484" s="155">
        <f t="shared" si="300"/>
        <v>0</v>
      </c>
      <c r="AL484" s="157">
        <f>329*5</f>
        <v>1645</v>
      </c>
      <c r="AM484" s="157"/>
      <c r="AN484" s="204">
        <v>0</v>
      </c>
      <c r="AO484" s="140">
        <f t="shared" si="301"/>
        <v>0</v>
      </c>
      <c r="AP484" s="136"/>
      <c r="AQ484" s="137">
        <v>0</v>
      </c>
      <c r="AR484" s="155">
        <f t="shared" si="302"/>
        <v>1645</v>
      </c>
      <c r="AS484" s="155">
        <f t="shared" si="303"/>
        <v>1727</v>
      </c>
      <c r="AT484" s="137">
        <v>0</v>
      </c>
      <c r="AU484" s="136"/>
      <c r="AV484" s="136"/>
      <c r="AW484" s="137">
        <f t="shared" si="304"/>
        <v>19740</v>
      </c>
      <c r="AX484" s="136"/>
      <c r="AY484" s="137">
        <f t="shared" si="305"/>
        <v>19740</v>
      </c>
      <c r="AZ484" s="137">
        <f t="shared" si="306"/>
        <v>20100</v>
      </c>
      <c r="BA484" s="142">
        <f t="shared" si="307"/>
        <v>-360</v>
      </c>
      <c r="BB484" s="137"/>
      <c r="BC484" s="137">
        <v>0</v>
      </c>
      <c r="BD484" s="136"/>
      <c r="BE484" s="202">
        <v>201.2</v>
      </c>
      <c r="BF484" s="143">
        <f t="shared" si="308"/>
        <v>0.30179999999999996</v>
      </c>
      <c r="BG484" s="143">
        <f t="shared" si="309"/>
        <v>200.8982</v>
      </c>
      <c r="BH484" s="143">
        <f t="shared" si="310"/>
        <v>201</v>
      </c>
      <c r="BI484" s="144">
        <f t="shared" si="311"/>
        <v>19.999999999998863</v>
      </c>
      <c r="BJ484" s="144">
        <v>0</v>
      </c>
      <c r="BK484" s="137">
        <f t="shared" si="312"/>
        <v>19.999999999998863</v>
      </c>
      <c r="BL484" s="18"/>
      <c r="BM484" s="25" t="str">
        <f t="shared" si="313"/>
        <v>Unloading no. 463 Bill No G1688 ,Deduction For Oil Deduction= 0 ,Bardana= 1645 ,F.M=  Brokerage/Rate Difference 0 ,Shortage = 0 ,Greenish=  ,Moisture= 0</v>
      </c>
      <c r="BN484" s="17"/>
      <c r="BO484" s="13" t="str">
        <f t="shared" si="299"/>
        <v xml:space="preserve"> Party Condition 39.53  ,F.M% 0.32 ,Greenish 3.4 ,Moisture 4.9 ,Shortage in KG= 0  ,Oil% 40.25</v>
      </c>
      <c r="BP484" s="19">
        <f t="shared" si="314"/>
        <v>6733.2059701492535</v>
      </c>
      <c r="BX484" s="27">
        <v>40.54</v>
      </c>
      <c r="BY484" s="27">
        <v>40.25</v>
      </c>
    </row>
    <row r="485" spans="1:77" s="26" customFormat="1" ht="14.1" hidden="1" customHeight="1" thickBot="1" x14ac:dyDescent="0.35">
      <c r="A485" s="128" t="s">
        <v>937</v>
      </c>
      <c r="B485" s="130">
        <v>46139</v>
      </c>
      <c r="C485" s="135">
        <v>464</v>
      </c>
      <c r="D485" s="128" t="s">
        <v>977</v>
      </c>
      <c r="E485" s="130">
        <v>46143</v>
      </c>
      <c r="F485" s="128" t="s">
        <v>95</v>
      </c>
      <c r="G485" s="128" t="s">
        <v>96</v>
      </c>
      <c r="H485" s="128" t="s">
        <v>97</v>
      </c>
      <c r="I485" s="157"/>
      <c r="J485" s="163" t="s">
        <v>113</v>
      </c>
      <c r="K485" s="163">
        <v>0</v>
      </c>
      <c r="L485" s="130">
        <v>46139</v>
      </c>
      <c r="M485" s="136"/>
      <c r="N485" s="128">
        <v>137</v>
      </c>
      <c r="O485" s="130">
        <v>46140</v>
      </c>
      <c r="P485" s="128">
        <v>0</v>
      </c>
      <c r="Q485" s="128">
        <v>503</v>
      </c>
      <c r="R485" s="128">
        <v>0</v>
      </c>
      <c r="S485" s="128">
        <v>503</v>
      </c>
      <c r="T485" s="128">
        <v>503</v>
      </c>
      <c r="U485" s="163">
        <v>0</v>
      </c>
      <c r="V485" s="163">
        <v>0</v>
      </c>
      <c r="W485" s="169">
        <v>301.8</v>
      </c>
      <c r="X485" s="169">
        <v>305.8</v>
      </c>
      <c r="Y485" s="169">
        <v>2117021.37</v>
      </c>
      <c r="Z485" s="165"/>
      <c r="AA485" s="169">
        <v>52925.53</v>
      </c>
      <c r="AB485" s="169">
        <v>52925.53</v>
      </c>
      <c r="AC485" s="169">
        <v>2222872.44</v>
      </c>
      <c r="AD485" s="197">
        <f t="shared" si="315"/>
        <v>2220649.5675599999</v>
      </c>
      <c r="AE485" s="147">
        <v>40.799999999999997</v>
      </c>
      <c r="AF485" s="169">
        <v>40.369999999999997</v>
      </c>
      <c r="AG485" s="147">
        <v>40.53</v>
      </c>
      <c r="AH485" s="170">
        <v>2.5999999999999999E-3</v>
      </c>
      <c r="AI485" s="170">
        <v>3.5999999999999997E-2</v>
      </c>
      <c r="AJ485" s="170">
        <v>4.2999999999999997E-2</v>
      </c>
      <c r="AK485" s="155">
        <f t="shared" si="300"/>
        <v>0</v>
      </c>
      <c r="AL485" s="157">
        <v>0</v>
      </c>
      <c r="AM485" s="157"/>
      <c r="AN485" s="165">
        <v>0</v>
      </c>
      <c r="AO485" s="140">
        <f t="shared" si="301"/>
        <v>0</v>
      </c>
      <c r="AP485" s="136"/>
      <c r="AQ485" s="137">
        <v>0</v>
      </c>
      <c r="AR485" s="155">
        <f t="shared" si="302"/>
        <v>0</v>
      </c>
      <c r="AS485" s="155">
        <f t="shared" si="303"/>
        <v>0</v>
      </c>
      <c r="AT485" s="137">
        <v>0</v>
      </c>
      <c r="AU485" s="136"/>
      <c r="AV485" s="136"/>
      <c r="AW485" s="137">
        <f t="shared" si="304"/>
        <v>30180</v>
      </c>
      <c r="AX485" s="136"/>
      <c r="AY485" s="137">
        <f t="shared" si="305"/>
        <v>30180</v>
      </c>
      <c r="AZ485" s="137">
        <f t="shared" si="306"/>
        <v>30580</v>
      </c>
      <c r="BA485" s="142">
        <f t="shared" si="307"/>
        <v>-400</v>
      </c>
      <c r="BB485" s="137"/>
      <c r="BC485" s="137">
        <v>0</v>
      </c>
      <c r="BD485" s="136"/>
      <c r="BE485" s="202">
        <v>306</v>
      </c>
      <c r="BF485" s="143">
        <f t="shared" si="308"/>
        <v>0.45899999999999996</v>
      </c>
      <c r="BG485" s="143">
        <f t="shared" si="309"/>
        <v>305.541</v>
      </c>
      <c r="BH485" s="143">
        <f t="shared" si="310"/>
        <v>305.8</v>
      </c>
      <c r="BI485" s="144">
        <f t="shared" si="311"/>
        <v>19.999999999998863</v>
      </c>
      <c r="BJ485" s="144">
        <v>0</v>
      </c>
      <c r="BK485" s="137">
        <f t="shared" si="312"/>
        <v>19.999999999998863</v>
      </c>
      <c r="BL485" s="18"/>
      <c r="BM485" s="25" t="str">
        <f t="shared" si="313"/>
        <v>Unloading no. 464 Bill No 137 ,Deduction For Oil Deduction= 0 ,Bardana= 0 ,F.M=  Brokerage/Rate Difference 0 ,Shortage = 0 ,Greenish=  ,Moisture= 0</v>
      </c>
      <c r="BN485" s="17"/>
      <c r="BO485" s="13" t="str">
        <f t="shared" si="299"/>
        <v xml:space="preserve"> Party Condition 40.37  ,F.M% 0.26 ,Greenish 3.6 ,Moisture 4.3 ,Shortage in KG= 0  ,Oil% 40.53</v>
      </c>
      <c r="BP485" s="19">
        <f t="shared" si="314"/>
        <v>6922.8952583387836</v>
      </c>
      <c r="BX485" s="30">
        <v>40.799999999999997</v>
      </c>
      <c r="BY485" s="30">
        <v>40.53</v>
      </c>
    </row>
    <row r="486" spans="1:77" s="26" customFormat="1" ht="14.1" hidden="1" customHeight="1" thickBot="1" x14ac:dyDescent="0.35">
      <c r="A486" s="128" t="s">
        <v>998</v>
      </c>
      <c r="B486" s="130">
        <v>46139</v>
      </c>
      <c r="C486" s="128">
        <v>465</v>
      </c>
      <c r="D486" s="128" t="s">
        <v>1004</v>
      </c>
      <c r="E486" s="130">
        <v>46144</v>
      </c>
      <c r="F486" s="128" t="s">
        <v>104</v>
      </c>
      <c r="G486" s="128" t="s">
        <v>105</v>
      </c>
      <c r="H486" s="128" t="s">
        <v>106</v>
      </c>
      <c r="I486" s="157"/>
      <c r="J486" s="163" t="s">
        <v>113</v>
      </c>
      <c r="K486" s="163">
        <v>0</v>
      </c>
      <c r="L486" s="130">
        <v>46139</v>
      </c>
      <c r="M486" s="136"/>
      <c r="N486" s="128" t="s">
        <v>1018</v>
      </c>
      <c r="O486" s="130">
        <v>46140</v>
      </c>
      <c r="P486" s="128">
        <v>0</v>
      </c>
      <c r="Q486" s="128">
        <v>600</v>
      </c>
      <c r="R486" s="128">
        <v>24</v>
      </c>
      <c r="S486" s="128">
        <v>624</v>
      </c>
      <c r="T486" s="128">
        <v>624</v>
      </c>
      <c r="U486" s="163">
        <v>0</v>
      </c>
      <c r="V486" s="163">
        <v>0</v>
      </c>
      <c r="W486" s="169">
        <v>312</v>
      </c>
      <c r="X486" s="169">
        <v>318</v>
      </c>
      <c r="Y486" s="169">
        <v>2126336.16</v>
      </c>
      <c r="Z486" s="136"/>
      <c r="AA486" s="128">
        <v>53158.400000000001</v>
      </c>
      <c r="AB486" s="128">
        <v>53158.400000000001</v>
      </c>
      <c r="AC486" s="128">
        <v>2232652.9700000002</v>
      </c>
      <c r="AD486" s="197">
        <f t="shared" si="315"/>
        <v>2230420.31703</v>
      </c>
      <c r="AE486" s="147">
        <v>39.72</v>
      </c>
      <c r="AF486" s="169">
        <v>39.15</v>
      </c>
      <c r="AG486" s="147">
        <v>39.71</v>
      </c>
      <c r="AH486" s="170">
        <v>2.8999999999999998E-3</v>
      </c>
      <c r="AI486" s="170">
        <v>3.5499999999999997E-2</v>
      </c>
      <c r="AJ486" s="170">
        <v>5.3999999999999999E-2</v>
      </c>
      <c r="AK486" s="155">
        <f t="shared" ref="AK486:AK500" si="316">+IF(AF486=42,IF(MIN(AE486,AG486)&lt;AF486,Y486*((AF486-MIN(AE486,AG486))/AF486)),IF(MIN(AE486,AG486)&lt;AF486,Y486*((AF486-MIN(AE486,AG486))/AF486),0))</f>
        <v>0</v>
      </c>
      <c r="AL486" s="157">
        <f>624*2</f>
        <v>1248</v>
      </c>
      <c r="AM486" s="157" t="s">
        <v>1027</v>
      </c>
      <c r="AN486" s="165">
        <v>0</v>
      </c>
      <c r="AO486" s="140">
        <f t="shared" ref="AO486:AO500" si="317">AT486*Y486/AW486</f>
        <v>0</v>
      </c>
      <c r="AP486" s="136"/>
      <c r="AQ486" s="137">
        <v>0</v>
      </c>
      <c r="AR486" s="155">
        <f t="shared" ref="AR486:AR500" si="318">SUM(AK486:AQ486)</f>
        <v>1248</v>
      </c>
      <c r="AS486" s="155">
        <f t="shared" ref="AS486:AS500" si="319">ROUND(AR486*1.05,0)</f>
        <v>1310</v>
      </c>
      <c r="AT486" s="137">
        <v>0</v>
      </c>
      <c r="AU486" s="136"/>
      <c r="AV486" s="136"/>
      <c r="AW486" s="137">
        <f t="shared" ref="AW486:AW500" si="320">W486*100</f>
        <v>31200</v>
      </c>
      <c r="AX486" s="136"/>
      <c r="AY486" s="137">
        <f t="shared" ref="AY486:AY500" si="321">+AW486+AX486</f>
        <v>31200</v>
      </c>
      <c r="AZ486" s="137">
        <f t="shared" ref="AZ486:AZ500" si="322">X486*100</f>
        <v>31800</v>
      </c>
      <c r="BA486" s="142">
        <f t="shared" ref="BA486:BA500" si="323">AY486-AZ486</f>
        <v>-600</v>
      </c>
      <c r="BB486" s="137"/>
      <c r="BC486" s="137">
        <v>0</v>
      </c>
      <c r="BD486" s="136"/>
      <c r="BE486" s="205">
        <v>317.85000000000002</v>
      </c>
      <c r="BF486" s="143">
        <f t="shared" ref="BF486:BF500" si="324">+BE486*0.15/100</f>
        <v>0.476775</v>
      </c>
      <c r="BG486" s="143">
        <f t="shared" ref="BG486:BG500" si="325">BE486-BF486</f>
        <v>317.37322500000005</v>
      </c>
      <c r="BH486" s="143">
        <f t="shared" ref="BH486:BH500" si="326">X486</f>
        <v>318</v>
      </c>
      <c r="BI486" s="144">
        <f t="shared" ref="BI486:BI500" si="327">(BE486-BH486)*100</f>
        <v>-14.999999999997726</v>
      </c>
      <c r="BJ486" s="144">
        <v>0</v>
      </c>
      <c r="BK486" s="137">
        <f t="shared" ref="BK486:BK500" si="328">BI486</f>
        <v>-14.999999999997726</v>
      </c>
      <c r="BL486" s="18"/>
      <c r="BM486" s="25" t="str">
        <f t="shared" ref="BM486:BM500" si="329">+$C$1&amp;" "&amp;C486 &amp;" "&amp;$N$1&amp;" "&amp;N486&amp;" "&amp;$BM$1&amp;" "&amp;$AK$1&amp;" "&amp;AK486&amp;" "&amp;$AL$1&amp;" "&amp;AL486&amp;" "&amp;$AM$1&amp;" "&amp;AM486&amp;" "&amp;$AN$1&amp;" "&amp;AN486&amp;" "&amp;$AO$1&amp;" "&amp;AO486&amp;" "&amp;$AP$1&amp;" "&amp;AP486&amp;" "&amp;$AQ$1&amp;" "&amp;AQ486</f>
        <v>Unloading no. 465 Bill No MTC/2026-27/0129 ,Deduction For Oil Deduction= 0 ,Bardana= 1248 ,F.M=                                                   Brokerage/Rate Difference 0 ,Shortage = 0 ,Greenish=  ,Moisture= 0</v>
      </c>
      <c r="BN486" s="17"/>
      <c r="BO486" s="13" t="str">
        <f t="shared" si="299"/>
        <v xml:space="preserve"> Party Condition 39.15  ,F.M% 0.29 ,Greenish 3.55 ,Moisture 5.4 ,Shortage in KG= 0  ,Oil% 39.71</v>
      </c>
      <c r="BP486" s="19">
        <f t="shared" ref="BP486:BP500" si="330">(Y486-AR486)/X486</f>
        <v>6682.6671698113214</v>
      </c>
      <c r="BX486" s="27">
        <v>39.72</v>
      </c>
      <c r="BY486" s="27">
        <v>39.71</v>
      </c>
    </row>
    <row r="487" spans="1:77" s="26" customFormat="1" ht="14.1" hidden="1" customHeight="1" thickBot="1" x14ac:dyDescent="0.35">
      <c r="A487" s="128" t="s">
        <v>934</v>
      </c>
      <c r="B487" s="130">
        <v>46137</v>
      </c>
      <c r="C487" s="128">
        <v>466</v>
      </c>
      <c r="D487" s="128" t="s">
        <v>1005</v>
      </c>
      <c r="E487" s="130">
        <v>46144</v>
      </c>
      <c r="F487" s="128" t="s">
        <v>110</v>
      </c>
      <c r="G487" s="128" t="s">
        <v>111</v>
      </c>
      <c r="H487" s="128" t="s">
        <v>112</v>
      </c>
      <c r="I487" s="157"/>
      <c r="J487" s="163" t="s">
        <v>113</v>
      </c>
      <c r="K487" s="163">
        <v>0</v>
      </c>
      <c r="L487" s="130">
        <v>46137</v>
      </c>
      <c r="M487" s="136"/>
      <c r="N487" s="128" t="s">
        <v>1019</v>
      </c>
      <c r="O487" s="130">
        <v>46139</v>
      </c>
      <c r="P487" s="128">
        <v>0</v>
      </c>
      <c r="Q487" s="128">
        <v>500</v>
      </c>
      <c r="R487" s="128">
        <v>170</v>
      </c>
      <c r="S487" s="128">
        <v>670</v>
      </c>
      <c r="T487" s="128">
        <v>670</v>
      </c>
      <c r="U487" s="163">
        <v>0</v>
      </c>
      <c r="V487" s="163">
        <v>0</v>
      </c>
      <c r="W487" s="169">
        <v>415.8</v>
      </c>
      <c r="X487" s="169">
        <v>400.1</v>
      </c>
      <c r="Y487" s="169">
        <v>2855437.2</v>
      </c>
      <c r="Z487" s="136"/>
      <c r="AA487" s="128">
        <v>71385.929999999993</v>
      </c>
      <c r="AB487" s="128">
        <v>71385.929999999993</v>
      </c>
      <c r="AC487" s="128">
        <v>2998209.06</v>
      </c>
      <c r="AD487" s="197">
        <f t="shared" si="315"/>
        <v>2995210.8509400003</v>
      </c>
      <c r="AE487" s="147">
        <v>40.299999999999997</v>
      </c>
      <c r="AF487" s="169">
        <v>39.729999999999997</v>
      </c>
      <c r="AG487" s="147">
        <v>40.04</v>
      </c>
      <c r="AH487" s="170">
        <v>4.0000000000000001E-3</v>
      </c>
      <c r="AI487" s="170">
        <v>3.5999999999999997E-2</v>
      </c>
      <c r="AJ487" s="170">
        <v>5.2999999999999999E-2</v>
      </c>
      <c r="AK487" s="155">
        <f t="shared" si="316"/>
        <v>0</v>
      </c>
      <c r="AL487" s="157">
        <f>670*5</f>
        <v>3350</v>
      </c>
      <c r="AM487" s="157"/>
      <c r="AN487" s="165">
        <v>943</v>
      </c>
      <c r="AO487" s="140">
        <f t="shared" si="317"/>
        <v>138994.82666666666</v>
      </c>
      <c r="AP487" s="136"/>
      <c r="AQ487" s="137">
        <v>0</v>
      </c>
      <c r="AR487" s="155">
        <f t="shared" si="318"/>
        <v>143287.82666666666</v>
      </c>
      <c r="AS487" s="155">
        <f t="shared" si="319"/>
        <v>150452</v>
      </c>
      <c r="AT487" s="137">
        <v>2024</v>
      </c>
      <c r="AU487" s="206" t="s">
        <v>1028</v>
      </c>
      <c r="AV487" s="136"/>
      <c r="AW487" s="137">
        <f t="shared" si="320"/>
        <v>41580</v>
      </c>
      <c r="AX487" s="136"/>
      <c r="AY487" s="137">
        <f t="shared" si="321"/>
        <v>41580</v>
      </c>
      <c r="AZ487" s="137">
        <f t="shared" si="322"/>
        <v>40010</v>
      </c>
      <c r="BA487" s="142">
        <f t="shared" si="323"/>
        <v>1570</v>
      </c>
      <c r="BB487" s="137"/>
      <c r="BC487" s="137">
        <v>0</v>
      </c>
      <c r="BD487" s="136"/>
      <c r="BE487" s="207">
        <v>420.9</v>
      </c>
      <c r="BF487" s="143">
        <f t="shared" si="324"/>
        <v>0.63134999999999986</v>
      </c>
      <c r="BG487" s="143">
        <f t="shared" si="325"/>
        <v>420.26864999999998</v>
      </c>
      <c r="BH487" s="143">
        <f t="shared" si="326"/>
        <v>400.1</v>
      </c>
      <c r="BI487" s="144">
        <f t="shared" si="327"/>
        <v>2079.9999999999955</v>
      </c>
      <c r="BJ487" s="144">
        <v>0</v>
      </c>
      <c r="BK487" s="137">
        <f t="shared" si="328"/>
        <v>2079.9999999999955</v>
      </c>
      <c r="BL487" s="18"/>
      <c r="BM487" s="25" t="str">
        <f t="shared" si="329"/>
        <v>Unloading no. 466 Bill No G1686 ,Deduction For Oil Deduction= 0 ,Bardana= 3350 ,F.M=  Brokerage/Rate Difference 943 ,Shortage = 138994.826666667 ,Greenish=  ,Moisture= 0</v>
      </c>
      <c r="BN487" s="17"/>
      <c r="BO487" s="13" t="str">
        <f t="shared" si="299"/>
        <v xml:space="preserve"> Party Condition 39.73  ,F.M% 0.4 ,Greenish 3.6 ,Moisture 5.3 ,Shortage in KG= 2024  ,Oil% 40.04</v>
      </c>
      <c r="BP487" s="19">
        <f t="shared" si="330"/>
        <v>6778.6787636424224</v>
      </c>
      <c r="BX487" s="27">
        <v>40.299999999999997</v>
      </c>
      <c r="BY487" s="27">
        <v>40.04</v>
      </c>
    </row>
    <row r="488" spans="1:77" s="26" customFormat="1" ht="14.1" hidden="1" customHeight="1" x14ac:dyDescent="0.3">
      <c r="A488" s="174" t="s">
        <v>998</v>
      </c>
      <c r="B488" s="175">
        <v>46139</v>
      </c>
      <c r="C488" s="174">
        <v>467</v>
      </c>
      <c r="D488" s="174" t="s">
        <v>1006</v>
      </c>
      <c r="E488" s="175">
        <v>46144</v>
      </c>
      <c r="F488" s="174" t="s">
        <v>104</v>
      </c>
      <c r="G488" s="174" t="s">
        <v>105</v>
      </c>
      <c r="H488" s="174" t="s">
        <v>106</v>
      </c>
      <c r="I488" s="208"/>
      <c r="J488" s="209" t="s">
        <v>113</v>
      </c>
      <c r="K488" s="209">
        <v>0</v>
      </c>
      <c r="L488" s="175">
        <v>46139</v>
      </c>
      <c r="M488" s="176"/>
      <c r="N488" s="174" t="s">
        <v>1020</v>
      </c>
      <c r="O488" s="175">
        <v>46140</v>
      </c>
      <c r="P488" s="174">
        <v>0</v>
      </c>
      <c r="Q488" s="174">
        <v>500</v>
      </c>
      <c r="R488" s="174">
        <v>117</v>
      </c>
      <c r="S488" s="174">
        <v>617</v>
      </c>
      <c r="T488" s="174">
        <v>617</v>
      </c>
      <c r="U488" s="209">
        <v>0</v>
      </c>
      <c r="V488" s="209">
        <v>0</v>
      </c>
      <c r="W488" s="179">
        <v>308.5</v>
      </c>
      <c r="X488" s="179">
        <v>313.7</v>
      </c>
      <c r="Y488" s="179">
        <v>2102483.0299999998</v>
      </c>
      <c r="Z488" s="176"/>
      <c r="AA488" s="174">
        <v>52562.080000000002</v>
      </c>
      <c r="AB488" s="174">
        <v>52562.080000000002</v>
      </c>
      <c r="AC488" s="174">
        <v>2207607.1800000002</v>
      </c>
      <c r="AD488" s="210">
        <f t="shared" si="315"/>
        <v>2205399.5728200004</v>
      </c>
      <c r="AE488" s="178">
        <v>39.619999999999997</v>
      </c>
      <c r="AF488" s="179">
        <v>39.15</v>
      </c>
      <c r="AG488" s="178">
        <v>39.590000000000003</v>
      </c>
      <c r="AH488" s="180">
        <v>3.2000000000000002E-3</v>
      </c>
      <c r="AI488" s="180">
        <v>3.3000000000000002E-2</v>
      </c>
      <c r="AJ488" s="180">
        <v>4.8000000000000001E-2</v>
      </c>
      <c r="AK488" s="184">
        <f t="shared" si="316"/>
        <v>0</v>
      </c>
      <c r="AL488" s="208">
        <f>617*2</f>
        <v>1234</v>
      </c>
      <c r="AM488" s="208"/>
      <c r="AN488" s="182">
        <v>0</v>
      </c>
      <c r="AO488" s="183">
        <f t="shared" si="317"/>
        <v>0</v>
      </c>
      <c r="AP488" s="176"/>
      <c r="AQ488" s="181">
        <v>0</v>
      </c>
      <c r="AR488" s="184">
        <f t="shared" si="318"/>
        <v>1234</v>
      </c>
      <c r="AS488" s="184">
        <f t="shared" si="319"/>
        <v>1296</v>
      </c>
      <c r="AT488" s="181">
        <v>0</v>
      </c>
      <c r="AU488" s="176"/>
      <c r="AV488" s="176"/>
      <c r="AW488" s="181">
        <f t="shared" si="320"/>
        <v>30850</v>
      </c>
      <c r="AX488" s="176"/>
      <c r="AY488" s="181">
        <f t="shared" si="321"/>
        <v>30850</v>
      </c>
      <c r="AZ488" s="181">
        <f t="shared" si="322"/>
        <v>31370</v>
      </c>
      <c r="BA488" s="185">
        <f t="shared" si="323"/>
        <v>-520</v>
      </c>
      <c r="BB488" s="181"/>
      <c r="BC488" s="181">
        <v>0</v>
      </c>
      <c r="BD488" s="176"/>
      <c r="BE488" s="211">
        <v>313.45</v>
      </c>
      <c r="BF488" s="177">
        <f t="shared" si="324"/>
        <v>0.47017500000000001</v>
      </c>
      <c r="BG488" s="177">
        <f t="shared" si="325"/>
        <v>312.97982500000001</v>
      </c>
      <c r="BH488" s="177">
        <f t="shared" si="326"/>
        <v>313.7</v>
      </c>
      <c r="BI488" s="186">
        <f t="shared" si="327"/>
        <v>-25</v>
      </c>
      <c r="BJ488" s="186">
        <v>0</v>
      </c>
      <c r="BK488" s="181">
        <f t="shared" si="328"/>
        <v>-25</v>
      </c>
      <c r="BL488" s="20"/>
      <c r="BM488" s="29" t="str">
        <f t="shared" si="329"/>
        <v>Unloading no. 467 Bill No MTC/2026-270128 ,Deduction For Oil Deduction= 0 ,Bardana= 1234 ,F.M=  Brokerage/Rate Difference 0 ,Shortage = 0 ,Greenish=  ,Moisture= 0</v>
      </c>
      <c r="BN488" s="17"/>
      <c r="BO488" s="13" t="str">
        <f t="shared" si="299"/>
        <v xml:space="preserve"> Party Condition 39.15  ,F.M% 0.32 ,Greenish 3.3 ,Moisture 4.8 ,Shortage in KG= 0  ,Oil% 39.59</v>
      </c>
      <c r="BP488" s="19">
        <f t="shared" si="330"/>
        <v>6698.2755180108379</v>
      </c>
      <c r="BX488" s="27">
        <v>39.619999999999997</v>
      </c>
      <c r="BY488" s="27">
        <v>39.590000000000003</v>
      </c>
    </row>
    <row r="489" spans="1:77" s="26" customFormat="1" ht="14.1" hidden="1" customHeight="1" x14ac:dyDescent="0.3">
      <c r="A489" s="163" t="s">
        <v>998</v>
      </c>
      <c r="B489" s="166">
        <v>46139</v>
      </c>
      <c r="C489" s="163">
        <v>468</v>
      </c>
      <c r="D489" s="163" t="s">
        <v>1007</v>
      </c>
      <c r="E489" s="166">
        <v>46144</v>
      </c>
      <c r="F489" s="163" t="s">
        <v>104</v>
      </c>
      <c r="G489" s="163" t="s">
        <v>105</v>
      </c>
      <c r="H489" s="163" t="s">
        <v>106</v>
      </c>
      <c r="I489" s="157"/>
      <c r="J489" s="163" t="s">
        <v>113</v>
      </c>
      <c r="K489" s="163">
        <v>0</v>
      </c>
      <c r="L489" s="166">
        <v>46139</v>
      </c>
      <c r="M489" s="157"/>
      <c r="N489" s="163" t="s">
        <v>1021</v>
      </c>
      <c r="O489" s="166">
        <v>46141</v>
      </c>
      <c r="P489" s="128">
        <v>0</v>
      </c>
      <c r="Q489" s="128">
        <v>450</v>
      </c>
      <c r="R489" s="128">
        <v>71</v>
      </c>
      <c r="S489" s="128">
        <v>521</v>
      </c>
      <c r="T489" s="128">
        <v>521</v>
      </c>
      <c r="U489" s="163">
        <v>0</v>
      </c>
      <c r="V489" s="163">
        <v>0</v>
      </c>
      <c r="W489" s="169">
        <v>260.5</v>
      </c>
      <c r="X489" s="169">
        <v>265.39999999999998</v>
      </c>
      <c r="Y489" s="169">
        <v>1776917.39</v>
      </c>
      <c r="Z489" s="136"/>
      <c r="AA489" s="128">
        <v>44422.93</v>
      </c>
      <c r="AB489" s="128">
        <v>44422.93</v>
      </c>
      <c r="AC489" s="128">
        <v>1865763.26</v>
      </c>
      <c r="AD489" s="197">
        <f t="shared" si="315"/>
        <v>1863897.4967400001</v>
      </c>
      <c r="AE489" s="147">
        <v>40.619999999999997</v>
      </c>
      <c r="AF489" s="169">
        <v>39.15</v>
      </c>
      <c r="AG489" s="147">
        <v>40.56</v>
      </c>
      <c r="AH489" s="170">
        <v>2.8999999999999998E-3</v>
      </c>
      <c r="AI489" s="170">
        <v>3.4000000000000002E-2</v>
      </c>
      <c r="AJ489" s="170">
        <v>0.05</v>
      </c>
      <c r="AK489" s="155">
        <f t="shared" si="316"/>
        <v>0</v>
      </c>
      <c r="AL489" s="157">
        <f>521*5</f>
        <v>2605</v>
      </c>
      <c r="AM489" s="157"/>
      <c r="AN489" s="165">
        <v>0</v>
      </c>
      <c r="AO489" s="140">
        <f t="shared" si="317"/>
        <v>0</v>
      </c>
      <c r="AP489" s="136"/>
      <c r="AQ489" s="137">
        <v>0</v>
      </c>
      <c r="AR489" s="155">
        <f t="shared" si="318"/>
        <v>2605</v>
      </c>
      <c r="AS489" s="155">
        <f t="shared" si="319"/>
        <v>2735</v>
      </c>
      <c r="AT489" s="137">
        <v>0</v>
      </c>
      <c r="AU489" s="136"/>
      <c r="AV489" s="136"/>
      <c r="AW489" s="137">
        <f t="shared" si="320"/>
        <v>26050</v>
      </c>
      <c r="AX489" s="136"/>
      <c r="AY489" s="137">
        <f t="shared" si="321"/>
        <v>26050</v>
      </c>
      <c r="AZ489" s="137">
        <f t="shared" si="322"/>
        <v>26539.999999999996</v>
      </c>
      <c r="BA489" s="142">
        <f t="shared" si="323"/>
        <v>-489.99999999999636</v>
      </c>
      <c r="BB489" s="137"/>
      <c r="BC489" s="137">
        <v>0</v>
      </c>
      <c r="BD489" s="136"/>
      <c r="BE489" s="169">
        <v>264.95</v>
      </c>
      <c r="BF489" s="143">
        <f t="shared" si="324"/>
        <v>0.39742499999999997</v>
      </c>
      <c r="BG489" s="143">
        <f t="shared" si="325"/>
        <v>264.55257499999999</v>
      </c>
      <c r="BH489" s="143">
        <f t="shared" si="326"/>
        <v>265.39999999999998</v>
      </c>
      <c r="BI489" s="144">
        <f t="shared" si="327"/>
        <v>-44.999999999998863</v>
      </c>
      <c r="BJ489" s="144">
        <v>0</v>
      </c>
      <c r="BK489" s="137">
        <f t="shared" si="328"/>
        <v>-44.999999999998863</v>
      </c>
      <c r="BL489" s="18"/>
      <c r="BM489" s="25" t="str">
        <f t="shared" si="329"/>
        <v>Unloading no. 468 Bill No MTC/2026-27/0133 ,Deduction For Oil Deduction= 0 ,Bardana= 2605 ,F.M=  Brokerage/Rate Difference 0 ,Shortage = 0 ,Greenish=  ,Moisture= 0</v>
      </c>
      <c r="BN489" s="17"/>
      <c r="BO489" s="13" t="str">
        <f t="shared" si="299"/>
        <v xml:space="preserve"> Party Condition 39.15  ,F.M% 0.29 ,Greenish 3.4 ,Moisture 5 ,Shortage in KG= 0  ,Oil% 40.56</v>
      </c>
      <c r="BP489" s="19">
        <f t="shared" si="330"/>
        <v>6685.4272418990204</v>
      </c>
      <c r="BX489" s="27">
        <v>40.619999999999997</v>
      </c>
      <c r="BY489" s="27">
        <v>40.56</v>
      </c>
    </row>
    <row r="490" spans="1:77" s="26" customFormat="1" ht="14.1" hidden="1" customHeight="1" x14ac:dyDescent="0.3">
      <c r="A490" s="163" t="s">
        <v>999</v>
      </c>
      <c r="B490" s="166">
        <v>46139</v>
      </c>
      <c r="C490" s="163">
        <v>469</v>
      </c>
      <c r="D490" s="163" t="s">
        <v>1008</v>
      </c>
      <c r="E490" s="166">
        <v>46144</v>
      </c>
      <c r="F490" s="163" t="s">
        <v>98</v>
      </c>
      <c r="G490" s="163" t="s">
        <v>99</v>
      </c>
      <c r="H490" s="163" t="s">
        <v>199</v>
      </c>
      <c r="I490" s="157"/>
      <c r="J490" s="163" t="s">
        <v>113</v>
      </c>
      <c r="K490" s="163">
        <v>0</v>
      </c>
      <c r="L490" s="166">
        <v>46139</v>
      </c>
      <c r="M490" s="157"/>
      <c r="N490" s="163">
        <v>102</v>
      </c>
      <c r="O490" s="166">
        <v>46141</v>
      </c>
      <c r="P490" s="128">
        <v>0</v>
      </c>
      <c r="Q490" s="128">
        <v>370</v>
      </c>
      <c r="R490" s="128">
        <v>80</v>
      </c>
      <c r="S490" s="128">
        <v>450</v>
      </c>
      <c r="T490" s="128">
        <v>450</v>
      </c>
      <c r="U490" s="163">
        <v>0</v>
      </c>
      <c r="V490" s="163">
        <v>0</v>
      </c>
      <c r="W490" s="169">
        <v>270</v>
      </c>
      <c r="X490" s="169">
        <v>273</v>
      </c>
      <c r="Y490" s="169">
        <v>1861041.6</v>
      </c>
      <c r="Z490" s="136"/>
      <c r="AA490" s="128">
        <v>46526.04</v>
      </c>
      <c r="AB490" s="128">
        <v>46526.04</v>
      </c>
      <c r="AC490" s="128">
        <v>1954093.68</v>
      </c>
      <c r="AD490" s="197">
        <f t="shared" si="315"/>
        <v>1952139.58632</v>
      </c>
      <c r="AE490" s="147">
        <v>39.64</v>
      </c>
      <c r="AF490" s="169">
        <v>39.53</v>
      </c>
      <c r="AG490" s="147">
        <v>39.549999999999997</v>
      </c>
      <c r="AH490" s="170">
        <v>3.8E-3</v>
      </c>
      <c r="AI490" s="170">
        <v>3.6700000000000003E-2</v>
      </c>
      <c r="AJ490" s="170">
        <v>4.9000000000000002E-2</v>
      </c>
      <c r="AK490" s="155">
        <f t="shared" si="316"/>
        <v>0</v>
      </c>
      <c r="AL490" s="157">
        <f>450*5.5</f>
        <v>2475</v>
      </c>
      <c r="AM490" s="157"/>
      <c r="AN490" s="165">
        <v>0</v>
      </c>
      <c r="AO490" s="140">
        <f t="shared" si="317"/>
        <v>0</v>
      </c>
      <c r="AP490" s="136"/>
      <c r="AQ490" s="137">
        <v>0</v>
      </c>
      <c r="AR490" s="155">
        <f t="shared" si="318"/>
        <v>2475</v>
      </c>
      <c r="AS490" s="155">
        <f t="shared" si="319"/>
        <v>2599</v>
      </c>
      <c r="AT490" s="137">
        <v>0</v>
      </c>
      <c r="AU490" s="136"/>
      <c r="AV490" s="136"/>
      <c r="AW490" s="137">
        <f t="shared" si="320"/>
        <v>27000</v>
      </c>
      <c r="AX490" s="136"/>
      <c r="AY490" s="137">
        <f t="shared" si="321"/>
        <v>27000</v>
      </c>
      <c r="AZ490" s="137">
        <f t="shared" si="322"/>
        <v>27300</v>
      </c>
      <c r="BA490" s="142">
        <f t="shared" si="323"/>
        <v>-300</v>
      </c>
      <c r="BB490" s="137"/>
      <c r="BC490" s="137">
        <v>0</v>
      </c>
      <c r="BD490" s="136"/>
      <c r="BE490" s="169">
        <v>273.5</v>
      </c>
      <c r="BF490" s="143">
        <f t="shared" si="324"/>
        <v>0.41025</v>
      </c>
      <c r="BG490" s="143">
        <f t="shared" si="325"/>
        <v>273.08974999999998</v>
      </c>
      <c r="BH490" s="143">
        <f t="shared" si="326"/>
        <v>273</v>
      </c>
      <c r="BI490" s="144">
        <f t="shared" si="327"/>
        <v>50</v>
      </c>
      <c r="BJ490" s="144">
        <v>0</v>
      </c>
      <c r="BK490" s="137">
        <f t="shared" si="328"/>
        <v>50</v>
      </c>
      <c r="BL490" s="18"/>
      <c r="BM490" s="25" t="str">
        <f t="shared" si="329"/>
        <v>Unloading no. 469 Bill No 102 ,Deduction For Oil Deduction= 0 ,Bardana= 2475 ,F.M=  Brokerage/Rate Difference 0 ,Shortage = 0 ,Greenish=  ,Moisture= 0</v>
      </c>
      <c r="BN490" s="17"/>
      <c r="BO490" s="13" t="str">
        <f t="shared" si="299"/>
        <v xml:space="preserve"> Party Condition 39.53  ,F.M% 0.38 ,Greenish 3.67 ,Moisture 4.9 ,Shortage in KG= 0  ,Oil% 39.55</v>
      </c>
      <c r="BP490" s="19">
        <f t="shared" si="330"/>
        <v>6807.9362637362638</v>
      </c>
      <c r="BX490" s="27">
        <v>40.049999999999997</v>
      </c>
      <c r="BY490" s="27">
        <v>39.799999999999997</v>
      </c>
    </row>
    <row r="491" spans="1:77" s="26" customFormat="1" ht="14.1" hidden="1" customHeight="1" x14ac:dyDescent="0.3">
      <c r="A491" s="163" t="s">
        <v>943</v>
      </c>
      <c r="B491" s="166">
        <v>46139</v>
      </c>
      <c r="C491" s="163">
        <v>470</v>
      </c>
      <c r="D491" s="163" t="s">
        <v>1009</v>
      </c>
      <c r="E491" s="166">
        <v>46144</v>
      </c>
      <c r="F491" s="163" t="s">
        <v>101</v>
      </c>
      <c r="G491" s="163" t="s">
        <v>102</v>
      </c>
      <c r="H491" s="163" t="s">
        <v>97</v>
      </c>
      <c r="I491" s="157"/>
      <c r="J491" s="163" t="s">
        <v>113</v>
      </c>
      <c r="K491" s="163">
        <v>0</v>
      </c>
      <c r="L491" s="166">
        <v>46139</v>
      </c>
      <c r="M491" s="157"/>
      <c r="N491" s="163" t="s">
        <v>1022</v>
      </c>
      <c r="O491" s="166">
        <v>46141</v>
      </c>
      <c r="P491" s="128">
        <v>0</v>
      </c>
      <c r="Q491" s="128">
        <v>450</v>
      </c>
      <c r="R491" s="128">
        <v>50</v>
      </c>
      <c r="S491" s="128">
        <v>500</v>
      </c>
      <c r="T491" s="128">
        <v>500</v>
      </c>
      <c r="U491" s="163">
        <v>0</v>
      </c>
      <c r="V491" s="163">
        <v>0</v>
      </c>
      <c r="W491" s="169">
        <v>300</v>
      </c>
      <c r="X491" s="169">
        <v>304.5</v>
      </c>
      <c r="Y491" s="169">
        <v>2087055</v>
      </c>
      <c r="Z491" s="136"/>
      <c r="AA491" s="128">
        <v>52176.38</v>
      </c>
      <c r="AB491" s="128">
        <v>52176.38</v>
      </c>
      <c r="AC491" s="128">
        <v>2191407.75</v>
      </c>
      <c r="AD491" s="197">
        <f t="shared" si="315"/>
        <v>2189216.3422500002</v>
      </c>
      <c r="AE491" s="147">
        <v>40.049999999999997</v>
      </c>
      <c r="AF491" s="169">
        <v>39.9</v>
      </c>
      <c r="AG491" s="147">
        <v>39.799999999999997</v>
      </c>
      <c r="AH491" s="170">
        <v>3.5999999999999999E-3</v>
      </c>
      <c r="AI491" s="170">
        <v>3.49E-2</v>
      </c>
      <c r="AJ491" s="170">
        <v>5.1999999999999998E-2</v>
      </c>
      <c r="AK491" s="155">
        <v>0</v>
      </c>
      <c r="AL491" s="157">
        <v>0</v>
      </c>
      <c r="AM491" s="157"/>
      <c r="AN491" s="165">
        <v>0</v>
      </c>
      <c r="AO491" s="140">
        <f t="shared" si="317"/>
        <v>0</v>
      </c>
      <c r="AP491" s="136"/>
      <c r="AQ491" s="137">
        <v>0</v>
      </c>
      <c r="AR491" s="155">
        <f t="shared" si="318"/>
        <v>0</v>
      </c>
      <c r="AS491" s="155">
        <f t="shared" si="319"/>
        <v>0</v>
      </c>
      <c r="AT491" s="137">
        <v>0</v>
      </c>
      <c r="AU491" s="136"/>
      <c r="AV491" s="136"/>
      <c r="AW491" s="137">
        <f t="shared" si="320"/>
        <v>30000</v>
      </c>
      <c r="AX491" s="136"/>
      <c r="AY491" s="137">
        <f t="shared" si="321"/>
        <v>30000</v>
      </c>
      <c r="AZ491" s="137">
        <f t="shared" si="322"/>
        <v>30450</v>
      </c>
      <c r="BA491" s="142">
        <f t="shared" si="323"/>
        <v>-450</v>
      </c>
      <c r="BB491" s="137"/>
      <c r="BC491" s="137">
        <v>0</v>
      </c>
      <c r="BD491" s="136"/>
      <c r="BE491" s="169">
        <v>304.5</v>
      </c>
      <c r="BF491" s="143">
        <f t="shared" si="324"/>
        <v>0.45674999999999999</v>
      </c>
      <c r="BG491" s="143">
        <f t="shared" si="325"/>
        <v>304.04325</v>
      </c>
      <c r="BH491" s="143">
        <f t="shared" si="326"/>
        <v>304.5</v>
      </c>
      <c r="BI491" s="144">
        <f t="shared" si="327"/>
        <v>0</v>
      </c>
      <c r="BJ491" s="144">
        <v>0</v>
      </c>
      <c r="BK491" s="137">
        <f t="shared" si="328"/>
        <v>0</v>
      </c>
      <c r="BL491" s="18"/>
      <c r="BM491" s="25" t="str">
        <f t="shared" si="329"/>
        <v>Unloading no. 470 Bill No L/PB/26-27/79 ,Deduction For Oil Deduction= 0 ,Bardana= 0 ,F.M=  Brokerage/Rate Difference 0 ,Shortage = 0 ,Greenish=  ,Moisture= 0</v>
      </c>
      <c r="BN491" s="17"/>
      <c r="BO491" s="13" t="str">
        <f t="shared" si="299"/>
        <v xml:space="preserve"> Party Condition 39.9  ,F.M% 0.36 ,Greenish 3.49 ,Moisture 5.2 ,Shortage in KG= 0  ,Oil% 39.8</v>
      </c>
      <c r="BP491" s="19">
        <f t="shared" si="330"/>
        <v>6854.0394088669955</v>
      </c>
      <c r="BX491" s="27">
        <v>39.64</v>
      </c>
      <c r="BY491" s="27">
        <v>39.549999999999997</v>
      </c>
    </row>
    <row r="492" spans="1:77" s="26" customFormat="1" ht="14.1" hidden="1" customHeight="1" x14ac:dyDescent="0.3">
      <c r="A492" s="163" t="s">
        <v>943</v>
      </c>
      <c r="B492" s="166">
        <v>46139</v>
      </c>
      <c r="C492" s="163">
        <v>471</v>
      </c>
      <c r="D492" s="163" t="s">
        <v>1010</v>
      </c>
      <c r="E492" s="166">
        <v>46144</v>
      </c>
      <c r="F492" s="163" t="s">
        <v>101</v>
      </c>
      <c r="G492" s="163" t="s">
        <v>102</v>
      </c>
      <c r="H492" s="163" t="s">
        <v>97</v>
      </c>
      <c r="I492" s="157"/>
      <c r="J492" s="163" t="s">
        <v>113</v>
      </c>
      <c r="K492" s="163">
        <v>0</v>
      </c>
      <c r="L492" s="166">
        <v>46139</v>
      </c>
      <c r="M492" s="157"/>
      <c r="N492" s="163" t="s">
        <v>1023</v>
      </c>
      <c r="O492" s="166">
        <v>46141</v>
      </c>
      <c r="P492" s="128">
        <v>0</v>
      </c>
      <c r="Q492" s="128">
        <v>350</v>
      </c>
      <c r="R492" s="128">
        <v>149</v>
      </c>
      <c r="S492" s="128">
        <v>499</v>
      </c>
      <c r="T492" s="128">
        <v>499</v>
      </c>
      <c r="U492" s="163">
        <v>0</v>
      </c>
      <c r="V492" s="163">
        <v>0</v>
      </c>
      <c r="W492" s="169">
        <v>299.39999999999998</v>
      </c>
      <c r="X492" s="169">
        <v>303.5</v>
      </c>
      <c r="Y492" s="169">
        <v>2082880.89</v>
      </c>
      <c r="Z492" s="136"/>
      <c r="AA492" s="128">
        <v>52072.02</v>
      </c>
      <c r="AB492" s="128">
        <v>52072.02</v>
      </c>
      <c r="AC492" s="128">
        <v>2187024.9300000002</v>
      </c>
      <c r="AD492" s="197">
        <f t="shared" si="315"/>
        <v>2184837.9050700003</v>
      </c>
      <c r="AE492" s="147">
        <v>40</v>
      </c>
      <c r="AF492" s="169">
        <v>39.9</v>
      </c>
      <c r="AG492" s="147">
        <v>39.78</v>
      </c>
      <c r="AH492" s="170">
        <v>2.8999999999999998E-3</v>
      </c>
      <c r="AI492" s="170">
        <v>3.5999999999999997E-2</v>
      </c>
      <c r="AJ492" s="170">
        <v>4.5999999999999999E-2</v>
      </c>
      <c r="AK492" s="155">
        <v>0</v>
      </c>
      <c r="AL492" s="157">
        <v>0</v>
      </c>
      <c r="AM492" s="157"/>
      <c r="AN492" s="165">
        <v>0</v>
      </c>
      <c r="AO492" s="140">
        <f t="shared" si="317"/>
        <v>0</v>
      </c>
      <c r="AP492" s="136"/>
      <c r="AQ492" s="137">
        <v>0</v>
      </c>
      <c r="AR492" s="155">
        <f t="shared" si="318"/>
        <v>0</v>
      </c>
      <c r="AS492" s="155">
        <f t="shared" si="319"/>
        <v>0</v>
      </c>
      <c r="AT492" s="137">
        <v>0</v>
      </c>
      <c r="AU492" s="136"/>
      <c r="AV492" s="136"/>
      <c r="AW492" s="137">
        <f t="shared" si="320"/>
        <v>29939.999999999996</v>
      </c>
      <c r="AX492" s="136"/>
      <c r="AY492" s="137">
        <f t="shared" si="321"/>
        <v>29939.999999999996</v>
      </c>
      <c r="AZ492" s="137">
        <f t="shared" si="322"/>
        <v>30350</v>
      </c>
      <c r="BA492" s="142">
        <f t="shared" si="323"/>
        <v>-410.00000000000364</v>
      </c>
      <c r="BB492" s="137"/>
      <c r="BC492" s="137">
        <v>0</v>
      </c>
      <c r="BD492" s="136"/>
      <c r="BE492" s="169">
        <v>303.60000000000002</v>
      </c>
      <c r="BF492" s="143">
        <f t="shared" si="324"/>
        <v>0.45539999999999997</v>
      </c>
      <c r="BG492" s="143">
        <f t="shared" si="325"/>
        <v>303.14460000000003</v>
      </c>
      <c r="BH492" s="143">
        <f t="shared" si="326"/>
        <v>303.5</v>
      </c>
      <c r="BI492" s="144">
        <f t="shared" si="327"/>
        <v>10.000000000002274</v>
      </c>
      <c r="BJ492" s="144">
        <v>0</v>
      </c>
      <c r="BK492" s="137">
        <f t="shared" si="328"/>
        <v>10.000000000002274</v>
      </c>
      <c r="BL492" s="18"/>
      <c r="BM492" s="25" t="str">
        <f t="shared" si="329"/>
        <v>Unloading no. 471 Bill No L/PB/26-27/81 ,Deduction For Oil Deduction= 0 ,Bardana= 0 ,F.M=  Brokerage/Rate Difference 0 ,Shortage = 0 ,Greenish=  ,Moisture= 0</v>
      </c>
      <c r="BN492" s="17"/>
      <c r="BO492" s="13" t="str">
        <f t="shared" si="299"/>
        <v xml:space="preserve"> Party Condition 39.9  ,F.M% 0.29 ,Greenish 3.6 ,Moisture 4.6 ,Shortage in KG= 0  ,Oil% 39.78</v>
      </c>
      <c r="BP492" s="19">
        <f t="shared" si="330"/>
        <v>6862.8694892915973</v>
      </c>
      <c r="BX492" s="27">
        <v>40</v>
      </c>
      <c r="BY492" s="27">
        <v>39.78</v>
      </c>
    </row>
    <row r="493" spans="1:77" s="26" customFormat="1" ht="14.1" hidden="1" customHeight="1" x14ac:dyDescent="0.3">
      <c r="A493" s="163" t="s">
        <v>943</v>
      </c>
      <c r="B493" s="166">
        <v>46139</v>
      </c>
      <c r="C493" s="163">
        <v>472</v>
      </c>
      <c r="D493" s="163" t="s">
        <v>1011</v>
      </c>
      <c r="E493" s="166">
        <v>46144</v>
      </c>
      <c r="F493" s="163" t="s">
        <v>101</v>
      </c>
      <c r="G493" s="163" t="s">
        <v>102</v>
      </c>
      <c r="H493" s="163" t="s">
        <v>97</v>
      </c>
      <c r="I493" s="157"/>
      <c r="J493" s="163" t="s">
        <v>113</v>
      </c>
      <c r="K493" s="163">
        <v>0</v>
      </c>
      <c r="L493" s="166">
        <v>46139</v>
      </c>
      <c r="M493" s="157"/>
      <c r="N493" s="163" t="s">
        <v>1024</v>
      </c>
      <c r="O493" s="166">
        <v>46141</v>
      </c>
      <c r="P493" s="128">
        <v>0</v>
      </c>
      <c r="Q493" s="128">
        <v>300</v>
      </c>
      <c r="R493" s="128">
        <v>201</v>
      </c>
      <c r="S493" s="128">
        <v>501</v>
      </c>
      <c r="T493" s="128">
        <v>501</v>
      </c>
      <c r="U493" s="163">
        <v>0</v>
      </c>
      <c r="V493" s="163">
        <v>0</v>
      </c>
      <c r="W493" s="169">
        <v>300.60000000000002</v>
      </c>
      <c r="X493" s="169">
        <v>305.39999999999998</v>
      </c>
      <c r="Y493" s="169">
        <v>2091229.11</v>
      </c>
      <c r="Z493" s="136"/>
      <c r="AA493" s="128">
        <v>52280.73</v>
      </c>
      <c r="AB493" s="128">
        <v>52280.73</v>
      </c>
      <c r="AC493" s="128">
        <v>2195790.5699999998</v>
      </c>
      <c r="AD493" s="197">
        <f t="shared" si="315"/>
        <v>2193594.7794299996</v>
      </c>
      <c r="AE493" s="147">
        <v>40.299999999999997</v>
      </c>
      <c r="AF493" s="169">
        <v>39.9</v>
      </c>
      <c r="AG493" s="147">
        <v>40.049999999999997</v>
      </c>
      <c r="AH493" s="170">
        <v>3.0999999999999999E-3</v>
      </c>
      <c r="AI493" s="170">
        <v>3.4000000000000002E-2</v>
      </c>
      <c r="AJ493" s="170">
        <v>5.1999999999999998E-2</v>
      </c>
      <c r="AK493" s="155">
        <f t="shared" si="316"/>
        <v>0</v>
      </c>
      <c r="AL493" s="157">
        <v>0</v>
      </c>
      <c r="AM493" s="157"/>
      <c r="AN493" s="165">
        <v>0</v>
      </c>
      <c r="AO493" s="140">
        <f t="shared" si="317"/>
        <v>0</v>
      </c>
      <c r="AP493" s="136"/>
      <c r="AQ493" s="137">
        <v>0</v>
      </c>
      <c r="AR493" s="155">
        <f t="shared" si="318"/>
        <v>0</v>
      </c>
      <c r="AS493" s="155">
        <f t="shared" si="319"/>
        <v>0</v>
      </c>
      <c r="AT493" s="137">
        <v>0</v>
      </c>
      <c r="AU493" s="136"/>
      <c r="AV493" s="136"/>
      <c r="AW493" s="137">
        <f t="shared" si="320"/>
        <v>30060.000000000004</v>
      </c>
      <c r="AX493" s="136"/>
      <c r="AY493" s="137">
        <f t="shared" si="321"/>
        <v>30060.000000000004</v>
      </c>
      <c r="AZ493" s="137">
        <f t="shared" si="322"/>
        <v>30539.999999999996</v>
      </c>
      <c r="BA493" s="142">
        <f t="shared" si="323"/>
        <v>-479.99999999999272</v>
      </c>
      <c r="BB493" s="137"/>
      <c r="BC493" s="137">
        <v>0</v>
      </c>
      <c r="BD493" s="136"/>
      <c r="BE493" s="169">
        <v>305.3</v>
      </c>
      <c r="BF493" s="143">
        <f t="shared" si="324"/>
        <v>0.45795000000000002</v>
      </c>
      <c r="BG493" s="143">
        <f t="shared" si="325"/>
        <v>304.84205000000003</v>
      </c>
      <c r="BH493" s="143">
        <f t="shared" si="326"/>
        <v>305.39999999999998</v>
      </c>
      <c r="BI493" s="144">
        <f t="shared" si="327"/>
        <v>-9.9999999999965894</v>
      </c>
      <c r="BJ493" s="144">
        <v>0</v>
      </c>
      <c r="BK493" s="137">
        <f t="shared" si="328"/>
        <v>-9.9999999999965894</v>
      </c>
      <c r="BL493" s="18"/>
      <c r="BM493" s="25" t="str">
        <f t="shared" si="329"/>
        <v>Unloading no. 472 Bill No L/PB/26-27/82 ,Deduction For Oil Deduction= 0 ,Bardana= 0 ,F.M=  Brokerage/Rate Difference 0 ,Shortage = 0 ,Greenish=  ,Moisture= 0</v>
      </c>
      <c r="BN493" s="17"/>
      <c r="BO493" s="13" t="str">
        <f t="shared" si="299"/>
        <v xml:space="preserve"> Party Condition 39.9  ,F.M% 0.31 ,Greenish 3.4 ,Moisture 5.2 ,Shortage in KG= 0  ,Oil% 40.05</v>
      </c>
      <c r="BP493" s="19">
        <f t="shared" si="330"/>
        <v>6847.5085461689596</v>
      </c>
      <c r="BX493" s="27">
        <v>40.299999999999997</v>
      </c>
      <c r="BY493" s="27">
        <v>40.049999999999997</v>
      </c>
    </row>
    <row r="494" spans="1:77" s="26" customFormat="1" ht="14.1" hidden="1" customHeight="1" x14ac:dyDescent="0.3">
      <c r="A494" s="163" t="s">
        <v>1000</v>
      </c>
      <c r="B494" s="166">
        <v>46140</v>
      </c>
      <c r="C494" s="163">
        <v>473</v>
      </c>
      <c r="D494" s="163" t="s">
        <v>1012</v>
      </c>
      <c r="E494" s="166">
        <v>46144</v>
      </c>
      <c r="F494" s="163" t="s">
        <v>203</v>
      </c>
      <c r="G494" s="163" t="s">
        <v>204</v>
      </c>
      <c r="H494" s="163" t="s">
        <v>205</v>
      </c>
      <c r="I494" s="157"/>
      <c r="J494" s="163" t="s">
        <v>113</v>
      </c>
      <c r="K494" s="163">
        <v>0</v>
      </c>
      <c r="L494" s="166">
        <v>46140</v>
      </c>
      <c r="M494" s="157"/>
      <c r="N494" s="163">
        <v>10</v>
      </c>
      <c r="O494" s="166">
        <v>46141</v>
      </c>
      <c r="P494" s="128">
        <v>0</v>
      </c>
      <c r="Q494" s="128">
        <v>250</v>
      </c>
      <c r="R494" s="128">
        <v>60</v>
      </c>
      <c r="S494" s="128">
        <v>310</v>
      </c>
      <c r="T494" s="128">
        <v>310</v>
      </c>
      <c r="U494" s="163">
        <v>0</v>
      </c>
      <c r="V494" s="163">
        <v>0</v>
      </c>
      <c r="W494" s="169">
        <v>186</v>
      </c>
      <c r="X494" s="169">
        <v>188.5</v>
      </c>
      <c r="Y494" s="169">
        <v>1291714.82</v>
      </c>
      <c r="Z494" s="136"/>
      <c r="AA494" s="128">
        <v>32292.87</v>
      </c>
      <c r="AB494" s="128">
        <v>32292.87</v>
      </c>
      <c r="AC494" s="128">
        <v>1356300.56</v>
      </c>
      <c r="AD494" s="197">
        <f t="shared" si="315"/>
        <v>1354944.2594400002</v>
      </c>
      <c r="AE494" s="147">
        <v>41.16</v>
      </c>
      <c r="AF494" s="169">
        <v>40.299999999999997</v>
      </c>
      <c r="AG494" s="147">
        <v>41.21</v>
      </c>
      <c r="AH494" s="170">
        <v>2.7000000000000001E-3</v>
      </c>
      <c r="AI494" s="170">
        <v>3.4700000000000002E-2</v>
      </c>
      <c r="AJ494" s="170">
        <v>4.3999999999999997E-2</v>
      </c>
      <c r="AK494" s="155">
        <f t="shared" si="316"/>
        <v>0</v>
      </c>
      <c r="AL494" s="157">
        <f>310*2</f>
        <v>620</v>
      </c>
      <c r="AM494" s="157"/>
      <c r="AN494" s="165">
        <v>0</v>
      </c>
      <c r="AO494" s="140">
        <f t="shared" si="317"/>
        <v>0</v>
      </c>
      <c r="AP494" s="136"/>
      <c r="AQ494" s="137">
        <v>0</v>
      </c>
      <c r="AR494" s="155">
        <f t="shared" si="318"/>
        <v>620</v>
      </c>
      <c r="AS494" s="155">
        <f t="shared" si="319"/>
        <v>651</v>
      </c>
      <c r="AT494" s="137">
        <v>0</v>
      </c>
      <c r="AU494" s="136"/>
      <c r="AV494" s="136"/>
      <c r="AW494" s="137">
        <f t="shared" si="320"/>
        <v>18600</v>
      </c>
      <c r="AX494" s="136"/>
      <c r="AY494" s="137">
        <f t="shared" si="321"/>
        <v>18600</v>
      </c>
      <c r="AZ494" s="137">
        <f t="shared" si="322"/>
        <v>18850</v>
      </c>
      <c r="BA494" s="142">
        <f t="shared" si="323"/>
        <v>-250</v>
      </c>
      <c r="BB494" s="137"/>
      <c r="BC494" s="137">
        <v>0</v>
      </c>
      <c r="BD494" s="136"/>
      <c r="BE494" s="169">
        <v>188.9</v>
      </c>
      <c r="BF494" s="143">
        <f t="shared" si="324"/>
        <v>0.28334999999999999</v>
      </c>
      <c r="BG494" s="143">
        <f t="shared" si="325"/>
        <v>188.61664999999999</v>
      </c>
      <c r="BH494" s="143">
        <f t="shared" si="326"/>
        <v>188.5</v>
      </c>
      <c r="BI494" s="144">
        <f t="shared" si="327"/>
        <v>40.000000000000568</v>
      </c>
      <c r="BJ494" s="144">
        <v>0</v>
      </c>
      <c r="BK494" s="137">
        <f t="shared" si="328"/>
        <v>40.000000000000568</v>
      </c>
      <c r="BL494" s="18"/>
      <c r="BM494" s="25" t="str">
        <f t="shared" si="329"/>
        <v>Unloading no. 473 Bill No 10 ,Deduction For Oil Deduction= 0 ,Bardana= 620 ,F.M=  Brokerage/Rate Difference 0 ,Shortage = 0 ,Greenish=  ,Moisture= 0</v>
      </c>
      <c r="BN494" s="17"/>
      <c r="BO494" s="13" t="str">
        <f t="shared" si="299"/>
        <v xml:space="preserve"> Party Condition 40.3  ,F.M% 0.27 ,Greenish 3.47 ,Moisture 4.4 ,Shortage in KG= 0  ,Oil% 41.16</v>
      </c>
      <c r="BP494" s="19">
        <f t="shared" si="330"/>
        <v>6849.309389920425</v>
      </c>
      <c r="BX494" s="27">
        <v>41.16</v>
      </c>
      <c r="BY494" s="27">
        <v>41.21</v>
      </c>
    </row>
    <row r="495" spans="1:77" s="26" customFormat="1" ht="14.1" hidden="1" customHeight="1" x14ac:dyDescent="0.3">
      <c r="A495" s="128" t="s">
        <v>943</v>
      </c>
      <c r="B495" s="130">
        <v>46139</v>
      </c>
      <c r="C495" s="128">
        <v>474</v>
      </c>
      <c r="D495" s="128" t="s">
        <v>1013</v>
      </c>
      <c r="E495" s="130">
        <v>46144</v>
      </c>
      <c r="F495" s="128" t="s">
        <v>101</v>
      </c>
      <c r="G495" s="128" t="s">
        <v>102</v>
      </c>
      <c r="H495" s="128" t="s">
        <v>97</v>
      </c>
      <c r="I495" s="157"/>
      <c r="J495" s="163" t="s">
        <v>113</v>
      </c>
      <c r="K495" s="163">
        <v>0</v>
      </c>
      <c r="L495" s="130">
        <v>46139</v>
      </c>
      <c r="M495" s="136"/>
      <c r="N495" s="128" t="s">
        <v>1025</v>
      </c>
      <c r="O495" s="130">
        <v>46141</v>
      </c>
      <c r="P495" s="128">
        <v>0</v>
      </c>
      <c r="Q495" s="128">
        <v>500</v>
      </c>
      <c r="R495" s="128">
        <v>101</v>
      </c>
      <c r="S495" s="128">
        <v>601</v>
      </c>
      <c r="T495" s="128">
        <v>601</v>
      </c>
      <c r="U495" s="163">
        <v>0</v>
      </c>
      <c r="V495" s="163">
        <v>0</v>
      </c>
      <c r="W495" s="169">
        <v>360.6</v>
      </c>
      <c r="X495" s="169">
        <v>365.8</v>
      </c>
      <c r="Y495" s="169">
        <v>2508640.11</v>
      </c>
      <c r="Z495" s="136"/>
      <c r="AA495" s="128">
        <v>62716</v>
      </c>
      <c r="AB495" s="128">
        <v>62716</v>
      </c>
      <c r="AC495" s="128">
        <v>2634072.12</v>
      </c>
      <c r="AD495" s="197">
        <f t="shared" si="315"/>
        <v>2631438.04788</v>
      </c>
      <c r="AE495" s="147">
        <v>39.729999999999997</v>
      </c>
      <c r="AF495" s="169">
        <v>39.9</v>
      </c>
      <c r="AG495" s="147">
        <v>39.630000000000003</v>
      </c>
      <c r="AH495" s="170">
        <v>3.3999999999999998E-3</v>
      </c>
      <c r="AI495" s="170">
        <v>3.5000000000000003E-2</v>
      </c>
      <c r="AJ495" s="170">
        <v>4.5999999999999999E-2</v>
      </c>
      <c r="AK495" s="155">
        <v>0</v>
      </c>
      <c r="AL495" s="157">
        <v>0</v>
      </c>
      <c r="AM495" s="157"/>
      <c r="AN495" s="165">
        <v>0</v>
      </c>
      <c r="AO495" s="140">
        <f t="shared" si="317"/>
        <v>0</v>
      </c>
      <c r="AP495" s="136"/>
      <c r="AQ495" s="137">
        <v>0</v>
      </c>
      <c r="AR495" s="155">
        <f t="shared" si="318"/>
        <v>0</v>
      </c>
      <c r="AS495" s="155">
        <f t="shared" si="319"/>
        <v>0</v>
      </c>
      <c r="AT495" s="137">
        <v>0</v>
      </c>
      <c r="AU495" s="136" t="s">
        <v>584</v>
      </c>
      <c r="AV495" s="136"/>
      <c r="AW495" s="137">
        <f t="shared" si="320"/>
        <v>36060</v>
      </c>
      <c r="AX495" s="136"/>
      <c r="AY495" s="137">
        <f t="shared" si="321"/>
        <v>36060</v>
      </c>
      <c r="AZ495" s="137">
        <f t="shared" si="322"/>
        <v>36580</v>
      </c>
      <c r="BA495" s="142">
        <f t="shared" si="323"/>
        <v>-520</v>
      </c>
      <c r="BB495" s="137"/>
      <c r="BC495" s="137">
        <v>0</v>
      </c>
      <c r="BD495" s="136"/>
      <c r="BE495" s="169">
        <v>366.8</v>
      </c>
      <c r="BF495" s="143">
        <f t="shared" si="324"/>
        <v>0.55020000000000002</v>
      </c>
      <c r="BG495" s="143">
        <f t="shared" si="325"/>
        <v>366.24979999999999</v>
      </c>
      <c r="BH495" s="143">
        <f t="shared" si="326"/>
        <v>365.8</v>
      </c>
      <c r="BI495" s="144">
        <f t="shared" si="327"/>
        <v>100</v>
      </c>
      <c r="BJ495" s="144">
        <v>0</v>
      </c>
      <c r="BK495" s="137">
        <f t="shared" si="328"/>
        <v>100</v>
      </c>
      <c r="BL495" s="18"/>
      <c r="BM495" s="25" t="str">
        <f t="shared" si="329"/>
        <v>Unloading no. 474 Bill No L/PB/26-27/83 ,Deduction For Oil Deduction= 0 ,Bardana= 0 ,F.M=  Brokerage/Rate Difference 0 ,Shortage = 0 ,Greenish=  ,Moisture= 0</v>
      </c>
      <c r="BN495" s="17"/>
      <c r="BO495" s="13" t="str">
        <f t="shared" si="299"/>
        <v xml:space="preserve"> Party Condition 39.9  ,F.M% 0.34 ,Greenish 3.5 ,Moisture 4.6 ,Shortage in KG= 0  ,Oil% 39.63</v>
      </c>
      <c r="BP495" s="19">
        <f t="shared" si="330"/>
        <v>6857.9554674685614</v>
      </c>
      <c r="BX495" s="27">
        <v>39.729999999999997</v>
      </c>
      <c r="BY495" s="27">
        <v>39.630000000000003</v>
      </c>
    </row>
    <row r="496" spans="1:77" s="26" customFormat="1" ht="14.1" hidden="1" customHeight="1" x14ac:dyDescent="0.3">
      <c r="A496" s="128" t="s">
        <v>943</v>
      </c>
      <c r="B496" s="130">
        <v>46139</v>
      </c>
      <c r="C496" s="128">
        <v>475</v>
      </c>
      <c r="D496" s="128" t="s">
        <v>1014</v>
      </c>
      <c r="E496" s="130">
        <v>46144</v>
      </c>
      <c r="F496" s="128" t="s">
        <v>101</v>
      </c>
      <c r="G496" s="128" t="s">
        <v>102</v>
      </c>
      <c r="H496" s="128" t="s">
        <v>103</v>
      </c>
      <c r="I496" s="157"/>
      <c r="J496" s="163" t="s">
        <v>113</v>
      </c>
      <c r="K496" s="163">
        <v>0</v>
      </c>
      <c r="L496" s="130">
        <v>46139</v>
      </c>
      <c r="M496" s="136"/>
      <c r="N496" s="128" t="s">
        <v>1026</v>
      </c>
      <c r="O496" s="130">
        <v>46141</v>
      </c>
      <c r="P496" s="128">
        <v>0</v>
      </c>
      <c r="Q496" s="128">
        <v>350</v>
      </c>
      <c r="R496" s="128">
        <v>150</v>
      </c>
      <c r="S496" s="128">
        <v>500</v>
      </c>
      <c r="T496" s="128">
        <v>500</v>
      </c>
      <c r="U496" s="163">
        <v>0</v>
      </c>
      <c r="V496" s="163">
        <v>0</v>
      </c>
      <c r="W496" s="169">
        <v>300</v>
      </c>
      <c r="X496" s="169">
        <v>304.60000000000002</v>
      </c>
      <c r="Y496" s="169">
        <v>2087055</v>
      </c>
      <c r="Z496" s="136"/>
      <c r="AA496" s="128">
        <v>52176.38</v>
      </c>
      <c r="AB496" s="128">
        <v>52176.38</v>
      </c>
      <c r="AC496" s="128">
        <v>2191407.75</v>
      </c>
      <c r="AD496" s="197">
        <f t="shared" si="315"/>
        <v>2189216.3422500002</v>
      </c>
      <c r="AE496" s="147">
        <v>40.299999999999997</v>
      </c>
      <c r="AF496" s="169">
        <v>39.9</v>
      </c>
      <c r="AG496" s="147">
        <v>40.1</v>
      </c>
      <c r="AH496" s="170">
        <v>3.0000000000000001E-3</v>
      </c>
      <c r="AI496" s="170">
        <v>3.5000000000000003E-2</v>
      </c>
      <c r="AJ496" s="170">
        <v>4.7E-2</v>
      </c>
      <c r="AK496" s="155">
        <f t="shared" si="316"/>
        <v>0</v>
      </c>
      <c r="AL496" s="157">
        <v>0</v>
      </c>
      <c r="AM496" s="157"/>
      <c r="AN496" s="165">
        <v>0</v>
      </c>
      <c r="AO496" s="140">
        <f t="shared" si="317"/>
        <v>0</v>
      </c>
      <c r="AP496" s="136"/>
      <c r="AQ496" s="137">
        <v>0</v>
      </c>
      <c r="AR496" s="155">
        <f t="shared" si="318"/>
        <v>0</v>
      </c>
      <c r="AS496" s="155">
        <f t="shared" si="319"/>
        <v>0</v>
      </c>
      <c r="AT496" s="137">
        <v>0</v>
      </c>
      <c r="AU496" s="136"/>
      <c r="AV496" s="136"/>
      <c r="AW496" s="137">
        <f t="shared" si="320"/>
        <v>30000</v>
      </c>
      <c r="AX496" s="136"/>
      <c r="AY496" s="137">
        <f t="shared" si="321"/>
        <v>30000</v>
      </c>
      <c r="AZ496" s="137">
        <f t="shared" si="322"/>
        <v>30460.000000000004</v>
      </c>
      <c r="BA496" s="142">
        <f t="shared" si="323"/>
        <v>-460.00000000000364</v>
      </c>
      <c r="BB496" s="137"/>
      <c r="BC496" s="137">
        <v>0</v>
      </c>
      <c r="BD496" s="136"/>
      <c r="BE496" s="169">
        <v>304.7</v>
      </c>
      <c r="BF496" s="143">
        <f t="shared" si="324"/>
        <v>0.45704999999999996</v>
      </c>
      <c r="BG496" s="143">
        <f t="shared" si="325"/>
        <v>304.24295000000001</v>
      </c>
      <c r="BH496" s="143">
        <f t="shared" si="326"/>
        <v>304.60000000000002</v>
      </c>
      <c r="BI496" s="144">
        <f t="shared" si="327"/>
        <v>9.9999999999965894</v>
      </c>
      <c r="BJ496" s="144">
        <v>0</v>
      </c>
      <c r="BK496" s="137">
        <f t="shared" si="328"/>
        <v>9.9999999999965894</v>
      </c>
      <c r="BL496" s="18"/>
      <c r="BM496" s="25" t="str">
        <f t="shared" si="329"/>
        <v>Unloading no. 475 Bill No L/PB/26-27/80 ,Deduction For Oil Deduction= 0 ,Bardana= 0 ,F.M=  Brokerage/Rate Difference 0 ,Shortage = 0 ,Greenish=  ,Moisture= 0</v>
      </c>
      <c r="BN496" s="17"/>
      <c r="BO496" s="13" t="str">
        <f t="shared" si="299"/>
        <v xml:space="preserve"> Party Condition 39.9  ,F.M% 0.3 ,Greenish 3.5 ,Moisture 4.7 ,Shortage in KG= 0  ,Oil% 40.1</v>
      </c>
      <c r="BP496" s="19">
        <f t="shared" si="330"/>
        <v>6851.7892317793821</v>
      </c>
      <c r="BX496" s="27">
        <v>40.299999999999997</v>
      </c>
      <c r="BY496" s="27">
        <v>40.1</v>
      </c>
    </row>
    <row r="497" spans="1:77" s="26" customFormat="1" ht="14.1" hidden="1" customHeight="1" x14ac:dyDescent="0.3">
      <c r="A497" s="128" t="s">
        <v>1001</v>
      </c>
      <c r="B497" s="130">
        <v>46142</v>
      </c>
      <c r="C497" s="159">
        <v>476</v>
      </c>
      <c r="D497" s="128" t="s">
        <v>1015</v>
      </c>
      <c r="E497" s="130">
        <v>46144</v>
      </c>
      <c r="F497" s="128" t="s">
        <v>104</v>
      </c>
      <c r="G497" s="128" t="s">
        <v>105</v>
      </c>
      <c r="H497" s="128" t="s">
        <v>106</v>
      </c>
      <c r="I497" s="157"/>
      <c r="J497" s="163" t="s">
        <v>113</v>
      </c>
      <c r="K497" s="163">
        <v>0</v>
      </c>
      <c r="L497" s="130">
        <v>46142</v>
      </c>
      <c r="M497" s="136"/>
      <c r="N497" s="128">
        <v>136</v>
      </c>
      <c r="O497" s="130">
        <v>46142</v>
      </c>
      <c r="P497" s="128">
        <v>0</v>
      </c>
      <c r="Q497" s="128">
        <v>360</v>
      </c>
      <c r="R497" s="128">
        <v>0</v>
      </c>
      <c r="S497" s="128">
        <v>360</v>
      </c>
      <c r="T497" s="128">
        <v>360</v>
      </c>
      <c r="U497" s="163">
        <v>0</v>
      </c>
      <c r="V497" s="163">
        <v>0</v>
      </c>
      <c r="W497" s="169">
        <v>180</v>
      </c>
      <c r="X497" s="169">
        <v>180</v>
      </c>
      <c r="Y497" s="169">
        <v>1230933.6000000001</v>
      </c>
      <c r="Z497" s="136"/>
      <c r="AA497" s="128">
        <v>30773.34</v>
      </c>
      <c r="AB497" s="128">
        <v>30773.34</v>
      </c>
      <c r="AC497" s="128">
        <v>1292480.28</v>
      </c>
      <c r="AD497" s="197">
        <f t="shared" si="315"/>
        <v>1291187.79972</v>
      </c>
      <c r="AE497" s="147">
        <v>39.01</v>
      </c>
      <c r="AF497" s="169">
        <v>39.1</v>
      </c>
      <c r="AG497" s="147">
        <v>39.01</v>
      </c>
      <c r="AH497" s="170">
        <v>2.8E-3</v>
      </c>
      <c r="AI497" s="170">
        <v>3.4700000000000002E-2</v>
      </c>
      <c r="AJ497" s="170">
        <v>4.2999999999999997E-2</v>
      </c>
      <c r="AK497" s="155">
        <v>0</v>
      </c>
      <c r="AL497" s="157">
        <f>360*2</f>
        <v>720</v>
      </c>
      <c r="AM497" s="157"/>
      <c r="AN497" s="165">
        <v>0</v>
      </c>
      <c r="AO497" s="140">
        <f t="shared" si="317"/>
        <v>0</v>
      </c>
      <c r="AP497" s="136"/>
      <c r="AQ497" s="137">
        <v>0</v>
      </c>
      <c r="AR497" s="155">
        <f t="shared" si="318"/>
        <v>720</v>
      </c>
      <c r="AS497" s="155">
        <f t="shared" si="319"/>
        <v>756</v>
      </c>
      <c r="AT497" s="137">
        <v>0</v>
      </c>
      <c r="AU497" s="136"/>
      <c r="AV497" s="136"/>
      <c r="AW497" s="137">
        <f t="shared" si="320"/>
        <v>18000</v>
      </c>
      <c r="AX497" s="136"/>
      <c r="AY497" s="137">
        <f t="shared" si="321"/>
        <v>18000</v>
      </c>
      <c r="AZ497" s="137">
        <f t="shared" si="322"/>
        <v>18000</v>
      </c>
      <c r="BA497" s="142">
        <f t="shared" si="323"/>
        <v>0</v>
      </c>
      <c r="BB497" s="137"/>
      <c r="BC497" s="137">
        <v>0</v>
      </c>
      <c r="BD497" s="136"/>
      <c r="BE497" s="169">
        <v>180</v>
      </c>
      <c r="BF497" s="143">
        <f t="shared" si="324"/>
        <v>0.27</v>
      </c>
      <c r="BG497" s="143">
        <f t="shared" si="325"/>
        <v>179.73</v>
      </c>
      <c r="BH497" s="143">
        <f t="shared" si="326"/>
        <v>180</v>
      </c>
      <c r="BI497" s="144">
        <f t="shared" si="327"/>
        <v>0</v>
      </c>
      <c r="BJ497" s="144">
        <v>0</v>
      </c>
      <c r="BK497" s="137">
        <f t="shared" si="328"/>
        <v>0</v>
      </c>
      <c r="BL497" s="18"/>
      <c r="BM497" s="25" t="str">
        <f t="shared" si="329"/>
        <v>Unloading no. 476 Bill No 136 ,Deduction For Oil Deduction= 0 ,Bardana= 720 ,F.M=  Brokerage/Rate Difference 0 ,Shortage = 0 ,Greenish=  ,Moisture= 0</v>
      </c>
      <c r="BN497" s="17"/>
      <c r="BO497" s="13" t="str">
        <f t="shared" si="299"/>
        <v xml:space="preserve"> Party Condition 39.1  ,F.M% 0.28 ,Greenish 3.47 ,Moisture 4.3 ,Shortage in KG= 0  ,Oil% 39.01</v>
      </c>
      <c r="BP497" s="19">
        <f t="shared" si="330"/>
        <v>6834.52</v>
      </c>
      <c r="BX497" s="27">
        <v>39.01</v>
      </c>
      <c r="BY497" s="27">
        <v>39.01</v>
      </c>
    </row>
    <row r="498" spans="1:77" s="26" customFormat="1" ht="14.1" hidden="1" customHeight="1" x14ac:dyDescent="0.3">
      <c r="A498" s="128" t="s">
        <v>560</v>
      </c>
      <c r="B498" s="130">
        <v>46129</v>
      </c>
      <c r="C498" s="159">
        <v>476</v>
      </c>
      <c r="D498" s="128" t="s">
        <v>1015</v>
      </c>
      <c r="E498" s="130">
        <v>46144</v>
      </c>
      <c r="F498" s="128" t="s">
        <v>104</v>
      </c>
      <c r="G498" s="128" t="s">
        <v>105</v>
      </c>
      <c r="H498" s="128" t="s">
        <v>106</v>
      </c>
      <c r="I498" s="157"/>
      <c r="J498" s="163" t="s">
        <v>113</v>
      </c>
      <c r="K498" s="163">
        <v>0</v>
      </c>
      <c r="L498" s="130">
        <v>46129</v>
      </c>
      <c r="M498" s="136"/>
      <c r="N498" s="128">
        <v>135</v>
      </c>
      <c r="O498" s="130">
        <v>46142</v>
      </c>
      <c r="P498" s="128">
        <v>0</v>
      </c>
      <c r="Q498" s="128">
        <v>169</v>
      </c>
      <c r="R498" s="128">
        <v>155</v>
      </c>
      <c r="S498" s="128">
        <v>324</v>
      </c>
      <c r="T498" s="128">
        <v>324</v>
      </c>
      <c r="U498" s="163">
        <v>0</v>
      </c>
      <c r="V498" s="163">
        <v>0</v>
      </c>
      <c r="W498" s="169">
        <v>162</v>
      </c>
      <c r="X498" s="169">
        <v>162</v>
      </c>
      <c r="Y498" s="169">
        <v>1095970.5</v>
      </c>
      <c r="Z498" s="136"/>
      <c r="AA498" s="128">
        <v>27399.26</v>
      </c>
      <c r="AB498" s="128">
        <v>27399.26</v>
      </c>
      <c r="AC498" s="128">
        <v>1150769.03</v>
      </c>
      <c r="AD498" s="197">
        <f t="shared" si="315"/>
        <v>1149618.2609699999</v>
      </c>
      <c r="AE498" s="147">
        <v>39.01</v>
      </c>
      <c r="AF498" s="169">
        <v>39.4</v>
      </c>
      <c r="AG498" s="196">
        <v>39.01</v>
      </c>
      <c r="AH498" s="170">
        <v>2.8E-3</v>
      </c>
      <c r="AI498" s="170">
        <v>3.4700000000000002E-2</v>
      </c>
      <c r="AJ498" s="170">
        <v>4.2999999999999997E-2</v>
      </c>
      <c r="AK498" s="155">
        <f t="shared" si="316"/>
        <v>10848.43895939088</v>
      </c>
      <c r="AL498" s="157">
        <f>324*2</f>
        <v>648</v>
      </c>
      <c r="AM498" s="157"/>
      <c r="AN498" s="165">
        <v>0</v>
      </c>
      <c r="AO498" s="140">
        <f t="shared" si="317"/>
        <v>0</v>
      </c>
      <c r="AP498" s="136"/>
      <c r="AQ498" s="137">
        <v>0</v>
      </c>
      <c r="AR498" s="155">
        <f t="shared" si="318"/>
        <v>11496.43895939088</v>
      </c>
      <c r="AS498" s="155">
        <f t="shared" si="319"/>
        <v>12071</v>
      </c>
      <c r="AT498" s="137">
        <v>0</v>
      </c>
      <c r="AU498" s="136"/>
      <c r="AV498" s="136"/>
      <c r="AW498" s="137">
        <f t="shared" si="320"/>
        <v>16200</v>
      </c>
      <c r="AX498" s="136"/>
      <c r="AY498" s="137">
        <f t="shared" si="321"/>
        <v>16200</v>
      </c>
      <c r="AZ498" s="137">
        <f t="shared" si="322"/>
        <v>16200</v>
      </c>
      <c r="BA498" s="142">
        <f t="shared" si="323"/>
        <v>0</v>
      </c>
      <c r="BB498" s="137"/>
      <c r="BC498" s="137">
        <v>0</v>
      </c>
      <c r="BD498" s="136"/>
      <c r="BE498" s="169">
        <v>168.8</v>
      </c>
      <c r="BF498" s="143">
        <f t="shared" si="324"/>
        <v>0.25319999999999998</v>
      </c>
      <c r="BG498" s="143">
        <f t="shared" si="325"/>
        <v>168.54680000000002</v>
      </c>
      <c r="BH498" s="143">
        <f t="shared" si="326"/>
        <v>162</v>
      </c>
      <c r="BI498" s="144">
        <f t="shared" si="327"/>
        <v>680.00000000000114</v>
      </c>
      <c r="BJ498" s="144">
        <v>0</v>
      </c>
      <c r="BK498" s="137">
        <f t="shared" si="328"/>
        <v>680.00000000000114</v>
      </c>
      <c r="BL498" s="18"/>
      <c r="BM498" s="25" t="str">
        <f t="shared" si="329"/>
        <v>Unloading no. 476 Bill No 135 ,Deduction For Oil Deduction= 10848.4389593909 ,Bardana= 648 ,F.M=  Brokerage/Rate Difference 0 ,Shortage = 0 ,Greenish=  ,Moisture= 0</v>
      </c>
      <c r="BN498" s="17"/>
      <c r="BO498" s="13" t="str">
        <f t="shared" si="299"/>
        <v xml:space="preserve"> Party Condition 39.4  ,F.M% 0.28 ,Greenish 3.47 ,Moisture 4.3 ,Shortage in KG= 0  ,Oil% 39.01</v>
      </c>
      <c r="BP498" s="19">
        <f t="shared" si="330"/>
        <v>6694.2843274111674</v>
      </c>
      <c r="BX498" s="27">
        <v>39.01</v>
      </c>
      <c r="BY498" s="27">
        <v>39.01</v>
      </c>
    </row>
    <row r="499" spans="1:77" s="26" customFormat="1" ht="14.1" hidden="1" customHeight="1" x14ac:dyDescent="0.3">
      <c r="A499" s="128" t="s">
        <v>1002</v>
      </c>
      <c r="B499" s="130">
        <v>46142</v>
      </c>
      <c r="C499" s="128">
        <v>477</v>
      </c>
      <c r="D499" s="128" t="s">
        <v>1016</v>
      </c>
      <c r="E499" s="130">
        <v>46144</v>
      </c>
      <c r="F499" s="128" t="s">
        <v>98</v>
      </c>
      <c r="G499" s="128" t="s">
        <v>99</v>
      </c>
      <c r="H499" s="128" t="s">
        <v>199</v>
      </c>
      <c r="I499" s="157"/>
      <c r="J499" s="163" t="s">
        <v>113</v>
      </c>
      <c r="K499" s="163">
        <v>0</v>
      </c>
      <c r="L499" s="130">
        <v>46142</v>
      </c>
      <c r="M499" s="136"/>
      <c r="N499" s="128">
        <v>104</v>
      </c>
      <c r="O499" s="130">
        <v>46142</v>
      </c>
      <c r="P499" s="128">
        <v>0</v>
      </c>
      <c r="Q499" s="128">
        <v>350</v>
      </c>
      <c r="R499" s="128">
        <v>164</v>
      </c>
      <c r="S499" s="128">
        <v>514</v>
      </c>
      <c r="T499" s="128">
        <v>514</v>
      </c>
      <c r="U499" s="163">
        <v>0</v>
      </c>
      <c r="V499" s="163">
        <v>0</v>
      </c>
      <c r="W499" s="169">
        <v>308.39999999999998</v>
      </c>
      <c r="X499" s="169">
        <v>311.7</v>
      </c>
      <c r="Y499" s="169">
        <v>2135089.1800000002</v>
      </c>
      <c r="Z499" s="136"/>
      <c r="AA499" s="128">
        <v>53377.23</v>
      </c>
      <c r="AB499" s="128">
        <v>53377.23</v>
      </c>
      <c r="AC499" s="128">
        <v>2241843.64</v>
      </c>
      <c r="AD499" s="197">
        <f t="shared" si="315"/>
        <v>2239601.79636</v>
      </c>
      <c r="AE499" s="147">
        <v>40.020000000000003</v>
      </c>
      <c r="AF499" s="169">
        <v>39.9</v>
      </c>
      <c r="AG499" s="147">
        <v>40.03</v>
      </c>
      <c r="AH499" s="170">
        <v>3.3E-3</v>
      </c>
      <c r="AI499" s="170">
        <v>3.5000000000000003E-2</v>
      </c>
      <c r="AJ499" s="170">
        <v>5.1999999999999998E-2</v>
      </c>
      <c r="AK499" s="155">
        <f t="shared" si="316"/>
        <v>0</v>
      </c>
      <c r="AL499" s="157">
        <f>514*5.5</f>
        <v>2827</v>
      </c>
      <c r="AM499" s="157"/>
      <c r="AN499" s="165">
        <v>0</v>
      </c>
      <c r="AO499" s="140">
        <f t="shared" si="317"/>
        <v>415.38700000000011</v>
      </c>
      <c r="AP499" s="136"/>
      <c r="AQ499" s="137">
        <v>0</v>
      </c>
      <c r="AR499" s="155">
        <f t="shared" si="318"/>
        <v>3242.3870000000002</v>
      </c>
      <c r="AS499" s="155">
        <f t="shared" si="319"/>
        <v>3405</v>
      </c>
      <c r="AT499" s="137">
        <v>6</v>
      </c>
      <c r="AU499" s="136"/>
      <c r="AV499" s="136"/>
      <c r="AW499" s="137">
        <f t="shared" si="320"/>
        <v>30839.999999999996</v>
      </c>
      <c r="AX499" s="136"/>
      <c r="AY499" s="137">
        <f t="shared" si="321"/>
        <v>30839.999999999996</v>
      </c>
      <c r="AZ499" s="137">
        <f t="shared" si="322"/>
        <v>31170</v>
      </c>
      <c r="BA499" s="142">
        <f t="shared" si="323"/>
        <v>-330.00000000000364</v>
      </c>
      <c r="BB499" s="137"/>
      <c r="BC499" s="137">
        <v>0</v>
      </c>
      <c r="BD499" s="136"/>
      <c r="BE499" s="169">
        <v>312.2</v>
      </c>
      <c r="BF499" s="143">
        <f t="shared" si="324"/>
        <v>0.46829999999999999</v>
      </c>
      <c r="BG499" s="143">
        <f t="shared" si="325"/>
        <v>311.73169999999999</v>
      </c>
      <c r="BH499" s="143">
        <f t="shared" si="326"/>
        <v>311.7</v>
      </c>
      <c r="BI499" s="144">
        <f t="shared" si="327"/>
        <v>50</v>
      </c>
      <c r="BJ499" s="144">
        <v>0</v>
      </c>
      <c r="BK499" s="137">
        <f t="shared" si="328"/>
        <v>50</v>
      </c>
      <c r="BL499" s="18"/>
      <c r="BM499" s="25" t="str">
        <f t="shared" si="329"/>
        <v>Unloading no. 477 Bill No 104 ,Deduction For Oil Deduction= 0 ,Bardana= 2827 ,F.M=  Brokerage/Rate Difference 0 ,Shortage = 415.387 ,Greenish=  ,Moisture= 0</v>
      </c>
      <c r="BN499" s="17"/>
      <c r="BO499" s="13" t="str">
        <f t="shared" si="299"/>
        <v xml:space="preserve"> Party Condition 39.9  ,F.M% 0.33 ,Greenish 3.5 ,Moisture 5.2 ,Shortage in KG= 6  ,Oil% 40.02</v>
      </c>
      <c r="BP499" s="19">
        <f t="shared" si="330"/>
        <v>6839.4186493423167</v>
      </c>
      <c r="BX499" s="27">
        <v>40.020000000000003</v>
      </c>
      <c r="BY499" s="27">
        <v>40.03</v>
      </c>
    </row>
    <row r="500" spans="1:77" s="26" customFormat="1" ht="14.1" hidden="1" customHeight="1" x14ac:dyDescent="0.3">
      <c r="A500" s="128" t="s">
        <v>1003</v>
      </c>
      <c r="B500" s="130">
        <v>46142</v>
      </c>
      <c r="C500" s="128">
        <v>478</v>
      </c>
      <c r="D500" s="128" t="s">
        <v>1017</v>
      </c>
      <c r="E500" s="130">
        <v>46145</v>
      </c>
      <c r="F500" s="128" t="s">
        <v>98</v>
      </c>
      <c r="G500" s="128" t="s">
        <v>99</v>
      </c>
      <c r="H500" s="128" t="s">
        <v>199</v>
      </c>
      <c r="I500" s="157"/>
      <c r="J500" s="163" t="s">
        <v>113</v>
      </c>
      <c r="K500" s="163">
        <v>0</v>
      </c>
      <c r="L500" s="130">
        <v>46142</v>
      </c>
      <c r="M500" s="136"/>
      <c r="N500" s="128">
        <v>106</v>
      </c>
      <c r="O500" s="130">
        <v>46144</v>
      </c>
      <c r="P500" s="128">
        <v>0</v>
      </c>
      <c r="Q500" s="128">
        <v>440</v>
      </c>
      <c r="R500" s="128">
        <v>72</v>
      </c>
      <c r="S500" s="128">
        <v>512</v>
      </c>
      <c r="T500" s="128">
        <v>512</v>
      </c>
      <c r="U500" s="163">
        <v>0</v>
      </c>
      <c r="V500" s="163">
        <v>0</v>
      </c>
      <c r="W500" s="169">
        <v>307.2</v>
      </c>
      <c r="X500" s="169">
        <v>311.10000000000002</v>
      </c>
      <c r="Y500" s="169">
        <v>2122317.8199999998</v>
      </c>
      <c r="Z500" s="136"/>
      <c r="AA500" s="128">
        <v>53057.95</v>
      </c>
      <c r="AB500" s="128">
        <v>53057.95</v>
      </c>
      <c r="AC500" s="128">
        <v>2228433.71</v>
      </c>
      <c r="AD500" s="197">
        <f t="shared" si="315"/>
        <v>2226205.27629</v>
      </c>
      <c r="AE500" s="147">
        <v>39.049999999999997</v>
      </c>
      <c r="AF500" s="169">
        <v>39.53</v>
      </c>
      <c r="AG500" s="147">
        <v>39.03</v>
      </c>
      <c r="AH500" s="170">
        <v>4.0000000000000001E-3</v>
      </c>
      <c r="AI500" s="170">
        <v>0.03</v>
      </c>
      <c r="AJ500" s="170">
        <v>5.1999999999999998E-2</v>
      </c>
      <c r="AK500" s="155">
        <f t="shared" si="316"/>
        <v>26844.394384012139</v>
      </c>
      <c r="AL500" s="157">
        <f>512*5.5</f>
        <v>2816</v>
      </c>
      <c r="AM500" s="157"/>
      <c r="AN500" s="165">
        <v>0</v>
      </c>
      <c r="AO500" s="140">
        <f t="shared" si="317"/>
        <v>0</v>
      </c>
      <c r="AP500" s="136"/>
      <c r="AQ500" s="137">
        <v>0</v>
      </c>
      <c r="AR500" s="155">
        <f t="shared" si="318"/>
        <v>29660.394384012139</v>
      </c>
      <c r="AS500" s="155">
        <f t="shared" si="319"/>
        <v>31143</v>
      </c>
      <c r="AT500" s="137">
        <v>0</v>
      </c>
      <c r="AU500" s="136"/>
      <c r="AV500" s="136"/>
      <c r="AW500" s="137">
        <f t="shared" si="320"/>
        <v>30720</v>
      </c>
      <c r="AX500" s="136"/>
      <c r="AY500" s="137">
        <f t="shared" si="321"/>
        <v>30720</v>
      </c>
      <c r="AZ500" s="137">
        <f t="shared" si="322"/>
        <v>31110.000000000004</v>
      </c>
      <c r="BA500" s="142">
        <f t="shared" si="323"/>
        <v>-390.00000000000364</v>
      </c>
      <c r="BB500" s="137"/>
      <c r="BC500" s="137">
        <v>0</v>
      </c>
      <c r="BD500" s="136"/>
      <c r="BE500" s="169">
        <v>311.35000000000002</v>
      </c>
      <c r="BF500" s="143">
        <f t="shared" si="324"/>
        <v>0.46702500000000002</v>
      </c>
      <c r="BG500" s="143">
        <f t="shared" si="325"/>
        <v>310.88297500000004</v>
      </c>
      <c r="BH500" s="143">
        <f t="shared" si="326"/>
        <v>311.10000000000002</v>
      </c>
      <c r="BI500" s="144">
        <f t="shared" si="327"/>
        <v>25</v>
      </c>
      <c r="BJ500" s="144">
        <v>0</v>
      </c>
      <c r="BK500" s="137">
        <f t="shared" si="328"/>
        <v>25</v>
      </c>
      <c r="BL500" s="18"/>
      <c r="BM500" s="25" t="str">
        <f t="shared" si="329"/>
        <v>Unloading no. 478 Bill No 106 ,Deduction For Oil Deduction= 26844.3943840121 ,Bardana= 2816 ,F.M=  Brokerage/Rate Difference 0 ,Shortage = 0 ,Greenish=  ,Moisture= 0</v>
      </c>
      <c r="BN500" s="17"/>
      <c r="BO500" s="13" t="str">
        <f t="shared" si="299"/>
        <v xml:space="preserve"> Party Condition 39.53  ,F.M% 0.4 ,Greenish 3 ,Moisture 5.2 ,Shortage in KG= 0  ,Oil% 39.03</v>
      </c>
      <c r="BP500" s="19">
        <f t="shared" si="330"/>
        <v>6726.6391051622877</v>
      </c>
      <c r="BX500" s="27">
        <v>39.049999999999997</v>
      </c>
      <c r="BY500" s="27">
        <v>39.03</v>
      </c>
    </row>
    <row r="501" spans="1:77" s="26" customFormat="1" ht="14.1" hidden="1" customHeight="1" x14ac:dyDescent="0.3">
      <c r="A501" s="128" t="s">
        <v>1029</v>
      </c>
      <c r="B501" s="130">
        <v>46153</v>
      </c>
      <c r="C501" s="138">
        <v>479</v>
      </c>
      <c r="D501" s="128" t="s">
        <v>1032</v>
      </c>
      <c r="E501" s="130">
        <v>46154</v>
      </c>
      <c r="F501" s="128" t="s">
        <v>98</v>
      </c>
      <c r="G501" s="128" t="s">
        <v>99</v>
      </c>
      <c r="H501" s="128" t="s">
        <v>199</v>
      </c>
      <c r="I501" s="157"/>
      <c r="J501" s="163" t="s">
        <v>113</v>
      </c>
      <c r="K501" s="163">
        <v>0</v>
      </c>
      <c r="L501" s="130">
        <v>46153</v>
      </c>
      <c r="M501" s="136"/>
      <c r="N501" s="128">
        <v>110</v>
      </c>
      <c r="O501" s="130">
        <v>46153</v>
      </c>
      <c r="P501" s="128">
        <v>0</v>
      </c>
      <c r="Q501" s="128">
        <v>310</v>
      </c>
      <c r="R501" s="128">
        <v>0</v>
      </c>
      <c r="S501" s="128">
        <v>310</v>
      </c>
      <c r="T501" s="128">
        <v>310</v>
      </c>
      <c r="U501" s="163">
        <v>0</v>
      </c>
      <c r="V501" s="163">
        <v>0</v>
      </c>
      <c r="W501" s="169">
        <v>186</v>
      </c>
      <c r="X501" s="169">
        <v>188</v>
      </c>
      <c r="Y501" s="128">
        <v>1329415.1599999999</v>
      </c>
      <c r="Z501" s="136"/>
      <c r="AA501" s="128">
        <v>33235.379999999997</v>
      </c>
      <c r="AB501" s="128">
        <v>33235.379999999997</v>
      </c>
      <c r="AC501" s="128">
        <v>1395885.92</v>
      </c>
      <c r="AD501" s="197">
        <f t="shared" si="315"/>
        <v>1394490.0340799999</v>
      </c>
      <c r="AE501" s="212">
        <v>40.04</v>
      </c>
      <c r="AF501" s="169">
        <v>39.840000000000003</v>
      </c>
      <c r="AG501" s="212">
        <v>40</v>
      </c>
      <c r="AH501" s="170">
        <v>4.1999999999999997E-3</v>
      </c>
      <c r="AI501" s="170">
        <v>4.8000000000000001E-2</v>
      </c>
      <c r="AJ501" s="170">
        <v>5.0999999999999997E-2</v>
      </c>
      <c r="AK501" s="155">
        <f t="shared" ref="AK501" si="331">+IF(AF501=42,IF(MIN(AE501,AG501)&lt;AF501,Y501*((AF501-MIN(AE501,AG501))/AF501)),IF(MIN(AE501,AG501)&lt;AF501,Y501*((AF501-MIN(AE501,AG501))/AF501),0))</f>
        <v>0</v>
      </c>
      <c r="AL501" s="157">
        <f>310*5</f>
        <v>1550</v>
      </c>
      <c r="AM501" s="157"/>
      <c r="AN501" s="165">
        <v>0</v>
      </c>
      <c r="AO501" s="140">
        <f t="shared" ref="AO501" si="332">AT501*Y501/AW501</f>
        <v>214.42179999999996</v>
      </c>
      <c r="AP501" s="136"/>
      <c r="AQ501" s="137">
        <v>0</v>
      </c>
      <c r="AR501" s="155">
        <f t="shared" ref="AR501" si="333">SUM(AK501:AQ501)</f>
        <v>1764.4218000000001</v>
      </c>
      <c r="AS501" s="155">
        <f t="shared" ref="AS501" si="334">ROUND(AR501*1.05,0)</f>
        <v>1853</v>
      </c>
      <c r="AT501" s="137">
        <v>3</v>
      </c>
      <c r="AU501" s="136"/>
      <c r="AV501" s="136"/>
      <c r="AW501" s="137">
        <f t="shared" ref="AW501:AW503" si="335">W501*100</f>
        <v>18600</v>
      </c>
      <c r="AX501" s="136"/>
      <c r="AY501" s="137">
        <f t="shared" ref="AY501:AY503" si="336">+AW501+AX501</f>
        <v>18600</v>
      </c>
      <c r="AZ501" s="137">
        <f t="shared" ref="AZ501:AZ503" si="337">X501*100</f>
        <v>18800</v>
      </c>
      <c r="BA501" s="142">
        <f t="shared" ref="BA501:BA503" si="338">AY501-AZ501</f>
        <v>-200</v>
      </c>
      <c r="BB501" s="137"/>
      <c r="BC501" s="137">
        <v>0</v>
      </c>
      <c r="BD501" s="136"/>
      <c r="BE501" s="169">
        <v>188.3</v>
      </c>
      <c r="BF501" s="143">
        <f t="shared" ref="BF501:BF503" si="339">+BE501*0.15/100</f>
        <v>0.28245000000000003</v>
      </c>
      <c r="BG501" s="143">
        <f t="shared" ref="BG501:BG503" si="340">BE501-BF501</f>
        <v>188.01755</v>
      </c>
      <c r="BH501" s="143">
        <f t="shared" ref="BH501:BH503" si="341">X501</f>
        <v>188</v>
      </c>
      <c r="BI501" s="144">
        <f t="shared" ref="BI501:BI503" si="342">(BE501-BH501)*100</f>
        <v>30.000000000001137</v>
      </c>
      <c r="BJ501" s="144">
        <v>0</v>
      </c>
      <c r="BK501" s="137">
        <f t="shared" ref="BK501:BK503" si="343">BI501</f>
        <v>30.000000000001137</v>
      </c>
      <c r="BL501" s="18"/>
      <c r="BM501" s="25" t="str">
        <f t="shared" ref="BM501:BM503" si="344">+$C$1&amp;" "&amp;C501 &amp;" "&amp;$N$1&amp;" "&amp;N501&amp;" "&amp;$BM$1&amp;" "&amp;$AK$1&amp;" "&amp;AK501&amp;" "&amp;$AL$1&amp;" "&amp;AL501&amp;" "&amp;$AM$1&amp;" "&amp;AM501&amp;" "&amp;$AN$1&amp;" "&amp;AN501&amp;" "&amp;$AO$1&amp;" "&amp;AO501&amp;" "&amp;$AP$1&amp;" "&amp;AP501&amp;" "&amp;$AQ$1&amp;" "&amp;AQ501</f>
        <v>Unloading no. 479 Bill No 110 ,Deduction For Oil Deduction= 0 ,Bardana= 1550 ,F.M=  Brokerage/Rate Difference 0 ,Shortage = 214.4218 ,Greenish=  ,Moisture= 0</v>
      </c>
      <c r="BN501" s="17"/>
      <c r="BO501" s="13" t="str">
        <f t="shared" ref="BO501:BO503" si="345">+" "&amp;$AF$1&amp;" "&amp;AF501&amp;" "&amp;" "&amp;$AH$1&amp;" "&amp;AH501*100&amp;" "&amp;$AI$1&amp;" "&amp;AI501*100&amp;" "&amp;$AJ$1&amp;" "&amp;AJ501*100&amp;" ,"&amp;$AT$1&amp;" "&amp;AT501&amp;" "&amp;IF(AE501&gt;AG501," ,Oil%"&amp;" "&amp;AG501," ,Oil%"&amp;" "&amp;AE501)</f>
        <v xml:space="preserve"> Party Condition 39.84  ,F.M% 0.42 ,Greenish 4.8 ,Moisture 5.1 ,Shortage in KG= 3  ,Oil% 40</v>
      </c>
      <c r="BP501" s="19">
        <f t="shared" ref="BP501:BP503" si="346">(Y501-AR501)/X501</f>
        <v>7061.9720117021279</v>
      </c>
      <c r="BX501" s="27">
        <v>40.04</v>
      </c>
      <c r="BY501" s="27">
        <v>40</v>
      </c>
    </row>
    <row r="502" spans="1:77" s="26" customFormat="1" ht="14.1" hidden="1" customHeight="1" x14ac:dyDescent="0.3">
      <c r="A502" s="128" t="s">
        <v>1030</v>
      </c>
      <c r="B502" s="130">
        <v>46154</v>
      </c>
      <c r="C502" s="138">
        <v>480</v>
      </c>
      <c r="D502" s="128" t="s">
        <v>1033</v>
      </c>
      <c r="E502" s="130">
        <v>46155</v>
      </c>
      <c r="F502" s="128" t="s">
        <v>98</v>
      </c>
      <c r="G502" s="128" t="s">
        <v>99</v>
      </c>
      <c r="H502" s="128" t="s">
        <v>199</v>
      </c>
      <c r="I502" s="157"/>
      <c r="J502" s="163" t="s">
        <v>113</v>
      </c>
      <c r="K502" s="163">
        <v>0</v>
      </c>
      <c r="L502" s="130">
        <v>46154</v>
      </c>
      <c r="M502" s="136"/>
      <c r="N502" s="128">
        <v>111</v>
      </c>
      <c r="O502" s="130">
        <v>46154</v>
      </c>
      <c r="P502" s="128">
        <v>0</v>
      </c>
      <c r="Q502" s="128">
        <v>441</v>
      </c>
      <c r="R502" s="128">
        <v>50</v>
      </c>
      <c r="S502" s="128">
        <v>491</v>
      </c>
      <c r="T502" s="128">
        <v>491</v>
      </c>
      <c r="U502" s="163">
        <v>0</v>
      </c>
      <c r="V502" s="163">
        <v>0</v>
      </c>
      <c r="W502" s="169">
        <v>294.60000000000002</v>
      </c>
      <c r="X502" s="169">
        <v>298.2</v>
      </c>
      <c r="Y502" s="128">
        <v>2104817.8199999998</v>
      </c>
      <c r="Z502" s="136"/>
      <c r="AA502" s="128">
        <v>52620.45</v>
      </c>
      <c r="AB502" s="128">
        <v>52620.45</v>
      </c>
      <c r="AC502" s="128">
        <v>2210058.71</v>
      </c>
      <c r="AD502" s="197">
        <f t="shared" si="315"/>
        <v>2207848.65129</v>
      </c>
      <c r="AE502" s="213">
        <v>39.56</v>
      </c>
      <c r="AF502" s="169">
        <v>39.69</v>
      </c>
      <c r="AG502" s="213">
        <v>39.520000000000003</v>
      </c>
      <c r="AH502" s="170">
        <v>2.8E-3</v>
      </c>
      <c r="AI502" s="170">
        <v>3.4000000000000002E-2</v>
      </c>
      <c r="AJ502" s="170">
        <v>0.05</v>
      </c>
      <c r="AK502" s="155">
        <v>0</v>
      </c>
      <c r="AL502" s="157">
        <f>491*5</f>
        <v>2455</v>
      </c>
      <c r="AM502" s="157"/>
      <c r="AN502" s="165">
        <v>0</v>
      </c>
      <c r="AO502" s="140">
        <f t="shared" ref="AO502:AO503" si="347">AT502*Y502/AW502</f>
        <v>0</v>
      </c>
      <c r="AP502" s="136"/>
      <c r="AQ502" s="137">
        <v>0</v>
      </c>
      <c r="AR502" s="155">
        <f t="shared" ref="AR502:AR503" si="348">SUM(AK502:AQ502)</f>
        <v>2455</v>
      </c>
      <c r="AS502" s="155">
        <f t="shared" ref="AS502:AS503" si="349">ROUND(AR502*1.05,0)</f>
        <v>2578</v>
      </c>
      <c r="AT502" s="137">
        <v>0</v>
      </c>
      <c r="AU502" s="136"/>
      <c r="AV502" s="136"/>
      <c r="AW502" s="137">
        <f t="shared" si="335"/>
        <v>29460.000000000004</v>
      </c>
      <c r="AX502" s="136"/>
      <c r="AY502" s="137">
        <f t="shared" si="336"/>
        <v>29460.000000000004</v>
      </c>
      <c r="AZ502" s="137">
        <f t="shared" si="337"/>
        <v>29820</v>
      </c>
      <c r="BA502" s="142">
        <f t="shared" si="338"/>
        <v>-359.99999999999636</v>
      </c>
      <c r="BB502" s="137"/>
      <c r="BC502" s="137">
        <v>0</v>
      </c>
      <c r="BD502" s="136"/>
      <c r="BE502" s="169">
        <v>298.39999999999998</v>
      </c>
      <c r="BF502" s="143">
        <f t="shared" si="339"/>
        <v>0.4476</v>
      </c>
      <c r="BG502" s="143">
        <f t="shared" si="340"/>
        <v>297.95239999999995</v>
      </c>
      <c r="BH502" s="143">
        <f t="shared" si="341"/>
        <v>298.2</v>
      </c>
      <c r="BI502" s="144">
        <f t="shared" si="342"/>
        <v>19.999999999998863</v>
      </c>
      <c r="BJ502" s="144">
        <v>0</v>
      </c>
      <c r="BK502" s="137">
        <f t="shared" si="343"/>
        <v>19.999999999998863</v>
      </c>
      <c r="BL502" s="18"/>
      <c r="BM502" s="25" t="str">
        <f t="shared" si="344"/>
        <v>Unloading no. 480 Bill No 111 ,Deduction For Oil Deduction= 0 ,Bardana= 2455 ,F.M=  Brokerage/Rate Difference 0 ,Shortage = 0 ,Greenish=  ,Moisture= 0</v>
      </c>
      <c r="BN502" s="17"/>
      <c r="BO502" s="13" t="str">
        <f t="shared" si="345"/>
        <v xml:space="preserve"> Party Condition 39.69  ,F.M% 0.28 ,Greenish 3.4 ,Moisture 5 ,Shortage in KG= 0  ,Oil% 39.52</v>
      </c>
      <c r="BP502" s="19">
        <f t="shared" si="346"/>
        <v>7050.1771294433265</v>
      </c>
      <c r="BX502" s="30">
        <v>39.56</v>
      </c>
      <c r="BY502" s="27">
        <v>39.520000000000003</v>
      </c>
    </row>
    <row r="503" spans="1:77" s="26" customFormat="1" ht="14.1" hidden="1" customHeight="1" x14ac:dyDescent="0.3">
      <c r="A503" s="214" t="s">
        <v>1031</v>
      </c>
      <c r="B503" s="215">
        <v>46154</v>
      </c>
      <c r="C503" s="216">
        <v>481</v>
      </c>
      <c r="D503" s="214" t="s">
        <v>1034</v>
      </c>
      <c r="E503" s="215">
        <v>46155</v>
      </c>
      <c r="F503" s="214" t="s">
        <v>436</v>
      </c>
      <c r="G503" s="214" t="s">
        <v>437</v>
      </c>
      <c r="H503" s="214" t="s">
        <v>438</v>
      </c>
      <c r="I503" s="217"/>
      <c r="J503" s="214" t="s">
        <v>113</v>
      </c>
      <c r="K503" s="214">
        <v>0</v>
      </c>
      <c r="L503" s="215">
        <v>46154</v>
      </c>
      <c r="M503" s="217"/>
      <c r="N503" s="214">
        <v>95</v>
      </c>
      <c r="O503" s="215">
        <v>46154</v>
      </c>
      <c r="P503" s="214">
        <v>0</v>
      </c>
      <c r="Q503" s="214">
        <v>150</v>
      </c>
      <c r="R503" s="214">
        <v>345</v>
      </c>
      <c r="S503" s="214">
        <v>495</v>
      </c>
      <c r="T503" s="214">
        <v>495</v>
      </c>
      <c r="U503" s="214">
        <v>0</v>
      </c>
      <c r="V503" s="214">
        <v>0</v>
      </c>
      <c r="W503" s="218">
        <v>297</v>
      </c>
      <c r="X503" s="218">
        <v>302.3</v>
      </c>
      <c r="Y503" s="214">
        <v>2133059.94</v>
      </c>
      <c r="Z503" s="217"/>
      <c r="AA503" s="214">
        <v>53326.5</v>
      </c>
      <c r="AB503" s="214">
        <v>53326.5</v>
      </c>
      <c r="AC503" s="214">
        <v>2239712.94</v>
      </c>
      <c r="AD503" s="219">
        <f t="shared" si="315"/>
        <v>2237473.2270599999</v>
      </c>
      <c r="AE503" s="220">
        <v>40.46</v>
      </c>
      <c r="AF503" s="218">
        <v>40</v>
      </c>
      <c r="AG503" s="220">
        <v>40.42</v>
      </c>
      <c r="AH503" s="221">
        <v>2.8E-3</v>
      </c>
      <c r="AI503" s="221">
        <v>3.5200000000000002E-2</v>
      </c>
      <c r="AJ503" s="221">
        <v>4.7E-2</v>
      </c>
      <c r="AK503" s="222">
        <f t="shared" ref="AK503" si="350">+IF(AF503=42,IF(MIN(AE503,AG503)&lt;AF503,Y503*((AF503-MIN(AE503,AG503))/AF503)),IF(MIN(AE503,AG503)&lt;AF503,Y503*((AF503-MIN(AE503,AG503))/AF503),0))</f>
        <v>0</v>
      </c>
      <c r="AL503" s="217">
        <v>0</v>
      </c>
      <c r="AM503" s="217"/>
      <c r="AN503" s="223">
        <v>0</v>
      </c>
      <c r="AO503" s="224">
        <f t="shared" si="347"/>
        <v>0</v>
      </c>
      <c r="AP503" s="217"/>
      <c r="AQ503" s="222">
        <v>0</v>
      </c>
      <c r="AR503" s="222">
        <f t="shared" si="348"/>
        <v>0</v>
      </c>
      <c r="AS503" s="222">
        <f t="shared" si="349"/>
        <v>0</v>
      </c>
      <c r="AT503" s="222">
        <v>0</v>
      </c>
      <c r="AU503" s="217"/>
      <c r="AV503" s="217"/>
      <c r="AW503" s="222">
        <f t="shared" si="335"/>
        <v>29700</v>
      </c>
      <c r="AX503" s="217"/>
      <c r="AY503" s="222">
        <f t="shared" si="336"/>
        <v>29700</v>
      </c>
      <c r="AZ503" s="222">
        <f t="shared" si="337"/>
        <v>30230</v>
      </c>
      <c r="BA503" s="225">
        <f t="shared" si="338"/>
        <v>-530</v>
      </c>
      <c r="BB503" s="222"/>
      <c r="BC503" s="222">
        <v>0</v>
      </c>
      <c r="BD503" s="217"/>
      <c r="BE503" s="218">
        <v>302</v>
      </c>
      <c r="BF503" s="219">
        <f t="shared" si="339"/>
        <v>0.45299999999999996</v>
      </c>
      <c r="BG503" s="219">
        <f t="shared" si="340"/>
        <v>301.54700000000003</v>
      </c>
      <c r="BH503" s="219">
        <f t="shared" si="341"/>
        <v>302.3</v>
      </c>
      <c r="BI503" s="226">
        <f t="shared" si="342"/>
        <v>-30.000000000001137</v>
      </c>
      <c r="BJ503" s="226">
        <v>0</v>
      </c>
      <c r="BK503" s="222">
        <f t="shared" si="343"/>
        <v>-30.000000000001137</v>
      </c>
      <c r="BL503" s="31"/>
      <c r="BM503" s="34" t="str">
        <f t="shared" si="344"/>
        <v>Unloading no. 481 Bill No 95 ,Deduction For Oil Deduction= 0 ,Bardana= 0 ,F.M=  Brokerage/Rate Difference 0 ,Shortage = 0 ,Greenish=  ,Moisture= 0</v>
      </c>
      <c r="BN503" s="32"/>
      <c r="BO503" s="35" t="str">
        <f t="shared" si="345"/>
        <v xml:space="preserve"> Party Condition 40  ,F.M% 0.28 ,Greenish 3.52 ,Moisture 4.7 ,Shortage in KG= 0  ,Oil% 40.42</v>
      </c>
      <c r="BP503" s="33">
        <f t="shared" si="346"/>
        <v>7056.1030102547138</v>
      </c>
      <c r="BX503" s="30">
        <v>40.46</v>
      </c>
      <c r="BY503" s="30">
        <v>40.42</v>
      </c>
    </row>
    <row r="504" spans="1:77" s="26" customFormat="1" ht="14.1" hidden="1" customHeight="1" x14ac:dyDescent="0.3">
      <c r="A504" s="128" t="s">
        <v>1035</v>
      </c>
      <c r="B504" s="130">
        <v>46154</v>
      </c>
      <c r="C504" s="138">
        <v>482</v>
      </c>
      <c r="D504" s="128" t="s">
        <v>1055</v>
      </c>
      <c r="E504" s="130">
        <v>46156</v>
      </c>
      <c r="F504" s="128" t="s">
        <v>95</v>
      </c>
      <c r="G504" s="128" t="s">
        <v>96</v>
      </c>
      <c r="H504" s="128" t="s">
        <v>97</v>
      </c>
      <c r="I504" s="136"/>
      <c r="J504" s="128" t="s">
        <v>113</v>
      </c>
      <c r="K504" s="163">
        <v>0</v>
      </c>
      <c r="L504" s="130">
        <v>46154</v>
      </c>
      <c r="M504" s="136"/>
      <c r="N504" s="128">
        <v>173</v>
      </c>
      <c r="O504" s="130">
        <v>46155</v>
      </c>
      <c r="P504" s="128">
        <v>0</v>
      </c>
      <c r="Q504" s="128">
        <v>90</v>
      </c>
      <c r="R504" s="128">
        <v>471</v>
      </c>
      <c r="S504" s="128">
        <v>561</v>
      </c>
      <c r="T504" s="128">
        <v>561</v>
      </c>
      <c r="U504" s="163">
        <v>0</v>
      </c>
      <c r="V504" s="163">
        <v>0</v>
      </c>
      <c r="W504" s="169">
        <v>336.6</v>
      </c>
      <c r="X504" s="169">
        <v>340.9</v>
      </c>
      <c r="Y504" s="169">
        <v>2409349.14</v>
      </c>
      <c r="Z504" s="165"/>
      <c r="AA504" s="169">
        <v>60233.73</v>
      </c>
      <c r="AB504" s="169">
        <v>60233.73</v>
      </c>
      <c r="AC504" s="169">
        <v>2529816.6</v>
      </c>
      <c r="AD504" s="197">
        <f t="shared" si="315"/>
        <v>2527286.7834000001</v>
      </c>
      <c r="AE504" s="173">
        <v>40.1</v>
      </c>
      <c r="AF504" s="169">
        <v>39.75</v>
      </c>
      <c r="AG504" s="173">
        <v>40.07</v>
      </c>
      <c r="AH504" s="170">
        <v>2.5999999999999999E-3</v>
      </c>
      <c r="AI504" s="170">
        <v>3.3799999999999997E-2</v>
      </c>
      <c r="AJ504" s="170">
        <v>4.8000000000000001E-2</v>
      </c>
      <c r="AK504" s="155">
        <f t="shared" ref="AK504:AK530" si="351">+IF(AF504=42,IF(MIN(AE504,AG504)&lt;AF504,Y504*((AF504-MIN(AE504,AG504))/AF504)),IF(MIN(AE504,AG504)&lt;AF504,Y504*((AF504-MIN(AE504,AG504))/AF504),0))</f>
        <v>0</v>
      </c>
      <c r="AL504" s="157">
        <v>0</v>
      </c>
      <c r="AM504" s="157"/>
      <c r="AN504" s="165">
        <v>0</v>
      </c>
      <c r="AO504" s="140">
        <f t="shared" ref="AO504:AO532" si="352">AT504*Y504/AW504</f>
        <v>0</v>
      </c>
      <c r="AP504" s="136"/>
      <c r="AQ504" s="137">
        <v>0</v>
      </c>
      <c r="AR504" s="155">
        <f t="shared" ref="AR504:AR530" si="353">SUM(AK504:AQ504)</f>
        <v>0</v>
      </c>
      <c r="AS504" s="155">
        <f t="shared" ref="AS504:AS530" si="354">ROUND(AR504*1.05,0)</f>
        <v>0</v>
      </c>
      <c r="AT504" s="137">
        <v>0</v>
      </c>
      <c r="AU504" s="136"/>
      <c r="AV504" s="136"/>
      <c r="AW504" s="137">
        <f t="shared" ref="AW504:AW530" si="355">W504*100</f>
        <v>33660</v>
      </c>
      <c r="AX504" s="136"/>
      <c r="AY504" s="137">
        <f t="shared" ref="AY504:AY530" si="356">+AW504+AX504</f>
        <v>33660</v>
      </c>
      <c r="AZ504" s="137">
        <f t="shared" ref="AZ504:AZ530" si="357">X504*100</f>
        <v>34090</v>
      </c>
      <c r="BA504" s="142">
        <f t="shared" ref="BA504:BA530" si="358">AY504-AZ504</f>
        <v>-430</v>
      </c>
      <c r="BB504" s="137"/>
      <c r="BC504" s="137">
        <v>0</v>
      </c>
      <c r="BD504" s="136"/>
      <c r="BE504" s="128">
        <v>341.1</v>
      </c>
      <c r="BF504" s="143">
        <f t="shared" ref="BF504:BF530" si="359">+BE504*0.15/100</f>
        <v>0.51164999999999994</v>
      </c>
      <c r="BG504" s="143">
        <f t="shared" ref="BG504:BG530" si="360">BE504-BF504</f>
        <v>340.58835000000005</v>
      </c>
      <c r="BH504" s="143">
        <f t="shared" ref="BH504:BH530" si="361">X504</f>
        <v>340.9</v>
      </c>
      <c r="BI504" s="144">
        <f t="shared" ref="BI504:BI530" si="362">(BE504-BH504)*100</f>
        <v>20.000000000004547</v>
      </c>
      <c r="BJ504" s="144">
        <v>0</v>
      </c>
      <c r="BK504" s="137">
        <f t="shared" ref="BK504:BK530" si="363">BI504</f>
        <v>20.000000000004547</v>
      </c>
      <c r="BL504" s="18"/>
      <c r="BM504" s="25" t="str">
        <f t="shared" ref="BM504:BM530" si="364">+$C$1&amp;" "&amp;C504 &amp;" "&amp;$N$1&amp;" "&amp;N504&amp;" "&amp;$BM$1&amp;" "&amp;$AK$1&amp;" "&amp;AK504&amp;" "&amp;$AL$1&amp;" "&amp;AL504&amp;" "&amp;$AM$1&amp;" "&amp;AM504&amp;" "&amp;$AN$1&amp;" "&amp;AN504&amp;" "&amp;$AO$1&amp;" "&amp;AO504&amp;" "&amp;$AP$1&amp;" "&amp;AP504&amp;" "&amp;$AQ$1&amp;" "&amp;AQ504</f>
        <v>Unloading no. 482 Bill No 173 ,Deduction For Oil Deduction= 0 ,Bardana= 0 ,F.M=  Brokerage/Rate Difference 0 ,Shortage = 0 ,Greenish=  ,Moisture= 0</v>
      </c>
      <c r="BN504" s="17"/>
      <c r="BO504" s="13" t="str">
        <f t="shared" ref="BO504:BO530" si="365">+" "&amp;$AF$1&amp;" "&amp;AF504&amp;" "&amp;" "&amp;$AH$1&amp;" "&amp;AH504*100&amp;" "&amp;$AI$1&amp;" "&amp;AI504*100&amp;" "&amp;$AJ$1&amp;" "&amp;AJ504*100&amp;" ,"&amp;$AT$1&amp;" "&amp;AT504&amp;" "&amp;IF(AE504&gt;AG504," ,Oil%"&amp;" "&amp;AG504," ,Oil%"&amp;" "&amp;AE504)</f>
        <v xml:space="preserve"> Party Condition 39.75  ,F.M% 0.26 ,Greenish 3.38 ,Moisture 4.8 ,Shortage in KG= 0  ,Oil% 40.07</v>
      </c>
      <c r="BP504" s="19">
        <f t="shared" ref="BP504:BP530" si="366">(Y504-AR504)/X504</f>
        <v>7067.6126136696985</v>
      </c>
      <c r="BX504" s="30">
        <v>40.1</v>
      </c>
      <c r="BY504" s="30">
        <v>40.07</v>
      </c>
    </row>
    <row r="505" spans="1:77" s="26" customFormat="1" ht="14.1" hidden="1" customHeight="1" x14ac:dyDescent="0.3">
      <c r="A505" s="128" t="s">
        <v>1036</v>
      </c>
      <c r="B505" s="130">
        <v>46155</v>
      </c>
      <c r="C505" s="138">
        <v>483</v>
      </c>
      <c r="D505" s="128" t="s">
        <v>1056</v>
      </c>
      <c r="E505" s="130">
        <v>46156</v>
      </c>
      <c r="F505" s="128" t="s">
        <v>436</v>
      </c>
      <c r="G505" s="128" t="s">
        <v>437</v>
      </c>
      <c r="H505" s="128" t="s">
        <v>438</v>
      </c>
      <c r="I505" s="136"/>
      <c r="J505" s="128" t="s">
        <v>113</v>
      </c>
      <c r="K505" s="163">
        <v>0</v>
      </c>
      <c r="L505" s="130">
        <v>46155</v>
      </c>
      <c r="M505" s="136"/>
      <c r="N505" s="128">
        <v>97</v>
      </c>
      <c r="O505" s="130">
        <v>46155</v>
      </c>
      <c r="P505" s="128">
        <v>0</v>
      </c>
      <c r="Q505" s="128">
        <v>400</v>
      </c>
      <c r="R505" s="128">
        <v>41</v>
      </c>
      <c r="S505" s="128">
        <v>441</v>
      </c>
      <c r="T505" s="128">
        <v>441</v>
      </c>
      <c r="U505" s="163">
        <v>0</v>
      </c>
      <c r="V505" s="163">
        <v>0</v>
      </c>
      <c r="W505" s="169">
        <v>264.60000000000002</v>
      </c>
      <c r="X505" s="169">
        <v>269.10000000000002</v>
      </c>
      <c r="Y505" s="169">
        <v>1928060.82</v>
      </c>
      <c r="Z505" s="165"/>
      <c r="AA505" s="169">
        <v>48201.52</v>
      </c>
      <c r="AB505" s="169">
        <v>48201.52</v>
      </c>
      <c r="AC505" s="169">
        <v>2024463.86</v>
      </c>
      <c r="AD505" s="197">
        <f t="shared" si="315"/>
        <v>2022439.3961400001</v>
      </c>
      <c r="AE505" s="173">
        <v>40.15</v>
      </c>
      <c r="AF505" s="169">
        <v>40.1</v>
      </c>
      <c r="AG505" s="173">
        <v>40.08</v>
      </c>
      <c r="AH505" s="170">
        <v>2.5999999999999999E-3</v>
      </c>
      <c r="AI505" s="170">
        <v>3.5000000000000003E-2</v>
      </c>
      <c r="AJ505" s="170">
        <v>5.3999999999999999E-2</v>
      </c>
      <c r="AK505" s="155">
        <v>0</v>
      </c>
      <c r="AL505" s="157">
        <v>0</v>
      </c>
      <c r="AM505" s="157"/>
      <c r="AN505" s="165">
        <v>0</v>
      </c>
      <c r="AO505" s="140">
        <f t="shared" si="352"/>
        <v>0</v>
      </c>
      <c r="AP505" s="136"/>
      <c r="AQ505" s="137">
        <v>0</v>
      </c>
      <c r="AR505" s="155">
        <f t="shared" si="353"/>
        <v>0</v>
      </c>
      <c r="AS505" s="155">
        <f t="shared" si="354"/>
        <v>0</v>
      </c>
      <c r="AT505" s="137">
        <v>0</v>
      </c>
      <c r="AU505" s="136"/>
      <c r="AV505" s="136"/>
      <c r="AW505" s="137">
        <f t="shared" si="355"/>
        <v>26460.000000000004</v>
      </c>
      <c r="AX505" s="136"/>
      <c r="AY505" s="137">
        <f t="shared" si="356"/>
        <v>26460.000000000004</v>
      </c>
      <c r="AZ505" s="137">
        <f t="shared" si="357"/>
        <v>26910.000000000004</v>
      </c>
      <c r="BA505" s="142">
        <f t="shared" si="358"/>
        <v>-450</v>
      </c>
      <c r="BB505" s="137"/>
      <c r="BC505" s="137">
        <v>0</v>
      </c>
      <c r="BD505" s="136"/>
      <c r="BE505" s="128">
        <v>268.85000000000002</v>
      </c>
      <c r="BF505" s="143">
        <f t="shared" si="359"/>
        <v>0.40327499999999999</v>
      </c>
      <c r="BG505" s="143">
        <f t="shared" si="360"/>
        <v>268.44672500000001</v>
      </c>
      <c r="BH505" s="143">
        <f t="shared" si="361"/>
        <v>269.10000000000002</v>
      </c>
      <c r="BI505" s="144">
        <f t="shared" si="362"/>
        <v>-25</v>
      </c>
      <c r="BJ505" s="144">
        <v>0</v>
      </c>
      <c r="BK505" s="137">
        <f t="shared" si="363"/>
        <v>-25</v>
      </c>
      <c r="BL505" s="18"/>
      <c r="BM505" s="25" t="str">
        <f t="shared" si="364"/>
        <v>Unloading no. 483 Bill No 97 ,Deduction For Oil Deduction= 0 ,Bardana= 0 ,F.M=  Brokerage/Rate Difference 0 ,Shortage = 0 ,Greenish=  ,Moisture= 0</v>
      </c>
      <c r="BN505" s="17"/>
      <c r="BO505" s="13" t="str">
        <f t="shared" si="365"/>
        <v xml:space="preserve"> Party Condition 40.1  ,F.M% 0.26 ,Greenish 3.5 ,Moisture 5.4 ,Shortage in KG= 0  ,Oil% 40.08</v>
      </c>
      <c r="BP505" s="19">
        <f t="shared" si="366"/>
        <v>7164.8488294314375</v>
      </c>
      <c r="BX505" s="30">
        <v>40.15</v>
      </c>
      <c r="BY505" s="30">
        <v>40.08</v>
      </c>
    </row>
    <row r="506" spans="1:77" s="26" customFormat="1" ht="14.1" hidden="1" customHeight="1" x14ac:dyDescent="0.3">
      <c r="A506" s="128" t="s">
        <v>1037</v>
      </c>
      <c r="B506" s="130">
        <v>46155</v>
      </c>
      <c r="C506" s="138">
        <v>484</v>
      </c>
      <c r="D506" s="128" t="s">
        <v>1057</v>
      </c>
      <c r="E506" s="130">
        <v>46157</v>
      </c>
      <c r="F506" s="128" t="s">
        <v>95</v>
      </c>
      <c r="G506" s="128" t="s">
        <v>96</v>
      </c>
      <c r="H506" s="128" t="s">
        <v>97</v>
      </c>
      <c r="I506" s="136"/>
      <c r="J506" s="128" t="s">
        <v>113</v>
      </c>
      <c r="K506" s="163">
        <v>0</v>
      </c>
      <c r="L506" s="130">
        <v>46155</v>
      </c>
      <c r="M506" s="136"/>
      <c r="N506" s="128">
        <v>174</v>
      </c>
      <c r="O506" s="130">
        <v>46155</v>
      </c>
      <c r="P506" s="128">
        <v>0</v>
      </c>
      <c r="Q506" s="128">
        <v>360</v>
      </c>
      <c r="R506" s="128">
        <v>90</v>
      </c>
      <c r="S506" s="128">
        <v>450</v>
      </c>
      <c r="T506" s="128">
        <v>450</v>
      </c>
      <c r="U506" s="163">
        <v>0</v>
      </c>
      <c r="V506" s="163">
        <v>0</v>
      </c>
      <c r="W506" s="169">
        <v>270</v>
      </c>
      <c r="X506" s="169">
        <v>273.39999999999998</v>
      </c>
      <c r="Y506" s="169">
        <v>1941394.5</v>
      </c>
      <c r="Z506" s="165"/>
      <c r="AA506" s="169">
        <v>48534.86</v>
      </c>
      <c r="AB506" s="169">
        <v>48534.86</v>
      </c>
      <c r="AC506" s="169">
        <v>2038464.23</v>
      </c>
      <c r="AD506" s="197">
        <f t="shared" si="315"/>
        <v>2036425.7657699999</v>
      </c>
      <c r="AE506" s="147">
        <v>39.880000000000003</v>
      </c>
      <c r="AF506" s="169">
        <v>39.67</v>
      </c>
      <c r="AG506" s="147">
        <v>39.840000000000003</v>
      </c>
      <c r="AH506" s="170">
        <v>2.8E-3</v>
      </c>
      <c r="AI506" s="170">
        <v>3.4000000000000002E-2</v>
      </c>
      <c r="AJ506" s="170">
        <v>0.05</v>
      </c>
      <c r="AK506" s="155">
        <f t="shared" si="351"/>
        <v>0</v>
      </c>
      <c r="AL506" s="157">
        <v>0</v>
      </c>
      <c r="AM506" s="157"/>
      <c r="AN506" s="165">
        <v>0</v>
      </c>
      <c r="AO506" s="140">
        <f t="shared" si="352"/>
        <v>0</v>
      </c>
      <c r="AP506" s="136"/>
      <c r="AQ506" s="137">
        <v>0</v>
      </c>
      <c r="AR506" s="155">
        <f t="shared" si="353"/>
        <v>0</v>
      </c>
      <c r="AS506" s="155">
        <f t="shared" si="354"/>
        <v>0</v>
      </c>
      <c r="AT506" s="137">
        <v>0</v>
      </c>
      <c r="AU506" s="136"/>
      <c r="AV506" s="136"/>
      <c r="AW506" s="137">
        <f t="shared" si="355"/>
        <v>27000</v>
      </c>
      <c r="AX506" s="136"/>
      <c r="AY506" s="137">
        <f t="shared" si="356"/>
        <v>27000</v>
      </c>
      <c r="AZ506" s="137">
        <f t="shared" si="357"/>
        <v>27339.999999999996</v>
      </c>
      <c r="BA506" s="142">
        <f t="shared" si="358"/>
        <v>-339.99999999999636</v>
      </c>
      <c r="BB506" s="137"/>
      <c r="BC506" s="137">
        <v>0</v>
      </c>
      <c r="BD506" s="136"/>
      <c r="BE506" s="128">
        <v>274</v>
      </c>
      <c r="BF506" s="143">
        <f t="shared" si="359"/>
        <v>0.41100000000000003</v>
      </c>
      <c r="BG506" s="143">
        <f t="shared" si="360"/>
        <v>273.589</v>
      </c>
      <c r="BH506" s="143">
        <f t="shared" si="361"/>
        <v>273.39999999999998</v>
      </c>
      <c r="BI506" s="144">
        <f t="shared" si="362"/>
        <v>60.000000000002274</v>
      </c>
      <c r="BJ506" s="144">
        <v>0</v>
      </c>
      <c r="BK506" s="137">
        <f t="shared" si="363"/>
        <v>60.000000000002274</v>
      </c>
      <c r="BL506" s="18"/>
      <c r="BM506" s="25" t="str">
        <f t="shared" si="364"/>
        <v>Unloading no. 484 Bill No 174 ,Deduction For Oil Deduction= 0 ,Bardana= 0 ,F.M=  Brokerage/Rate Difference 0 ,Shortage = 0 ,Greenish=  ,Moisture= 0</v>
      </c>
      <c r="BN506" s="17"/>
      <c r="BO506" s="13" t="str">
        <f t="shared" si="365"/>
        <v xml:space="preserve"> Party Condition 39.67  ,F.M% 0.28 ,Greenish 3.4 ,Moisture 5 ,Shortage in KG= 0  ,Oil% 39.84</v>
      </c>
      <c r="BP506" s="19">
        <f t="shared" si="366"/>
        <v>7100.9308705193862</v>
      </c>
      <c r="BX506" s="27">
        <v>39.880000000000003</v>
      </c>
      <c r="BY506" s="27">
        <v>39.840000000000003</v>
      </c>
    </row>
    <row r="507" spans="1:77" s="26" customFormat="1" ht="14.1" hidden="1" customHeight="1" x14ac:dyDescent="0.3">
      <c r="A507" s="128" t="s">
        <v>1038</v>
      </c>
      <c r="B507" s="130">
        <v>46156</v>
      </c>
      <c r="C507" s="138">
        <v>485</v>
      </c>
      <c r="D507" s="128" t="s">
        <v>1058</v>
      </c>
      <c r="E507" s="130">
        <v>46157</v>
      </c>
      <c r="F507" s="128" t="s">
        <v>104</v>
      </c>
      <c r="G507" s="128" t="s">
        <v>105</v>
      </c>
      <c r="H507" s="128" t="s">
        <v>106</v>
      </c>
      <c r="I507" s="136"/>
      <c r="J507" s="128" t="s">
        <v>113</v>
      </c>
      <c r="K507" s="163">
        <v>0</v>
      </c>
      <c r="L507" s="130">
        <v>46156</v>
      </c>
      <c r="M507" s="136"/>
      <c r="N507" s="128" t="s">
        <v>1087</v>
      </c>
      <c r="O507" s="130">
        <v>46155</v>
      </c>
      <c r="P507" s="128">
        <v>0</v>
      </c>
      <c r="Q507" s="128">
        <v>540</v>
      </c>
      <c r="R507" s="128">
        <v>116</v>
      </c>
      <c r="S507" s="128">
        <v>656</v>
      </c>
      <c r="T507" s="128">
        <v>656</v>
      </c>
      <c r="U507" s="163">
        <v>0</v>
      </c>
      <c r="V507" s="163">
        <v>0</v>
      </c>
      <c r="W507" s="169">
        <v>328</v>
      </c>
      <c r="X507" s="169">
        <v>334.2</v>
      </c>
      <c r="Y507" s="169">
        <v>2338029.92</v>
      </c>
      <c r="Z507" s="165"/>
      <c r="AA507" s="169">
        <v>58450.75</v>
      </c>
      <c r="AB507" s="169">
        <v>58450.75</v>
      </c>
      <c r="AC507" s="169">
        <v>2454931.42</v>
      </c>
      <c r="AD507" s="197">
        <f t="shared" si="315"/>
        <v>2452476.4885800001</v>
      </c>
      <c r="AE507" s="147">
        <v>39.75</v>
      </c>
      <c r="AF507" s="169">
        <v>39.4</v>
      </c>
      <c r="AG507" s="147">
        <v>39.78</v>
      </c>
      <c r="AH507" s="170">
        <v>2.8999999999999998E-3</v>
      </c>
      <c r="AI507" s="170">
        <v>3.4099999999999998E-2</v>
      </c>
      <c r="AJ507" s="170">
        <v>0.05</v>
      </c>
      <c r="AK507" s="155">
        <f t="shared" si="351"/>
        <v>0</v>
      </c>
      <c r="AL507" s="157">
        <v>0</v>
      </c>
      <c r="AM507" s="157"/>
      <c r="AN507" s="165">
        <v>0</v>
      </c>
      <c r="AO507" s="140">
        <f t="shared" si="352"/>
        <v>0</v>
      </c>
      <c r="AP507" s="136"/>
      <c r="AQ507" s="137">
        <v>0</v>
      </c>
      <c r="AR507" s="155">
        <f t="shared" si="353"/>
        <v>0</v>
      </c>
      <c r="AS507" s="155">
        <f t="shared" si="354"/>
        <v>0</v>
      </c>
      <c r="AT507" s="137">
        <v>0</v>
      </c>
      <c r="AU507" s="136"/>
      <c r="AV507" s="136"/>
      <c r="AW507" s="137">
        <f t="shared" si="355"/>
        <v>32800</v>
      </c>
      <c r="AX507" s="136"/>
      <c r="AY507" s="137">
        <f t="shared" si="356"/>
        <v>32800</v>
      </c>
      <c r="AZ507" s="137">
        <f t="shared" si="357"/>
        <v>33420</v>
      </c>
      <c r="BA507" s="142">
        <f t="shared" si="358"/>
        <v>-620</v>
      </c>
      <c r="BB507" s="137"/>
      <c r="BC507" s="137">
        <v>0</v>
      </c>
      <c r="BD507" s="136"/>
      <c r="BE507" s="128">
        <v>333.7</v>
      </c>
      <c r="BF507" s="143">
        <f t="shared" si="359"/>
        <v>0.50055000000000005</v>
      </c>
      <c r="BG507" s="143">
        <f t="shared" si="360"/>
        <v>333.19945000000001</v>
      </c>
      <c r="BH507" s="143">
        <f t="shared" si="361"/>
        <v>334.2</v>
      </c>
      <c r="BI507" s="144">
        <f t="shared" si="362"/>
        <v>-50</v>
      </c>
      <c r="BJ507" s="144">
        <v>0</v>
      </c>
      <c r="BK507" s="137">
        <f t="shared" si="363"/>
        <v>-50</v>
      </c>
      <c r="BL507" s="18"/>
      <c r="BM507" s="25" t="str">
        <f t="shared" si="364"/>
        <v>Unloading no. 485 Bill No MTC/2026-27/0175 ,Deduction For Oil Deduction= 0 ,Bardana= 0 ,F.M=  Brokerage/Rate Difference 0 ,Shortage = 0 ,Greenish=  ,Moisture= 0</v>
      </c>
      <c r="BN507" s="17"/>
      <c r="BO507" s="13" t="str">
        <f t="shared" si="365"/>
        <v xml:space="preserve"> Party Condition 39.4  ,F.M% 0.29 ,Greenish 3.41 ,Moisture 5 ,Shortage in KG= 0  ,Oil% 39.75</v>
      </c>
      <c r="BP507" s="19">
        <f t="shared" si="366"/>
        <v>6995.9004189108318</v>
      </c>
      <c r="BX507" s="27">
        <v>39.75</v>
      </c>
      <c r="BY507" s="27">
        <v>39.78</v>
      </c>
    </row>
    <row r="508" spans="1:77" s="26" customFormat="1" ht="14.1" hidden="1" customHeight="1" x14ac:dyDescent="0.3">
      <c r="A508" s="128" t="s">
        <v>1039</v>
      </c>
      <c r="B508" s="130">
        <v>46155</v>
      </c>
      <c r="C508" s="138">
        <v>486</v>
      </c>
      <c r="D508" s="128" t="s">
        <v>1059</v>
      </c>
      <c r="E508" s="130">
        <v>46157</v>
      </c>
      <c r="F508" s="128" t="s">
        <v>467</v>
      </c>
      <c r="G508" s="128" t="s">
        <v>468</v>
      </c>
      <c r="H508" s="128" t="s">
        <v>506</v>
      </c>
      <c r="I508" s="136"/>
      <c r="J508" s="128" t="s">
        <v>113</v>
      </c>
      <c r="K508" s="163">
        <v>0</v>
      </c>
      <c r="L508" s="130">
        <v>46155</v>
      </c>
      <c r="M508" s="136"/>
      <c r="N508" s="128" t="s">
        <v>1088</v>
      </c>
      <c r="O508" s="130">
        <v>46155</v>
      </c>
      <c r="P508" s="128">
        <v>0</v>
      </c>
      <c r="Q508" s="128">
        <v>290</v>
      </c>
      <c r="R508" s="128">
        <v>79</v>
      </c>
      <c r="S508" s="128">
        <v>369</v>
      </c>
      <c r="T508" s="128">
        <v>369</v>
      </c>
      <c r="U508" s="163">
        <v>0</v>
      </c>
      <c r="V508" s="163">
        <v>0</v>
      </c>
      <c r="W508" s="169">
        <v>223.46</v>
      </c>
      <c r="X508" s="169">
        <v>223.7</v>
      </c>
      <c r="Y508" s="169">
        <v>1669496</v>
      </c>
      <c r="Z508" s="165"/>
      <c r="AA508" s="169">
        <v>41737.4</v>
      </c>
      <c r="AB508" s="169">
        <v>41737.4</v>
      </c>
      <c r="AC508" s="169">
        <v>1752970.8</v>
      </c>
      <c r="AD508" s="197">
        <f t="shared" si="315"/>
        <v>1751217.8292</v>
      </c>
      <c r="AE508" s="147">
        <v>39.53</v>
      </c>
      <c r="AF508" s="169">
        <v>42</v>
      </c>
      <c r="AG508" s="147">
        <v>39.47</v>
      </c>
      <c r="AH508" s="170">
        <v>2.7000000000000001E-3</v>
      </c>
      <c r="AI508" s="170">
        <v>3.4000000000000002E-2</v>
      </c>
      <c r="AJ508" s="170">
        <v>5.1999999999999998E-2</v>
      </c>
      <c r="AK508" s="155">
        <f t="shared" si="351"/>
        <v>100567.2590476191</v>
      </c>
      <c r="AL508" s="157">
        <v>0</v>
      </c>
      <c r="AM508" s="157"/>
      <c r="AN508" s="165">
        <v>0</v>
      </c>
      <c r="AO508" s="140">
        <f t="shared" si="352"/>
        <v>0</v>
      </c>
      <c r="AP508" s="136"/>
      <c r="AQ508" s="137">
        <v>0</v>
      </c>
      <c r="AR508" s="155">
        <f t="shared" si="353"/>
        <v>100567.2590476191</v>
      </c>
      <c r="AS508" s="155">
        <f t="shared" si="354"/>
        <v>105596</v>
      </c>
      <c r="AT508" s="137">
        <v>0</v>
      </c>
      <c r="AU508" s="136"/>
      <c r="AV508" s="136"/>
      <c r="AW508" s="137">
        <f t="shared" si="355"/>
        <v>22346</v>
      </c>
      <c r="AX508" s="136"/>
      <c r="AY508" s="137">
        <f t="shared" si="356"/>
        <v>22346</v>
      </c>
      <c r="AZ508" s="137">
        <f t="shared" si="357"/>
        <v>22370</v>
      </c>
      <c r="BA508" s="142">
        <f t="shared" si="358"/>
        <v>-24</v>
      </c>
      <c r="BB508" s="137"/>
      <c r="BC508" s="137">
        <v>0</v>
      </c>
      <c r="BD508" s="136"/>
      <c r="BE508" s="128">
        <v>223.8</v>
      </c>
      <c r="BF508" s="143">
        <f t="shared" si="359"/>
        <v>0.3357</v>
      </c>
      <c r="BG508" s="143">
        <f t="shared" si="360"/>
        <v>223.46430000000001</v>
      </c>
      <c r="BH508" s="143">
        <f t="shared" si="361"/>
        <v>223.7</v>
      </c>
      <c r="BI508" s="144">
        <f t="shared" si="362"/>
        <v>10.000000000002274</v>
      </c>
      <c r="BJ508" s="144">
        <v>0</v>
      </c>
      <c r="BK508" s="137">
        <f t="shared" si="363"/>
        <v>10.000000000002274</v>
      </c>
      <c r="BL508" s="18"/>
      <c r="BM508" s="25" t="str">
        <f t="shared" si="364"/>
        <v>Unloading no. 486 Bill No GDS/26-27/211 ,Deduction For Oil Deduction= 100567.259047619 ,Bardana= 0 ,F.M=  Brokerage/Rate Difference 0 ,Shortage = 0 ,Greenish=  ,Moisture= 0</v>
      </c>
      <c r="BN508" s="17"/>
      <c r="BO508" s="13" t="str">
        <f t="shared" si="365"/>
        <v xml:space="preserve"> Party Condition 42  ,F.M% 0.27 ,Greenish 3.4 ,Moisture 5.2 ,Shortage in KG= 0  ,Oil% 39.47</v>
      </c>
      <c r="BP508" s="19">
        <f t="shared" si="366"/>
        <v>7013.5392979543185</v>
      </c>
      <c r="BX508" s="27">
        <v>39.53</v>
      </c>
      <c r="BY508" s="27">
        <v>39.47</v>
      </c>
    </row>
    <row r="509" spans="1:77" s="26" customFormat="1" ht="14.1" hidden="1" customHeight="1" x14ac:dyDescent="0.3">
      <c r="A509" s="128" t="s">
        <v>1040</v>
      </c>
      <c r="B509" s="130">
        <v>46154</v>
      </c>
      <c r="C509" s="138">
        <v>487</v>
      </c>
      <c r="D509" s="128" t="s">
        <v>1060</v>
      </c>
      <c r="E509" s="130">
        <v>46157</v>
      </c>
      <c r="F509" s="128" t="s">
        <v>110</v>
      </c>
      <c r="G509" s="128" t="s">
        <v>111</v>
      </c>
      <c r="H509" s="128" t="s">
        <v>112</v>
      </c>
      <c r="I509" s="136"/>
      <c r="J509" s="128" t="s">
        <v>113</v>
      </c>
      <c r="K509" s="163">
        <v>0</v>
      </c>
      <c r="L509" s="130">
        <v>46154</v>
      </c>
      <c r="M509" s="136"/>
      <c r="N509" s="128" t="s">
        <v>1089</v>
      </c>
      <c r="O509" s="130">
        <v>46155</v>
      </c>
      <c r="P509" s="128">
        <v>0</v>
      </c>
      <c r="Q509" s="128">
        <v>290</v>
      </c>
      <c r="R509" s="128">
        <v>120</v>
      </c>
      <c r="S509" s="128">
        <v>410</v>
      </c>
      <c r="T509" s="128">
        <v>410</v>
      </c>
      <c r="U509" s="163">
        <v>0</v>
      </c>
      <c r="V509" s="163">
        <v>0</v>
      </c>
      <c r="W509" s="169">
        <v>246</v>
      </c>
      <c r="X509" s="169">
        <v>249.5</v>
      </c>
      <c r="Y509" s="169">
        <v>1763820</v>
      </c>
      <c r="Z509" s="165"/>
      <c r="AA509" s="169">
        <v>44095.5</v>
      </c>
      <c r="AB509" s="169">
        <v>44095.5</v>
      </c>
      <c r="AC509" s="169">
        <v>1852011</v>
      </c>
      <c r="AD509" s="197">
        <f t="shared" si="315"/>
        <v>1850158.9890000001</v>
      </c>
      <c r="AE509" s="147">
        <v>40.200000000000003</v>
      </c>
      <c r="AF509" s="169">
        <v>39.72</v>
      </c>
      <c r="AG509" s="147">
        <v>39.96</v>
      </c>
      <c r="AH509" s="170">
        <v>2.5000000000000001E-3</v>
      </c>
      <c r="AI509" s="170">
        <v>3.4500000000000003E-2</v>
      </c>
      <c r="AJ509" s="170">
        <v>4.9000000000000002E-2</v>
      </c>
      <c r="AK509" s="155">
        <f t="shared" si="351"/>
        <v>0</v>
      </c>
      <c r="AL509" s="157">
        <v>0</v>
      </c>
      <c r="AM509" s="157"/>
      <c r="AN509" s="165">
        <v>0</v>
      </c>
      <c r="AO509" s="140">
        <f t="shared" si="352"/>
        <v>0</v>
      </c>
      <c r="AP509" s="136"/>
      <c r="AQ509" s="137">
        <v>0</v>
      </c>
      <c r="AR509" s="155">
        <f t="shared" si="353"/>
        <v>0</v>
      </c>
      <c r="AS509" s="155">
        <f t="shared" si="354"/>
        <v>0</v>
      </c>
      <c r="AT509" s="137">
        <v>0</v>
      </c>
      <c r="AU509" s="136"/>
      <c r="AV509" s="136"/>
      <c r="AW509" s="137">
        <f t="shared" si="355"/>
        <v>24600</v>
      </c>
      <c r="AX509" s="136"/>
      <c r="AY509" s="137">
        <f t="shared" si="356"/>
        <v>24600</v>
      </c>
      <c r="AZ509" s="137">
        <f t="shared" si="357"/>
        <v>24950</v>
      </c>
      <c r="BA509" s="142">
        <f t="shared" si="358"/>
        <v>-350</v>
      </c>
      <c r="BB509" s="137"/>
      <c r="BC509" s="137">
        <v>0</v>
      </c>
      <c r="BD509" s="136"/>
      <c r="BE509" s="128">
        <v>249.4</v>
      </c>
      <c r="BF509" s="143">
        <f t="shared" si="359"/>
        <v>0.37409999999999999</v>
      </c>
      <c r="BG509" s="143">
        <f t="shared" si="360"/>
        <v>249.02590000000001</v>
      </c>
      <c r="BH509" s="143">
        <f t="shared" si="361"/>
        <v>249.5</v>
      </c>
      <c r="BI509" s="144">
        <f t="shared" si="362"/>
        <v>-9.9999999999994316</v>
      </c>
      <c r="BJ509" s="144">
        <v>0</v>
      </c>
      <c r="BK509" s="137">
        <f t="shared" si="363"/>
        <v>-9.9999999999994316</v>
      </c>
      <c r="BL509" s="18"/>
      <c r="BM509" s="25" t="str">
        <f t="shared" si="364"/>
        <v>Unloading no. 487 Bill No G1690 ,Deduction For Oil Deduction= 0 ,Bardana= 0 ,F.M=  Brokerage/Rate Difference 0 ,Shortage = 0 ,Greenish=  ,Moisture= 0</v>
      </c>
      <c r="BN509" s="17"/>
      <c r="BO509" s="13" t="str">
        <f t="shared" si="365"/>
        <v xml:space="preserve"> Party Condition 39.72  ,F.M% 0.25 ,Greenish 3.45 ,Moisture 4.9 ,Shortage in KG= 0  ,Oil% 39.96</v>
      </c>
      <c r="BP509" s="19">
        <f t="shared" si="366"/>
        <v>7069.4188376753509</v>
      </c>
      <c r="BX509" s="27">
        <v>40.200000000000003</v>
      </c>
      <c r="BY509" s="27">
        <v>39.96</v>
      </c>
    </row>
    <row r="510" spans="1:77" s="26" customFormat="1" ht="14.1" hidden="1" customHeight="1" x14ac:dyDescent="0.3">
      <c r="A510" s="128" t="s">
        <v>1041</v>
      </c>
      <c r="B510" s="130">
        <v>46155</v>
      </c>
      <c r="C510" s="138">
        <v>488</v>
      </c>
      <c r="D510" s="128" t="s">
        <v>1061</v>
      </c>
      <c r="E510" s="130">
        <v>46157</v>
      </c>
      <c r="F510" s="128" t="s">
        <v>110</v>
      </c>
      <c r="G510" s="128" t="s">
        <v>111</v>
      </c>
      <c r="H510" s="128" t="s">
        <v>112</v>
      </c>
      <c r="I510" s="136"/>
      <c r="J510" s="128" t="s">
        <v>113</v>
      </c>
      <c r="K510" s="163">
        <v>0</v>
      </c>
      <c r="L510" s="130">
        <v>46155</v>
      </c>
      <c r="M510" s="136"/>
      <c r="N510" s="128" t="s">
        <v>1090</v>
      </c>
      <c r="O510" s="130">
        <v>46155</v>
      </c>
      <c r="P510" s="128">
        <v>0</v>
      </c>
      <c r="Q510" s="128">
        <v>180</v>
      </c>
      <c r="R510" s="128">
        <v>120</v>
      </c>
      <c r="S510" s="128">
        <v>300</v>
      </c>
      <c r="T510" s="128">
        <v>300</v>
      </c>
      <c r="U510" s="163">
        <v>0</v>
      </c>
      <c r="V510" s="163">
        <v>0</v>
      </c>
      <c r="W510" s="169">
        <v>180</v>
      </c>
      <c r="X510" s="169">
        <v>182.5</v>
      </c>
      <c r="Y510" s="169">
        <v>1304100</v>
      </c>
      <c r="Z510" s="165"/>
      <c r="AA510" s="169">
        <v>32602.5</v>
      </c>
      <c r="AB510" s="169">
        <v>32602.5</v>
      </c>
      <c r="AC510" s="169">
        <v>1369305</v>
      </c>
      <c r="AD510" s="197">
        <f t="shared" si="315"/>
        <v>1367935.6950000001</v>
      </c>
      <c r="AE510" s="147">
        <v>40.36</v>
      </c>
      <c r="AF510" s="169">
        <v>39.75</v>
      </c>
      <c r="AG510" s="147">
        <v>40.21</v>
      </c>
      <c r="AH510" s="170">
        <v>3.2000000000000002E-3</v>
      </c>
      <c r="AI510" s="170">
        <v>3.4500000000000003E-2</v>
      </c>
      <c r="AJ510" s="170">
        <v>4.4999999999999998E-2</v>
      </c>
      <c r="AK510" s="155">
        <f t="shared" si="351"/>
        <v>0</v>
      </c>
      <c r="AL510" s="157">
        <v>0</v>
      </c>
      <c r="AM510" s="157"/>
      <c r="AN510" s="165">
        <v>0</v>
      </c>
      <c r="AO510" s="140">
        <f t="shared" si="352"/>
        <v>0</v>
      </c>
      <c r="AP510" s="136"/>
      <c r="AQ510" s="137">
        <v>0</v>
      </c>
      <c r="AR510" s="155">
        <f t="shared" si="353"/>
        <v>0</v>
      </c>
      <c r="AS510" s="155">
        <f t="shared" si="354"/>
        <v>0</v>
      </c>
      <c r="AT510" s="137">
        <v>0</v>
      </c>
      <c r="AU510" s="136"/>
      <c r="AV510" s="136"/>
      <c r="AW510" s="137">
        <f t="shared" si="355"/>
        <v>18000</v>
      </c>
      <c r="AX510" s="136"/>
      <c r="AY510" s="137">
        <f t="shared" si="356"/>
        <v>18000</v>
      </c>
      <c r="AZ510" s="137">
        <f t="shared" si="357"/>
        <v>18250</v>
      </c>
      <c r="BA510" s="142">
        <f t="shared" si="358"/>
        <v>-250</v>
      </c>
      <c r="BB510" s="137"/>
      <c r="BC510" s="137">
        <v>0</v>
      </c>
      <c r="BD510" s="136"/>
      <c r="BE510" s="128">
        <v>182.75</v>
      </c>
      <c r="BF510" s="143">
        <f t="shared" si="359"/>
        <v>0.27412499999999995</v>
      </c>
      <c r="BG510" s="143">
        <f t="shared" si="360"/>
        <v>182.475875</v>
      </c>
      <c r="BH510" s="143">
        <f t="shared" si="361"/>
        <v>182.5</v>
      </c>
      <c r="BI510" s="144">
        <f t="shared" si="362"/>
        <v>25</v>
      </c>
      <c r="BJ510" s="144">
        <v>0</v>
      </c>
      <c r="BK510" s="137">
        <f t="shared" si="363"/>
        <v>25</v>
      </c>
      <c r="BL510" s="18"/>
      <c r="BM510" s="25" t="str">
        <f t="shared" si="364"/>
        <v>Unloading no. 488 Bill No G1691 ,Deduction For Oil Deduction= 0 ,Bardana= 0 ,F.M=  Brokerage/Rate Difference 0 ,Shortage = 0 ,Greenish=  ,Moisture= 0</v>
      </c>
      <c r="BN510" s="17"/>
      <c r="BO510" s="13" t="str">
        <f t="shared" si="365"/>
        <v xml:space="preserve"> Party Condition 39.75  ,F.M% 0.32 ,Greenish 3.45 ,Moisture 4.5 ,Shortage in KG= 0  ,Oil% 40.21</v>
      </c>
      <c r="BP510" s="19">
        <f t="shared" si="366"/>
        <v>7145.7534246575342</v>
      </c>
      <c r="BX510" s="27">
        <v>40.36</v>
      </c>
      <c r="BY510" s="27">
        <v>40.21</v>
      </c>
    </row>
    <row r="511" spans="1:77" s="26" customFormat="1" ht="14.1" hidden="1" customHeight="1" x14ac:dyDescent="0.3">
      <c r="A511" s="128" t="s">
        <v>1038</v>
      </c>
      <c r="B511" s="130">
        <v>46156</v>
      </c>
      <c r="C511" s="138">
        <v>489</v>
      </c>
      <c r="D511" s="128" t="s">
        <v>1062</v>
      </c>
      <c r="E511" s="130">
        <v>46157</v>
      </c>
      <c r="F511" s="128" t="s">
        <v>104</v>
      </c>
      <c r="G511" s="128" t="s">
        <v>105</v>
      </c>
      <c r="H511" s="128" t="s">
        <v>106</v>
      </c>
      <c r="I511" s="136"/>
      <c r="J511" s="128" t="s">
        <v>113</v>
      </c>
      <c r="K511" s="163">
        <v>0</v>
      </c>
      <c r="L511" s="130">
        <v>46156</v>
      </c>
      <c r="M511" s="136"/>
      <c r="N511" s="128" t="s">
        <v>1091</v>
      </c>
      <c r="O511" s="130">
        <v>46155</v>
      </c>
      <c r="P511" s="128">
        <v>0</v>
      </c>
      <c r="Q511" s="128">
        <v>590</v>
      </c>
      <c r="R511" s="128">
        <v>70</v>
      </c>
      <c r="S511" s="128">
        <v>660</v>
      </c>
      <c r="T511" s="128">
        <v>660</v>
      </c>
      <c r="U511" s="163">
        <v>0</v>
      </c>
      <c r="V511" s="163">
        <v>0</v>
      </c>
      <c r="W511" s="169">
        <v>330</v>
      </c>
      <c r="X511" s="169">
        <v>335.9</v>
      </c>
      <c r="Y511" s="169">
        <v>2352919.7999999998</v>
      </c>
      <c r="Z511" s="165"/>
      <c r="AA511" s="169">
        <v>58823</v>
      </c>
      <c r="AB511" s="169">
        <v>58823</v>
      </c>
      <c r="AC511" s="169">
        <v>2470565.79</v>
      </c>
      <c r="AD511" s="197">
        <f t="shared" si="315"/>
        <v>2468095.2242100001</v>
      </c>
      <c r="AE511" s="147">
        <v>40.31</v>
      </c>
      <c r="AF511" s="169">
        <v>39.4</v>
      </c>
      <c r="AG511" s="147">
        <v>40.130000000000003</v>
      </c>
      <c r="AH511" s="170">
        <v>2.8999999999999998E-3</v>
      </c>
      <c r="AI511" s="170">
        <v>3.5999999999999997E-2</v>
      </c>
      <c r="AJ511" s="170">
        <v>4.7E-2</v>
      </c>
      <c r="AK511" s="155">
        <f t="shared" si="351"/>
        <v>0</v>
      </c>
      <c r="AL511" s="157">
        <v>0</v>
      </c>
      <c r="AM511" s="157"/>
      <c r="AN511" s="165">
        <f>W511*1.9</f>
        <v>627</v>
      </c>
      <c r="AO511" s="140">
        <f t="shared" si="352"/>
        <v>0</v>
      </c>
      <c r="AP511" s="136"/>
      <c r="AQ511" s="137">
        <v>0</v>
      </c>
      <c r="AR511" s="155">
        <f t="shared" si="353"/>
        <v>627</v>
      </c>
      <c r="AS511" s="155">
        <f t="shared" si="354"/>
        <v>658</v>
      </c>
      <c r="AT511" s="137">
        <v>0</v>
      </c>
      <c r="AU511" s="136"/>
      <c r="AV511" s="136"/>
      <c r="AW511" s="137">
        <f t="shared" si="355"/>
        <v>33000</v>
      </c>
      <c r="AX511" s="136"/>
      <c r="AY511" s="137">
        <f t="shared" si="356"/>
        <v>33000</v>
      </c>
      <c r="AZ511" s="137">
        <f t="shared" si="357"/>
        <v>33590</v>
      </c>
      <c r="BA511" s="142">
        <f t="shared" si="358"/>
        <v>-590</v>
      </c>
      <c r="BB511" s="137"/>
      <c r="BC511" s="137">
        <v>0</v>
      </c>
      <c r="BD511" s="136"/>
      <c r="BE511" s="128">
        <v>335.4</v>
      </c>
      <c r="BF511" s="143">
        <f t="shared" si="359"/>
        <v>0.50309999999999999</v>
      </c>
      <c r="BG511" s="143">
        <f t="shared" si="360"/>
        <v>334.89689999999996</v>
      </c>
      <c r="BH511" s="143">
        <f t="shared" si="361"/>
        <v>335.9</v>
      </c>
      <c r="BI511" s="144">
        <f t="shared" si="362"/>
        <v>-50</v>
      </c>
      <c r="BJ511" s="144">
        <v>0</v>
      </c>
      <c r="BK511" s="137">
        <f t="shared" si="363"/>
        <v>-50</v>
      </c>
      <c r="BL511" s="18"/>
      <c r="BM511" s="25" t="str">
        <f t="shared" si="364"/>
        <v>Unloading no. 489 Bill No MTC/2026-27/0176 ,Deduction For Oil Deduction= 0 ,Bardana= 0 ,F.M=  Brokerage/Rate Difference 627 ,Shortage = 0 ,Greenish=  ,Moisture= 0</v>
      </c>
      <c r="BN511" s="17"/>
      <c r="BO511" s="13" t="str">
        <f t="shared" si="365"/>
        <v xml:space="preserve"> Party Condition 39.4  ,F.M% 0.29 ,Greenish 3.6 ,Moisture 4.7 ,Shortage in KG= 0  ,Oil% 40.13</v>
      </c>
      <c r="BP511" s="19">
        <f t="shared" si="366"/>
        <v>7002.9556415599882</v>
      </c>
      <c r="BX511" s="27">
        <v>40.31</v>
      </c>
      <c r="BY511" s="27">
        <v>40.130000000000003</v>
      </c>
    </row>
    <row r="512" spans="1:77" s="26" customFormat="1" ht="14.1" hidden="1" customHeight="1" x14ac:dyDescent="0.3">
      <c r="A512" s="128" t="s">
        <v>1042</v>
      </c>
      <c r="B512" s="130">
        <v>46155</v>
      </c>
      <c r="C512" s="190">
        <v>490</v>
      </c>
      <c r="D512" s="128" t="s">
        <v>1063</v>
      </c>
      <c r="E512" s="130">
        <v>46157</v>
      </c>
      <c r="F512" s="128" t="s">
        <v>110</v>
      </c>
      <c r="G512" s="128" t="s">
        <v>111</v>
      </c>
      <c r="H512" s="128" t="s">
        <v>112</v>
      </c>
      <c r="I512" s="136"/>
      <c r="J512" s="128" t="s">
        <v>113</v>
      </c>
      <c r="K512" s="163">
        <v>0</v>
      </c>
      <c r="L512" s="130">
        <v>46155</v>
      </c>
      <c r="M512" s="136"/>
      <c r="N512" s="128">
        <v>1694</v>
      </c>
      <c r="O512" s="130">
        <v>46156</v>
      </c>
      <c r="P512" s="128">
        <v>0</v>
      </c>
      <c r="Q512" s="128">
        <v>11</v>
      </c>
      <c r="R512" s="128">
        <v>344</v>
      </c>
      <c r="S512" s="128">
        <v>355</v>
      </c>
      <c r="T512" s="128">
        <v>355</v>
      </c>
      <c r="U512" s="163">
        <v>0</v>
      </c>
      <c r="V512" s="163">
        <v>0</v>
      </c>
      <c r="W512" s="169">
        <v>213</v>
      </c>
      <c r="X512" s="169">
        <v>270.39999999999998</v>
      </c>
      <c r="Y512" s="169">
        <v>1533813</v>
      </c>
      <c r="Z512" s="165"/>
      <c r="AA512" s="169">
        <v>38345.33</v>
      </c>
      <c r="AB512" s="169">
        <v>38345.33</v>
      </c>
      <c r="AC512" s="169">
        <v>1610503.65</v>
      </c>
      <c r="AD512" s="197">
        <f t="shared" si="315"/>
        <v>1608893.1463499998</v>
      </c>
      <c r="AE512" s="147">
        <v>40.25</v>
      </c>
      <c r="AF512" s="169">
        <v>39.74</v>
      </c>
      <c r="AG512" s="147">
        <v>40.1</v>
      </c>
      <c r="AH512" s="170">
        <v>2.8999999999999998E-3</v>
      </c>
      <c r="AI512" s="170">
        <v>3.5000000000000003E-2</v>
      </c>
      <c r="AJ512" s="170">
        <v>0.05</v>
      </c>
      <c r="AK512" s="155">
        <f t="shared" si="351"/>
        <v>0</v>
      </c>
      <c r="AL512" s="157">
        <v>0</v>
      </c>
      <c r="AM512" s="157"/>
      <c r="AN512" s="165">
        <v>0</v>
      </c>
      <c r="AO512" s="140">
        <f t="shared" si="352"/>
        <v>0</v>
      </c>
      <c r="AP512" s="136"/>
      <c r="AQ512" s="137">
        <v>0</v>
      </c>
      <c r="AR512" s="155">
        <f t="shared" si="353"/>
        <v>0</v>
      </c>
      <c r="AS512" s="155">
        <f t="shared" si="354"/>
        <v>0</v>
      </c>
      <c r="AT512" s="137">
        <v>0</v>
      </c>
      <c r="AU512" s="136"/>
      <c r="AV512" s="136"/>
      <c r="AW512" s="137">
        <f t="shared" si="355"/>
        <v>21300</v>
      </c>
      <c r="AX512" s="136"/>
      <c r="AY512" s="137">
        <f t="shared" si="356"/>
        <v>21300</v>
      </c>
      <c r="AZ512" s="137">
        <f t="shared" si="357"/>
        <v>27039.999999999996</v>
      </c>
      <c r="BA512" s="142">
        <f t="shared" si="358"/>
        <v>-5739.9999999999964</v>
      </c>
      <c r="BB512" s="137"/>
      <c r="BC512" s="137">
        <v>0</v>
      </c>
      <c r="BD512" s="136"/>
      <c r="BE512" s="128">
        <v>270.39999999999998</v>
      </c>
      <c r="BF512" s="143">
        <f t="shared" si="359"/>
        <v>0.40559999999999996</v>
      </c>
      <c r="BG512" s="143">
        <f t="shared" si="360"/>
        <v>269.99439999999998</v>
      </c>
      <c r="BH512" s="143">
        <f t="shared" si="361"/>
        <v>270.39999999999998</v>
      </c>
      <c r="BI512" s="144">
        <f t="shared" si="362"/>
        <v>0</v>
      </c>
      <c r="BJ512" s="144">
        <v>0</v>
      </c>
      <c r="BK512" s="137">
        <f t="shared" si="363"/>
        <v>0</v>
      </c>
      <c r="BL512" s="18"/>
      <c r="BM512" s="25" t="str">
        <f t="shared" si="364"/>
        <v>Unloading no. 490 Bill No 1694 ,Deduction For Oil Deduction= 0 ,Bardana= 0 ,F.M=  Brokerage/Rate Difference 0 ,Shortage = 0 ,Greenish=  ,Moisture= 0</v>
      </c>
      <c r="BN512" s="17"/>
      <c r="BO512" s="13" t="str">
        <f t="shared" si="365"/>
        <v xml:space="preserve"> Party Condition 39.74  ,F.M% 0.29 ,Greenish 3.5 ,Moisture 5 ,Shortage in KG= 0  ,Oil% 40.1</v>
      </c>
      <c r="BP512" s="19">
        <f t="shared" si="366"/>
        <v>5672.3853550295862</v>
      </c>
      <c r="BX512" s="27">
        <v>40.25</v>
      </c>
      <c r="BY512" s="27">
        <v>40.1</v>
      </c>
    </row>
    <row r="513" spans="1:77" s="26" customFormat="1" ht="14.1" hidden="1" customHeight="1" x14ac:dyDescent="0.3">
      <c r="A513" s="128" t="s">
        <v>1041</v>
      </c>
      <c r="B513" s="130">
        <v>46155</v>
      </c>
      <c r="C513" s="190">
        <v>490</v>
      </c>
      <c r="D513" s="128" t="s">
        <v>1063</v>
      </c>
      <c r="E513" s="130">
        <v>46157</v>
      </c>
      <c r="F513" s="128" t="s">
        <v>110</v>
      </c>
      <c r="G513" s="128" t="s">
        <v>111</v>
      </c>
      <c r="H513" s="128" t="s">
        <v>112</v>
      </c>
      <c r="I513" s="136"/>
      <c r="J513" s="128" t="s">
        <v>113</v>
      </c>
      <c r="K513" s="163">
        <v>0</v>
      </c>
      <c r="L513" s="130">
        <v>46155</v>
      </c>
      <c r="M513" s="136"/>
      <c r="N513" s="128">
        <v>1695</v>
      </c>
      <c r="O513" s="130">
        <v>46156</v>
      </c>
      <c r="P513" s="128">
        <v>0</v>
      </c>
      <c r="Q513" s="128">
        <v>89</v>
      </c>
      <c r="R513" s="128">
        <v>0</v>
      </c>
      <c r="S513" s="128">
        <v>89</v>
      </c>
      <c r="T513" s="128">
        <v>89</v>
      </c>
      <c r="U513" s="163">
        <v>0</v>
      </c>
      <c r="V513" s="163">
        <v>0</v>
      </c>
      <c r="W513" s="169">
        <v>53.4</v>
      </c>
      <c r="X513" s="169">
        <v>270.39999999999998</v>
      </c>
      <c r="Y513" s="169">
        <v>386883</v>
      </c>
      <c r="Z513" s="165"/>
      <c r="AA513" s="169">
        <v>9672.08</v>
      </c>
      <c r="AB513" s="169">
        <v>9672.08</v>
      </c>
      <c r="AC513" s="169">
        <v>406227.15</v>
      </c>
      <c r="AD513" s="197">
        <f t="shared" si="315"/>
        <v>405820.92285000003</v>
      </c>
      <c r="AE513" s="147">
        <v>40.25</v>
      </c>
      <c r="AF513" s="169">
        <v>39.75</v>
      </c>
      <c r="AG513" s="147">
        <v>40.1</v>
      </c>
      <c r="AH513" s="170">
        <v>2.8999999999999998E-3</v>
      </c>
      <c r="AI513" s="170">
        <v>3.5000000000000003E-2</v>
      </c>
      <c r="AJ513" s="170">
        <v>0.05</v>
      </c>
      <c r="AK513" s="155">
        <f t="shared" si="351"/>
        <v>0</v>
      </c>
      <c r="AL513" s="157">
        <v>0</v>
      </c>
      <c r="AM513" s="157"/>
      <c r="AN513" s="165">
        <v>0</v>
      </c>
      <c r="AO513" s="140">
        <f t="shared" si="352"/>
        <v>0</v>
      </c>
      <c r="AP513" s="136"/>
      <c r="AQ513" s="137">
        <v>0</v>
      </c>
      <c r="AR513" s="155">
        <f t="shared" si="353"/>
        <v>0</v>
      </c>
      <c r="AS513" s="155">
        <f t="shared" si="354"/>
        <v>0</v>
      </c>
      <c r="AT513" s="137">
        <v>0</v>
      </c>
      <c r="AU513" s="136"/>
      <c r="AV513" s="136"/>
      <c r="AW513" s="137">
        <f t="shared" si="355"/>
        <v>5340</v>
      </c>
      <c r="AX513" s="136"/>
      <c r="AY513" s="137">
        <f t="shared" si="356"/>
        <v>5340</v>
      </c>
      <c r="AZ513" s="137">
        <f t="shared" si="357"/>
        <v>27039.999999999996</v>
      </c>
      <c r="BA513" s="142">
        <f t="shared" si="358"/>
        <v>-21699.999999999996</v>
      </c>
      <c r="BB513" s="137"/>
      <c r="BC513" s="137">
        <v>0</v>
      </c>
      <c r="BD513" s="136"/>
      <c r="BE513" s="128">
        <v>270.39999999999998</v>
      </c>
      <c r="BF513" s="143">
        <f t="shared" si="359"/>
        <v>0.40559999999999996</v>
      </c>
      <c r="BG513" s="143">
        <f t="shared" si="360"/>
        <v>269.99439999999998</v>
      </c>
      <c r="BH513" s="143">
        <f t="shared" si="361"/>
        <v>270.39999999999998</v>
      </c>
      <c r="BI513" s="144">
        <f t="shared" si="362"/>
        <v>0</v>
      </c>
      <c r="BJ513" s="144">
        <v>0</v>
      </c>
      <c r="BK513" s="137">
        <f t="shared" si="363"/>
        <v>0</v>
      </c>
      <c r="BL513" s="18"/>
      <c r="BM513" s="25" t="str">
        <f t="shared" si="364"/>
        <v>Unloading no. 490 Bill No 1695 ,Deduction For Oil Deduction= 0 ,Bardana= 0 ,F.M=  Brokerage/Rate Difference 0 ,Shortage = 0 ,Greenish=  ,Moisture= 0</v>
      </c>
      <c r="BN513" s="17"/>
      <c r="BO513" s="13" t="str">
        <f t="shared" si="365"/>
        <v xml:space="preserve"> Party Condition 39.75  ,F.M% 0.29 ,Greenish 3.5 ,Moisture 5 ,Shortage in KG= 0  ,Oil% 40.1</v>
      </c>
      <c r="BP513" s="19">
        <f t="shared" si="366"/>
        <v>1430.7803254437872</v>
      </c>
      <c r="BX513" s="27">
        <v>40.25</v>
      </c>
      <c r="BY513" s="27">
        <v>40.1</v>
      </c>
    </row>
    <row r="514" spans="1:77" s="26" customFormat="1" ht="14.1" hidden="1" customHeight="1" x14ac:dyDescent="0.3">
      <c r="A514" s="128" t="s">
        <v>1043</v>
      </c>
      <c r="B514" s="130">
        <v>46156</v>
      </c>
      <c r="C514" s="138">
        <v>491</v>
      </c>
      <c r="D514" s="128" t="s">
        <v>1064</v>
      </c>
      <c r="E514" s="130">
        <v>46157</v>
      </c>
      <c r="F514" s="128" t="s">
        <v>110</v>
      </c>
      <c r="G514" s="128" t="s">
        <v>111</v>
      </c>
      <c r="H514" s="128" t="s">
        <v>112</v>
      </c>
      <c r="I514" s="136"/>
      <c r="J514" s="128" t="s">
        <v>113</v>
      </c>
      <c r="K514" s="163">
        <v>0</v>
      </c>
      <c r="L514" s="130">
        <v>46156</v>
      </c>
      <c r="M514" s="136"/>
      <c r="N514" s="128" t="s">
        <v>1092</v>
      </c>
      <c r="O514" s="130">
        <v>46156</v>
      </c>
      <c r="P514" s="128">
        <v>0</v>
      </c>
      <c r="Q514" s="128">
        <v>350</v>
      </c>
      <c r="R514" s="128">
        <v>122</v>
      </c>
      <c r="S514" s="128">
        <v>472</v>
      </c>
      <c r="T514" s="128">
        <v>472</v>
      </c>
      <c r="U514" s="163">
        <v>0</v>
      </c>
      <c r="V514" s="163">
        <v>0</v>
      </c>
      <c r="W514" s="169">
        <v>283.2</v>
      </c>
      <c r="X514" s="169">
        <v>287.60000000000002</v>
      </c>
      <c r="Y514" s="169">
        <v>2089449.6</v>
      </c>
      <c r="Z514" s="165"/>
      <c r="AA514" s="169">
        <v>52236.24</v>
      </c>
      <c r="AB514" s="169">
        <v>52236.24</v>
      </c>
      <c r="AC514" s="169">
        <v>2193922.08</v>
      </c>
      <c r="AD514" s="197">
        <f t="shared" si="315"/>
        <v>2191728.1579200001</v>
      </c>
      <c r="AE514" s="147">
        <v>40.53</v>
      </c>
      <c r="AF514" s="169">
        <v>40.08</v>
      </c>
      <c r="AG514" s="147">
        <v>40.49</v>
      </c>
      <c r="AH514" s="170">
        <v>3.0999999999999999E-3</v>
      </c>
      <c r="AI514" s="170">
        <v>3.5999999999999997E-2</v>
      </c>
      <c r="AJ514" s="170">
        <v>4.8000000000000001E-2</v>
      </c>
      <c r="AK514" s="155">
        <f t="shared" si="351"/>
        <v>0</v>
      </c>
      <c r="AL514" s="157">
        <v>0</v>
      </c>
      <c r="AM514" s="157"/>
      <c r="AN514" s="165">
        <v>0</v>
      </c>
      <c r="AO514" s="140">
        <f t="shared" si="352"/>
        <v>0</v>
      </c>
      <c r="AP514" s="136"/>
      <c r="AQ514" s="137">
        <v>0</v>
      </c>
      <c r="AR514" s="155">
        <f t="shared" si="353"/>
        <v>0</v>
      </c>
      <c r="AS514" s="155">
        <f t="shared" si="354"/>
        <v>0</v>
      </c>
      <c r="AT514" s="137">
        <v>0</v>
      </c>
      <c r="AU514" s="136"/>
      <c r="AV514" s="136"/>
      <c r="AW514" s="137">
        <f t="shared" si="355"/>
        <v>28320</v>
      </c>
      <c r="AX514" s="136"/>
      <c r="AY514" s="137">
        <f t="shared" si="356"/>
        <v>28320</v>
      </c>
      <c r="AZ514" s="137">
        <f t="shared" si="357"/>
        <v>28760.000000000004</v>
      </c>
      <c r="BA514" s="142">
        <f t="shared" si="358"/>
        <v>-440.00000000000364</v>
      </c>
      <c r="BB514" s="137"/>
      <c r="BC514" s="137">
        <v>0</v>
      </c>
      <c r="BD514" s="136"/>
      <c r="BE514" s="128">
        <v>287.8</v>
      </c>
      <c r="BF514" s="143">
        <f t="shared" si="359"/>
        <v>0.43170000000000003</v>
      </c>
      <c r="BG514" s="143">
        <f t="shared" si="360"/>
        <v>287.36830000000003</v>
      </c>
      <c r="BH514" s="143">
        <f t="shared" si="361"/>
        <v>287.60000000000002</v>
      </c>
      <c r="BI514" s="144">
        <f t="shared" si="362"/>
        <v>19.999999999998863</v>
      </c>
      <c r="BJ514" s="144">
        <v>0</v>
      </c>
      <c r="BK514" s="137">
        <f t="shared" si="363"/>
        <v>19.999999999998863</v>
      </c>
      <c r="BL514" s="18"/>
      <c r="BM514" s="25" t="str">
        <f t="shared" si="364"/>
        <v>Unloading no. 491 Bill No G1693 ,Deduction For Oil Deduction= 0 ,Bardana= 0 ,F.M=  Brokerage/Rate Difference 0 ,Shortage = 0 ,Greenish=  ,Moisture= 0</v>
      </c>
      <c r="BN514" s="17"/>
      <c r="BO514" s="13" t="str">
        <f t="shared" si="365"/>
        <v xml:space="preserve"> Party Condition 40.08  ,F.M% 0.31 ,Greenish 3.6 ,Moisture 4.8 ,Shortage in KG= 0  ,Oil% 40.49</v>
      </c>
      <c r="BP514" s="19">
        <f t="shared" si="366"/>
        <v>7265.1237830319888</v>
      </c>
      <c r="BX514" s="27">
        <v>40.53</v>
      </c>
      <c r="BY514" s="27">
        <v>40.49</v>
      </c>
    </row>
    <row r="515" spans="1:77" s="26" customFormat="1" ht="14.1" hidden="1" customHeight="1" x14ac:dyDescent="0.3">
      <c r="A515" s="128" t="s">
        <v>1037</v>
      </c>
      <c r="B515" s="130">
        <v>46155</v>
      </c>
      <c r="C515" s="138">
        <v>492</v>
      </c>
      <c r="D515" s="128" t="s">
        <v>1065</v>
      </c>
      <c r="E515" s="130">
        <v>46157</v>
      </c>
      <c r="F515" s="128" t="s">
        <v>95</v>
      </c>
      <c r="G515" s="128" t="s">
        <v>96</v>
      </c>
      <c r="H515" s="128" t="s">
        <v>97</v>
      </c>
      <c r="I515" s="136"/>
      <c r="J515" s="128" t="s">
        <v>113</v>
      </c>
      <c r="K515" s="163">
        <v>0</v>
      </c>
      <c r="L515" s="130">
        <v>46155</v>
      </c>
      <c r="M515" s="136"/>
      <c r="N515" s="128">
        <v>176</v>
      </c>
      <c r="O515" s="130">
        <v>46156</v>
      </c>
      <c r="P515" s="128">
        <v>0</v>
      </c>
      <c r="Q515" s="128">
        <v>390</v>
      </c>
      <c r="R515" s="128">
        <v>69</v>
      </c>
      <c r="S515" s="128">
        <v>459</v>
      </c>
      <c r="T515" s="128">
        <v>459</v>
      </c>
      <c r="U515" s="163">
        <v>0</v>
      </c>
      <c r="V515" s="163">
        <v>0</v>
      </c>
      <c r="W515" s="169">
        <v>275.39999999999998</v>
      </c>
      <c r="X515" s="169">
        <v>278.5</v>
      </c>
      <c r="Y515" s="169">
        <v>1980222.39</v>
      </c>
      <c r="Z515" s="165"/>
      <c r="AA515" s="169">
        <v>49505.56</v>
      </c>
      <c r="AB515" s="169">
        <v>49505.56</v>
      </c>
      <c r="AC515" s="169">
        <v>2079233.51</v>
      </c>
      <c r="AD515" s="197">
        <f t="shared" si="315"/>
        <v>2077154.2764900001</v>
      </c>
      <c r="AE515" s="147">
        <v>40.049999999999997</v>
      </c>
      <c r="AF515" s="169">
        <v>39.67</v>
      </c>
      <c r="AG515" s="147">
        <v>40.119999999999997</v>
      </c>
      <c r="AH515" s="170">
        <v>3.2000000000000002E-3</v>
      </c>
      <c r="AI515" s="170">
        <v>3.5799999999999998E-2</v>
      </c>
      <c r="AJ515" s="170">
        <v>4.5999999999999999E-2</v>
      </c>
      <c r="AK515" s="155">
        <f t="shared" si="351"/>
        <v>0</v>
      </c>
      <c r="AL515" s="157">
        <v>0</v>
      </c>
      <c r="AM515" s="157"/>
      <c r="AN515" s="165">
        <v>0</v>
      </c>
      <c r="AO515" s="140">
        <f t="shared" si="352"/>
        <v>0</v>
      </c>
      <c r="AP515" s="136"/>
      <c r="AQ515" s="137">
        <v>0</v>
      </c>
      <c r="AR515" s="155">
        <f t="shared" si="353"/>
        <v>0</v>
      </c>
      <c r="AS515" s="155">
        <f t="shared" si="354"/>
        <v>0</v>
      </c>
      <c r="AT515" s="137">
        <v>0</v>
      </c>
      <c r="AU515" s="136"/>
      <c r="AV515" s="136"/>
      <c r="AW515" s="137">
        <f t="shared" si="355"/>
        <v>27539.999999999996</v>
      </c>
      <c r="AX515" s="136"/>
      <c r="AY515" s="137">
        <f t="shared" si="356"/>
        <v>27539.999999999996</v>
      </c>
      <c r="AZ515" s="137">
        <f t="shared" si="357"/>
        <v>27850</v>
      </c>
      <c r="BA515" s="142">
        <f t="shared" si="358"/>
        <v>-310.00000000000364</v>
      </c>
      <c r="BB515" s="137"/>
      <c r="BC515" s="137">
        <v>0</v>
      </c>
      <c r="BD515" s="136"/>
      <c r="BE515" s="128">
        <v>278.39999999999998</v>
      </c>
      <c r="BF515" s="143">
        <f t="shared" si="359"/>
        <v>0.41759999999999997</v>
      </c>
      <c r="BG515" s="143">
        <f t="shared" si="360"/>
        <v>277.98239999999998</v>
      </c>
      <c r="BH515" s="143">
        <f t="shared" si="361"/>
        <v>278.5</v>
      </c>
      <c r="BI515" s="144">
        <f t="shared" si="362"/>
        <v>-10.000000000002274</v>
      </c>
      <c r="BJ515" s="144">
        <v>0</v>
      </c>
      <c r="BK515" s="137">
        <f t="shared" si="363"/>
        <v>-10.000000000002274</v>
      </c>
      <c r="BL515" s="18"/>
      <c r="BM515" s="25" t="str">
        <f t="shared" si="364"/>
        <v>Unloading no. 492 Bill No 176 ,Deduction For Oil Deduction= 0 ,Bardana= 0 ,F.M=  Brokerage/Rate Difference 0 ,Shortage = 0 ,Greenish=  ,Moisture= 0</v>
      </c>
      <c r="BN515" s="17"/>
      <c r="BO515" s="13" t="str">
        <f t="shared" si="365"/>
        <v xml:space="preserve"> Party Condition 39.67  ,F.M% 0.32 ,Greenish 3.58 ,Moisture 4.6 ,Shortage in KG= 0  ,Oil% 40.05</v>
      </c>
      <c r="BP515" s="19">
        <f t="shared" si="366"/>
        <v>7110.3137881508073</v>
      </c>
      <c r="BX515" s="27">
        <v>40.049999999999997</v>
      </c>
      <c r="BY515" s="27">
        <v>40.119999999999997</v>
      </c>
    </row>
    <row r="516" spans="1:77" s="26" customFormat="1" ht="14.1" hidden="1" customHeight="1" x14ac:dyDescent="0.3">
      <c r="A516" s="128" t="s">
        <v>1037</v>
      </c>
      <c r="B516" s="130">
        <v>46155</v>
      </c>
      <c r="C516" s="138">
        <v>493</v>
      </c>
      <c r="D516" s="128" t="s">
        <v>1066</v>
      </c>
      <c r="E516" s="130">
        <v>46157</v>
      </c>
      <c r="F516" s="128" t="s">
        <v>95</v>
      </c>
      <c r="G516" s="128" t="s">
        <v>96</v>
      </c>
      <c r="H516" s="128" t="s">
        <v>97</v>
      </c>
      <c r="I516" s="136"/>
      <c r="J516" s="128" t="s">
        <v>113</v>
      </c>
      <c r="K516" s="163">
        <v>0</v>
      </c>
      <c r="L516" s="130">
        <v>46155</v>
      </c>
      <c r="M516" s="136"/>
      <c r="N516" s="128">
        <v>175</v>
      </c>
      <c r="O516" s="130">
        <v>46156</v>
      </c>
      <c r="P516" s="128">
        <v>0</v>
      </c>
      <c r="Q516" s="128">
        <v>370</v>
      </c>
      <c r="R516" s="128">
        <v>85</v>
      </c>
      <c r="S516" s="128">
        <v>455</v>
      </c>
      <c r="T516" s="128">
        <v>455</v>
      </c>
      <c r="U516" s="163">
        <v>0</v>
      </c>
      <c r="V516" s="163">
        <v>0</v>
      </c>
      <c r="W516" s="169">
        <v>273</v>
      </c>
      <c r="X516" s="169">
        <v>276.39999999999998</v>
      </c>
      <c r="Y516" s="169">
        <v>1962965.55</v>
      </c>
      <c r="Z516" s="165"/>
      <c r="AA516" s="169">
        <v>49074.14</v>
      </c>
      <c r="AB516" s="169">
        <v>49074.14</v>
      </c>
      <c r="AC516" s="169">
        <v>2061113.83</v>
      </c>
      <c r="AD516" s="197">
        <f t="shared" si="315"/>
        <v>2059052.7161700001</v>
      </c>
      <c r="AE516" s="147">
        <v>39.93</v>
      </c>
      <c r="AF516" s="169">
        <v>39.67</v>
      </c>
      <c r="AG516" s="147">
        <v>39.840000000000003</v>
      </c>
      <c r="AH516" s="170">
        <v>3.0999999999999999E-3</v>
      </c>
      <c r="AI516" s="170">
        <v>3.6200000000000003E-2</v>
      </c>
      <c r="AJ516" s="170">
        <v>4.4999999999999998E-2</v>
      </c>
      <c r="AK516" s="155">
        <f t="shared" si="351"/>
        <v>0</v>
      </c>
      <c r="AL516" s="157">
        <v>0</v>
      </c>
      <c r="AM516" s="157"/>
      <c r="AN516" s="165">
        <v>0</v>
      </c>
      <c r="AO516" s="140">
        <f t="shared" si="352"/>
        <v>0</v>
      </c>
      <c r="AP516" s="136"/>
      <c r="AQ516" s="137">
        <v>0</v>
      </c>
      <c r="AR516" s="155">
        <f t="shared" si="353"/>
        <v>0</v>
      </c>
      <c r="AS516" s="155">
        <f t="shared" si="354"/>
        <v>0</v>
      </c>
      <c r="AT516" s="137">
        <v>0</v>
      </c>
      <c r="AU516" s="136"/>
      <c r="AV516" s="136"/>
      <c r="AW516" s="137">
        <f t="shared" si="355"/>
        <v>27300</v>
      </c>
      <c r="AX516" s="136"/>
      <c r="AY516" s="137">
        <f t="shared" si="356"/>
        <v>27300</v>
      </c>
      <c r="AZ516" s="137">
        <f t="shared" si="357"/>
        <v>27639.999999999996</v>
      </c>
      <c r="BA516" s="142">
        <f t="shared" si="358"/>
        <v>-339.99999999999636</v>
      </c>
      <c r="BB516" s="137"/>
      <c r="BC516" s="137">
        <v>0</v>
      </c>
      <c r="BD516" s="136"/>
      <c r="BE516" s="128">
        <v>276.39999999999998</v>
      </c>
      <c r="BF516" s="143">
        <f t="shared" si="359"/>
        <v>0.41459999999999991</v>
      </c>
      <c r="BG516" s="143">
        <f t="shared" si="360"/>
        <v>275.98539999999997</v>
      </c>
      <c r="BH516" s="143">
        <f t="shared" si="361"/>
        <v>276.39999999999998</v>
      </c>
      <c r="BI516" s="144">
        <f t="shared" si="362"/>
        <v>0</v>
      </c>
      <c r="BJ516" s="144">
        <v>0</v>
      </c>
      <c r="BK516" s="137">
        <f t="shared" si="363"/>
        <v>0</v>
      </c>
      <c r="BL516" s="18"/>
      <c r="BM516" s="25" t="str">
        <f t="shared" si="364"/>
        <v>Unloading no. 493 Bill No 175 ,Deduction For Oil Deduction= 0 ,Bardana= 0 ,F.M=  Brokerage/Rate Difference 0 ,Shortage = 0 ,Greenish=  ,Moisture= 0</v>
      </c>
      <c r="BN516" s="17"/>
      <c r="BO516" s="13" t="str">
        <f t="shared" si="365"/>
        <v xml:space="preserve"> Party Condition 39.67  ,F.M% 0.31 ,Greenish 3.62 ,Moisture 4.5 ,Shortage in KG= 0  ,Oil% 39.84</v>
      </c>
      <c r="BP516" s="19">
        <f t="shared" si="366"/>
        <v>7101.9014109985537</v>
      </c>
      <c r="BX516" s="27">
        <v>39.93</v>
      </c>
      <c r="BY516" s="27">
        <v>39.840000000000003</v>
      </c>
    </row>
    <row r="517" spans="1:77" s="26" customFormat="1" ht="14.1" hidden="1" customHeight="1" x14ac:dyDescent="0.3">
      <c r="A517" s="128" t="s">
        <v>1044</v>
      </c>
      <c r="B517" s="130">
        <v>46155</v>
      </c>
      <c r="C517" s="138">
        <v>494</v>
      </c>
      <c r="D517" s="128" t="s">
        <v>1067</v>
      </c>
      <c r="E517" s="129">
        <v>46158</v>
      </c>
      <c r="F517" s="128" t="s">
        <v>104</v>
      </c>
      <c r="G517" s="128" t="s">
        <v>105</v>
      </c>
      <c r="H517" s="128" t="s">
        <v>106</v>
      </c>
      <c r="I517" s="136"/>
      <c r="J517" s="128" t="s">
        <v>113</v>
      </c>
      <c r="K517" s="163">
        <v>0</v>
      </c>
      <c r="L517" s="130">
        <v>46155</v>
      </c>
      <c r="M517" s="136"/>
      <c r="N517" s="128" t="s">
        <v>1093</v>
      </c>
      <c r="O517" s="130">
        <v>46156</v>
      </c>
      <c r="P517" s="128">
        <v>0</v>
      </c>
      <c r="Q517" s="128">
        <v>417</v>
      </c>
      <c r="R517" s="128">
        <v>215</v>
      </c>
      <c r="S517" s="128">
        <v>632</v>
      </c>
      <c r="T517" s="128">
        <v>632</v>
      </c>
      <c r="U517" s="163">
        <v>0</v>
      </c>
      <c r="V517" s="163">
        <v>0</v>
      </c>
      <c r="W517" s="169">
        <v>316</v>
      </c>
      <c r="X517" s="169">
        <v>321.5</v>
      </c>
      <c r="Y517" s="169">
        <v>2286765.6</v>
      </c>
      <c r="Z517" s="165"/>
      <c r="AA517" s="169">
        <v>57169.14</v>
      </c>
      <c r="AB517" s="169">
        <v>57169.14</v>
      </c>
      <c r="AC517" s="169">
        <v>2401103.88</v>
      </c>
      <c r="AD517" s="197">
        <f t="shared" si="315"/>
        <v>2398702.7761200001</v>
      </c>
      <c r="AE517" s="147">
        <v>39.53</v>
      </c>
      <c r="AF517" s="169">
        <v>39.5</v>
      </c>
      <c r="AG517" s="147">
        <v>39.6</v>
      </c>
      <c r="AH517" s="170">
        <v>3.3999999999999998E-3</v>
      </c>
      <c r="AI517" s="170">
        <v>3.6499999999999998E-2</v>
      </c>
      <c r="AJ517" s="170">
        <v>4.3999999999999997E-2</v>
      </c>
      <c r="AK517" s="155">
        <f t="shared" si="351"/>
        <v>0</v>
      </c>
      <c r="AL517" s="157">
        <v>0</v>
      </c>
      <c r="AM517" s="157"/>
      <c r="AN517" s="165">
        <f>W517*1.89</f>
        <v>597.24</v>
      </c>
      <c r="AO517" s="140">
        <f t="shared" si="352"/>
        <v>0</v>
      </c>
      <c r="AP517" s="136"/>
      <c r="AQ517" s="137">
        <v>0</v>
      </c>
      <c r="AR517" s="155">
        <f t="shared" si="353"/>
        <v>597.24</v>
      </c>
      <c r="AS517" s="155">
        <f t="shared" si="354"/>
        <v>627</v>
      </c>
      <c r="AT517" s="137">
        <v>0</v>
      </c>
      <c r="AU517" s="136"/>
      <c r="AV517" s="136"/>
      <c r="AW517" s="137">
        <f t="shared" si="355"/>
        <v>31600</v>
      </c>
      <c r="AX517" s="136"/>
      <c r="AY517" s="137">
        <f t="shared" si="356"/>
        <v>31600</v>
      </c>
      <c r="AZ517" s="137">
        <f t="shared" si="357"/>
        <v>32150</v>
      </c>
      <c r="BA517" s="142">
        <f t="shared" si="358"/>
        <v>-550</v>
      </c>
      <c r="BB517" s="137"/>
      <c r="BC517" s="137">
        <v>0</v>
      </c>
      <c r="BD517" s="136"/>
      <c r="BE517" s="128">
        <v>321.05</v>
      </c>
      <c r="BF517" s="143">
        <f t="shared" si="359"/>
        <v>0.48157499999999998</v>
      </c>
      <c r="BG517" s="143">
        <f t="shared" si="360"/>
        <v>320.56842499999999</v>
      </c>
      <c r="BH517" s="143">
        <f t="shared" si="361"/>
        <v>321.5</v>
      </c>
      <c r="BI517" s="144">
        <f t="shared" si="362"/>
        <v>-44.999999999998863</v>
      </c>
      <c r="BJ517" s="144">
        <v>0</v>
      </c>
      <c r="BK517" s="137">
        <f t="shared" si="363"/>
        <v>-44.999999999998863</v>
      </c>
      <c r="BL517" s="18"/>
      <c r="BM517" s="25" t="str">
        <f t="shared" si="364"/>
        <v>Unloading no. 494 Bill No MTC/2026-27/0183 ,Deduction For Oil Deduction= 0 ,Bardana= 0 ,F.M=  Brokerage/Rate Difference 597.24 ,Shortage = 0 ,Greenish=  ,Moisture= 0</v>
      </c>
      <c r="BN517" s="17"/>
      <c r="BO517" s="13" t="str">
        <f t="shared" si="365"/>
        <v xml:space="preserve"> Party Condition 39.5  ,F.M% 0.34 ,Greenish 3.65 ,Moisture 4.4 ,Shortage in KG= 0  ,Oil% 39.53</v>
      </c>
      <c r="BP517" s="19">
        <f t="shared" si="366"/>
        <v>7110.9435769828924</v>
      </c>
      <c r="BX517" s="27">
        <v>39.53</v>
      </c>
      <c r="BY517" s="27">
        <v>39.6</v>
      </c>
    </row>
    <row r="518" spans="1:77" s="26" customFormat="1" ht="14.1" hidden="1" customHeight="1" x14ac:dyDescent="0.3">
      <c r="A518" s="128" t="s">
        <v>1030</v>
      </c>
      <c r="B518" s="130">
        <v>46155</v>
      </c>
      <c r="C518" s="138">
        <v>495</v>
      </c>
      <c r="D518" s="128" t="s">
        <v>1068</v>
      </c>
      <c r="E518" s="129">
        <v>46158</v>
      </c>
      <c r="F518" s="128" t="s">
        <v>110</v>
      </c>
      <c r="G518" s="128" t="s">
        <v>111</v>
      </c>
      <c r="H518" s="128" t="s">
        <v>112</v>
      </c>
      <c r="I518" s="136"/>
      <c r="J518" s="128" t="s">
        <v>1086</v>
      </c>
      <c r="K518" s="163">
        <v>0</v>
      </c>
      <c r="L518" s="130">
        <v>46155</v>
      </c>
      <c r="M518" s="136"/>
      <c r="N518" s="128" t="s">
        <v>1094</v>
      </c>
      <c r="O518" s="130">
        <v>46156</v>
      </c>
      <c r="P518" s="128">
        <v>0</v>
      </c>
      <c r="Q518" s="128">
        <v>400</v>
      </c>
      <c r="R518" s="128">
        <v>110</v>
      </c>
      <c r="S518" s="128">
        <v>510</v>
      </c>
      <c r="T518" s="128">
        <v>510</v>
      </c>
      <c r="U518" s="163">
        <v>0</v>
      </c>
      <c r="V518" s="163">
        <v>0</v>
      </c>
      <c r="W518" s="169">
        <v>307.24</v>
      </c>
      <c r="X518" s="169">
        <v>307.39999999999998</v>
      </c>
      <c r="Y518" s="169">
        <v>2172186.7999999998</v>
      </c>
      <c r="Z518" s="165"/>
      <c r="AA518" s="169">
        <v>54304.67</v>
      </c>
      <c r="AB518" s="169">
        <v>54304.67</v>
      </c>
      <c r="AC518" s="169">
        <v>2280796.14</v>
      </c>
      <c r="AD518" s="197">
        <f t="shared" si="315"/>
        <v>2278515.3438599999</v>
      </c>
      <c r="AE518" s="147">
        <v>40.25</v>
      </c>
      <c r="AF518" s="169">
        <v>39.65</v>
      </c>
      <c r="AG518" s="147">
        <v>40</v>
      </c>
      <c r="AH518" s="170">
        <v>4.0000000000000001E-3</v>
      </c>
      <c r="AI518" s="170">
        <v>4.5699999999999998E-2</v>
      </c>
      <c r="AJ518" s="170">
        <v>4.3999999999999997E-2</v>
      </c>
      <c r="AK518" s="155">
        <f t="shared" si="351"/>
        <v>0</v>
      </c>
      <c r="AL518" s="157">
        <v>0</v>
      </c>
      <c r="AM518" s="157"/>
      <c r="AN518" s="165">
        <v>0</v>
      </c>
      <c r="AO518" s="140">
        <f t="shared" si="352"/>
        <v>0</v>
      </c>
      <c r="AP518" s="136"/>
      <c r="AQ518" s="137">
        <v>0</v>
      </c>
      <c r="AR518" s="155">
        <f t="shared" si="353"/>
        <v>0</v>
      </c>
      <c r="AS518" s="155">
        <f t="shared" si="354"/>
        <v>0</v>
      </c>
      <c r="AT518" s="137">
        <v>0</v>
      </c>
      <c r="AU518" s="136"/>
      <c r="AV518" s="136"/>
      <c r="AW518" s="137">
        <f t="shared" si="355"/>
        <v>30724</v>
      </c>
      <c r="AX518" s="136"/>
      <c r="AY518" s="137">
        <f t="shared" si="356"/>
        <v>30724</v>
      </c>
      <c r="AZ518" s="137">
        <f t="shared" si="357"/>
        <v>30739.999999999996</v>
      </c>
      <c r="BA518" s="142">
        <f t="shared" si="358"/>
        <v>-15.999999999996362</v>
      </c>
      <c r="BB518" s="137"/>
      <c r="BC518" s="137">
        <v>0</v>
      </c>
      <c r="BD518" s="136"/>
      <c r="BE518" s="128">
        <v>307.7</v>
      </c>
      <c r="BF518" s="143">
        <f t="shared" si="359"/>
        <v>0.46154999999999996</v>
      </c>
      <c r="BG518" s="143">
        <f t="shared" si="360"/>
        <v>307.23845</v>
      </c>
      <c r="BH518" s="143">
        <f t="shared" si="361"/>
        <v>307.39999999999998</v>
      </c>
      <c r="BI518" s="144">
        <f t="shared" si="362"/>
        <v>30.000000000001137</v>
      </c>
      <c r="BJ518" s="144">
        <v>0</v>
      </c>
      <c r="BK518" s="137">
        <f t="shared" si="363"/>
        <v>30.000000000001137</v>
      </c>
      <c r="BL518" s="18"/>
      <c r="BM518" s="25" t="str">
        <f t="shared" si="364"/>
        <v>Unloading no. 495 Bill No G1692 ,Deduction For Oil Deduction= 0 ,Bardana= 0 ,F.M=  Brokerage/Rate Difference 0 ,Shortage = 0 ,Greenish=  ,Moisture= 0</v>
      </c>
      <c r="BN518" s="17"/>
      <c r="BO518" s="13" t="str">
        <f t="shared" si="365"/>
        <v xml:space="preserve"> Party Condition 39.65  ,F.M% 0.4 ,Greenish 4.57 ,Moisture 4.4 ,Shortage in KG= 0  ,Oil% 40</v>
      </c>
      <c r="BP518" s="19">
        <f t="shared" si="366"/>
        <v>7066.3201040988943</v>
      </c>
      <c r="BX518" s="27">
        <v>40.25</v>
      </c>
      <c r="BY518" s="27">
        <v>40</v>
      </c>
    </row>
    <row r="519" spans="1:77" s="26" customFormat="1" ht="14.1" hidden="1" customHeight="1" x14ac:dyDescent="0.3">
      <c r="A519" s="128" t="s">
        <v>1045</v>
      </c>
      <c r="B519" s="130">
        <v>46156</v>
      </c>
      <c r="C519" s="138">
        <v>496</v>
      </c>
      <c r="D519" s="128" t="s">
        <v>1069</v>
      </c>
      <c r="E519" s="129">
        <v>46158</v>
      </c>
      <c r="F519" s="128" t="s">
        <v>110</v>
      </c>
      <c r="G519" s="128" t="s">
        <v>111</v>
      </c>
      <c r="H519" s="128" t="s">
        <v>112</v>
      </c>
      <c r="I519" s="136"/>
      <c r="J519" s="128" t="s">
        <v>1086</v>
      </c>
      <c r="K519" s="163">
        <v>0</v>
      </c>
      <c r="L519" s="130">
        <v>46156</v>
      </c>
      <c r="M519" s="136"/>
      <c r="N519" s="128" t="s">
        <v>1095</v>
      </c>
      <c r="O519" s="129">
        <v>46157</v>
      </c>
      <c r="P519" s="128">
        <v>0</v>
      </c>
      <c r="Q519" s="128">
        <v>230</v>
      </c>
      <c r="R519" s="128">
        <v>217</v>
      </c>
      <c r="S519" s="128">
        <v>447</v>
      </c>
      <c r="T519" s="128">
        <v>447</v>
      </c>
      <c r="U519" s="163">
        <v>0</v>
      </c>
      <c r="V519" s="163">
        <v>0</v>
      </c>
      <c r="W519" s="169">
        <v>268.2</v>
      </c>
      <c r="X519" s="169">
        <v>272.7</v>
      </c>
      <c r="Y519" s="169">
        <v>1975024.8</v>
      </c>
      <c r="Z519" s="165"/>
      <c r="AA519" s="169">
        <v>49375.62</v>
      </c>
      <c r="AB519" s="169">
        <v>49375.62</v>
      </c>
      <c r="AC519" s="169">
        <v>2073776.04</v>
      </c>
      <c r="AD519" s="197">
        <f t="shared" si="315"/>
        <v>2071702.2639600001</v>
      </c>
      <c r="AE519" s="147">
        <v>40.369999999999997</v>
      </c>
      <c r="AF519" s="169">
        <v>39.869999999999997</v>
      </c>
      <c r="AG519" s="147">
        <v>40.25</v>
      </c>
      <c r="AH519" s="170">
        <v>3.0000000000000001E-3</v>
      </c>
      <c r="AI519" s="170">
        <v>3.2800000000000003E-2</v>
      </c>
      <c r="AJ519" s="170">
        <v>5.3999999999999999E-2</v>
      </c>
      <c r="AK519" s="155">
        <f t="shared" si="351"/>
        <v>0</v>
      </c>
      <c r="AL519" s="157">
        <v>0</v>
      </c>
      <c r="AM519" s="157"/>
      <c r="AN519" s="165">
        <v>0</v>
      </c>
      <c r="AO519" s="140">
        <f t="shared" si="352"/>
        <v>0</v>
      </c>
      <c r="AP519" s="136"/>
      <c r="AQ519" s="137">
        <v>0</v>
      </c>
      <c r="AR519" s="155">
        <f t="shared" si="353"/>
        <v>0</v>
      </c>
      <c r="AS519" s="155">
        <f t="shared" si="354"/>
        <v>0</v>
      </c>
      <c r="AT519" s="137">
        <v>0</v>
      </c>
      <c r="AU519" s="136"/>
      <c r="AV519" s="136"/>
      <c r="AW519" s="137">
        <f t="shared" si="355"/>
        <v>26820</v>
      </c>
      <c r="AX519" s="136"/>
      <c r="AY519" s="137">
        <f t="shared" si="356"/>
        <v>26820</v>
      </c>
      <c r="AZ519" s="137">
        <f t="shared" si="357"/>
        <v>27270</v>
      </c>
      <c r="BA519" s="142">
        <f t="shared" si="358"/>
        <v>-450</v>
      </c>
      <c r="BB519" s="137"/>
      <c r="BC519" s="137">
        <v>0</v>
      </c>
      <c r="BD519" s="136"/>
      <c r="BE519" s="128">
        <v>272.3</v>
      </c>
      <c r="BF519" s="143">
        <f t="shared" si="359"/>
        <v>0.40844999999999998</v>
      </c>
      <c r="BG519" s="143">
        <f t="shared" si="360"/>
        <v>271.89155</v>
      </c>
      <c r="BH519" s="143">
        <f t="shared" si="361"/>
        <v>272.7</v>
      </c>
      <c r="BI519" s="144">
        <f t="shared" si="362"/>
        <v>-39.999999999997726</v>
      </c>
      <c r="BJ519" s="144">
        <v>0</v>
      </c>
      <c r="BK519" s="137">
        <f t="shared" si="363"/>
        <v>-39.999999999997726</v>
      </c>
      <c r="BL519" s="18"/>
      <c r="BM519" s="25" t="str">
        <f t="shared" si="364"/>
        <v>Unloading no. 496 Bill No G1696 ,Deduction For Oil Deduction= 0 ,Bardana= 0 ,F.M=  Brokerage/Rate Difference 0 ,Shortage = 0 ,Greenish=  ,Moisture= 0</v>
      </c>
      <c r="BN519" s="17"/>
      <c r="BO519" s="13" t="str">
        <f t="shared" si="365"/>
        <v xml:space="preserve"> Party Condition 39.87  ,F.M% 0.3 ,Greenish 3.28 ,Moisture 5.4 ,Shortage in KG= 0  ,Oil% 40.25</v>
      </c>
      <c r="BP519" s="19">
        <f t="shared" si="366"/>
        <v>7242.4818481848188</v>
      </c>
      <c r="BX519" s="27">
        <v>40.369999999999997</v>
      </c>
      <c r="BY519" s="27">
        <v>40.25</v>
      </c>
    </row>
    <row r="520" spans="1:77" s="26" customFormat="1" ht="14.1" hidden="1" customHeight="1" x14ac:dyDescent="0.3">
      <c r="A520" s="128" t="s">
        <v>1046</v>
      </c>
      <c r="B520" s="130">
        <v>46156</v>
      </c>
      <c r="C520" s="138">
        <v>497</v>
      </c>
      <c r="D520" s="128" t="s">
        <v>1070</v>
      </c>
      <c r="E520" s="129">
        <v>46158</v>
      </c>
      <c r="F520" s="128" t="s">
        <v>98</v>
      </c>
      <c r="G520" s="128" t="s">
        <v>99</v>
      </c>
      <c r="H520" s="128" t="s">
        <v>199</v>
      </c>
      <c r="I520" s="136"/>
      <c r="J520" s="128" t="s">
        <v>113</v>
      </c>
      <c r="K520" s="163">
        <v>0</v>
      </c>
      <c r="L520" s="130">
        <v>46156</v>
      </c>
      <c r="M520" s="136"/>
      <c r="N520" s="128">
        <v>113</v>
      </c>
      <c r="O520" s="129">
        <v>46157</v>
      </c>
      <c r="P520" s="128">
        <v>0</v>
      </c>
      <c r="Q520" s="128">
        <v>228</v>
      </c>
      <c r="R520" s="128">
        <v>6</v>
      </c>
      <c r="S520" s="128">
        <v>234</v>
      </c>
      <c r="T520" s="128">
        <v>234</v>
      </c>
      <c r="U520" s="163">
        <v>0</v>
      </c>
      <c r="V520" s="163">
        <v>0</v>
      </c>
      <c r="W520" s="169">
        <v>140.4</v>
      </c>
      <c r="X520" s="169">
        <v>141.80000000000001</v>
      </c>
      <c r="Y520" s="169">
        <v>1025132.47</v>
      </c>
      <c r="Z520" s="165"/>
      <c r="AA520" s="169">
        <v>25628.31</v>
      </c>
      <c r="AB520" s="169">
        <v>25628.31</v>
      </c>
      <c r="AC520" s="169">
        <v>1076389.0900000001</v>
      </c>
      <c r="AD520" s="197">
        <f t="shared" si="315"/>
        <v>1075312.7009100001</v>
      </c>
      <c r="AE520" s="147">
        <v>39.130000000000003</v>
      </c>
      <c r="AF520" s="169">
        <v>39.479999999999997</v>
      </c>
      <c r="AG520" s="147">
        <v>39.159999999999997</v>
      </c>
      <c r="AH520" s="170">
        <v>3.3999999999999998E-3</v>
      </c>
      <c r="AI520" s="170">
        <v>3.5499999999999997E-2</v>
      </c>
      <c r="AJ520" s="170">
        <v>4.8000000000000001E-2</v>
      </c>
      <c r="AK520" s="155">
        <f t="shared" si="351"/>
        <v>9088.0538120565907</v>
      </c>
      <c r="AL520" s="157">
        <f>234*6</f>
        <v>1404</v>
      </c>
      <c r="AM520" s="157"/>
      <c r="AN520" s="165">
        <v>0</v>
      </c>
      <c r="AO520" s="140">
        <f t="shared" si="352"/>
        <v>949.19673148148149</v>
      </c>
      <c r="AP520" s="136"/>
      <c r="AQ520" s="137">
        <v>0</v>
      </c>
      <c r="AR520" s="155">
        <f t="shared" si="353"/>
        <v>11441.250543538072</v>
      </c>
      <c r="AS520" s="155">
        <f t="shared" si="354"/>
        <v>12013</v>
      </c>
      <c r="AT520" s="137">
        <v>13</v>
      </c>
      <c r="AU520" s="136"/>
      <c r="AV520" s="136"/>
      <c r="AW520" s="137">
        <f t="shared" si="355"/>
        <v>14040</v>
      </c>
      <c r="AX520" s="136"/>
      <c r="AY520" s="137">
        <f t="shared" si="356"/>
        <v>14040</v>
      </c>
      <c r="AZ520" s="137">
        <f t="shared" si="357"/>
        <v>14180.000000000002</v>
      </c>
      <c r="BA520" s="142">
        <f t="shared" si="358"/>
        <v>-140.00000000000182</v>
      </c>
      <c r="BB520" s="137"/>
      <c r="BC520" s="137">
        <v>0</v>
      </c>
      <c r="BD520" s="136"/>
      <c r="BE520" s="128">
        <v>142.19999999999999</v>
      </c>
      <c r="BF520" s="143">
        <f t="shared" si="359"/>
        <v>0.21329999999999999</v>
      </c>
      <c r="BG520" s="143">
        <f t="shared" si="360"/>
        <v>141.98669999999998</v>
      </c>
      <c r="BH520" s="143">
        <f t="shared" si="361"/>
        <v>141.80000000000001</v>
      </c>
      <c r="BI520" s="144">
        <f t="shared" si="362"/>
        <v>39.999999999997726</v>
      </c>
      <c r="BJ520" s="144">
        <v>0</v>
      </c>
      <c r="BK520" s="137">
        <f t="shared" si="363"/>
        <v>39.999999999997726</v>
      </c>
      <c r="BL520" s="18"/>
      <c r="BM520" s="25" t="str">
        <f t="shared" si="364"/>
        <v>Unloading no. 497 Bill No 113 ,Deduction For Oil Deduction= 9088.05381205659 ,Bardana= 1404 ,F.M=  Brokerage/Rate Difference 0 ,Shortage = 949.196731481481 ,Greenish=  ,Moisture= 0</v>
      </c>
      <c r="BN520" s="17"/>
      <c r="BO520" s="13" t="str">
        <f t="shared" si="365"/>
        <v xml:space="preserve"> Party Condition 39.48  ,F.M% 0.34 ,Greenish 3.55 ,Moisture 4.8 ,Shortage in KG= 13  ,Oil% 39.13</v>
      </c>
      <c r="BP520" s="19">
        <f t="shared" si="366"/>
        <v>7148.7392063220159</v>
      </c>
      <c r="BX520" s="27">
        <v>39.130000000000003</v>
      </c>
      <c r="BY520" s="27">
        <v>39.159999999999997</v>
      </c>
    </row>
    <row r="521" spans="1:77" s="26" customFormat="1" ht="14.1" hidden="1" customHeight="1" x14ac:dyDescent="0.3">
      <c r="A521" s="128" t="s">
        <v>1047</v>
      </c>
      <c r="B521" s="130">
        <v>46156</v>
      </c>
      <c r="C521" s="138">
        <v>498</v>
      </c>
      <c r="D521" s="128" t="s">
        <v>1071</v>
      </c>
      <c r="E521" s="129">
        <v>46158</v>
      </c>
      <c r="F521" s="128" t="s">
        <v>98</v>
      </c>
      <c r="G521" s="128" t="s">
        <v>99</v>
      </c>
      <c r="H521" s="128" t="s">
        <v>199</v>
      </c>
      <c r="I521" s="136"/>
      <c r="J521" s="128" t="s">
        <v>113</v>
      </c>
      <c r="K521" s="163">
        <v>0</v>
      </c>
      <c r="L521" s="130">
        <v>46156</v>
      </c>
      <c r="M521" s="136"/>
      <c r="N521" s="128">
        <v>112</v>
      </c>
      <c r="O521" s="129">
        <v>46157</v>
      </c>
      <c r="P521" s="128">
        <v>0</v>
      </c>
      <c r="Q521" s="128">
        <v>220</v>
      </c>
      <c r="R521" s="128">
        <v>296</v>
      </c>
      <c r="S521" s="128">
        <v>516</v>
      </c>
      <c r="T521" s="128">
        <v>516</v>
      </c>
      <c r="U521" s="163">
        <v>0</v>
      </c>
      <c r="V521" s="163">
        <v>0</v>
      </c>
      <c r="W521" s="169">
        <v>309.60000000000002</v>
      </c>
      <c r="X521" s="169">
        <v>313.60000000000002</v>
      </c>
      <c r="Y521" s="169">
        <v>2284845.94</v>
      </c>
      <c r="Z521" s="165"/>
      <c r="AA521" s="169">
        <v>57121.15</v>
      </c>
      <c r="AB521" s="169">
        <v>57121.15</v>
      </c>
      <c r="AC521" s="169">
        <v>2399088.2400000002</v>
      </c>
      <c r="AD521" s="197">
        <f t="shared" si="315"/>
        <v>2396689.1517600003</v>
      </c>
      <c r="AE521" s="147">
        <v>40.049999999999997</v>
      </c>
      <c r="AF521" s="169">
        <v>40.07</v>
      </c>
      <c r="AG521" s="147">
        <v>39.950000000000003</v>
      </c>
      <c r="AH521" s="170">
        <v>2.5999999999999999E-3</v>
      </c>
      <c r="AI521" s="170">
        <v>3.5799999999999998E-2</v>
      </c>
      <c r="AJ521" s="170">
        <v>4.5999999999999999E-2</v>
      </c>
      <c r="AK521" s="155">
        <v>0</v>
      </c>
      <c r="AL521" s="157">
        <f>516*6</f>
        <v>3096</v>
      </c>
      <c r="AM521" s="157"/>
      <c r="AN521" s="165">
        <v>0</v>
      </c>
      <c r="AO521" s="140">
        <f t="shared" si="352"/>
        <v>0</v>
      </c>
      <c r="AP521" s="136"/>
      <c r="AQ521" s="137">
        <v>0</v>
      </c>
      <c r="AR521" s="155">
        <f t="shared" si="353"/>
        <v>3096</v>
      </c>
      <c r="AS521" s="155">
        <f t="shared" si="354"/>
        <v>3251</v>
      </c>
      <c r="AT521" s="137">
        <v>0</v>
      </c>
      <c r="AU521" s="136"/>
      <c r="AV521" s="136"/>
      <c r="AW521" s="137">
        <f t="shared" si="355"/>
        <v>30960.000000000004</v>
      </c>
      <c r="AX521" s="136"/>
      <c r="AY521" s="137">
        <f t="shared" si="356"/>
        <v>30960.000000000004</v>
      </c>
      <c r="AZ521" s="137">
        <f t="shared" si="357"/>
        <v>31360.000000000004</v>
      </c>
      <c r="BA521" s="142">
        <f t="shared" si="358"/>
        <v>-400</v>
      </c>
      <c r="BB521" s="137"/>
      <c r="BC521" s="137">
        <v>0</v>
      </c>
      <c r="BD521" s="136"/>
      <c r="BE521" s="128">
        <v>313.5</v>
      </c>
      <c r="BF521" s="143">
        <f t="shared" si="359"/>
        <v>0.47025</v>
      </c>
      <c r="BG521" s="143">
        <f t="shared" si="360"/>
        <v>313.02974999999998</v>
      </c>
      <c r="BH521" s="143">
        <f t="shared" si="361"/>
        <v>313.60000000000002</v>
      </c>
      <c r="BI521" s="144">
        <f t="shared" si="362"/>
        <v>-10.000000000002274</v>
      </c>
      <c r="BJ521" s="144">
        <v>0</v>
      </c>
      <c r="BK521" s="137">
        <f t="shared" si="363"/>
        <v>-10.000000000002274</v>
      </c>
      <c r="BL521" s="18"/>
      <c r="BM521" s="25" t="str">
        <f t="shared" si="364"/>
        <v>Unloading no. 498 Bill No 112 ,Deduction For Oil Deduction= 0 ,Bardana= 3096 ,F.M=  Brokerage/Rate Difference 0 ,Shortage = 0 ,Greenish=  ,Moisture= 0</v>
      </c>
      <c r="BN521" s="17"/>
      <c r="BO521" s="13" t="str">
        <f t="shared" si="365"/>
        <v xml:space="preserve"> Party Condition 40.07  ,F.M% 0.26 ,Greenish 3.58 ,Moisture 4.6 ,Shortage in KG= 0  ,Oil% 39.95</v>
      </c>
      <c r="BP521" s="19">
        <f t="shared" si="366"/>
        <v>7275.9883290816324</v>
      </c>
      <c r="BX521" s="27">
        <v>40.049999999999997</v>
      </c>
      <c r="BY521" s="27">
        <v>39.950000000000003</v>
      </c>
    </row>
    <row r="522" spans="1:77" s="26" customFormat="1" ht="14.1" hidden="1" customHeight="1" x14ac:dyDescent="0.3">
      <c r="A522" s="128" t="s">
        <v>1048</v>
      </c>
      <c r="B522" s="130">
        <v>46157</v>
      </c>
      <c r="C522" s="138">
        <v>499</v>
      </c>
      <c r="D522" s="128" t="s">
        <v>1072</v>
      </c>
      <c r="E522" s="129">
        <v>46158</v>
      </c>
      <c r="F522" s="128" t="s">
        <v>95</v>
      </c>
      <c r="G522" s="128" t="s">
        <v>96</v>
      </c>
      <c r="H522" s="128" t="s">
        <v>97</v>
      </c>
      <c r="I522" s="136"/>
      <c r="J522" s="128" t="s">
        <v>113</v>
      </c>
      <c r="K522" s="163">
        <v>0</v>
      </c>
      <c r="L522" s="130">
        <v>46157</v>
      </c>
      <c r="M522" s="136"/>
      <c r="N522" s="128">
        <v>177</v>
      </c>
      <c r="O522" s="129">
        <v>46157</v>
      </c>
      <c r="P522" s="128">
        <v>0</v>
      </c>
      <c r="Q522" s="128">
        <v>300</v>
      </c>
      <c r="R522" s="128">
        <v>115</v>
      </c>
      <c r="S522" s="128">
        <v>415</v>
      </c>
      <c r="T522" s="128">
        <v>415</v>
      </c>
      <c r="U522" s="163">
        <v>0</v>
      </c>
      <c r="V522" s="163">
        <v>0</v>
      </c>
      <c r="W522" s="169">
        <v>249</v>
      </c>
      <c r="X522" s="169">
        <v>253.6</v>
      </c>
      <c r="Y522" s="169">
        <v>1823733.27</v>
      </c>
      <c r="Z522" s="165"/>
      <c r="AA522" s="169">
        <v>45593.33</v>
      </c>
      <c r="AB522" s="169">
        <v>45593.33</v>
      </c>
      <c r="AC522" s="169">
        <v>1914919.93</v>
      </c>
      <c r="AD522" s="197">
        <f t="shared" si="315"/>
        <v>1913005.0100699998</v>
      </c>
      <c r="AE522" s="147">
        <v>39.78</v>
      </c>
      <c r="AF522" s="169">
        <v>39.72</v>
      </c>
      <c r="AG522" s="147">
        <v>39.700000000000003</v>
      </c>
      <c r="AH522" s="170">
        <v>3.3E-3</v>
      </c>
      <c r="AI522" s="170">
        <v>3.49E-2</v>
      </c>
      <c r="AJ522" s="170">
        <v>0.05</v>
      </c>
      <c r="AK522" s="155">
        <v>0</v>
      </c>
      <c r="AL522" s="157">
        <v>0</v>
      </c>
      <c r="AM522" s="157"/>
      <c r="AN522" s="165">
        <v>0</v>
      </c>
      <c r="AO522" s="140">
        <f t="shared" si="352"/>
        <v>0</v>
      </c>
      <c r="AP522" s="136"/>
      <c r="AQ522" s="137">
        <v>0</v>
      </c>
      <c r="AR522" s="155">
        <f t="shared" si="353"/>
        <v>0</v>
      </c>
      <c r="AS522" s="155">
        <f t="shared" si="354"/>
        <v>0</v>
      </c>
      <c r="AT522" s="137">
        <v>0</v>
      </c>
      <c r="AU522" s="136"/>
      <c r="AV522" s="136"/>
      <c r="AW522" s="137">
        <f t="shared" si="355"/>
        <v>24900</v>
      </c>
      <c r="AX522" s="136"/>
      <c r="AY522" s="137">
        <f t="shared" si="356"/>
        <v>24900</v>
      </c>
      <c r="AZ522" s="137">
        <f t="shared" si="357"/>
        <v>25360</v>
      </c>
      <c r="BA522" s="142">
        <f t="shared" si="358"/>
        <v>-460</v>
      </c>
      <c r="BB522" s="137"/>
      <c r="BC522" s="137">
        <v>0</v>
      </c>
      <c r="BD522" s="136"/>
      <c r="BE522" s="128">
        <v>253.9</v>
      </c>
      <c r="BF522" s="143">
        <f t="shared" si="359"/>
        <v>0.38085000000000002</v>
      </c>
      <c r="BG522" s="143">
        <f t="shared" si="360"/>
        <v>253.51915</v>
      </c>
      <c r="BH522" s="143">
        <f t="shared" si="361"/>
        <v>253.6</v>
      </c>
      <c r="BI522" s="144">
        <f t="shared" si="362"/>
        <v>30.000000000001137</v>
      </c>
      <c r="BJ522" s="144">
        <v>0</v>
      </c>
      <c r="BK522" s="137">
        <f t="shared" si="363"/>
        <v>30.000000000001137</v>
      </c>
      <c r="BL522" s="18"/>
      <c r="BM522" s="25" t="str">
        <f t="shared" si="364"/>
        <v>Unloading no. 499 Bill No 177 ,Deduction For Oil Deduction= 0 ,Bardana= 0 ,F.M=  Brokerage/Rate Difference 0 ,Shortage = 0 ,Greenish=  ,Moisture= 0</v>
      </c>
      <c r="BN522" s="17"/>
      <c r="BO522" s="13" t="str">
        <f t="shared" si="365"/>
        <v xml:space="preserve"> Party Condition 39.72  ,F.M% 0.33 ,Greenish 3.49 ,Moisture 5 ,Shortage in KG= 0  ,Oil% 39.7</v>
      </c>
      <c r="BP522" s="19">
        <f t="shared" si="366"/>
        <v>7191.37724763407</v>
      </c>
      <c r="BX522" s="27">
        <v>39.78</v>
      </c>
      <c r="BY522" s="27">
        <v>39.700000000000003</v>
      </c>
    </row>
    <row r="523" spans="1:77" s="26" customFormat="1" ht="14.1" hidden="1" customHeight="1" x14ac:dyDescent="0.3">
      <c r="A523" s="128" t="s">
        <v>1048</v>
      </c>
      <c r="B523" s="130">
        <v>46157</v>
      </c>
      <c r="C523" s="138">
        <v>500</v>
      </c>
      <c r="D523" s="128" t="s">
        <v>1073</v>
      </c>
      <c r="E523" s="129">
        <v>46158</v>
      </c>
      <c r="F523" s="128" t="s">
        <v>95</v>
      </c>
      <c r="G523" s="128" t="s">
        <v>96</v>
      </c>
      <c r="H523" s="128" t="s">
        <v>97</v>
      </c>
      <c r="I523" s="136"/>
      <c r="J523" s="128" t="s">
        <v>113</v>
      </c>
      <c r="K523" s="163">
        <v>0</v>
      </c>
      <c r="L523" s="130">
        <v>46157</v>
      </c>
      <c r="M523" s="136"/>
      <c r="N523" s="128">
        <v>178</v>
      </c>
      <c r="O523" s="129">
        <v>46157</v>
      </c>
      <c r="P523" s="128">
        <v>0</v>
      </c>
      <c r="Q523" s="128">
        <v>450</v>
      </c>
      <c r="R523" s="128">
        <v>85</v>
      </c>
      <c r="S523" s="128">
        <v>535</v>
      </c>
      <c r="T523" s="128">
        <v>535</v>
      </c>
      <c r="U523" s="163">
        <v>0</v>
      </c>
      <c r="V523" s="163">
        <v>0</v>
      </c>
      <c r="W523" s="169">
        <v>321</v>
      </c>
      <c r="X523" s="169">
        <v>325.10000000000002</v>
      </c>
      <c r="Y523" s="169">
        <v>2351077.83</v>
      </c>
      <c r="Z523" s="165"/>
      <c r="AA523" s="169">
        <v>58776.95</v>
      </c>
      <c r="AB523" s="169">
        <v>58776.95</v>
      </c>
      <c r="AC523" s="169">
        <v>2468631.7200000002</v>
      </c>
      <c r="AD523" s="197">
        <f t="shared" si="315"/>
        <v>2466163.0882800003</v>
      </c>
      <c r="AE523" s="147">
        <v>39.869999999999997</v>
      </c>
      <c r="AF523" s="169">
        <v>39.72</v>
      </c>
      <c r="AG523" s="147">
        <v>39.79</v>
      </c>
      <c r="AH523" s="170">
        <v>3.0000000000000001E-3</v>
      </c>
      <c r="AI523" s="170">
        <v>3.44E-2</v>
      </c>
      <c r="AJ523" s="170">
        <v>5.2999999999999999E-2</v>
      </c>
      <c r="AK523" s="155">
        <f t="shared" si="351"/>
        <v>0</v>
      </c>
      <c r="AL523" s="157">
        <v>0</v>
      </c>
      <c r="AM523" s="157"/>
      <c r="AN523" s="165">
        <v>0</v>
      </c>
      <c r="AO523" s="140">
        <f t="shared" si="352"/>
        <v>0</v>
      </c>
      <c r="AP523" s="136"/>
      <c r="AQ523" s="137">
        <v>0</v>
      </c>
      <c r="AR523" s="155">
        <f t="shared" si="353"/>
        <v>0</v>
      </c>
      <c r="AS523" s="155">
        <f t="shared" si="354"/>
        <v>0</v>
      </c>
      <c r="AT523" s="137">
        <v>0</v>
      </c>
      <c r="AU523" s="136"/>
      <c r="AV523" s="136"/>
      <c r="AW523" s="137">
        <f t="shared" si="355"/>
        <v>32100</v>
      </c>
      <c r="AX523" s="136"/>
      <c r="AY523" s="137">
        <f t="shared" si="356"/>
        <v>32100</v>
      </c>
      <c r="AZ523" s="137">
        <f t="shared" si="357"/>
        <v>32510.000000000004</v>
      </c>
      <c r="BA523" s="142">
        <f t="shared" si="358"/>
        <v>-410.00000000000364</v>
      </c>
      <c r="BB523" s="137"/>
      <c r="BC523" s="137">
        <v>0</v>
      </c>
      <c r="BD523" s="136"/>
      <c r="BE523" s="128">
        <v>325.2</v>
      </c>
      <c r="BF523" s="143">
        <f t="shared" si="359"/>
        <v>0.48779999999999996</v>
      </c>
      <c r="BG523" s="143">
        <f t="shared" si="360"/>
        <v>324.7122</v>
      </c>
      <c r="BH523" s="143">
        <f t="shared" si="361"/>
        <v>325.10000000000002</v>
      </c>
      <c r="BI523" s="144">
        <f t="shared" si="362"/>
        <v>9.9999999999965894</v>
      </c>
      <c r="BJ523" s="144">
        <v>0</v>
      </c>
      <c r="BK523" s="137">
        <f t="shared" si="363"/>
        <v>9.9999999999965894</v>
      </c>
      <c r="BL523" s="18"/>
      <c r="BM523" s="25" t="str">
        <f t="shared" si="364"/>
        <v>Unloading no. 500 Bill No 178 ,Deduction For Oil Deduction= 0 ,Bardana= 0 ,F.M=  Brokerage/Rate Difference 0 ,Shortage = 0 ,Greenish=  ,Moisture= 0</v>
      </c>
      <c r="BN523" s="17"/>
      <c r="BO523" s="13" t="str">
        <f t="shared" si="365"/>
        <v xml:space="preserve"> Party Condition 39.72  ,F.M% 0.3 ,Greenish 3.44 ,Moisture 5.3 ,Shortage in KG= 0  ,Oil% 39.79</v>
      </c>
      <c r="BP523" s="19">
        <f t="shared" si="366"/>
        <v>7231.8604429406332</v>
      </c>
      <c r="BX523" s="27">
        <v>39.869999999999997</v>
      </c>
      <c r="BY523" s="27">
        <v>39.79</v>
      </c>
    </row>
    <row r="524" spans="1:77" s="26" customFormat="1" ht="14.1" hidden="1" customHeight="1" x14ac:dyDescent="0.3">
      <c r="A524" s="128" t="s">
        <v>1040</v>
      </c>
      <c r="B524" s="130">
        <v>46154</v>
      </c>
      <c r="C524" s="190">
        <v>501</v>
      </c>
      <c r="D524" s="128" t="s">
        <v>1074</v>
      </c>
      <c r="E524" s="129">
        <v>46158</v>
      </c>
      <c r="F524" s="128" t="s">
        <v>110</v>
      </c>
      <c r="G524" s="128" t="s">
        <v>111</v>
      </c>
      <c r="H524" s="128" t="s">
        <v>112</v>
      </c>
      <c r="I524" s="136"/>
      <c r="J524" s="128" t="s">
        <v>113</v>
      </c>
      <c r="K524" s="163">
        <v>0</v>
      </c>
      <c r="L524" s="130">
        <v>46154</v>
      </c>
      <c r="M524" s="136"/>
      <c r="N524" s="128" t="s">
        <v>1096</v>
      </c>
      <c r="O524" s="129">
        <v>46157</v>
      </c>
      <c r="P524" s="128">
        <v>0</v>
      </c>
      <c r="Q524" s="128">
        <v>54</v>
      </c>
      <c r="R524" s="128">
        <v>0</v>
      </c>
      <c r="S524" s="128">
        <v>54</v>
      </c>
      <c r="T524" s="128">
        <v>54</v>
      </c>
      <c r="U524" s="163">
        <v>0</v>
      </c>
      <c r="V524" s="163">
        <v>0</v>
      </c>
      <c r="W524" s="169">
        <v>32.4</v>
      </c>
      <c r="X524" s="169">
        <v>32.4</v>
      </c>
      <c r="Y524" s="169">
        <v>232308</v>
      </c>
      <c r="Z524" s="165"/>
      <c r="AA524" s="169">
        <v>5807.7</v>
      </c>
      <c r="AB524" s="169">
        <v>5807.7</v>
      </c>
      <c r="AC524" s="169">
        <v>243923.4</v>
      </c>
      <c r="AD524" s="197">
        <f t="shared" si="315"/>
        <v>243679.47659999999</v>
      </c>
      <c r="AE524" s="147">
        <v>40.78</v>
      </c>
      <c r="AF524" s="169">
        <v>39.72</v>
      </c>
      <c r="AG524" s="147">
        <v>40.64</v>
      </c>
      <c r="AH524" s="170">
        <v>2.5999999999999999E-3</v>
      </c>
      <c r="AI524" s="170">
        <v>3.49E-2</v>
      </c>
      <c r="AJ524" s="170">
        <v>4.3999999999999997E-2</v>
      </c>
      <c r="AK524" s="155">
        <f t="shared" si="351"/>
        <v>0</v>
      </c>
      <c r="AL524" s="157">
        <v>0</v>
      </c>
      <c r="AM524" s="157"/>
      <c r="AN524" s="165">
        <v>0</v>
      </c>
      <c r="AO524" s="140">
        <f t="shared" si="352"/>
        <v>0</v>
      </c>
      <c r="AP524" s="136"/>
      <c r="AQ524" s="137">
        <v>0</v>
      </c>
      <c r="AR524" s="155">
        <f t="shared" si="353"/>
        <v>0</v>
      </c>
      <c r="AS524" s="155">
        <f t="shared" si="354"/>
        <v>0</v>
      </c>
      <c r="AT524" s="137">
        <v>0</v>
      </c>
      <c r="AU524" s="136"/>
      <c r="AV524" s="136"/>
      <c r="AW524" s="137">
        <f t="shared" si="355"/>
        <v>3240</v>
      </c>
      <c r="AX524" s="136"/>
      <c r="AY524" s="137">
        <f t="shared" si="356"/>
        <v>3240</v>
      </c>
      <c r="AZ524" s="137">
        <f t="shared" si="357"/>
        <v>3240</v>
      </c>
      <c r="BA524" s="142">
        <f t="shared" si="358"/>
        <v>0</v>
      </c>
      <c r="BB524" s="137"/>
      <c r="BC524" s="137">
        <v>0</v>
      </c>
      <c r="BD524" s="136"/>
      <c r="BE524" s="128">
        <v>32.4</v>
      </c>
      <c r="BF524" s="143">
        <f t="shared" si="359"/>
        <v>4.8599999999999997E-2</v>
      </c>
      <c r="BG524" s="143">
        <f t="shared" si="360"/>
        <v>32.351399999999998</v>
      </c>
      <c r="BH524" s="143">
        <f t="shared" si="361"/>
        <v>32.4</v>
      </c>
      <c r="BI524" s="144">
        <f t="shared" si="362"/>
        <v>0</v>
      </c>
      <c r="BJ524" s="144">
        <v>0</v>
      </c>
      <c r="BK524" s="137">
        <f t="shared" si="363"/>
        <v>0</v>
      </c>
      <c r="BL524" s="18"/>
      <c r="BM524" s="25" t="str">
        <f t="shared" si="364"/>
        <v>Unloading no. 501 Bill No G1697 ,Deduction For Oil Deduction= 0 ,Bardana= 0 ,F.M=  Brokerage/Rate Difference 0 ,Shortage = 0 ,Greenish=  ,Moisture= 0</v>
      </c>
      <c r="BN524" s="17"/>
      <c r="BO524" s="13" t="str">
        <f t="shared" si="365"/>
        <v xml:space="preserve"> Party Condition 39.72  ,F.M% 0.26 ,Greenish 3.49 ,Moisture 4.4 ,Shortage in KG= 0  ,Oil% 40.64</v>
      </c>
      <c r="BP524" s="19">
        <f t="shared" si="366"/>
        <v>7170</v>
      </c>
      <c r="BX524" s="27">
        <v>40.78</v>
      </c>
      <c r="BY524" s="27">
        <v>40.64</v>
      </c>
    </row>
    <row r="525" spans="1:77" s="26" customFormat="1" ht="14.1" hidden="1" customHeight="1" x14ac:dyDescent="0.3">
      <c r="A525" s="128" t="s">
        <v>1049</v>
      </c>
      <c r="B525" s="130">
        <v>46156</v>
      </c>
      <c r="C525" s="190">
        <v>501</v>
      </c>
      <c r="D525" s="128" t="s">
        <v>1074</v>
      </c>
      <c r="E525" s="129">
        <v>46158</v>
      </c>
      <c r="F525" s="128" t="s">
        <v>110</v>
      </c>
      <c r="G525" s="128" t="s">
        <v>111</v>
      </c>
      <c r="H525" s="128" t="s">
        <v>112</v>
      </c>
      <c r="I525" s="136"/>
      <c r="J525" s="128" t="s">
        <v>1086</v>
      </c>
      <c r="K525" s="163">
        <v>0</v>
      </c>
      <c r="L525" s="130">
        <v>46156</v>
      </c>
      <c r="M525" s="136"/>
      <c r="N525" s="128" t="s">
        <v>1097</v>
      </c>
      <c r="O525" s="129">
        <v>46157</v>
      </c>
      <c r="P525" s="128">
        <v>0</v>
      </c>
      <c r="Q525" s="128">
        <v>246</v>
      </c>
      <c r="R525" s="128">
        <v>123</v>
      </c>
      <c r="S525" s="128">
        <v>369</v>
      </c>
      <c r="T525" s="128">
        <v>369</v>
      </c>
      <c r="U525" s="163">
        <v>0</v>
      </c>
      <c r="V525" s="163">
        <v>0</v>
      </c>
      <c r="W525" s="169">
        <v>221.4</v>
      </c>
      <c r="X525" s="169">
        <v>221.4</v>
      </c>
      <c r="Y525" s="169">
        <v>1635703.2</v>
      </c>
      <c r="Z525" s="165"/>
      <c r="AA525" s="169">
        <v>40892.58</v>
      </c>
      <c r="AB525" s="169">
        <v>40892.58</v>
      </c>
      <c r="AC525" s="169">
        <v>1717488.36</v>
      </c>
      <c r="AD525" s="197">
        <f t="shared" si="315"/>
        <v>1715770.87164</v>
      </c>
      <c r="AE525" s="147">
        <v>40.78</v>
      </c>
      <c r="AF525" s="169">
        <v>40.06</v>
      </c>
      <c r="AG525" s="147">
        <v>40.64</v>
      </c>
      <c r="AH525" s="170">
        <v>2.5999999999999999E-3</v>
      </c>
      <c r="AI525" s="170">
        <v>3.49E-2</v>
      </c>
      <c r="AJ525" s="170">
        <v>4.3999999999999997E-2</v>
      </c>
      <c r="AK525" s="155">
        <f t="shared" si="351"/>
        <v>0</v>
      </c>
      <c r="AL525" s="157">
        <v>0</v>
      </c>
      <c r="AM525" s="157"/>
      <c r="AN525" s="165">
        <v>0</v>
      </c>
      <c r="AO525" s="140">
        <f t="shared" si="352"/>
        <v>0</v>
      </c>
      <c r="AP525" s="136"/>
      <c r="AQ525" s="137">
        <v>0</v>
      </c>
      <c r="AR525" s="155">
        <f t="shared" si="353"/>
        <v>0</v>
      </c>
      <c r="AS525" s="155">
        <f t="shared" si="354"/>
        <v>0</v>
      </c>
      <c r="AT525" s="137">
        <v>0</v>
      </c>
      <c r="AU525" s="136"/>
      <c r="AV525" s="136"/>
      <c r="AW525" s="137">
        <f t="shared" si="355"/>
        <v>22140</v>
      </c>
      <c r="AX525" s="136"/>
      <c r="AY525" s="137">
        <f t="shared" si="356"/>
        <v>22140</v>
      </c>
      <c r="AZ525" s="137">
        <f t="shared" si="357"/>
        <v>22140</v>
      </c>
      <c r="BA525" s="142">
        <f t="shared" si="358"/>
        <v>0</v>
      </c>
      <c r="BB525" s="137"/>
      <c r="BC525" s="137">
        <v>0</v>
      </c>
      <c r="BD525" s="136"/>
      <c r="BE525" s="128">
        <v>221.4</v>
      </c>
      <c r="BF525" s="143">
        <f t="shared" si="359"/>
        <v>0.33210000000000001</v>
      </c>
      <c r="BG525" s="143">
        <f t="shared" si="360"/>
        <v>221.06790000000001</v>
      </c>
      <c r="BH525" s="143">
        <f t="shared" si="361"/>
        <v>221.4</v>
      </c>
      <c r="BI525" s="144">
        <f t="shared" si="362"/>
        <v>0</v>
      </c>
      <c r="BJ525" s="144">
        <v>0</v>
      </c>
      <c r="BK525" s="137">
        <f t="shared" si="363"/>
        <v>0</v>
      </c>
      <c r="BL525" s="18"/>
      <c r="BM525" s="25" t="str">
        <f t="shared" si="364"/>
        <v>Unloading no. 501 Bill No G1698 ,Deduction For Oil Deduction= 0 ,Bardana= 0 ,F.M=  Brokerage/Rate Difference 0 ,Shortage = 0 ,Greenish=  ,Moisture= 0</v>
      </c>
      <c r="BN525" s="17"/>
      <c r="BO525" s="13" t="str">
        <f t="shared" si="365"/>
        <v xml:space="preserve"> Party Condition 40.06  ,F.M% 0.26 ,Greenish 3.49 ,Moisture 4.4 ,Shortage in KG= 0  ,Oil% 40.64</v>
      </c>
      <c r="BP525" s="19">
        <f t="shared" si="366"/>
        <v>7388</v>
      </c>
      <c r="BX525" s="27">
        <v>40.78</v>
      </c>
      <c r="BY525" s="27">
        <v>40.64</v>
      </c>
    </row>
    <row r="526" spans="1:77" s="26" customFormat="1" ht="14.1" hidden="1" customHeight="1" x14ac:dyDescent="0.3">
      <c r="A526" s="128" t="s">
        <v>1050</v>
      </c>
      <c r="B526" s="130">
        <v>46157</v>
      </c>
      <c r="C526" s="138">
        <v>502</v>
      </c>
      <c r="D526" s="128" t="s">
        <v>1075</v>
      </c>
      <c r="E526" s="129">
        <v>46158</v>
      </c>
      <c r="F526" s="128" t="s">
        <v>1080</v>
      </c>
      <c r="G526" s="128" t="s">
        <v>1081</v>
      </c>
      <c r="H526" s="128" t="s">
        <v>1082</v>
      </c>
      <c r="I526" s="136"/>
      <c r="J526" s="128" t="s">
        <v>1086</v>
      </c>
      <c r="K526" s="163">
        <v>0</v>
      </c>
      <c r="L526" s="130">
        <v>46157</v>
      </c>
      <c r="M526" s="136"/>
      <c r="N526" s="128">
        <v>86</v>
      </c>
      <c r="O526" s="129">
        <v>46158</v>
      </c>
      <c r="P526" s="128">
        <v>0</v>
      </c>
      <c r="Q526" s="128">
        <v>700</v>
      </c>
      <c r="R526" s="128">
        <v>207</v>
      </c>
      <c r="S526" s="128">
        <v>907</v>
      </c>
      <c r="T526" s="128">
        <v>907</v>
      </c>
      <c r="U526" s="163">
        <v>0</v>
      </c>
      <c r="V526" s="163">
        <v>0</v>
      </c>
      <c r="W526" s="169">
        <v>452.8</v>
      </c>
      <c r="X526" s="169">
        <v>452.2</v>
      </c>
      <c r="Y526" s="169">
        <v>3396000</v>
      </c>
      <c r="Z526" s="165"/>
      <c r="AA526" s="169">
        <v>84900</v>
      </c>
      <c r="AB526" s="169">
        <v>84900</v>
      </c>
      <c r="AC526" s="169">
        <v>3565800</v>
      </c>
      <c r="AD526" s="197">
        <f t="shared" si="315"/>
        <v>3562234.2</v>
      </c>
      <c r="AE526" s="147">
        <v>40.01</v>
      </c>
      <c r="AF526" s="147">
        <v>42</v>
      </c>
      <c r="AG526" s="147">
        <v>39.75</v>
      </c>
      <c r="AH526" s="195">
        <v>3.3E-3</v>
      </c>
      <c r="AI526" s="170">
        <v>4.3999999999999997E-2</v>
      </c>
      <c r="AJ526" s="170">
        <v>4.2999999999999997E-2</v>
      </c>
      <c r="AK526" s="155">
        <f t="shared" si="351"/>
        <v>181928.57142857142</v>
      </c>
      <c r="AL526" s="157">
        <f>700*10+207*15</f>
        <v>10105</v>
      </c>
      <c r="AM526" s="157">
        <f>Y526*AH526</f>
        <v>11206.8</v>
      </c>
      <c r="AN526" s="165">
        <f>X526*14</f>
        <v>6330.8</v>
      </c>
      <c r="AO526" s="140">
        <f t="shared" si="352"/>
        <v>4500</v>
      </c>
      <c r="AP526" s="136"/>
      <c r="AQ526" s="137">
        <v>0</v>
      </c>
      <c r="AR526" s="155">
        <f t="shared" si="353"/>
        <v>214071.1714285714</v>
      </c>
      <c r="AS526" s="155">
        <f t="shared" si="354"/>
        <v>224775</v>
      </c>
      <c r="AT526" s="137">
        <v>60</v>
      </c>
      <c r="AU526" s="136"/>
      <c r="AV526" s="136"/>
      <c r="AW526" s="137">
        <f t="shared" si="355"/>
        <v>45280</v>
      </c>
      <c r="AX526" s="136"/>
      <c r="AY526" s="137">
        <f t="shared" si="356"/>
        <v>45280</v>
      </c>
      <c r="AZ526" s="137">
        <f t="shared" si="357"/>
        <v>45220</v>
      </c>
      <c r="BA526" s="142">
        <f t="shared" si="358"/>
        <v>60</v>
      </c>
      <c r="BB526" s="137"/>
      <c r="BC526" s="137">
        <v>0</v>
      </c>
      <c r="BD526" s="136"/>
      <c r="BE526" s="128">
        <v>452.8</v>
      </c>
      <c r="BF526" s="143">
        <f t="shared" si="359"/>
        <v>0.67920000000000003</v>
      </c>
      <c r="BG526" s="143">
        <f t="shared" si="360"/>
        <v>452.12080000000003</v>
      </c>
      <c r="BH526" s="143">
        <f t="shared" si="361"/>
        <v>452.2</v>
      </c>
      <c r="BI526" s="144">
        <f t="shared" si="362"/>
        <v>60.000000000002274</v>
      </c>
      <c r="BJ526" s="144">
        <v>0</v>
      </c>
      <c r="BK526" s="137">
        <f t="shared" si="363"/>
        <v>60.000000000002274</v>
      </c>
      <c r="BL526" s="18"/>
      <c r="BM526" s="25" t="str">
        <f t="shared" si="364"/>
        <v>Unloading no. 502 Bill No 86 ,Deduction For Oil Deduction= 181928.571428571 ,Bardana= 10105 ,F.M= 11206.8 Brokerage/Rate Difference 6330.8 ,Shortage = 4500 ,Greenish=  ,Moisture= 0</v>
      </c>
      <c r="BN526" s="17"/>
      <c r="BO526" s="13" t="str">
        <f t="shared" si="365"/>
        <v xml:space="preserve"> Party Condition 42  ,F.M% 0.33 ,Greenish 4.4 ,Moisture 4.3 ,Shortage in KG= 60  ,Oil% 39.75</v>
      </c>
      <c r="BP526" s="19">
        <f t="shared" si="366"/>
        <v>7036.5520313388515</v>
      </c>
      <c r="BX526" s="27">
        <v>40.01</v>
      </c>
      <c r="BY526" s="27">
        <v>39.75</v>
      </c>
    </row>
    <row r="527" spans="1:77" s="46" customFormat="1" ht="14.1" hidden="1" customHeight="1" x14ac:dyDescent="0.3">
      <c r="A527" s="128" t="s">
        <v>1051</v>
      </c>
      <c r="B527" s="130">
        <v>46157</v>
      </c>
      <c r="C527" s="138">
        <v>503</v>
      </c>
      <c r="D527" s="128" t="s">
        <v>1076</v>
      </c>
      <c r="E527" s="129">
        <v>46159</v>
      </c>
      <c r="F527" s="128" t="s">
        <v>98</v>
      </c>
      <c r="G527" s="128" t="s">
        <v>99</v>
      </c>
      <c r="H527" s="128" t="s">
        <v>199</v>
      </c>
      <c r="I527" s="136"/>
      <c r="J527" s="128" t="s">
        <v>113</v>
      </c>
      <c r="K527" s="163">
        <v>0</v>
      </c>
      <c r="L527" s="130">
        <v>46157</v>
      </c>
      <c r="M527" s="136"/>
      <c r="N527" s="128">
        <v>116</v>
      </c>
      <c r="O527" s="129">
        <v>46158</v>
      </c>
      <c r="P527" s="128">
        <v>0</v>
      </c>
      <c r="Q527" s="128">
        <v>410</v>
      </c>
      <c r="R527" s="128">
        <v>75</v>
      </c>
      <c r="S527" s="128">
        <v>485</v>
      </c>
      <c r="T527" s="128">
        <v>485</v>
      </c>
      <c r="U527" s="163">
        <v>0</v>
      </c>
      <c r="V527" s="163">
        <v>0</v>
      </c>
      <c r="W527" s="169">
        <v>291</v>
      </c>
      <c r="X527" s="169">
        <v>294.60000000000002</v>
      </c>
      <c r="Y527" s="169">
        <v>2148121.2599999998</v>
      </c>
      <c r="Z527" s="165"/>
      <c r="AA527" s="169">
        <v>53703.03</v>
      </c>
      <c r="AB527" s="169">
        <v>53703.03</v>
      </c>
      <c r="AC527" s="169">
        <v>2255527.3199999998</v>
      </c>
      <c r="AD527" s="197">
        <f t="shared" si="315"/>
        <v>2253271.79268</v>
      </c>
      <c r="AE527" s="147">
        <v>39.44</v>
      </c>
      <c r="AF527" s="169">
        <v>39.770000000000003</v>
      </c>
      <c r="AG527" s="147">
        <v>39.58</v>
      </c>
      <c r="AH527" s="170">
        <v>3.5000000000000001E-3</v>
      </c>
      <c r="AI527" s="170">
        <v>3.5999999999999997E-2</v>
      </c>
      <c r="AJ527" s="170">
        <v>4.7E-2</v>
      </c>
      <c r="AK527" s="155">
        <f t="shared" si="351"/>
        <v>17824.491219512485</v>
      </c>
      <c r="AL527" s="157">
        <v>0</v>
      </c>
      <c r="AM527" s="157"/>
      <c r="AN527" s="165">
        <v>0</v>
      </c>
      <c r="AO527" s="140">
        <f t="shared" si="352"/>
        <v>0</v>
      </c>
      <c r="AP527" s="136"/>
      <c r="AQ527" s="137">
        <v>0</v>
      </c>
      <c r="AR527" s="155">
        <f t="shared" si="353"/>
        <v>17824.491219512485</v>
      </c>
      <c r="AS527" s="155">
        <f t="shared" si="354"/>
        <v>18716</v>
      </c>
      <c r="AT527" s="137">
        <v>0</v>
      </c>
      <c r="AU527" s="136"/>
      <c r="AV527" s="136"/>
      <c r="AW527" s="137">
        <f t="shared" si="355"/>
        <v>29100</v>
      </c>
      <c r="AX527" s="136"/>
      <c r="AY527" s="137">
        <f t="shared" si="356"/>
        <v>29100</v>
      </c>
      <c r="AZ527" s="137">
        <f t="shared" si="357"/>
        <v>29460.000000000004</v>
      </c>
      <c r="BA527" s="142">
        <f t="shared" si="358"/>
        <v>-360.00000000000364</v>
      </c>
      <c r="BB527" s="137"/>
      <c r="BC527" s="137">
        <v>0</v>
      </c>
      <c r="BD527" s="136"/>
      <c r="BE527" s="128">
        <v>294.85000000000002</v>
      </c>
      <c r="BF527" s="143">
        <f t="shared" si="359"/>
        <v>0.44227499999999997</v>
      </c>
      <c r="BG527" s="143">
        <f t="shared" si="360"/>
        <v>294.40772500000003</v>
      </c>
      <c r="BH527" s="143">
        <f t="shared" si="361"/>
        <v>294.60000000000002</v>
      </c>
      <c r="BI527" s="144">
        <f t="shared" si="362"/>
        <v>25</v>
      </c>
      <c r="BJ527" s="144">
        <v>0</v>
      </c>
      <c r="BK527" s="137">
        <f t="shared" si="363"/>
        <v>25</v>
      </c>
      <c r="BL527" s="42"/>
      <c r="BM527" s="43" t="str">
        <f t="shared" si="364"/>
        <v>Unloading no. 503 Bill No 116 ,Deduction For Oil Deduction= 17824.4912195125 ,Bardana= 0 ,F.M=  Brokerage/Rate Difference 0 ,Shortage = 0 ,Greenish=  ,Moisture= 0</v>
      </c>
      <c r="BN527" s="41"/>
      <c r="BO527" s="44" t="str">
        <f t="shared" si="365"/>
        <v xml:space="preserve"> Party Condition 39.77  ,F.M% 0.35 ,Greenish 3.6 ,Moisture 4.7 ,Shortage in KG= 0  ,Oil% 39.44</v>
      </c>
      <c r="BP527" s="45">
        <f t="shared" si="366"/>
        <v>7231.1499279717818</v>
      </c>
      <c r="BX527" s="27">
        <v>39.44</v>
      </c>
      <c r="BY527" s="27">
        <v>39.58</v>
      </c>
    </row>
    <row r="528" spans="1:77" s="46" customFormat="1" ht="14.1" hidden="1" customHeight="1" x14ac:dyDescent="0.3">
      <c r="A528" s="128" t="s">
        <v>1052</v>
      </c>
      <c r="B528" s="130">
        <v>46158</v>
      </c>
      <c r="C528" s="138">
        <v>504</v>
      </c>
      <c r="D528" s="128" t="s">
        <v>1077</v>
      </c>
      <c r="E528" s="129">
        <v>46159</v>
      </c>
      <c r="F528" s="128" t="s">
        <v>110</v>
      </c>
      <c r="G528" s="128" t="s">
        <v>111</v>
      </c>
      <c r="H528" s="128" t="s">
        <v>112</v>
      </c>
      <c r="I528" s="136"/>
      <c r="J528" s="128" t="s">
        <v>113</v>
      </c>
      <c r="K528" s="163">
        <v>0</v>
      </c>
      <c r="L528" s="130">
        <v>46158</v>
      </c>
      <c r="M528" s="136"/>
      <c r="N528" s="128" t="s">
        <v>1098</v>
      </c>
      <c r="O528" s="129">
        <v>46158</v>
      </c>
      <c r="P528" s="128">
        <v>0</v>
      </c>
      <c r="Q528" s="128">
        <v>380</v>
      </c>
      <c r="R528" s="128">
        <v>48</v>
      </c>
      <c r="S528" s="128">
        <v>428</v>
      </c>
      <c r="T528" s="128">
        <v>428</v>
      </c>
      <c r="U528" s="163">
        <v>0</v>
      </c>
      <c r="V528" s="163">
        <v>0</v>
      </c>
      <c r="W528" s="169">
        <v>256.8</v>
      </c>
      <c r="X528" s="169">
        <v>261</v>
      </c>
      <c r="Y528" s="169">
        <v>1924459.2</v>
      </c>
      <c r="Z528" s="165"/>
      <c r="AA528" s="169">
        <v>48111.48</v>
      </c>
      <c r="AB528" s="169">
        <v>48111.48</v>
      </c>
      <c r="AC528" s="169">
        <v>2020682.16</v>
      </c>
      <c r="AD528" s="197">
        <f t="shared" si="315"/>
        <v>2018661.4778399998</v>
      </c>
      <c r="AE528" s="147">
        <v>40.9</v>
      </c>
      <c r="AF528" s="169">
        <v>40.200000000000003</v>
      </c>
      <c r="AG528" s="147">
        <v>40.799999999999997</v>
      </c>
      <c r="AH528" s="170">
        <v>2.5000000000000001E-3</v>
      </c>
      <c r="AI528" s="170">
        <v>3.5200000000000002E-2</v>
      </c>
      <c r="AJ528" s="170">
        <v>5.3999999999999999E-2</v>
      </c>
      <c r="AK528" s="155">
        <f t="shared" si="351"/>
        <v>0</v>
      </c>
      <c r="AL528" s="157">
        <v>0</v>
      </c>
      <c r="AM528" s="157"/>
      <c r="AN528" s="165">
        <v>0</v>
      </c>
      <c r="AO528" s="140">
        <f t="shared" si="352"/>
        <v>0</v>
      </c>
      <c r="AP528" s="136"/>
      <c r="AQ528" s="137">
        <v>0</v>
      </c>
      <c r="AR528" s="155">
        <f t="shared" si="353"/>
        <v>0</v>
      </c>
      <c r="AS528" s="155">
        <f t="shared" si="354"/>
        <v>0</v>
      </c>
      <c r="AT528" s="137">
        <v>0</v>
      </c>
      <c r="AU528" s="136"/>
      <c r="AV528" s="136"/>
      <c r="AW528" s="137">
        <f t="shared" si="355"/>
        <v>25680</v>
      </c>
      <c r="AX528" s="136"/>
      <c r="AY528" s="137">
        <f t="shared" si="356"/>
        <v>25680</v>
      </c>
      <c r="AZ528" s="137">
        <f t="shared" si="357"/>
        <v>26100</v>
      </c>
      <c r="BA528" s="142">
        <f t="shared" si="358"/>
        <v>-420</v>
      </c>
      <c r="BB528" s="137"/>
      <c r="BC528" s="137">
        <v>0</v>
      </c>
      <c r="BD528" s="136"/>
      <c r="BE528" s="128">
        <v>261.05</v>
      </c>
      <c r="BF528" s="143">
        <f t="shared" si="359"/>
        <v>0.39157500000000001</v>
      </c>
      <c r="BG528" s="143">
        <f t="shared" si="360"/>
        <v>260.65842500000002</v>
      </c>
      <c r="BH528" s="143">
        <f t="shared" si="361"/>
        <v>261</v>
      </c>
      <c r="BI528" s="144">
        <f t="shared" si="362"/>
        <v>5.0000000000011369</v>
      </c>
      <c r="BJ528" s="144">
        <v>0</v>
      </c>
      <c r="BK528" s="137">
        <f t="shared" si="363"/>
        <v>5.0000000000011369</v>
      </c>
      <c r="BL528" s="42"/>
      <c r="BM528" s="43" t="str">
        <f t="shared" si="364"/>
        <v>Unloading no. 504 Bill No G1700 ,Deduction For Oil Deduction= 0 ,Bardana= 0 ,F.M=  Brokerage/Rate Difference 0 ,Shortage = 0 ,Greenish=  ,Moisture= 0</v>
      </c>
      <c r="BN528" s="41"/>
      <c r="BO528" s="44" t="str">
        <f t="shared" si="365"/>
        <v xml:space="preserve"> Party Condition 40.2  ,F.M% 0.25 ,Greenish 3.52 ,Moisture 5.4 ,Shortage in KG= 0  ,Oil% 40.8</v>
      </c>
      <c r="BP528" s="45">
        <f t="shared" si="366"/>
        <v>7373.4068965517235</v>
      </c>
      <c r="BX528" s="27">
        <v>40.9</v>
      </c>
      <c r="BY528" s="27">
        <v>40.799999999999997</v>
      </c>
    </row>
    <row r="529" spans="1:77" s="46" customFormat="1" ht="14.1" hidden="1" customHeight="1" x14ac:dyDescent="0.3">
      <c r="A529" s="128" t="s">
        <v>1053</v>
      </c>
      <c r="B529" s="130">
        <v>46158</v>
      </c>
      <c r="C529" s="138">
        <v>505</v>
      </c>
      <c r="D529" s="128" t="s">
        <v>1078</v>
      </c>
      <c r="E529" s="129">
        <v>46159</v>
      </c>
      <c r="F529" s="128" t="s">
        <v>110</v>
      </c>
      <c r="G529" s="128" t="s">
        <v>111</v>
      </c>
      <c r="H529" s="128" t="s">
        <v>112</v>
      </c>
      <c r="I529" s="136"/>
      <c r="J529" s="128" t="s">
        <v>113</v>
      </c>
      <c r="K529" s="163">
        <v>0</v>
      </c>
      <c r="L529" s="130">
        <v>46158</v>
      </c>
      <c r="M529" s="136"/>
      <c r="N529" s="128" t="s">
        <v>1099</v>
      </c>
      <c r="O529" s="129">
        <v>46158</v>
      </c>
      <c r="P529" s="128">
        <v>0</v>
      </c>
      <c r="Q529" s="128">
        <v>380</v>
      </c>
      <c r="R529" s="128">
        <v>40</v>
      </c>
      <c r="S529" s="128">
        <v>420</v>
      </c>
      <c r="T529" s="128">
        <v>420</v>
      </c>
      <c r="U529" s="163">
        <v>0</v>
      </c>
      <c r="V529" s="163">
        <v>0</v>
      </c>
      <c r="W529" s="169">
        <v>252</v>
      </c>
      <c r="X529" s="169">
        <v>256.2</v>
      </c>
      <c r="Y529" s="169">
        <v>1879416</v>
      </c>
      <c r="Z529" s="165"/>
      <c r="AA529" s="169">
        <v>46985.4</v>
      </c>
      <c r="AB529" s="169">
        <v>46985.4</v>
      </c>
      <c r="AC529" s="169">
        <v>1973386.8</v>
      </c>
      <c r="AD529" s="197">
        <f t="shared" si="315"/>
        <v>1971413.4132000001</v>
      </c>
      <c r="AE529" s="147">
        <v>40.369999999999997</v>
      </c>
      <c r="AF529" s="169">
        <v>40.06</v>
      </c>
      <c r="AG529" s="147">
        <v>40.25</v>
      </c>
      <c r="AH529" s="170">
        <v>2.8E-3</v>
      </c>
      <c r="AI529" s="170">
        <v>3.4000000000000002E-2</v>
      </c>
      <c r="AJ529" s="170">
        <v>0.05</v>
      </c>
      <c r="AK529" s="155">
        <f t="shared" si="351"/>
        <v>0</v>
      </c>
      <c r="AL529" s="157">
        <v>0</v>
      </c>
      <c r="AM529" s="157"/>
      <c r="AN529" s="165">
        <v>0</v>
      </c>
      <c r="AO529" s="140">
        <f t="shared" si="352"/>
        <v>0</v>
      </c>
      <c r="AP529" s="136"/>
      <c r="AQ529" s="137">
        <v>0</v>
      </c>
      <c r="AR529" s="155">
        <f t="shared" si="353"/>
        <v>0</v>
      </c>
      <c r="AS529" s="155">
        <f t="shared" si="354"/>
        <v>0</v>
      </c>
      <c r="AT529" s="137">
        <v>0</v>
      </c>
      <c r="AU529" s="136"/>
      <c r="AV529" s="136"/>
      <c r="AW529" s="137">
        <f t="shared" si="355"/>
        <v>25200</v>
      </c>
      <c r="AX529" s="136"/>
      <c r="AY529" s="137">
        <f t="shared" si="356"/>
        <v>25200</v>
      </c>
      <c r="AZ529" s="137">
        <f t="shared" si="357"/>
        <v>25620</v>
      </c>
      <c r="BA529" s="142">
        <f t="shared" si="358"/>
        <v>-420</v>
      </c>
      <c r="BB529" s="137"/>
      <c r="BC529" s="137">
        <v>0</v>
      </c>
      <c r="BD529" s="136"/>
      <c r="BE529" s="128">
        <v>255.95</v>
      </c>
      <c r="BF529" s="143">
        <f t="shared" si="359"/>
        <v>0.38392499999999996</v>
      </c>
      <c r="BG529" s="143">
        <f t="shared" si="360"/>
        <v>255.56607499999998</v>
      </c>
      <c r="BH529" s="143">
        <f t="shared" si="361"/>
        <v>256.2</v>
      </c>
      <c r="BI529" s="144">
        <f t="shared" si="362"/>
        <v>-25</v>
      </c>
      <c r="BJ529" s="144">
        <v>0</v>
      </c>
      <c r="BK529" s="137">
        <f t="shared" si="363"/>
        <v>-25</v>
      </c>
      <c r="BL529" s="42"/>
      <c r="BM529" s="43" t="str">
        <f t="shared" si="364"/>
        <v>Unloading no. 505 Bill No G1699 ,Deduction For Oil Deduction= 0 ,Bardana= 0 ,F.M=  Brokerage/Rate Difference 0 ,Shortage = 0 ,Greenish=  ,Moisture= 0</v>
      </c>
      <c r="BN529" s="41"/>
      <c r="BO529" s="44" t="str">
        <f t="shared" si="365"/>
        <v xml:space="preserve"> Party Condition 40.06  ,F.M% 0.28 ,Greenish 3.4 ,Moisture 5 ,Shortage in KG= 0  ,Oil% 40.25</v>
      </c>
      <c r="BP529" s="45">
        <f t="shared" si="366"/>
        <v>7335.7377049180332</v>
      </c>
      <c r="BX529" s="27">
        <v>40.369999999999997</v>
      </c>
      <c r="BY529" s="27">
        <v>40.25</v>
      </c>
    </row>
    <row r="530" spans="1:77" s="46" customFormat="1" ht="14.1" hidden="1" customHeight="1" x14ac:dyDescent="0.3">
      <c r="A530" s="128" t="s">
        <v>1054</v>
      </c>
      <c r="B530" s="130">
        <v>46157</v>
      </c>
      <c r="C530" s="138">
        <v>506</v>
      </c>
      <c r="D530" s="128" t="s">
        <v>1079</v>
      </c>
      <c r="E530" s="130">
        <v>46159</v>
      </c>
      <c r="F530" s="128" t="s">
        <v>1083</v>
      </c>
      <c r="G530" s="128" t="s">
        <v>1084</v>
      </c>
      <c r="H530" s="128" t="s">
        <v>1085</v>
      </c>
      <c r="I530" s="136"/>
      <c r="J530" s="128" t="s">
        <v>1147</v>
      </c>
      <c r="K530" s="163">
        <v>0</v>
      </c>
      <c r="L530" s="130">
        <v>46157</v>
      </c>
      <c r="M530" s="136"/>
      <c r="N530" s="135">
        <v>8</v>
      </c>
      <c r="O530" s="129">
        <v>46158</v>
      </c>
      <c r="P530" s="128">
        <v>0</v>
      </c>
      <c r="Q530" s="128">
        <v>250</v>
      </c>
      <c r="R530" s="128">
        <v>125</v>
      </c>
      <c r="S530" s="128">
        <v>375</v>
      </c>
      <c r="T530" s="128">
        <v>375</v>
      </c>
      <c r="U530" s="163">
        <v>0</v>
      </c>
      <c r="V530" s="163">
        <v>0</v>
      </c>
      <c r="W530" s="169">
        <v>259.89999999999998</v>
      </c>
      <c r="X530" s="169">
        <v>258.2</v>
      </c>
      <c r="Y530" s="169">
        <v>1949250</v>
      </c>
      <c r="Z530" s="165"/>
      <c r="AA530" s="169">
        <v>48731.25</v>
      </c>
      <c r="AB530" s="169">
        <v>48731.25</v>
      </c>
      <c r="AC530" s="169">
        <v>2046712.5</v>
      </c>
      <c r="AD530" s="197">
        <f t="shared" si="315"/>
        <v>2044665.7875000001</v>
      </c>
      <c r="AE530" s="147">
        <v>39.5</v>
      </c>
      <c r="AF530" s="169">
        <v>42</v>
      </c>
      <c r="AG530" s="147">
        <v>39.33</v>
      </c>
      <c r="AH530" s="227">
        <v>6.4000000000000003E-3</v>
      </c>
      <c r="AI530" s="195">
        <v>5.1999999999999998E-2</v>
      </c>
      <c r="AJ530" s="170">
        <v>4.8000000000000001E-2</v>
      </c>
      <c r="AK530" s="155">
        <f t="shared" si="351"/>
        <v>123916.60714285722</v>
      </c>
      <c r="AL530" s="157">
        <f>250*10+125*15</f>
        <v>4375</v>
      </c>
      <c r="AM530" s="157">
        <f>AH530*Y530</f>
        <v>12475.2</v>
      </c>
      <c r="AN530" s="165">
        <f>W530*15</f>
        <v>3898.4999999999995</v>
      </c>
      <c r="AO530" s="140">
        <f t="shared" si="352"/>
        <v>12750.000000000002</v>
      </c>
      <c r="AP530" s="136">
        <v>1364.48</v>
      </c>
      <c r="AQ530" s="137">
        <v>0</v>
      </c>
      <c r="AR530" s="155">
        <f t="shared" si="353"/>
        <v>158779.78714285724</v>
      </c>
      <c r="AS530" s="155">
        <f t="shared" si="354"/>
        <v>166719</v>
      </c>
      <c r="AT530" s="137">
        <v>170</v>
      </c>
      <c r="AU530" s="136"/>
      <c r="AV530" s="136"/>
      <c r="AW530" s="137">
        <f t="shared" si="355"/>
        <v>25989.999999999996</v>
      </c>
      <c r="AX530" s="136"/>
      <c r="AY530" s="137">
        <f t="shared" si="356"/>
        <v>25989.999999999996</v>
      </c>
      <c r="AZ530" s="137">
        <f t="shared" si="357"/>
        <v>25820</v>
      </c>
      <c r="BA530" s="142">
        <f t="shared" si="358"/>
        <v>169.99999999999636</v>
      </c>
      <c r="BB530" s="137"/>
      <c r="BC530" s="137">
        <v>0</v>
      </c>
      <c r="BD530" s="136"/>
      <c r="BE530" s="128">
        <v>259.89999999999998</v>
      </c>
      <c r="BF530" s="143">
        <f t="shared" si="359"/>
        <v>0.38984999999999992</v>
      </c>
      <c r="BG530" s="143">
        <f t="shared" si="360"/>
        <v>259.51014999999995</v>
      </c>
      <c r="BH530" s="143">
        <f t="shared" si="361"/>
        <v>258.2</v>
      </c>
      <c r="BI530" s="144">
        <f t="shared" si="362"/>
        <v>169.99999999999886</v>
      </c>
      <c r="BJ530" s="144">
        <v>0</v>
      </c>
      <c r="BK530" s="137">
        <f t="shared" si="363"/>
        <v>169.99999999999886</v>
      </c>
      <c r="BL530" s="42"/>
      <c r="BM530" s="43" t="str">
        <f t="shared" si="364"/>
        <v>Unloading no. 506 Bill No 8 ,Deduction For Oil Deduction= 123916.607142857 ,Bardana= 4375 ,F.M= 12475.2 Brokerage/Rate Difference 3898.5 ,Shortage = 12750 ,Greenish= 1364.48 ,Moisture= 0</v>
      </c>
      <c r="BN530" s="41"/>
      <c r="BO530" s="44" t="str">
        <f t="shared" si="365"/>
        <v xml:space="preserve"> Party Condition 42  ,F.M% 0.64 ,Greenish 5.2 ,Moisture 4.8 ,Shortage in KG= 170  ,Oil% 39.33</v>
      </c>
      <c r="BP530" s="45">
        <f t="shared" si="366"/>
        <v>6934.4314982848291</v>
      </c>
      <c r="BX530" s="30">
        <v>39.5</v>
      </c>
      <c r="BY530" s="30">
        <v>39.33</v>
      </c>
    </row>
    <row r="531" spans="1:77" s="46" customFormat="1" ht="14.1" hidden="1" customHeight="1" x14ac:dyDescent="0.3">
      <c r="A531" s="128" t="s">
        <v>1135</v>
      </c>
      <c r="B531" s="130">
        <v>46158</v>
      </c>
      <c r="C531" s="138">
        <v>508</v>
      </c>
      <c r="D531" s="128" t="s">
        <v>1100</v>
      </c>
      <c r="E531" s="130">
        <v>46160</v>
      </c>
      <c r="F531" s="128" t="s">
        <v>98</v>
      </c>
      <c r="G531" s="128" t="s">
        <v>99</v>
      </c>
      <c r="H531" s="128" t="s">
        <v>199</v>
      </c>
      <c r="I531" s="136"/>
      <c r="J531" s="128" t="s">
        <v>113</v>
      </c>
      <c r="K531" s="163">
        <v>0</v>
      </c>
      <c r="L531" s="130">
        <v>46158</v>
      </c>
      <c r="M531" s="136"/>
      <c r="N531" s="128">
        <v>117</v>
      </c>
      <c r="O531" s="129">
        <v>46159</v>
      </c>
      <c r="P531" s="128">
        <v>0</v>
      </c>
      <c r="Q531" s="128">
        <v>300</v>
      </c>
      <c r="R531" s="128">
        <v>39</v>
      </c>
      <c r="S531" s="128">
        <v>339</v>
      </c>
      <c r="T531" s="128">
        <v>339</v>
      </c>
      <c r="U531" s="163">
        <v>0</v>
      </c>
      <c r="V531" s="163">
        <v>0</v>
      </c>
      <c r="W531" s="169">
        <v>203.4</v>
      </c>
      <c r="X531" s="169">
        <v>205.1</v>
      </c>
      <c r="Y531" s="169">
        <v>1533636</v>
      </c>
      <c r="Z531" s="128"/>
      <c r="AA531" s="169">
        <v>38340.9</v>
      </c>
      <c r="AB531" s="169">
        <v>38340.9</v>
      </c>
      <c r="AC531" s="169">
        <v>1610317.8</v>
      </c>
      <c r="AD531" s="197">
        <f t="shared" si="315"/>
        <v>1608707.4822</v>
      </c>
      <c r="AE531" s="147">
        <v>40.6</v>
      </c>
      <c r="AF531" s="169">
        <v>40.42</v>
      </c>
      <c r="AG531" s="147">
        <v>40.46</v>
      </c>
      <c r="AH531" s="170">
        <v>3.5999999999999999E-3</v>
      </c>
      <c r="AI531" s="170">
        <v>3.3000000000000002E-2</v>
      </c>
      <c r="AJ531" s="170">
        <v>5.1999999999999998E-2</v>
      </c>
      <c r="AK531" s="155">
        <f t="shared" ref="AK531" si="367">+IF(AF531=42,IF(MIN(AE531,AG531)&lt;AF531,Y531*((AF531-MIN(AE531,AG531))/AF531)),IF(MIN(AE531,AG531)&lt;AF531,Y531*((AF531-MIN(AE531,AG531))/AF531),0))</f>
        <v>0</v>
      </c>
      <c r="AL531" s="157">
        <v>0</v>
      </c>
      <c r="AM531" s="157"/>
      <c r="AN531" s="165">
        <v>0</v>
      </c>
      <c r="AO531" s="140">
        <f t="shared" ref="AO531" si="368">AT531*Y531/AW531</f>
        <v>3920.8</v>
      </c>
      <c r="AP531" s="136"/>
      <c r="AQ531" s="137">
        <v>0</v>
      </c>
      <c r="AR531" s="155">
        <f t="shared" ref="AR531" si="369">SUM(AK531:AQ531)</f>
        <v>3920.8</v>
      </c>
      <c r="AS531" s="155">
        <f t="shared" ref="AS531" si="370">ROUND(AR531*1.05,0)</f>
        <v>4117</v>
      </c>
      <c r="AT531" s="137">
        <v>52</v>
      </c>
      <c r="AU531" s="136"/>
      <c r="AV531" s="136"/>
      <c r="AW531" s="137">
        <f t="shared" ref="AW531:AW565" si="371">W531*100</f>
        <v>20340</v>
      </c>
      <c r="AX531" s="136"/>
      <c r="AY531" s="137">
        <f t="shared" ref="AY531:AY565" si="372">+AW531+AX531</f>
        <v>20340</v>
      </c>
      <c r="AZ531" s="137">
        <f t="shared" ref="AZ531:AZ565" si="373">X531*100</f>
        <v>20510</v>
      </c>
      <c r="BA531" s="142">
        <f t="shared" ref="BA531:BA565" si="374">AY531-AZ531</f>
        <v>-170</v>
      </c>
      <c r="BB531" s="137"/>
      <c r="BC531" s="137">
        <v>0</v>
      </c>
      <c r="BD531" s="136"/>
      <c r="BE531" s="128">
        <v>205.9</v>
      </c>
      <c r="BF531" s="143">
        <f t="shared" ref="BF531:BF565" si="375">+BE531*0.15/100</f>
        <v>0.30884999999999996</v>
      </c>
      <c r="BG531" s="143">
        <f t="shared" ref="BG531:BG565" si="376">BE531-BF531</f>
        <v>205.59115</v>
      </c>
      <c r="BH531" s="143">
        <f t="shared" ref="BH531:BH565" si="377">X531</f>
        <v>205.1</v>
      </c>
      <c r="BI531" s="144">
        <f t="shared" ref="BI531:BI565" si="378">(BE531-BH531)*100</f>
        <v>80.000000000001137</v>
      </c>
      <c r="BJ531" s="144">
        <v>0</v>
      </c>
      <c r="BK531" s="137">
        <f t="shared" ref="BK531:BK565" si="379">BI531</f>
        <v>80.000000000001137</v>
      </c>
      <c r="BL531" s="42"/>
      <c r="BM531" s="43" t="str">
        <f t="shared" ref="BM531:BM565" si="380">+$C$1&amp;" "&amp;C531 &amp;" "&amp;$N$1&amp;" "&amp;N531&amp;" "&amp;$BM$1&amp;" "&amp;$AK$1&amp;" "&amp;AK531&amp;" "&amp;$AL$1&amp;" "&amp;AL531&amp;" "&amp;$AM$1&amp;" "&amp;AM531&amp;" "&amp;$AN$1&amp;" "&amp;AN531&amp;" "&amp;$AO$1&amp;" "&amp;AO531&amp;" "&amp;$AP$1&amp;" "&amp;AP531&amp;" "&amp;$AQ$1&amp;" "&amp;AQ531</f>
        <v>Unloading no. 508 Bill No 117 ,Deduction For Oil Deduction= 0 ,Bardana= 0 ,F.M=  Brokerage/Rate Difference 0 ,Shortage = 3920.8 ,Greenish=  ,Moisture= 0</v>
      </c>
      <c r="BN531" s="41"/>
      <c r="BO531" s="44" t="str">
        <f t="shared" ref="BO531:BO565" si="381">+" "&amp;$AF$1&amp;" "&amp;AF531&amp;" "&amp;" "&amp;$AH$1&amp;" "&amp;AH531*100&amp;" "&amp;$AI$1&amp;" "&amp;AI531*100&amp;" "&amp;$AJ$1&amp;" "&amp;AJ531*100&amp;" ,"&amp;$AT$1&amp;" "&amp;AT531&amp;" "&amp;IF(AE531&gt;AG531," ,Oil%"&amp;" "&amp;AG531," ,Oil%"&amp;" "&amp;AE531)</f>
        <v xml:space="preserve"> Party Condition 40.42  ,F.M% 0.36 ,Greenish 3.3 ,Moisture 5.2 ,Shortage in KG= 52  ,Oil% 40.46</v>
      </c>
      <c r="BP531" s="45">
        <f t="shared" ref="BP531:BP565" si="382">(Y531-AR531)/X531</f>
        <v>7458.3871282301316</v>
      </c>
      <c r="BX531" s="27">
        <v>40.6</v>
      </c>
      <c r="BY531" s="27">
        <v>40.46</v>
      </c>
    </row>
    <row r="532" spans="1:77" s="46" customFormat="1" ht="14.1" hidden="1" customHeight="1" x14ac:dyDescent="0.3">
      <c r="A532" s="228" t="s">
        <v>1054</v>
      </c>
      <c r="B532" s="229">
        <v>46157</v>
      </c>
      <c r="C532" s="230">
        <v>509</v>
      </c>
      <c r="D532" s="228" t="s">
        <v>1101</v>
      </c>
      <c r="E532" s="229">
        <v>46160</v>
      </c>
      <c r="F532" s="228" t="s">
        <v>1083</v>
      </c>
      <c r="G532" s="228" t="s">
        <v>1084</v>
      </c>
      <c r="H532" s="174" t="s">
        <v>1085</v>
      </c>
      <c r="I532" s="176"/>
      <c r="J532" s="174" t="s">
        <v>1147</v>
      </c>
      <c r="K532" s="209">
        <v>0</v>
      </c>
      <c r="L532" s="175">
        <v>46157</v>
      </c>
      <c r="M532" s="176"/>
      <c r="N532" s="174">
        <v>10</v>
      </c>
      <c r="O532" s="231">
        <v>46159</v>
      </c>
      <c r="P532" s="174">
        <v>0</v>
      </c>
      <c r="Q532" s="174">
        <v>291</v>
      </c>
      <c r="R532" s="174">
        <v>98</v>
      </c>
      <c r="S532" s="174">
        <v>389</v>
      </c>
      <c r="T532" s="174">
        <v>389</v>
      </c>
      <c r="U532" s="209">
        <v>0</v>
      </c>
      <c r="V532" s="209">
        <v>0</v>
      </c>
      <c r="W532" s="179">
        <v>241.2</v>
      </c>
      <c r="X532" s="179">
        <v>239.2</v>
      </c>
      <c r="Y532" s="179">
        <v>1809000</v>
      </c>
      <c r="Z532" s="174"/>
      <c r="AA532" s="179">
        <v>45225</v>
      </c>
      <c r="AB532" s="179">
        <v>45225</v>
      </c>
      <c r="AC532" s="179">
        <v>1899450</v>
      </c>
      <c r="AD532" s="210">
        <f t="shared" si="315"/>
        <v>1897550.55</v>
      </c>
      <c r="AE532" s="178">
        <v>38.86</v>
      </c>
      <c r="AF532" s="179">
        <v>42</v>
      </c>
      <c r="AG532" s="178">
        <v>38.86</v>
      </c>
      <c r="AH532" s="232">
        <v>1.6199999999999999E-2</v>
      </c>
      <c r="AI532" s="180">
        <v>0.03</v>
      </c>
      <c r="AJ532" s="180">
        <v>4.7E-2</v>
      </c>
      <c r="AK532" s="184">
        <f t="shared" ref="AK532:AK565" si="383">+IF(AF532=42,IF(MIN(AE532,AG532)&lt;AF532,Y532*((AF532-MIN(AE532,AG532))/AF532)),IF(MIN(AE532,AG532)&lt;AF532,Y532*((AF532-MIN(AE532,AG532))/AF532),0))</f>
        <v>135244.28571428574</v>
      </c>
      <c r="AL532" s="208">
        <f>275*10+98*15</f>
        <v>4220</v>
      </c>
      <c r="AM532" s="208">
        <f>AH532*Y532</f>
        <v>29305.8</v>
      </c>
      <c r="AN532" s="182">
        <f>W532*15</f>
        <v>3618</v>
      </c>
      <c r="AO532" s="183">
        <f t="shared" si="352"/>
        <v>15000</v>
      </c>
      <c r="AP532" s="176"/>
      <c r="AQ532" s="181">
        <v>0</v>
      </c>
      <c r="AR532" s="184">
        <f t="shared" ref="AR532:AR565" si="384">SUM(AK532:AQ532)</f>
        <v>187388.08571428573</v>
      </c>
      <c r="AS532" s="184">
        <f t="shared" ref="AS532:AS565" si="385">ROUND(AR532*1.05,0)</f>
        <v>196757</v>
      </c>
      <c r="AT532" s="181">
        <v>200</v>
      </c>
      <c r="AU532" s="176"/>
      <c r="AV532" s="176"/>
      <c r="AW532" s="181">
        <f t="shared" si="371"/>
        <v>24120</v>
      </c>
      <c r="AX532" s="176"/>
      <c r="AY532" s="181">
        <f t="shared" si="372"/>
        <v>24120</v>
      </c>
      <c r="AZ532" s="181">
        <f t="shared" si="373"/>
        <v>23920</v>
      </c>
      <c r="BA532" s="185">
        <f t="shared" si="374"/>
        <v>200</v>
      </c>
      <c r="BB532" s="181"/>
      <c r="BC532" s="181">
        <v>0</v>
      </c>
      <c r="BD532" s="176"/>
      <c r="BE532" s="174">
        <v>241.2</v>
      </c>
      <c r="BF532" s="177">
        <f t="shared" si="375"/>
        <v>0.36180000000000001</v>
      </c>
      <c r="BG532" s="177">
        <f t="shared" si="376"/>
        <v>240.8382</v>
      </c>
      <c r="BH532" s="177">
        <f t="shared" si="377"/>
        <v>239.2</v>
      </c>
      <c r="BI532" s="186">
        <f t="shared" si="378"/>
        <v>200</v>
      </c>
      <c r="BJ532" s="186">
        <v>0</v>
      </c>
      <c r="BK532" s="181">
        <f t="shared" si="379"/>
        <v>200</v>
      </c>
      <c r="BL532" s="50"/>
      <c r="BM532" s="51" t="str">
        <f t="shared" si="380"/>
        <v>Unloading no. 509 Bill No 10 ,Deduction For Oil Deduction= 135244.285714286 ,Bardana= 4220 ,F.M= 29305.8 Brokerage/Rate Difference 3618 ,Shortage = 15000 ,Greenish=  ,Moisture= 0</v>
      </c>
      <c r="BN532" s="52"/>
      <c r="BO532" s="53" t="str">
        <f t="shared" si="381"/>
        <v xml:space="preserve"> Party Condition 42  ,F.M% 1.62 ,Greenish 3 ,Moisture 4.7 ,Shortage in KG= 200  ,Oil% 38.86</v>
      </c>
      <c r="BP532" s="54">
        <f t="shared" si="382"/>
        <v>6779.3140229335886</v>
      </c>
      <c r="BX532" s="27">
        <v>38.86</v>
      </c>
      <c r="BY532" s="27">
        <v>38.86</v>
      </c>
    </row>
    <row r="533" spans="1:77" ht="14.1" hidden="1" customHeight="1" x14ac:dyDescent="0.3">
      <c r="A533" s="128" t="s">
        <v>1136</v>
      </c>
      <c r="B533" s="130">
        <v>46157</v>
      </c>
      <c r="C533" s="138">
        <v>510</v>
      </c>
      <c r="D533" s="128" t="s">
        <v>1102</v>
      </c>
      <c r="E533" s="130">
        <v>46161</v>
      </c>
      <c r="F533" s="128" t="s">
        <v>1142</v>
      </c>
      <c r="G533" s="158" t="s">
        <v>1143</v>
      </c>
      <c r="H533" s="128" t="s">
        <v>103</v>
      </c>
      <c r="I533" s="136"/>
      <c r="J533" s="174" t="s">
        <v>1147</v>
      </c>
      <c r="K533" s="163">
        <v>0</v>
      </c>
      <c r="L533" s="130">
        <v>46157</v>
      </c>
      <c r="M533" s="136"/>
      <c r="N533" s="128" t="s">
        <v>1148</v>
      </c>
      <c r="O533" s="130">
        <v>46160</v>
      </c>
      <c r="P533" s="128">
        <v>0</v>
      </c>
      <c r="Q533" s="128">
        <v>204</v>
      </c>
      <c r="R533" s="128">
        <v>45</v>
      </c>
      <c r="S533" s="128">
        <v>249</v>
      </c>
      <c r="T533" s="128">
        <v>249</v>
      </c>
      <c r="U533" s="163">
        <v>0</v>
      </c>
      <c r="V533" s="163">
        <v>0</v>
      </c>
      <c r="W533" s="169">
        <v>142</v>
      </c>
      <c r="X533" s="169">
        <v>140.19999999999999</v>
      </c>
      <c r="Y533" s="169">
        <v>1065000</v>
      </c>
      <c r="Z533" s="128"/>
      <c r="AA533" s="169">
        <v>26625</v>
      </c>
      <c r="AB533" s="169">
        <v>26625</v>
      </c>
      <c r="AC533" s="169">
        <v>1118250</v>
      </c>
      <c r="AD533" s="197">
        <f t="shared" si="315"/>
        <v>1117131.75</v>
      </c>
      <c r="AE533" s="147">
        <v>40.25</v>
      </c>
      <c r="AF533" s="169">
        <v>42</v>
      </c>
      <c r="AG533" s="147">
        <v>40.229999999999997</v>
      </c>
      <c r="AH533" s="233">
        <v>4.0000000000000001E-3</v>
      </c>
      <c r="AI533" s="170">
        <v>3.7400000000000003E-2</v>
      </c>
      <c r="AJ533" s="170">
        <v>4.3999999999999997E-2</v>
      </c>
      <c r="AK533" s="155">
        <f t="shared" si="383"/>
        <v>44882.142857142935</v>
      </c>
      <c r="AL533" s="157">
        <f>204*10+45*15</f>
        <v>2715</v>
      </c>
      <c r="AM533" s="157">
        <f>AH533*Y533</f>
        <v>4260</v>
      </c>
      <c r="AN533" s="234">
        <v>0</v>
      </c>
      <c r="AO533" s="140">
        <f t="shared" ref="AO533:AO565" si="386">AT533*Y533/AW533</f>
        <v>13500</v>
      </c>
      <c r="AP533" s="136"/>
      <c r="AQ533" s="137">
        <v>0</v>
      </c>
      <c r="AR533" s="155">
        <f t="shared" si="384"/>
        <v>65357.142857142935</v>
      </c>
      <c r="AS533" s="155">
        <f t="shared" si="385"/>
        <v>68625</v>
      </c>
      <c r="AT533" s="137">
        <v>180</v>
      </c>
      <c r="AU533" s="136"/>
      <c r="AV533" s="136"/>
      <c r="AW533" s="137">
        <f t="shared" si="371"/>
        <v>14200</v>
      </c>
      <c r="AX533" s="136"/>
      <c r="AY533" s="137">
        <f t="shared" si="372"/>
        <v>14200</v>
      </c>
      <c r="AZ533" s="137">
        <f t="shared" si="373"/>
        <v>14019.999999999998</v>
      </c>
      <c r="BA533" s="142">
        <f t="shared" si="374"/>
        <v>180.00000000000182</v>
      </c>
      <c r="BB533" s="137"/>
      <c r="BC533" s="137">
        <v>0</v>
      </c>
      <c r="BD533" s="136"/>
      <c r="BE533" s="128">
        <v>142</v>
      </c>
      <c r="BF533" s="143">
        <f t="shared" si="375"/>
        <v>0.21299999999999999</v>
      </c>
      <c r="BG533" s="143">
        <f t="shared" si="376"/>
        <v>141.78700000000001</v>
      </c>
      <c r="BH533" s="143">
        <f t="shared" si="377"/>
        <v>140.19999999999999</v>
      </c>
      <c r="BI533" s="144">
        <f t="shared" si="378"/>
        <v>180.00000000000114</v>
      </c>
      <c r="BJ533" s="144">
        <v>0</v>
      </c>
      <c r="BK533" s="137">
        <f t="shared" si="379"/>
        <v>180.00000000000114</v>
      </c>
      <c r="BL533" s="42"/>
      <c r="BM533" s="43" t="str">
        <f t="shared" si="380"/>
        <v>Unloading no. 510 Bill No 2026-27/6908 ,Deduction For Oil Deduction= 44882.1428571429 ,Bardana= 2715 ,F.M= 4260 Brokerage/Rate Difference 0 ,Shortage = 13500 ,Greenish=  ,Moisture= 0</v>
      </c>
      <c r="BN533" s="41"/>
      <c r="BO533" s="44" t="str">
        <f t="shared" si="381"/>
        <v xml:space="preserve"> Party Condition 42  ,F.M% 0.4 ,Greenish 3.74 ,Moisture 4.4 ,Shortage in KG= 180  ,Oil% 40.23</v>
      </c>
      <c r="BP533" s="45">
        <f t="shared" si="382"/>
        <v>7130.1202363969842</v>
      </c>
      <c r="BX533" s="27">
        <v>40.25</v>
      </c>
      <c r="BY533" s="27">
        <v>40.229999999999997</v>
      </c>
    </row>
    <row r="534" spans="1:77" ht="14.1" hidden="1" customHeight="1" x14ac:dyDescent="0.3">
      <c r="A534" s="128" t="s">
        <v>1137</v>
      </c>
      <c r="B534" s="130">
        <v>46160</v>
      </c>
      <c r="C534" s="138">
        <v>512</v>
      </c>
      <c r="D534" s="128" t="s">
        <v>1103</v>
      </c>
      <c r="E534" s="130">
        <v>46161</v>
      </c>
      <c r="F534" s="128" t="s">
        <v>1144</v>
      </c>
      <c r="G534" s="158" t="s">
        <v>1145</v>
      </c>
      <c r="H534" s="128" t="s">
        <v>103</v>
      </c>
      <c r="I534" s="136"/>
      <c r="J534" s="128" t="s">
        <v>1146</v>
      </c>
      <c r="K534" s="163">
        <v>0</v>
      </c>
      <c r="L534" s="130">
        <v>46160</v>
      </c>
      <c r="M534" s="136"/>
      <c r="N534" s="128" t="s">
        <v>1149</v>
      </c>
      <c r="O534" s="130">
        <v>46161</v>
      </c>
      <c r="P534" s="128">
        <v>0</v>
      </c>
      <c r="Q534" s="128">
        <v>130</v>
      </c>
      <c r="R534" s="128">
        <v>40</v>
      </c>
      <c r="S534" s="128">
        <v>170</v>
      </c>
      <c r="T534" s="128">
        <v>170</v>
      </c>
      <c r="U534" s="163">
        <v>0</v>
      </c>
      <c r="V534" s="163">
        <v>0</v>
      </c>
      <c r="W534" s="169">
        <v>83.2</v>
      </c>
      <c r="X534" s="169">
        <v>83.1</v>
      </c>
      <c r="Y534" s="169">
        <v>649043.19999999995</v>
      </c>
      <c r="Z534" s="235">
        <v>39.619999999999997</v>
      </c>
      <c r="AA534" s="169">
        <v>16226.08</v>
      </c>
      <c r="AB534" s="169">
        <v>16226.08</v>
      </c>
      <c r="AC534" s="169">
        <v>681495.36</v>
      </c>
      <c r="AD534" s="197">
        <f t="shared" si="315"/>
        <v>680813.86464000004</v>
      </c>
      <c r="AE534" s="236">
        <v>39.619999999999997</v>
      </c>
      <c r="AF534" s="169">
        <v>42</v>
      </c>
      <c r="AG534" s="236">
        <v>39.619999999999997</v>
      </c>
      <c r="AH534" s="170">
        <v>3.5000000000000001E-3</v>
      </c>
      <c r="AI534" s="170">
        <v>0.03</v>
      </c>
      <c r="AJ534" s="170">
        <v>0.05</v>
      </c>
      <c r="AK534" s="155">
        <f t="shared" si="383"/>
        <v>36779.114666666705</v>
      </c>
      <c r="AL534" s="157">
        <v>0</v>
      </c>
      <c r="AM534" s="157"/>
      <c r="AN534" s="165">
        <v>0</v>
      </c>
      <c r="AO534" s="140">
        <f t="shared" si="386"/>
        <v>0</v>
      </c>
      <c r="AP534" s="136"/>
      <c r="AQ534" s="137">
        <v>0</v>
      </c>
      <c r="AR534" s="155">
        <f t="shared" si="384"/>
        <v>36779.114666666705</v>
      </c>
      <c r="AS534" s="155">
        <f t="shared" si="385"/>
        <v>38618</v>
      </c>
      <c r="AT534" s="137">
        <v>0</v>
      </c>
      <c r="AU534" s="136"/>
      <c r="AV534" s="136"/>
      <c r="AW534" s="137">
        <f t="shared" si="371"/>
        <v>8320</v>
      </c>
      <c r="AX534" s="136"/>
      <c r="AY534" s="137">
        <f t="shared" si="372"/>
        <v>8320</v>
      </c>
      <c r="AZ534" s="137">
        <f t="shared" si="373"/>
        <v>8310</v>
      </c>
      <c r="BA534" s="142">
        <f t="shared" si="374"/>
        <v>10</v>
      </c>
      <c r="BB534" s="137"/>
      <c r="BC534" s="137">
        <v>0</v>
      </c>
      <c r="BD534" s="136"/>
      <c r="BE534" s="128">
        <v>83.2</v>
      </c>
      <c r="BF534" s="143">
        <f t="shared" si="375"/>
        <v>0.12480000000000001</v>
      </c>
      <c r="BG534" s="143">
        <f t="shared" si="376"/>
        <v>83.075200000000009</v>
      </c>
      <c r="BH534" s="143">
        <f t="shared" si="377"/>
        <v>83.1</v>
      </c>
      <c r="BI534" s="144">
        <f t="shared" si="378"/>
        <v>10.000000000000853</v>
      </c>
      <c r="BJ534" s="144">
        <v>0</v>
      </c>
      <c r="BK534" s="137">
        <f t="shared" si="379"/>
        <v>10.000000000000853</v>
      </c>
      <c r="BL534" s="42"/>
      <c r="BM534" s="43" t="str">
        <f t="shared" si="380"/>
        <v>Unloading no. 512 Bill No 2026-27/20 ,Deduction For Oil Deduction= 36779.1146666667 ,Bardana= 0 ,F.M=  Brokerage/Rate Difference 0 ,Shortage = 0 ,Greenish=  ,Moisture= 0</v>
      </c>
      <c r="BN534" s="41"/>
      <c r="BO534" s="44" t="str">
        <f t="shared" si="381"/>
        <v xml:space="preserve"> Party Condition 42  ,F.M% 0.35 ,Greenish 3 ,Moisture 5 ,Shortage in KG= 0  ,Oil% 39.62</v>
      </c>
      <c r="BP534" s="45">
        <f t="shared" si="382"/>
        <v>7367.7988608102678</v>
      </c>
      <c r="BX534" s="27">
        <v>39.71</v>
      </c>
      <c r="BY534" s="27">
        <v>39.58</v>
      </c>
    </row>
    <row r="535" spans="1:77" ht="14.1" hidden="1" customHeight="1" x14ac:dyDescent="0.3">
      <c r="A535" s="128" t="s">
        <v>1137</v>
      </c>
      <c r="B535" s="130">
        <v>46160</v>
      </c>
      <c r="C535" s="138">
        <v>513</v>
      </c>
      <c r="D535" s="128" t="s">
        <v>1104</v>
      </c>
      <c r="E535" s="130">
        <v>46161</v>
      </c>
      <c r="F535" s="128" t="s">
        <v>1144</v>
      </c>
      <c r="G535" s="158" t="s">
        <v>1145</v>
      </c>
      <c r="H535" s="128" t="s">
        <v>103</v>
      </c>
      <c r="I535" s="136"/>
      <c r="J535" s="128" t="s">
        <v>1146</v>
      </c>
      <c r="K535" s="163">
        <v>0</v>
      </c>
      <c r="L535" s="130">
        <v>46160</v>
      </c>
      <c r="M535" s="136"/>
      <c r="N535" s="128" t="s">
        <v>1150</v>
      </c>
      <c r="O535" s="130">
        <v>46161</v>
      </c>
      <c r="P535" s="128">
        <v>0</v>
      </c>
      <c r="Q535" s="128">
        <v>70</v>
      </c>
      <c r="R535" s="128">
        <v>100</v>
      </c>
      <c r="S535" s="128">
        <v>170</v>
      </c>
      <c r="T535" s="128">
        <v>170</v>
      </c>
      <c r="U535" s="163">
        <v>0</v>
      </c>
      <c r="V535" s="163">
        <v>0</v>
      </c>
      <c r="W535" s="169">
        <v>83.3</v>
      </c>
      <c r="X535" s="169">
        <v>83</v>
      </c>
      <c r="Y535" s="169">
        <v>649823.30000000005</v>
      </c>
      <c r="Z535" s="235">
        <v>39.1</v>
      </c>
      <c r="AA535" s="169">
        <v>16245.58</v>
      </c>
      <c r="AB535" s="169">
        <v>16245.58</v>
      </c>
      <c r="AC535" s="169">
        <v>682314.47</v>
      </c>
      <c r="AD535" s="197">
        <f t="shared" si="315"/>
        <v>681632.15552999999</v>
      </c>
      <c r="AE535" s="236">
        <v>39.1</v>
      </c>
      <c r="AF535" s="169">
        <v>42</v>
      </c>
      <c r="AG535" s="236">
        <v>39.1</v>
      </c>
      <c r="AH535" s="170">
        <v>3.7000000000000002E-3</v>
      </c>
      <c r="AI535" s="170">
        <v>3.4599999999999999E-2</v>
      </c>
      <c r="AJ535" s="170">
        <v>5.2999999999999999E-2</v>
      </c>
      <c r="AK535" s="155">
        <f t="shared" si="383"/>
        <v>44868.751666666649</v>
      </c>
      <c r="AL535" s="157">
        <v>0</v>
      </c>
      <c r="AM535" s="157"/>
      <c r="AN535" s="165">
        <v>0</v>
      </c>
      <c r="AO535" s="140">
        <f t="shared" si="386"/>
        <v>1014.13</v>
      </c>
      <c r="AP535" s="136"/>
      <c r="AQ535" s="137">
        <v>0</v>
      </c>
      <c r="AR535" s="155">
        <f t="shared" si="384"/>
        <v>45882.881666666646</v>
      </c>
      <c r="AS535" s="155">
        <f t="shared" si="385"/>
        <v>48177</v>
      </c>
      <c r="AT535" s="137">
        <v>13</v>
      </c>
      <c r="AU535" s="136"/>
      <c r="AV535" s="136"/>
      <c r="AW535" s="137">
        <f t="shared" si="371"/>
        <v>8330</v>
      </c>
      <c r="AX535" s="136"/>
      <c r="AY535" s="137">
        <f t="shared" si="372"/>
        <v>8330</v>
      </c>
      <c r="AZ535" s="137">
        <f t="shared" si="373"/>
        <v>8300</v>
      </c>
      <c r="BA535" s="142">
        <f t="shared" si="374"/>
        <v>30</v>
      </c>
      <c r="BB535" s="137"/>
      <c r="BC535" s="137">
        <v>0</v>
      </c>
      <c r="BD535" s="136"/>
      <c r="BE535" s="128">
        <v>83.3</v>
      </c>
      <c r="BF535" s="143">
        <f t="shared" si="375"/>
        <v>0.12494999999999999</v>
      </c>
      <c r="BG535" s="143">
        <f t="shared" si="376"/>
        <v>83.175049999999999</v>
      </c>
      <c r="BH535" s="143">
        <f t="shared" si="377"/>
        <v>83</v>
      </c>
      <c r="BI535" s="144">
        <f t="shared" si="378"/>
        <v>29.999999999999716</v>
      </c>
      <c r="BJ535" s="144">
        <v>0</v>
      </c>
      <c r="BK535" s="137">
        <f t="shared" si="379"/>
        <v>29.999999999999716</v>
      </c>
      <c r="BL535" s="42"/>
      <c r="BM535" s="43" t="str">
        <f t="shared" si="380"/>
        <v>Unloading no. 513 Bill No 2026-27/21 ,Deduction For Oil Deduction= 44868.7516666666 ,Bardana= 0 ,F.M=  Brokerage/Rate Difference 0 ,Shortage = 1014.13 ,Greenish=  ,Moisture= 0</v>
      </c>
      <c r="BN535" s="41"/>
      <c r="BO535" s="44" t="str">
        <f t="shared" si="381"/>
        <v xml:space="preserve"> Party Condition 42  ,F.M% 0.37 ,Greenish 3.46 ,Moisture 5.3 ,Shortage in KG= 13  ,Oil% 39.1</v>
      </c>
      <c r="BP535" s="45">
        <f t="shared" si="382"/>
        <v>7276.3905823293189</v>
      </c>
      <c r="BX535" s="27">
        <v>39.21</v>
      </c>
      <c r="BY535" s="27">
        <v>39.24</v>
      </c>
    </row>
    <row r="536" spans="1:77" ht="14.1" hidden="1" customHeight="1" x14ac:dyDescent="0.3">
      <c r="A536" s="128" t="s">
        <v>1137</v>
      </c>
      <c r="B536" s="130">
        <v>46160</v>
      </c>
      <c r="C536" s="190">
        <v>514</v>
      </c>
      <c r="D536" s="159" t="s">
        <v>1105</v>
      </c>
      <c r="E536" s="194">
        <v>46161</v>
      </c>
      <c r="F536" s="159" t="s">
        <v>1144</v>
      </c>
      <c r="G536" s="237" t="s">
        <v>1145</v>
      </c>
      <c r="H536" s="159" t="s">
        <v>103</v>
      </c>
      <c r="I536" s="206"/>
      <c r="J536" s="159" t="s">
        <v>1146</v>
      </c>
      <c r="K536" s="159">
        <v>0</v>
      </c>
      <c r="L536" s="194">
        <v>46160</v>
      </c>
      <c r="M536" s="206"/>
      <c r="N536" s="159" t="s">
        <v>1151</v>
      </c>
      <c r="O536" s="130">
        <v>46161</v>
      </c>
      <c r="P536" s="128">
        <v>0</v>
      </c>
      <c r="Q536" s="128">
        <v>120</v>
      </c>
      <c r="R536" s="128">
        <v>50</v>
      </c>
      <c r="S536" s="128">
        <v>170</v>
      </c>
      <c r="T536" s="128">
        <v>170</v>
      </c>
      <c r="U536" s="163">
        <v>0</v>
      </c>
      <c r="V536" s="163">
        <v>0</v>
      </c>
      <c r="W536" s="169">
        <v>82.5</v>
      </c>
      <c r="X536" s="169">
        <v>82.3</v>
      </c>
      <c r="Y536" s="169">
        <v>643582.5</v>
      </c>
      <c r="Z536" s="235">
        <v>39.17</v>
      </c>
      <c r="AA536" s="169">
        <v>16089.56</v>
      </c>
      <c r="AB536" s="169">
        <v>16089.56</v>
      </c>
      <c r="AC536" s="169">
        <v>675761.63</v>
      </c>
      <c r="AD536" s="197">
        <f t="shared" si="315"/>
        <v>675085.86837000004</v>
      </c>
      <c r="AE536" s="236">
        <v>39.17</v>
      </c>
      <c r="AF536" s="169">
        <v>42</v>
      </c>
      <c r="AG536" s="236">
        <v>39.17</v>
      </c>
      <c r="AH536" s="170">
        <v>4.0000000000000001E-3</v>
      </c>
      <c r="AI536" s="170">
        <v>3.3000000000000002E-2</v>
      </c>
      <c r="AJ536" s="170">
        <v>5.3999999999999999E-2</v>
      </c>
      <c r="AK536" s="155">
        <f t="shared" si="383"/>
        <v>43365.201785714264</v>
      </c>
      <c r="AL536" s="157">
        <v>0</v>
      </c>
      <c r="AM536" s="157"/>
      <c r="AN536" s="165">
        <v>0</v>
      </c>
      <c r="AO536" s="140">
        <f t="shared" si="386"/>
        <v>234.03</v>
      </c>
      <c r="AP536" s="136"/>
      <c r="AQ536" s="137">
        <v>0</v>
      </c>
      <c r="AR536" s="155">
        <f t="shared" si="384"/>
        <v>43599.231785714263</v>
      </c>
      <c r="AS536" s="155">
        <f t="shared" si="385"/>
        <v>45779</v>
      </c>
      <c r="AT536" s="137">
        <v>3</v>
      </c>
      <c r="AU536" s="136"/>
      <c r="AV536" s="136"/>
      <c r="AW536" s="137">
        <f t="shared" si="371"/>
        <v>8250</v>
      </c>
      <c r="AX536" s="136"/>
      <c r="AY536" s="137">
        <f t="shared" si="372"/>
        <v>8250</v>
      </c>
      <c r="AZ536" s="137">
        <f t="shared" si="373"/>
        <v>8230</v>
      </c>
      <c r="BA536" s="142">
        <f t="shared" si="374"/>
        <v>20</v>
      </c>
      <c r="BB536" s="137"/>
      <c r="BC536" s="137">
        <v>0</v>
      </c>
      <c r="BD536" s="136"/>
      <c r="BE536" s="128">
        <v>82.5</v>
      </c>
      <c r="BF536" s="143">
        <f t="shared" si="375"/>
        <v>0.12375</v>
      </c>
      <c r="BG536" s="143">
        <f t="shared" si="376"/>
        <v>82.376249999999999</v>
      </c>
      <c r="BH536" s="143">
        <f t="shared" si="377"/>
        <v>82.3</v>
      </c>
      <c r="BI536" s="144">
        <f t="shared" si="378"/>
        <v>20.000000000000284</v>
      </c>
      <c r="BJ536" s="144">
        <v>0</v>
      </c>
      <c r="BK536" s="137">
        <f t="shared" si="379"/>
        <v>20.000000000000284</v>
      </c>
      <c r="BL536" s="42"/>
      <c r="BM536" s="43" t="str">
        <f t="shared" si="380"/>
        <v>Unloading no. 514 Bill No 2026-27/22 ,Deduction For Oil Deduction= 43365.2017857143 ,Bardana= 0 ,F.M=  Brokerage/Rate Difference 0 ,Shortage = 234.03 ,Greenish=  ,Moisture= 0</v>
      </c>
      <c r="BN536" s="41"/>
      <c r="BO536" s="44" t="str">
        <f t="shared" si="381"/>
        <v xml:space="preserve"> Party Condition 42  ,F.M% 0.4 ,Greenish 3.3 ,Moisture 5.4 ,Shortage in KG= 3  ,Oil% 39.17</v>
      </c>
      <c r="BP536" s="45">
        <f t="shared" si="382"/>
        <v>7290.1976696754036</v>
      </c>
      <c r="BX536" s="27">
        <v>39.130000000000003</v>
      </c>
      <c r="BY536" s="27">
        <v>39.130000000000003</v>
      </c>
    </row>
    <row r="537" spans="1:77" ht="14.1" hidden="1" customHeight="1" x14ac:dyDescent="0.3">
      <c r="A537" s="128" t="s">
        <v>1137</v>
      </c>
      <c r="B537" s="130">
        <v>46160</v>
      </c>
      <c r="C537" s="138">
        <v>515</v>
      </c>
      <c r="D537" s="128" t="s">
        <v>1106</v>
      </c>
      <c r="E537" s="130">
        <v>46161</v>
      </c>
      <c r="F537" s="128" t="s">
        <v>1144</v>
      </c>
      <c r="G537" s="158" t="s">
        <v>1145</v>
      </c>
      <c r="H537" s="128" t="s">
        <v>103</v>
      </c>
      <c r="I537" s="136"/>
      <c r="J537" s="128" t="s">
        <v>1146</v>
      </c>
      <c r="K537" s="163">
        <v>0</v>
      </c>
      <c r="L537" s="130">
        <v>46160</v>
      </c>
      <c r="M537" s="136"/>
      <c r="N537" s="128" t="s">
        <v>1152</v>
      </c>
      <c r="O537" s="130">
        <v>46161</v>
      </c>
      <c r="P537" s="128">
        <v>0</v>
      </c>
      <c r="Q537" s="128">
        <v>140</v>
      </c>
      <c r="R537" s="128">
        <v>30</v>
      </c>
      <c r="S537" s="128">
        <v>170</v>
      </c>
      <c r="T537" s="128">
        <v>170</v>
      </c>
      <c r="U537" s="163">
        <v>0</v>
      </c>
      <c r="V537" s="163">
        <v>0</v>
      </c>
      <c r="W537" s="169">
        <v>83.9</v>
      </c>
      <c r="X537" s="169">
        <v>83.8</v>
      </c>
      <c r="Y537" s="169">
        <v>654503.9</v>
      </c>
      <c r="Z537" s="235">
        <v>39.64</v>
      </c>
      <c r="AA537" s="169">
        <v>16362.6</v>
      </c>
      <c r="AB537" s="169">
        <v>16362.6</v>
      </c>
      <c r="AC537" s="169">
        <v>687229.1</v>
      </c>
      <c r="AD537" s="197">
        <f t="shared" si="315"/>
        <v>686541.87089999998</v>
      </c>
      <c r="AE537" s="236">
        <v>39.64</v>
      </c>
      <c r="AF537" s="169">
        <v>42</v>
      </c>
      <c r="AG537" s="236">
        <v>39.64</v>
      </c>
      <c r="AH537" s="170">
        <v>3.2000000000000002E-3</v>
      </c>
      <c r="AI537" s="170">
        <v>3.2000000000000001E-2</v>
      </c>
      <c r="AJ537" s="170">
        <v>5.5E-2</v>
      </c>
      <c r="AK537" s="155">
        <f t="shared" si="383"/>
        <v>36776.885809523803</v>
      </c>
      <c r="AL537" s="157">
        <v>0</v>
      </c>
      <c r="AM537" s="157"/>
      <c r="AN537" s="165">
        <v>0</v>
      </c>
      <c r="AO537" s="140">
        <f t="shared" si="386"/>
        <v>0</v>
      </c>
      <c r="AP537" s="136"/>
      <c r="AQ537" s="137">
        <v>0</v>
      </c>
      <c r="AR537" s="155">
        <f t="shared" si="384"/>
        <v>36776.885809523803</v>
      </c>
      <c r="AS537" s="155">
        <f t="shared" si="385"/>
        <v>38616</v>
      </c>
      <c r="AT537" s="137">
        <v>0</v>
      </c>
      <c r="AU537" s="136"/>
      <c r="AV537" s="136"/>
      <c r="AW537" s="137">
        <f t="shared" si="371"/>
        <v>8390</v>
      </c>
      <c r="AX537" s="136"/>
      <c r="AY537" s="137">
        <f t="shared" si="372"/>
        <v>8390</v>
      </c>
      <c r="AZ537" s="137">
        <f t="shared" si="373"/>
        <v>8380</v>
      </c>
      <c r="BA537" s="142">
        <f t="shared" si="374"/>
        <v>10</v>
      </c>
      <c r="BB537" s="137"/>
      <c r="BC537" s="137">
        <v>0</v>
      </c>
      <c r="BD537" s="136"/>
      <c r="BE537" s="128">
        <v>83.9</v>
      </c>
      <c r="BF537" s="143">
        <f t="shared" si="375"/>
        <v>0.12585000000000002</v>
      </c>
      <c r="BG537" s="143">
        <f t="shared" si="376"/>
        <v>83.774150000000006</v>
      </c>
      <c r="BH537" s="143">
        <f t="shared" si="377"/>
        <v>83.8</v>
      </c>
      <c r="BI537" s="144">
        <f t="shared" si="378"/>
        <v>10.000000000000853</v>
      </c>
      <c r="BJ537" s="144">
        <v>0</v>
      </c>
      <c r="BK537" s="137">
        <f t="shared" si="379"/>
        <v>10.000000000000853</v>
      </c>
      <c r="BL537" s="42"/>
      <c r="BM537" s="43" t="str">
        <f t="shared" si="380"/>
        <v>Unloading no. 515 Bill No 2026-27/24 ,Deduction For Oil Deduction= 36776.8858095238 ,Bardana= 0 ,F.M=  Brokerage/Rate Difference 0 ,Shortage = 0 ,Greenish=  ,Moisture= 0</v>
      </c>
      <c r="BN537" s="41"/>
      <c r="BO537" s="44" t="str">
        <f t="shared" si="381"/>
        <v xml:space="preserve"> Party Condition 42  ,F.M% 0.32 ,Greenish 3.2 ,Moisture 5.5 ,Shortage in KG= 0  ,Oil% 39.64</v>
      </c>
      <c r="BP537" s="45">
        <f t="shared" si="382"/>
        <v>7371.4440834185716</v>
      </c>
      <c r="BX537" s="27">
        <v>39.25</v>
      </c>
      <c r="BY537" s="27">
        <v>39.270000000000003</v>
      </c>
    </row>
    <row r="538" spans="1:77" ht="14.1" hidden="1" customHeight="1" x14ac:dyDescent="0.3">
      <c r="A538" s="128" t="s">
        <v>1137</v>
      </c>
      <c r="B538" s="130">
        <v>46160</v>
      </c>
      <c r="C538" s="138">
        <v>516</v>
      </c>
      <c r="D538" s="128" t="s">
        <v>1107</v>
      </c>
      <c r="E538" s="130">
        <v>46161</v>
      </c>
      <c r="F538" s="128" t="s">
        <v>1144</v>
      </c>
      <c r="G538" s="158" t="s">
        <v>1145</v>
      </c>
      <c r="H538" s="128" t="s">
        <v>103</v>
      </c>
      <c r="I538" s="136"/>
      <c r="J538" s="128" t="s">
        <v>1146</v>
      </c>
      <c r="K538" s="163">
        <v>0</v>
      </c>
      <c r="L538" s="130">
        <v>46160</v>
      </c>
      <c r="M538" s="136"/>
      <c r="N538" s="128" t="s">
        <v>1153</v>
      </c>
      <c r="O538" s="130">
        <v>46161</v>
      </c>
      <c r="P538" s="128">
        <v>0</v>
      </c>
      <c r="Q538" s="128">
        <v>140</v>
      </c>
      <c r="R538" s="128">
        <v>30</v>
      </c>
      <c r="S538" s="128">
        <v>170</v>
      </c>
      <c r="T538" s="128">
        <v>170</v>
      </c>
      <c r="U538" s="163">
        <v>0</v>
      </c>
      <c r="V538" s="163">
        <v>0</v>
      </c>
      <c r="W538" s="169">
        <v>83.5</v>
      </c>
      <c r="X538" s="169">
        <v>83.2</v>
      </c>
      <c r="Y538" s="169">
        <v>651383.5</v>
      </c>
      <c r="Z538" s="235">
        <v>39.51</v>
      </c>
      <c r="AA538" s="169">
        <v>16284.59</v>
      </c>
      <c r="AB538" s="169">
        <v>16284.59</v>
      </c>
      <c r="AC538" s="169">
        <v>683952.68</v>
      </c>
      <c r="AD538" s="197">
        <f t="shared" si="315"/>
        <v>683268.72732000006</v>
      </c>
      <c r="AE538" s="236">
        <v>39.51</v>
      </c>
      <c r="AF538" s="169">
        <v>42</v>
      </c>
      <c r="AG538" s="236">
        <v>39.51</v>
      </c>
      <c r="AH538" s="170">
        <v>2.8E-3</v>
      </c>
      <c r="AI538" s="170">
        <v>0.03</v>
      </c>
      <c r="AJ538" s="170">
        <v>5.5E-2</v>
      </c>
      <c r="AK538" s="155">
        <f t="shared" si="383"/>
        <v>38617.736071428604</v>
      </c>
      <c r="AL538" s="157">
        <v>0</v>
      </c>
      <c r="AM538" s="157"/>
      <c r="AN538" s="165">
        <v>0</v>
      </c>
      <c r="AO538" s="140">
        <f t="shared" si="386"/>
        <v>1014.13</v>
      </c>
      <c r="AP538" s="136"/>
      <c r="AQ538" s="137">
        <v>0</v>
      </c>
      <c r="AR538" s="155">
        <f t="shared" si="384"/>
        <v>39631.866071428602</v>
      </c>
      <c r="AS538" s="155">
        <f t="shared" si="385"/>
        <v>41613</v>
      </c>
      <c r="AT538" s="137">
        <v>13</v>
      </c>
      <c r="AU538" s="136"/>
      <c r="AV538" s="136"/>
      <c r="AW538" s="137">
        <f t="shared" si="371"/>
        <v>8350</v>
      </c>
      <c r="AX538" s="136"/>
      <c r="AY538" s="137">
        <f t="shared" si="372"/>
        <v>8350</v>
      </c>
      <c r="AZ538" s="137">
        <f t="shared" si="373"/>
        <v>8320</v>
      </c>
      <c r="BA538" s="142">
        <f t="shared" si="374"/>
        <v>30</v>
      </c>
      <c r="BB538" s="137"/>
      <c r="BC538" s="137">
        <v>0</v>
      </c>
      <c r="BD538" s="136"/>
      <c r="BE538" s="128">
        <v>83.5</v>
      </c>
      <c r="BF538" s="143">
        <f t="shared" si="375"/>
        <v>0.12525</v>
      </c>
      <c r="BG538" s="143">
        <f t="shared" si="376"/>
        <v>83.374750000000006</v>
      </c>
      <c r="BH538" s="143">
        <f t="shared" si="377"/>
        <v>83.2</v>
      </c>
      <c r="BI538" s="144">
        <f t="shared" si="378"/>
        <v>29.999999999999716</v>
      </c>
      <c r="BJ538" s="144">
        <v>0</v>
      </c>
      <c r="BK538" s="137">
        <f t="shared" si="379"/>
        <v>29.999999999999716</v>
      </c>
      <c r="BL538" s="42"/>
      <c r="BM538" s="43" t="str">
        <f t="shared" si="380"/>
        <v>Unloading no. 516 Bill No 2026-27/23 ,Deduction For Oil Deduction= 38617.7360714286 ,Bardana= 0 ,F.M=  Brokerage/Rate Difference 0 ,Shortage = 1014.13 ,Greenish=  ,Moisture= 0</v>
      </c>
      <c r="BN538" s="41"/>
      <c r="BO538" s="44" t="str">
        <f t="shared" si="381"/>
        <v xml:space="preserve"> Party Condition 42  ,F.M% 0.28 ,Greenish 3 ,Moisture 5.5 ,Shortage in KG= 13  ,Oil% 39.51</v>
      </c>
      <c r="BP538" s="45">
        <f t="shared" si="382"/>
        <v>7352.7840616414824</v>
      </c>
      <c r="BX538" s="27">
        <v>39.5</v>
      </c>
      <c r="BY538" s="27">
        <v>39.409999999999997</v>
      </c>
    </row>
    <row r="539" spans="1:77" ht="14.1" hidden="1" customHeight="1" x14ac:dyDescent="0.3">
      <c r="A539" s="128" t="s">
        <v>1137</v>
      </c>
      <c r="B539" s="130">
        <v>46160</v>
      </c>
      <c r="C539" s="138">
        <v>517</v>
      </c>
      <c r="D539" s="128" t="s">
        <v>1108</v>
      </c>
      <c r="E539" s="130">
        <v>46161</v>
      </c>
      <c r="F539" s="128" t="s">
        <v>1144</v>
      </c>
      <c r="G539" s="158" t="s">
        <v>1145</v>
      </c>
      <c r="H539" s="128" t="s">
        <v>103</v>
      </c>
      <c r="I539" s="136"/>
      <c r="J539" s="128" t="s">
        <v>1146</v>
      </c>
      <c r="K539" s="163">
        <v>0</v>
      </c>
      <c r="L539" s="130">
        <v>46160</v>
      </c>
      <c r="M539" s="136"/>
      <c r="N539" s="128" t="s">
        <v>1154</v>
      </c>
      <c r="O539" s="130">
        <v>46161</v>
      </c>
      <c r="P539" s="128">
        <v>0</v>
      </c>
      <c r="Q539" s="128">
        <v>135</v>
      </c>
      <c r="R539" s="128">
        <v>35</v>
      </c>
      <c r="S539" s="128">
        <v>170</v>
      </c>
      <c r="T539" s="128">
        <v>170</v>
      </c>
      <c r="U539" s="163">
        <v>0</v>
      </c>
      <c r="V539" s="163">
        <v>0</v>
      </c>
      <c r="W539" s="169">
        <v>84.8</v>
      </c>
      <c r="X539" s="169">
        <v>84.7</v>
      </c>
      <c r="Y539" s="169">
        <v>661524.80000000005</v>
      </c>
      <c r="Z539" s="235">
        <v>39.43</v>
      </c>
      <c r="AA539" s="169">
        <v>16538.12</v>
      </c>
      <c r="AB539" s="169">
        <v>16538.12</v>
      </c>
      <c r="AC539" s="169">
        <v>694601.04</v>
      </c>
      <c r="AD539" s="197">
        <f t="shared" si="315"/>
        <v>693906.43896000006</v>
      </c>
      <c r="AE539" s="236">
        <v>39.43</v>
      </c>
      <c r="AF539" s="169">
        <v>42</v>
      </c>
      <c r="AG539" s="236">
        <v>39.43</v>
      </c>
      <c r="AH539" s="170">
        <v>3.3E-3</v>
      </c>
      <c r="AI539" s="170">
        <v>3.4200000000000001E-2</v>
      </c>
      <c r="AJ539" s="170">
        <v>5.5E-2</v>
      </c>
      <c r="AK539" s="155">
        <f t="shared" si="383"/>
        <v>40479.017523809533</v>
      </c>
      <c r="AL539" s="157">
        <v>0</v>
      </c>
      <c r="AM539" s="157"/>
      <c r="AN539" s="165">
        <v>0</v>
      </c>
      <c r="AO539" s="140">
        <f t="shared" si="386"/>
        <v>0</v>
      </c>
      <c r="AP539" s="136"/>
      <c r="AQ539" s="137">
        <v>0</v>
      </c>
      <c r="AR539" s="155">
        <f t="shared" si="384"/>
        <v>40479.017523809533</v>
      </c>
      <c r="AS539" s="155">
        <f t="shared" si="385"/>
        <v>42503</v>
      </c>
      <c r="AT539" s="137">
        <v>0</v>
      </c>
      <c r="AU539" s="136"/>
      <c r="AV539" s="136"/>
      <c r="AW539" s="137">
        <f t="shared" si="371"/>
        <v>8480</v>
      </c>
      <c r="AX539" s="136"/>
      <c r="AY539" s="137">
        <f t="shared" si="372"/>
        <v>8480</v>
      </c>
      <c r="AZ539" s="137">
        <f t="shared" si="373"/>
        <v>8470</v>
      </c>
      <c r="BA539" s="142">
        <f t="shared" si="374"/>
        <v>10</v>
      </c>
      <c r="BB539" s="137"/>
      <c r="BC539" s="137">
        <v>0</v>
      </c>
      <c r="BD539" s="136"/>
      <c r="BE539" s="128">
        <v>84.8</v>
      </c>
      <c r="BF539" s="143">
        <f t="shared" si="375"/>
        <v>0.12719999999999998</v>
      </c>
      <c r="BG539" s="143">
        <f t="shared" si="376"/>
        <v>84.672799999999995</v>
      </c>
      <c r="BH539" s="143">
        <f t="shared" si="377"/>
        <v>84.7</v>
      </c>
      <c r="BI539" s="144">
        <f t="shared" si="378"/>
        <v>9.9999999999994316</v>
      </c>
      <c r="BJ539" s="144">
        <v>0</v>
      </c>
      <c r="BK539" s="137">
        <f t="shared" si="379"/>
        <v>9.9999999999994316</v>
      </c>
      <c r="BL539" s="42"/>
      <c r="BM539" s="43" t="str">
        <f t="shared" si="380"/>
        <v>Unloading no. 517 Bill No 2026-27/25 ,Deduction For Oil Deduction= 40479.0175238095 ,Bardana= 0 ,F.M=  Brokerage/Rate Difference 0 ,Shortage = 0 ,Greenish=  ,Moisture= 0</v>
      </c>
      <c r="BN539" s="41"/>
      <c r="BO539" s="44" t="str">
        <f t="shared" si="381"/>
        <v xml:space="preserve"> Party Condition 42  ,F.M% 0.33 ,Greenish 3.42 ,Moisture 5.5 ,Shortage in KG= 0  ,Oil% 39.43</v>
      </c>
      <c r="BP539" s="45">
        <f t="shared" si="382"/>
        <v>7332.2996750435714</v>
      </c>
      <c r="BX539" s="27">
        <v>39.549999999999997</v>
      </c>
      <c r="BY539" s="27">
        <v>39.4</v>
      </c>
    </row>
    <row r="540" spans="1:77" ht="14.1" hidden="1" customHeight="1" x14ac:dyDescent="0.3">
      <c r="A540" s="128" t="s">
        <v>1137</v>
      </c>
      <c r="B540" s="130">
        <v>46160</v>
      </c>
      <c r="C540" s="138">
        <v>518</v>
      </c>
      <c r="D540" s="128" t="s">
        <v>1109</v>
      </c>
      <c r="E540" s="130">
        <v>46161</v>
      </c>
      <c r="F540" s="128" t="s">
        <v>1144</v>
      </c>
      <c r="G540" s="158" t="s">
        <v>1145</v>
      </c>
      <c r="H540" s="128" t="s">
        <v>103</v>
      </c>
      <c r="I540" s="136"/>
      <c r="J540" s="128" t="s">
        <v>1146</v>
      </c>
      <c r="K540" s="163">
        <v>0</v>
      </c>
      <c r="L540" s="130">
        <v>46160</v>
      </c>
      <c r="M540" s="136"/>
      <c r="N540" s="128" t="s">
        <v>1155</v>
      </c>
      <c r="O540" s="130">
        <v>46161</v>
      </c>
      <c r="P540" s="128">
        <v>0</v>
      </c>
      <c r="Q540" s="128">
        <v>130</v>
      </c>
      <c r="R540" s="128">
        <v>40</v>
      </c>
      <c r="S540" s="128">
        <v>170</v>
      </c>
      <c r="T540" s="128">
        <v>170</v>
      </c>
      <c r="U540" s="163">
        <v>0</v>
      </c>
      <c r="V540" s="163">
        <v>0</v>
      </c>
      <c r="W540" s="169">
        <v>89.1</v>
      </c>
      <c r="X540" s="169">
        <v>88.9</v>
      </c>
      <c r="Y540" s="169">
        <v>695069.1</v>
      </c>
      <c r="Z540" s="235">
        <v>39.53</v>
      </c>
      <c r="AA540" s="169">
        <v>17376.73</v>
      </c>
      <c r="AB540" s="169">
        <v>17376.73</v>
      </c>
      <c r="AC540" s="169">
        <v>729822.56</v>
      </c>
      <c r="AD540" s="197">
        <f t="shared" si="315"/>
        <v>729092.73744000006</v>
      </c>
      <c r="AE540" s="236">
        <v>39.53</v>
      </c>
      <c r="AF540" s="169">
        <v>42</v>
      </c>
      <c r="AG540" s="236">
        <v>39.53</v>
      </c>
      <c r="AH540" s="170">
        <v>4.7999999999999996E-3</v>
      </c>
      <c r="AI540" s="170">
        <v>3.1E-2</v>
      </c>
      <c r="AJ540" s="170">
        <v>5.2999999999999999E-2</v>
      </c>
      <c r="AK540" s="155">
        <f t="shared" si="383"/>
        <v>40876.682785714263</v>
      </c>
      <c r="AL540" s="157">
        <v>0</v>
      </c>
      <c r="AM540" s="157"/>
      <c r="AN540" s="165">
        <v>0</v>
      </c>
      <c r="AO540" s="140">
        <f t="shared" si="386"/>
        <v>156.01999999999998</v>
      </c>
      <c r="AP540" s="136"/>
      <c r="AQ540" s="137">
        <v>0</v>
      </c>
      <c r="AR540" s="155">
        <f t="shared" si="384"/>
        <v>41032.70278571426</v>
      </c>
      <c r="AS540" s="155">
        <f t="shared" si="385"/>
        <v>43084</v>
      </c>
      <c r="AT540" s="137">
        <v>2</v>
      </c>
      <c r="AU540" s="136"/>
      <c r="AV540" s="136"/>
      <c r="AW540" s="137">
        <f t="shared" si="371"/>
        <v>8910</v>
      </c>
      <c r="AX540" s="136"/>
      <c r="AY540" s="137">
        <f t="shared" si="372"/>
        <v>8910</v>
      </c>
      <c r="AZ540" s="137">
        <f t="shared" si="373"/>
        <v>8890</v>
      </c>
      <c r="BA540" s="142">
        <f t="shared" si="374"/>
        <v>20</v>
      </c>
      <c r="BB540" s="137"/>
      <c r="BC540" s="137">
        <v>0</v>
      </c>
      <c r="BD540" s="136"/>
      <c r="BE540" s="128">
        <v>89.1</v>
      </c>
      <c r="BF540" s="143">
        <f t="shared" si="375"/>
        <v>0.13364999999999999</v>
      </c>
      <c r="BG540" s="143">
        <f t="shared" si="376"/>
        <v>88.966349999999991</v>
      </c>
      <c r="BH540" s="143">
        <f t="shared" si="377"/>
        <v>88.9</v>
      </c>
      <c r="BI540" s="144">
        <f t="shared" si="378"/>
        <v>19.999999999998863</v>
      </c>
      <c r="BJ540" s="144">
        <v>0</v>
      </c>
      <c r="BK540" s="137">
        <f t="shared" si="379"/>
        <v>19.999999999998863</v>
      </c>
      <c r="BL540" s="42"/>
      <c r="BM540" s="43" t="str">
        <f t="shared" si="380"/>
        <v>Unloading no. 518 Bill No 2026-27/26 ,Deduction For Oil Deduction= 40876.6827857143 ,Bardana= 0 ,F.M=  Brokerage/Rate Difference 0 ,Shortage = 156.02 ,Greenish=  ,Moisture= 0</v>
      </c>
      <c r="BN540" s="41"/>
      <c r="BO540" s="44" t="str">
        <f t="shared" si="381"/>
        <v xml:space="preserve"> Party Condition 42  ,F.M% 0.48 ,Greenish 3.1 ,Moisture 5.3 ,Shortage in KG= 2  ,Oil% 39.53</v>
      </c>
      <c r="BP540" s="45">
        <f t="shared" si="382"/>
        <v>7356.9898449300972</v>
      </c>
      <c r="BX540" s="27">
        <v>39.5</v>
      </c>
      <c r="BY540" s="27">
        <v>39.520000000000003</v>
      </c>
    </row>
    <row r="541" spans="1:77" ht="14.1" hidden="1" customHeight="1" x14ac:dyDescent="0.3">
      <c r="A541" s="128" t="s">
        <v>1137</v>
      </c>
      <c r="B541" s="130">
        <v>46160</v>
      </c>
      <c r="C541" s="190">
        <v>519</v>
      </c>
      <c r="D541" s="159" t="s">
        <v>1110</v>
      </c>
      <c r="E541" s="194">
        <v>46161</v>
      </c>
      <c r="F541" s="159" t="s">
        <v>1144</v>
      </c>
      <c r="G541" s="237" t="s">
        <v>1145</v>
      </c>
      <c r="H541" s="159" t="s">
        <v>103</v>
      </c>
      <c r="I541" s="206"/>
      <c r="J541" s="159" t="s">
        <v>1146</v>
      </c>
      <c r="K541" s="159">
        <v>0</v>
      </c>
      <c r="L541" s="194">
        <v>46160</v>
      </c>
      <c r="M541" s="206"/>
      <c r="N541" s="159" t="s">
        <v>1156</v>
      </c>
      <c r="O541" s="130">
        <v>46161</v>
      </c>
      <c r="P541" s="128">
        <v>0</v>
      </c>
      <c r="Q541" s="128">
        <v>140</v>
      </c>
      <c r="R541" s="128">
        <v>30</v>
      </c>
      <c r="S541" s="128">
        <v>170</v>
      </c>
      <c r="T541" s="128">
        <v>170</v>
      </c>
      <c r="U541" s="163">
        <v>0</v>
      </c>
      <c r="V541" s="163">
        <v>0</v>
      </c>
      <c r="W541" s="169">
        <v>95.9</v>
      </c>
      <c r="X541" s="169">
        <v>95.7</v>
      </c>
      <c r="Y541" s="169">
        <v>748115.9</v>
      </c>
      <c r="Z541" s="235">
        <v>39.19</v>
      </c>
      <c r="AA541" s="169">
        <v>18702.900000000001</v>
      </c>
      <c r="AB541" s="169">
        <v>18702.900000000001</v>
      </c>
      <c r="AC541" s="169">
        <v>785521.7</v>
      </c>
      <c r="AD541" s="197">
        <f t="shared" si="315"/>
        <v>784736.17829999991</v>
      </c>
      <c r="AE541" s="236">
        <v>39.19</v>
      </c>
      <c r="AF541" s="169">
        <v>42</v>
      </c>
      <c r="AG541" s="236">
        <v>39.19</v>
      </c>
      <c r="AH541" s="170">
        <v>3.5999999999999999E-3</v>
      </c>
      <c r="AI541" s="170">
        <v>3.2599999999999997E-2</v>
      </c>
      <c r="AJ541" s="170">
        <v>5.0999999999999997E-2</v>
      </c>
      <c r="AK541" s="155">
        <f t="shared" si="383"/>
        <v>50052.516166666705</v>
      </c>
      <c r="AL541" s="157">
        <v>0</v>
      </c>
      <c r="AM541" s="157"/>
      <c r="AN541" s="165">
        <v>0</v>
      </c>
      <c r="AO541" s="140">
        <f t="shared" si="386"/>
        <v>78.010000000000005</v>
      </c>
      <c r="AP541" s="136"/>
      <c r="AQ541" s="137">
        <v>0</v>
      </c>
      <c r="AR541" s="155">
        <f t="shared" si="384"/>
        <v>50130.526166666707</v>
      </c>
      <c r="AS541" s="155">
        <f t="shared" si="385"/>
        <v>52637</v>
      </c>
      <c r="AT541" s="137">
        <v>1</v>
      </c>
      <c r="AU541" s="136"/>
      <c r="AV541" s="136"/>
      <c r="AW541" s="137">
        <f t="shared" si="371"/>
        <v>9590</v>
      </c>
      <c r="AX541" s="136"/>
      <c r="AY541" s="137">
        <f t="shared" si="372"/>
        <v>9590</v>
      </c>
      <c r="AZ541" s="137">
        <f t="shared" si="373"/>
        <v>9570</v>
      </c>
      <c r="BA541" s="142">
        <f t="shared" si="374"/>
        <v>20</v>
      </c>
      <c r="BB541" s="137"/>
      <c r="BC541" s="137">
        <v>0</v>
      </c>
      <c r="BD541" s="136"/>
      <c r="BE541" s="128">
        <v>95.9</v>
      </c>
      <c r="BF541" s="143">
        <f t="shared" si="375"/>
        <v>0.14385000000000001</v>
      </c>
      <c r="BG541" s="143">
        <f t="shared" si="376"/>
        <v>95.756150000000005</v>
      </c>
      <c r="BH541" s="143">
        <f t="shared" si="377"/>
        <v>95.7</v>
      </c>
      <c r="BI541" s="144">
        <f t="shared" si="378"/>
        <v>20.000000000000284</v>
      </c>
      <c r="BJ541" s="144">
        <v>0</v>
      </c>
      <c r="BK541" s="137">
        <f t="shared" si="379"/>
        <v>20.000000000000284</v>
      </c>
      <c r="BL541" s="42"/>
      <c r="BM541" s="43" t="str">
        <f t="shared" si="380"/>
        <v>Unloading no. 519 Bill No 2026-27/27 ,Deduction For Oil Deduction= 50052.5161666667 ,Bardana= 0 ,F.M=  Brokerage/Rate Difference 0 ,Shortage = 78.01 ,Greenish=  ,Moisture= 0</v>
      </c>
      <c r="BN541" s="41"/>
      <c r="BO541" s="44" t="str">
        <f t="shared" si="381"/>
        <v xml:space="preserve"> Party Condition 42  ,F.M% 0.36 ,Greenish 3.26 ,Moisture 5.1 ,Shortage in KG= 1  ,Oil% 39.19</v>
      </c>
      <c r="BP541" s="45">
        <f t="shared" si="382"/>
        <v>7293.4730808080812</v>
      </c>
      <c r="BX541" s="27">
        <v>39.17</v>
      </c>
      <c r="BY541" s="27">
        <v>39.18</v>
      </c>
    </row>
    <row r="542" spans="1:77" ht="14.1" hidden="1" customHeight="1" x14ac:dyDescent="0.3">
      <c r="A542" s="128" t="s">
        <v>1137</v>
      </c>
      <c r="B542" s="130">
        <v>46160</v>
      </c>
      <c r="C542" s="138">
        <v>520</v>
      </c>
      <c r="D542" s="128" t="s">
        <v>1111</v>
      </c>
      <c r="E542" s="130">
        <v>46161</v>
      </c>
      <c r="F542" s="128" t="s">
        <v>1144</v>
      </c>
      <c r="G542" s="158" t="s">
        <v>1145</v>
      </c>
      <c r="H542" s="128" t="s">
        <v>103</v>
      </c>
      <c r="I542" s="136"/>
      <c r="J542" s="128" t="s">
        <v>1146</v>
      </c>
      <c r="K542" s="163">
        <v>0</v>
      </c>
      <c r="L542" s="130">
        <v>46160</v>
      </c>
      <c r="M542" s="136"/>
      <c r="N542" s="128" t="s">
        <v>1157</v>
      </c>
      <c r="O542" s="130">
        <v>46161</v>
      </c>
      <c r="P542" s="128">
        <v>0</v>
      </c>
      <c r="Q542" s="128">
        <v>140</v>
      </c>
      <c r="R542" s="128">
        <v>35</v>
      </c>
      <c r="S542" s="128">
        <v>175</v>
      </c>
      <c r="T542" s="128">
        <v>175</v>
      </c>
      <c r="U542" s="163">
        <v>0</v>
      </c>
      <c r="V542" s="163">
        <v>0</v>
      </c>
      <c r="W542" s="169">
        <v>96.9</v>
      </c>
      <c r="X542" s="169">
        <v>96.6</v>
      </c>
      <c r="Y542" s="169">
        <v>755916.9</v>
      </c>
      <c r="Z542" s="235">
        <v>39.270000000000003</v>
      </c>
      <c r="AA542" s="169">
        <v>18897.919999999998</v>
      </c>
      <c r="AB542" s="169">
        <v>18897.919999999998</v>
      </c>
      <c r="AC542" s="169">
        <v>793712.75</v>
      </c>
      <c r="AD542" s="197">
        <f t="shared" si="315"/>
        <v>792919.03725000005</v>
      </c>
      <c r="AE542" s="236">
        <v>39.270000000000003</v>
      </c>
      <c r="AF542" s="169">
        <v>42</v>
      </c>
      <c r="AG542" s="236">
        <v>39.270000000000003</v>
      </c>
      <c r="AH542" s="170">
        <v>3.2000000000000002E-3</v>
      </c>
      <c r="AI542" s="170">
        <v>3.2000000000000001E-2</v>
      </c>
      <c r="AJ542" s="170">
        <v>5.6000000000000001E-2</v>
      </c>
      <c r="AK542" s="155">
        <f t="shared" si="383"/>
        <v>49134.598499999942</v>
      </c>
      <c r="AL542" s="157">
        <v>0</v>
      </c>
      <c r="AM542" s="157"/>
      <c r="AN542" s="165">
        <v>0</v>
      </c>
      <c r="AO542" s="140">
        <f t="shared" si="386"/>
        <v>858.11</v>
      </c>
      <c r="AP542" s="136"/>
      <c r="AQ542" s="137">
        <v>0</v>
      </c>
      <c r="AR542" s="155">
        <f t="shared" si="384"/>
        <v>49992.708499999942</v>
      </c>
      <c r="AS542" s="155">
        <f t="shared" si="385"/>
        <v>52492</v>
      </c>
      <c r="AT542" s="137">
        <v>11</v>
      </c>
      <c r="AU542" s="136"/>
      <c r="AV542" s="136"/>
      <c r="AW542" s="137">
        <f t="shared" si="371"/>
        <v>9690</v>
      </c>
      <c r="AX542" s="136"/>
      <c r="AY542" s="137">
        <f t="shared" si="372"/>
        <v>9690</v>
      </c>
      <c r="AZ542" s="137">
        <f t="shared" si="373"/>
        <v>9660</v>
      </c>
      <c r="BA542" s="142">
        <f t="shared" si="374"/>
        <v>30</v>
      </c>
      <c r="BB542" s="137"/>
      <c r="BC542" s="137">
        <v>0</v>
      </c>
      <c r="BD542" s="136"/>
      <c r="BE542" s="128">
        <v>96.9</v>
      </c>
      <c r="BF542" s="143">
        <f t="shared" si="375"/>
        <v>0.14535000000000001</v>
      </c>
      <c r="BG542" s="143">
        <f t="shared" si="376"/>
        <v>96.754650000000012</v>
      </c>
      <c r="BH542" s="143">
        <f t="shared" si="377"/>
        <v>96.6</v>
      </c>
      <c r="BI542" s="144">
        <f t="shared" si="378"/>
        <v>30.000000000001137</v>
      </c>
      <c r="BJ542" s="144">
        <v>0</v>
      </c>
      <c r="BK542" s="137">
        <f t="shared" si="379"/>
        <v>30.000000000001137</v>
      </c>
      <c r="BL542" s="42"/>
      <c r="BM542" s="43" t="str">
        <f t="shared" si="380"/>
        <v>Unloading no. 520 Bill No 2026-27/28 ,Deduction For Oil Deduction= 49134.5984999999 ,Bardana= 0 ,F.M=  Brokerage/Rate Difference 0 ,Shortage = 858.11 ,Greenish=  ,Moisture= 0</v>
      </c>
      <c r="BN542" s="41"/>
      <c r="BO542" s="44" t="str">
        <f t="shared" si="381"/>
        <v xml:space="preserve"> Party Condition 42  ,F.M% 0.32 ,Greenish 3.2 ,Moisture 5.6 ,Shortage in KG= 11  ,Oil% 39.27</v>
      </c>
      <c r="BP542" s="45">
        <f t="shared" si="382"/>
        <v>7307.7038457556946</v>
      </c>
      <c r="BX542" s="27">
        <v>39.4</v>
      </c>
      <c r="BY542" s="27">
        <v>39.369999999999997</v>
      </c>
    </row>
    <row r="543" spans="1:77" ht="14.1" hidden="1" customHeight="1" x14ac:dyDescent="0.3">
      <c r="A543" s="128" t="s">
        <v>1137</v>
      </c>
      <c r="B543" s="130">
        <v>46160</v>
      </c>
      <c r="C543" s="138">
        <v>521</v>
      </c>
      <c r="D543" s="128" t="s">
        <v>1112</v>
      </c>
      <c r="E543" s="130">
        <v>46161</v>
      </c>
      <c r="F543" s="128" t="s">
        <v>1144</v>
      </c>
      <c r="G543" s="158" t="s">
        <v>1145</v>
      </c>
      <c r="H543" s="128" t="s">
        <v>103</v>
      </c>
      <c r="I543" s="136"/>
      <c r="J543" s="128" t="s">
        <v>1146</v>
      </c>
      <c r="K543" s="163">
        <v>0</v>
      </c>
      <c r="L543" s="130">
        <v>46160</v>
      </c>
      <c r="M543" s="136"/>
      <c r="N543" s="128" t="s">
        <v>1158</v>
      </c>
      <c r="O543" s="130">
        <v>46161</v>
      </c>
      <c r="P543" s="128">
        <v>0</v>
      </c>
      <c r="Q543" s="128">
        <v>120</v>
      </c>
      <c r="R543" s="128">
        <v>50</v>
      </c>
      <c r="S543" s="128">
        <v>170</v>
      </c>
      <c r="T543" s="128">
        <v>170</v>
      </c>
      <c r="U543" s="163">
        <v>0</v>
      </c>
      <c r="V543" s="163">
        <v>0</v>
      </c>
      <c r="W543" s="169">
        <v>90.6</v>
      </c>
      <c r="X543" s="169">
        <v>90.4</v>
      </c>
      <c r="Y543" s="169">
        <v>706770.6</v>
      </c>
      <c r="Z543" s="235">
        <v>39.15</v>
      </c>
      <c r="AA543" s="169">
        <v>17669.27</v>
      </c>
      <c r="AB543" s="169">
        <v>17669.27</v>
      </c>
      <c r="AC543" s="169">
        <v>742109.13</v>
      </c>
      <c r="AD543" s="197">
        <f t="shared" si="315"/>
        <v>741367.02087000001</v>
      </c>
      <c r="AE543" s="236">
        <v>39.15</v>
      </c>
      <c r="AF543" s="169">
        <v>42</v>
      </c>
      <c r="AG543" s="236">
        <v>39.15</v>
      </c>
      <c r="AH543" s="170">
        <v>3.5999999999999999E-3</v>
      </c>
      <c r="AI543" s="170">
        <v>3.4000000000000002E-2</v>
      </c>
      <c r="AJ543" s="170">
        <v>5.5E-2</v>
      </c>
      <c r="AK543" s="155">
        <f t="shared" si="383"/>
        <v>47959.433571428599</v>
      </c>
      <c r="AL543" s="157">
        <v>0</v>
      </c>
      <c r="AM543" s="157"/>
      <c r="AN543" s="165">
        <v>0</v>
      </c>
      <c r="AO543" s="140">
        <f t="shared" si="386"/>
        <v>156.01999999999998</v>
      </c>
      <c r="AP543" s="136"/>
      <c r="AQ543" s="137">
        <v>0</v>
      </c>
      <c r="AR543" s="155">
        <f t="shared" si="384"/>
        <v>48115.453571428596</v>
      </c>
      <c r="AS543" s="155">
        <f t="shared" si="385"/>
        <v>50521</v>
      </c>
      <c r="AT543" s="137">
        <v>2</v>
      </c>
      <c r="AU543" s="136"/>
      <c r="AV543" s="136"/>
      <c r="AW543" s="137">
        <f t="shared" si="371"/>
        <v>9060</v>
      </c>
      <c r="AX543" s="136"/>
      <c r="AY543" s="137">
        <f t="shared" si="372"/>
        <v>9060</v>
      </c>
      <c r="AZ543" s="137">
        <f t="shared" si="373"/>
        <v>9040</v>
      </c>
      <c r="BA543" s="142">
        <f t="shared" si="374"/>
        <v>20</v>
      </c>
      <c r="BB543" s="137"/>
      <c r="BC543" s="137">
        <v>0</v>
      </c>
      <c r="BD543" s="136"/>
      <c r="BE543" s="128">
        <v>90.6</v>
      </c>
      <c r="BF543" s="143">
        <f t="shared" si="375"/>
        <v>0.13589999999999999</v>
      </c>
      <c r="BG543" s="143">
        <f t="shared" si="376"/>
        <v>90.464099999999988</v>
      </c>
      <c r="BH543" s="143">
        <f t="shared" si="377"/>
        <v>90.4</v>
      </c>
      <c r="BI543" s="144">
        <f t="shared" si="378"/>
        <v>19.999999999998863</v>
      </c>
      <c r="BJ543" s="144">
        <v>0</v>
      </c>
      <c r="BK543" s="137">
        <f t="shared" si="379"/>
        <v>19.999999999998863</v>
      </c>
      <c r="BL543" s="42"/>
      <c r="BM543" s="43" t="str">
        <f t="shared" si="380"/>
        <v>Unloading no. 521 Bill No 2026-27/29 ,Deduction For Oil Deduction= 47959.4335714286 ,Bardana= 0 ,F.M=  Brokerage/Rate Difference 0 ,Shortage = 156.02 ,Greenish=  ,Moisture= 0</v>
      </c>
      <c r="BN543" s="41"/>
      <c r="BO543" s="44" t="str">
        <f t="shared" si="381"/>
        <v xml:space="preserve"> Party Condition 42  ,F.M% 0.36 ,Greenish 3.4 ,Moisture 5.5 ,Shortage in KG= 2  ,Oil% 39.15</v>
      </c>
      <c r="BP543" s="45">
        <f t="shared" si="382"/>
        <v>7286.0082569532233</v>
      </c>
      <c r="BX543" s="27">
        <v>39.04</v>
      </c>
      <c r="BY543" s="27">
        <v>38.909999999999997</v>
      </c>
    </row>
    <row r="544" spans="1:77" ht="14.1" hidden="1" customHeight="1" x14ac:dyDescent="0.3">
      <c r="A544" s="128" t="s">
        <v>1137</v>
      </c>
      <c r="B544" s="130">
        <v>46160</v>
      </c>
      <c r="C544" s="138">
        <v>522</v>
      </c>
      <c r="D544" s="128" t="s">
        <v>1113</v>
      </c>
      <c r="E544" s="130">
        <v>46161</v>
      </c>
      <c r="F544" s="128" t="s">
        <v>1144</v>
      </c>
      <c r="G544" s="158" t="s">
        <v>1145</v>
      </c>
      <c r="H544" s="128" t="s">
        <v>103</v>
      </c>
      <c r="I544" s="136"/>
      <c r="J544" s="128" t="s">
        <v>1146</v>
      </c>
      <c r="K544" s="163">
        <v>0</v>
      </c>
      <c r="L544" s="130">
        <v>46160</v>
      </c>
      <c r="M544" s="136"/>
      <c r="N544" s="128" t="s">
        <v>1159</v>
      </c>
      <c r="O544" s="130">
        <v>46161</v>
      </c>
      <c r="P544" s="128">
        <v>0</v>
      </c>
      <c r="Q544" s="128">
        <v>158</v>
      </c>
      <c r="R544" s="128">
        <v>70</v>
      </c>
      <c r="S544" s="128">
        <v>228</v>
      </c>
      <c r="T544" s="128">
        <v>228</v>
      </c>
      <c r="U544" s="163">
        <v>0</v>
      </c>
      <c r="V544" s="163">
        <v>0</v>
      </c>
      <c r="W544" s="169">
        <v>115.3</v>
      </c>
      <c r="X544" s="169">
        <v>115.3</v>
      </c>
      <c r="Y544" s="169">
        <v>899455.3</v>
      </c>
      <c r="Z544" s="235">
        <v>39.67</v>
      </c>
      <c r="AA544" s="169">
        <v>22486.38</v>
      </c>
      <c r="AB544" s="169">
        <v>22486.38</v>
      </c>
      <c r="AC544" s="169">
        <v>944428.07</v>
      </c>
      <c r="AD544" s="197">
        <f t="shared" ref="AD544:AD607" si="387">SUM(AC544-AC544*0.1%)</f>
        <v>943483.64192999993</v>
      </c>
      <c r="AE544" s="236">
        <v>39.67</v>
      </c>
      <c r="AF544" s="147">
        <v>42</v>
      </c>
      <c r="AG544" s="236">
        <v>39.67</v>
      </c>
      <c r="AH544" s="170">
        <v>3.7000000000000002E-3</v>
      </c>
      <c r="AI544" s="170">
        <v>3.1E-2</v>
      </c>
      <c r="AJ544" s="170">
        <v>5.5E-2</v>
      </c>
      <c r="AK544" s="155">
        <f t="shared" si="383"/>
        <v>49898.353547619015</v>
      </c>
      <c r="AL544" s="157">
        <v>0</v>
      </c>
      <c r="AM544" s="157"/>
      <c r="AN544" s="165">
        <v>0</v>
      </c>
      <c r="AO544" s="140">
        <f t="shared" si="386"/>
        <v>0</v>
      </c>
      <c r="AP544" s="136"/>
      <c r="AQ544" s="137">
        <v>0</v>
      </c>
      <c r="AR544" s="155">
        <f t="shared" si="384"/>
        <v>49898.353547619015</v>
      </c>
      <c r="AS544" s="155">
        <f t="shared" si="385"/>
        <v>52393</v>
      </c>
      <c r="AT544" s="137">
        <v>0</v>
      </c>
      <c r="AU544" s="136"/>
      <c r="AV544" s="136"/>
      <c r="AW544" s="137">
        <f t="shared" si="371"/>
        <v>11530</v>
      </c>
      <c r="AX544" s="136"/>
      <c r="AY544" s="137">
        <f t="shared" si="372"/>
        <v>11530</v>
      </c>
      <c r="AZ544" s="137">
        <f t="shared" si="373"/>
        <v>11530</v>
      </c>
      <c r="BA544" s="142">
        <f t="shared" si="374"/>
        <v>0</v>
      </c>
      <c r="BB544" s="137"/>
      <c r="BC544" s="137">
        <v>0</v>
      </c>
      <c r="BD544" s="136"/>
      <c r="BE544" s="128">
        <v>115.3</v>
      </c>
      <c r="BF544" s="143">
        <f t="shared" si="375"/>
        <v>0.17294999999999999</v>
      </c>
      <c r="BG544" s="143">
        <f t="shared" si="376"/>
        <v>115.12705</v>
      </c>
      <c r="BH544" s="143">
        <f t="shared" si="377"/>
        <v>115.3</v>
      </c>
      <c r="BI544" s="144">
        <f t="shared" si="378"/>
        <v>0</v>
      </c>
      <c r="BJ544" s="144">
        <v>0</v>
      </c>
      <c r="BK544" s="137">
        <f t="shared" si="379"/>
        <v>0</v>
      </c>
      <c r="BL544" s="42"/>
      <c r="BM544" s="43" t="str">
        <f t="shared" si="380"/>
        <v>Unloading no. 522 Bill No 2026-27/30 ,Deduction For Oil Deduction= 49898.353547619 ,Bardana= 0 ,F.M=  Brokerage/Rate Difference 0 ,Shortage = 0 ,Greenish=  ,Moisture= 0</v>
      </c>
      <c r="BN544" s="41"/>
      <c r="BO544" s="44" t="str">
        <f t="shared" si="381"/>
        <v xml:space="preserve"> Party Condition 42  ,F.M% 0.37 ,Greenish 3.1 ,Moisture 5.5 ,Shortage in KG= 0  ,Oil% 39.67</v>
      </c>
      <c r="BP544" s="45">
        <f t="shared" si="382"/>
        <v>7368.2302380952397</v>
      </c>
      <c r="BX544" s="27">
        <v>39.32</v>
      </c>
      <c r="BY544" s="27">
        <v>39.49</v>
      </c>
    </row>
    <row r="545" spans="1:77" ht="14.1" hidden="1" customHeight="1" x14ac:dyDescent="0.3">
      <c r="A545" s="128" t="s">
        <v>1054</v>
      </c>
      <c r="B545" s="130">
        <v>46157</v>
      </c>
      <c r="C545" s="138">
        <v>507</v>
      </c>
      <c r="D545" s="128" t="s">
        <v>1114</v>
      </c>
      <c r="E545" s="129">
        <v>46162</v>
      </c>
      <c r="F545" s="128" t="s">
        <v>1083</v>
      </c>
      <c r="G545" s="158" t="s">
        <v>1084</v>
      </c>
      <c r="H545" s="128" t="s">
        <v>1085</v>
      </c>
      <c r="I545" s="136"/>
      <c r="J545" s="128" t="s">
        <v>1147</v>
      </c>
      <c r="K545" s="163">
        <v>0</v>
      </c>
      <c r="L545" s="130">
        <v>46157</v>
      </c>
      <c r="M545" s="136"/>
      <c r="N545" s="128">
        <v>9</v>
      </c>
      <c r="O545" s="129">
        <v>46159</v>
      </c>
      <c r="P545" s="128">
        <v>0</v>
      </c>
      <c r="Q545" s="128">
        <v>150</v>
      </c>
      <c r="R545" s="128">
        <v>174</v>
      </c>
      <c r="S545" s="128">
        <v>324</v>
      </c>
      <c r="T545" s="128">
        <v>324</v>
      </c>
      <c r="U545" s="163">
        <v>0</v>
      </c>
      <c r="V545" s="163">
        <v>0</v>
      </c>
      <c r="W545" s="169">
        <v>250.2</v>
      </c>
      <c r="X545" s="169">
        <v>195.6</v>
      </c>
      <c r="Y545" s="169">
        <f>1876500-409500</f>
        <v>1467000</v>
      </c>
      <c r="Z545" s="169"/>
      <c r="AA545" s="169">
        <v>46912.5</v>
      </c>
      <c r="AB545" s="169">
        <v>46912.5</v>
      </c>
      <c r="AC545" s="169">
        <v>1970325</v>
      </c>
      <c r="AD545" s="197">
        <f t="shared" si="387"/>
        <v>1968354.675</v>
      </c>
      <c r="AE545" s="238">
        <v>39</v>
      </c>
      <c r="AF545" s="147">
        <v>42</v>
      </c>
      <c r="AG545" s="147">
        <v>39.01</v>
      </c>
      <c r="AH545" s="233">
        <v>6.7999999999999996E-3</v>
      </c>
      <c r="AI545" s="170">
        <v>3.3500000000000002E-2</v>
      </c>
      <c r="AJ545" s="170">
        <v>4.8000000000000001E-2</v>
      </c>
      <c r="AK545" s="155">
        <f t="shared" si="383"/>
        <v>104785.71428571428</v>
      </c>
      <c r="AL545" s="157">
        <f>150*10+174*15</f>
        <v>4110</v>
      </c>
      <c r="AM545" s="157">
        <f>AH545*Y545</f>
        <v>9975.5999999999985</v>
      </c>
      <c r="AN545" s="165">
        <f>X545*15</f>
        <v>2934</v>
      </c>
      <c r="AO545" s="140">
        <f t="shared" si="386"/>
        <v>0</v>
      </c>
      <c r="AP545" s="136"/>
      <c r="AQ545" s="137">
        <v>0</v>
      </c>
      <c r="AR545" s="155">
        <f t="shared" si="384"/>
        <v>121805.31428571427</v>
      </c>
      <c r="AS545" s="155">
        <f t="shared" si="385"/>
        <v>127896</v>
      </c>
      <c r="AT545" s="137">
        <v>0</v>
      </c>
      <c r="AU545" s="136" t="s">
        <v>1243</v>
      </c>
      <c r="AV545" s="136"/>
      <c r="AW545" s="137">
        <f t="shared" si="371"/>
        <v>25020</v>
      </c>
      <c r="AX545" s="136"/>
      <c r="AY545" s="137">
        <f t="shared" si="372"/>
        <v>25020</v>
      </c>
      <c r="AZ545" s="137">
        <f t="shared" si="373"/>
        <v>19560</v>
      </c>
      <c r="BA545" s="142">
        <f t="shared" si="374"/>
        <v>5460</v>
      </c>
      <c r="BB545" s="137"/>
      <c r="BC545" s="137">
        <v>0</v>
      </c>
      <c r="BD545" s="136"/>
      <c r="BE545" s="128">
        <v>250.2</v>
      </c>
      <c r="BF545" s="143">
        <f t="shared" si="375"/>
        <v>0.37529999999999997</v>
      </c>
      <c r="BG545" s="143">
        <f t="shared" si="376"/>
        <v>249.82469999999998</v>
      </c>
      <c r="BH545" s="143">
        <f t="shared" si="377"/>
        <v>195.6</v>
      </c>
      <c r="BI545" s="144">
        <f t="shared" si="378"/>
        <v>5459.9999999999991</v>
      </c>
      <c r="BJ545" s="144">
        <v>0</v>
      </c>
      <c r="BK545" s="137">
        <f t="shared" si="379"/>
        <v>5459.9999999999991</v>
      </c>
      <c r="BL545" s="42"/>
      <c r="BM545" s="43" t="str">
        <f t="shared" si="380"/>
        <v>Unloading no. 507 Bill No 9 ,Deduction For Oil Deduction= 104785.714285714 ,Bardana= 4110 ,F.M= 9975.6 Brokerage/Rate Difference 2934 ,Shortage = 0 ,Greenish=  ,Moisture= 0</v>
      </c>
      <c r="BN545" s="41"/>
      <c r="BO545" s="44" t="str">
        <f t="shared" si="381"/>
        <v xml:space="preserve"> Party Condition 42  ,F.M% 0.68 ,Greenish 3.35 ,Moisture 4.8 ,Shortage in KG= 0  ,Oil% 39</v>
      </c>
      <c r="BP545" s="45">
        <f t="shared" si="382"/>
        <v>6877.2734443470645</v>
      </c>
      <c r="BX545" s="27">
        <v>39</v>
      </c>
      <c r="BY545" s="27">
        <v>39.01</v>
      </c>
    </row>
    <row r="546" spans="1:77" ht="14.1" hidden="1" customHeight="1" x14ac:dyDescent="0.3">
      <c r="A546" s="128" t="s">
        <v>1054</v>
      </c>
      <c r="B546" s="130">
        <v>46157</v>
      </c>
      <c r="C546" s="138">
        <v>511</v>
      </c>
      <c r="D546" s="128" t="s">
        <v>1115</v>
      </c>
      <c r="E546" s="129">
        <v>46162</v>
      </c>
      <c r="F546" s="128" t="s">
        <v>1083</v>
      </c>
      <c r="G546" s="158" t="s">
        <v>1084</v>
      </c>
      <c r="H546" s="128" t="s">
        <v>1085</v>
      </c>
      <c r="I546" s="136"/>
      <c r="J546" s="128" t="s">
        <v>1147</v>
      </c>
      <c r="K546" s="163">
        <v>0</v>
      </c>
      <c r="L546" s="130">
        <v>46157</v>
      </c>
      <c r="M546" s="136"/>
      <c r="N546" s="128">
        <v>11</v>
      </c>
      <c r="O546" s="129">
        <v>46159</v>
      </c>
      <c r="P546" s="128">
        <v>0</v>
      </c>
      <c r="Q546" s="128">
        <v>70</v>
      </c>
      <c r="R546" s="128">
        <v>177</v>
      </c>
      <c r="S546" s="128">
        <v>247</v>
      </c>
      <c r="T546" s="128">
        <v>247</v>
      </c>
      <c r="U546" s="163">
        <v>0</v>
      </c>
      <c r="V546" s="163">
        <v>0</v>
      </c>
      <c r="W546" s="169">
        <v>268.3</v>
      </c>
      <c r="X546" s="169">
        <v>240.2</v>
      </c>
      <c r="Y546" s="169">
        <f>2012250-210750</f>
        <v>1801500</v>
      </c>
      <c r="Z546" s="169"/>
      <c r="AA546" s="169">
        <v>50306.25</v>
      </c>
      <c r="AB546" s="169">
        <v>50306.25</v>
      </c>
      <c r="AC546" s="169">
        <v>2112862.5</v>
      </c>
      <c r="AD546" s="197">
        <f t="shared" si="387"/>
        <v>2110749.6375000002</v>
      </c>
      <c r="AE546" s="147">
        <v>37.89</v>
      </c>
      <c r="AF546" s="147">
        <v>42</v>
      </c>
      <c r="AG546" s="147">
        <v>37.840000000000003</v>
      </c>
      <c r="AH546" s="233">
        <v>5.0000000000000001E-3</v>
      </c>
      <c r="AI546" s="170">
        <v>0.04</v>
      </c>
      <c r="AJ546" s="170">
        <v>4.7E-2</v>
      </c>
      <c r="AK546" s="155">
        <f t="shared" si="383"/>
        <v>178434.28571428556</v>
      </c>
      <c r="AL546" s="157">
        <f>72*10+317*15</f>
        <v>5475</v>
      </c>
      <c r="AM546" s="157">
        <f>AH546*Y546</f>
        <v>9007.5</v>
      </c>
      <c r="AN546" s="165">
        <f>X546*15</f>
        <v>3603</v>
      </c>
      <c r="AO546" s="140">
        <f t="shared" si="386"/>
        <v>0</v>
      </c>
      <c r="AP546" s="136"/>
      <c r="AQ546" s="137">
        <v>0</v>
      </c>
      <c r="AR546" s="155">
        <f t="shared" si="384"/>
        <v>196519.78571428556</v>
      </c>
      <c r="AS546" s="155">
        <f t="shared" si="385"/>
        <v>206346</v>
      </c>
      <c r="AT546" s="137">
        <v>0</v>
      </c>
      <c r="AU546" s="136" t="s">
        <v>1244</v>
      </c>
      <c r="AV546" s="136"/>
      <c r="AW546" s="137">
        <f t="shared" si="371"/>
        <v>26830</v>
      </c>
      <c r="AX546" s="136"/>
      <c r="AY546" s="137">
        <f t="shared" si="372"/>
        <v>26830</v>
      </c>
      <c r="AZ546" s="137">
        <f t="shared" si="373"/>
        <v>24020</v>
      </c>
      <c r="BA546" s="142">
        <f t="shared" si="374"/>
        <v>2810</v>
      </c>
      <c r="BB546" s="137"/>
      <c r="BC546" s="137">
        <v>0</v>
      </c>
      <c r="BD546" s="136"/>
      <c r="BE546" s="128">
        <v>268.3</v>
      </c>
      <c r="BF546" s="143">
        <f t="shared" si="375"/>
        <v>0.40244999999999997</v>
      </c>
      <c r="BG546" s="143">
        <f t="shared" si="376"/>
        <v>267.89755000000002</v>
      </c>
      <c r="BH546" s="143">
        <f t="shared" si="377"/>
        <v>240.2</v>
      </c>
      <c r="BI546" s="144">
        <f t="shared" si="378"/>
        <v>2810.0000000000023</v>
      </c>
      <c r="BJ546" s="144">
        <v>0</v>
      </c>
      <c r="BK546" s="137">
        <f t="shared" si="379"/>
        <v>2810.0000000000023</v>
      </c>
      <c r="BL546" s="42"/>
      <c r="BM546" s="43" t="str">
        <f t="shared" si="380"/>
        <v>Unloading no. 511 Bill No 11 ,Deduction For Oil Deduction= 178434.285714286 ,Bardana= 5475 ,F.M= 9007.5 Brokerage/Rate Difference 3603 ,Shortage = 0 ,Greenish=  ,Moisture= 0</v>
      </c>
      <c r="BN546" s="41"/>
      <c r="BO546" s="44" t="str">
        <f t="shared" si="381"/>
        <v xml:space="preserve"> Party Condition 42  ,F.M% 0.5 ,Greenish 4 ,Moisture 4.7 ,Shortage in KG= 0  ,Oil% 37.84</v>
      </c>
      <c r="BP546" s="45">
        <f t="shared" si="382"/>
        <v>6681.8493517307024</v>
      </c>
      <c r="BX546" s="27">
        <v>37.89</v>
      </c>
      <c r="BY546" s="27">
        <v>37.840000000000003</v>
      </c>
    </row>
    <row r="547" spans="1:77" ht="14.1" hidden="1" customHeight="1" x14ac:dyDescent="0.3">
      <c r="A547" s="128" t="s">
        <v>1138</v>
      </c>
      <c r="B547" s="130">
        <v>46160</v>
      </c>
      <c r="C547" s="138">
        <v>523</v>
      </c>
      <c r="D547" s="128" t="s">
        <v>1116</v>
      </c>
      <c r="E547" s="129">
        <v>46162</v>
      </c>
      <c r="F547" s="128" t="s">
        <v>95</v>
      </c>
      <c r="G547" s="158" t="s">
        <v>96</v>
      </c>
      <c r="H547" s="128" t="s">
        <v>97</v>
      </c>
      <c r="I547" s="136"/>
      <c r="J547" s="128" t="s">
        <v>113</v>
      </c>
      <c r="K547" s="163">
        <v>0</v>
      </c>
      <c r="L547" s="130">
        <v>46160</v>
      </c>
      <c r="M547" s="136"/>
      <c r="N547" s="128">
        <v>180</v>
      </c>
      <c r="O547" s="130">
        <v>46161</v>
      </c>
      <c r="P547" s="128">
        <v>0</v>
      </c>
      <c r="Q547" s="128">
        <v>80</v>
      </c>
      <c r="R547" s="128">
        <v>337</v>
      </c>
      <c r="S547" s="128">
        <v>417</v>
      </c>
      <c r="T547" s="128">
        <v>417</v>
      </c>
      <c r="U547" s="163">
        <v>0</v>
      </c>
      <c r="V547" s="163">
        <v>0</v>
      </c>
      <c r="W547" s="169">
        <v>250.2</v>
      </c>
      <c r="X547" s="169">
        <v>252.8</v>
      </c>
      <c r="Y547" s="169">
        <v>1895550.23</v>
      </c>
      <c r="Z547" s="169"/>
      <c r="AA547" s="169">
        <v>47388.76</v>
      </c>
      <c r="AB547" s="169">
        <v>47388.76</v>
      </c>
      <c r="AC547" s="169">
        <v>1990327.74</v>
      </c>
      <c r="AD547" s="197">
        <f t="shared" si="387"/>
        <v>1988337.4122599999</v>
      </c>
      <c r="AE547" s="147">
        <v>40.25</v>
      </c>
      <c r="AF547" s="147">
        <v>39.9</v>
      </c>
      <c r="AG547" s="147">
        <v>40.270000000000003</v>
      </c>
      <c r="AH547" s="170">
        <v>3.5999999999999999E-3</v>
      </c>
      <c r="AI547" s="170">
        <v>0.03</v>
      </c>
      <c r="AJ547" s="170">
        <v>5.3999999999999999E-2</v>
      </c>
      <c r="AK547" s="155">
        <f t="shared" si="383"/>
        <v>0</v>
      </c>
      <c r="AL547" s="157">
        <v>0</v>
      </c>
      <c r="AM547" s="157"/>
      <c r="AN547" s="165">
        <v>0</v>
      </c>
      <c r="AO547" s="140">
        <f t="shared" si="386"/>
        <v>984.89820103916861</v>
      </c>
      <c r="AP547" s="136"/>
      <c r="AQ547" s="137">
        <v>0</v>
      </c>
      <c r="AR547" s="155">
        <f t="shared" si="384"/>
        <v>984.89820103916861</v>
      </c>
      <c r="AS547" s="155">
        <f t="shared" si="385"/>
        <v>1034</v>
      </c>
      <c r="AT547" s="137">
        <v>13</v>
      </c>
      <c r="AU547" s="136"/>
      <c r="AV547" s="136"/>
      <c r="AW547" s="137">
        <f t="shared" si="371"/>
        <v>25020</v>
      </c>
      <c r="AX547" s="136"/>
      <c r="AY547" s="137">
        <f t="shared" si="372"/>
        <v>25020</v>
      </c>
      <c r="AZ547" s="137">
        <f t="shared" si="373"/>
        <v>25280</v>
      </c>
      <c r="BA547" s="142">
        <f t="shared" si="374"/>
        <v>-260</v>
      </c>
      <c r="BB547" s="137"/>
      <c r="BC547" s="137">
        <v>0</v>
      </c>
      <c r="BD547" s="136"/>
      <c r="BE547" s="128">
        <v>253</v>
      </c>
      <c r="BF547" s="143">
        <f t="shared" si="375"/>
        <v>0.37949999999999995</v>
      </c>
      <c r="BG547" s="143">
        <f t="shared" si="376"/>
        <v>252.62049999999999</v>
      </c>
      <c r="BH547" s="143">
        <f t="shared" si="377"/>
        <v>252.8</v>
      </c>
      <c r="BI547" s="144">
        <f t="shared" si="378"/>
        <v>19.999999999998863</v>
      </c>
      <c r="BJ547" s="144">
        <v>0</v>
      </c>
      <c r="BK547" s="137">
        <f t="shared" si="379"/>
        <v>19.999999999998863</v>
      </c>
      <c r="BL547" s="42"/>
      <c r="BM547" s="43" t="str">
        <f t="shared" si="380"/>
        <v>Unloading no. 523 Bill No 180 ,Deduction For Oil Deduction= 0 ,Bardana= 0 ,F.M=  Brokerage/Rate Difference 0 ,Shortage = 984.898201039169 ,Greenish=  ,Moisture= 0</v>
      </c>
      <c r="BN547" s="41"/>
      <c r="BO547" s="44" t="str">
        <f t="shared" si="381"/>
        <v xml:space="preserve"> Party Condition 39.9  ,F.M% 0.36 ,Greenish 3 ,Moisture 5.4 ,Shortage in KG= 13  ,Oil% 40.25</v>
      </c>
      <c r="BP547" s="45">
        <f t="shared" si="382"/>
        <v>7494.3248884452569</v>
      </c>
      <c r="BX547" s="27">
        <v>40.25</v>
      </c>
      <c r="BY547" s="27">
        <v>40.270000000000003</v>
      </c>
    </row>
    <row r="548" spans="1:77" ht="14.1" hidden="1" customHeight="1" x14ac:dyDescent="0.3">
      <c r="A548" s="128" t="s">
        <v>1138</v>
      </c>
      <c r="B548" s="130">
        <v>46160</v>
      </c>
      <c r="C548" s="138">
        <v>524</v>
      </c>
      <c r="D548" s="128" t="s">
        <v>1117</v>
      </c>
      <c r="E548" s="129">
        <v>46162</v>
      </c>
      <c r="F548" s="128" t="s">
        <v>95</v>
      </c>
      <c r="G548" s="158" t="s">
        <v>96</v>
      </c>
      <c r="H548" s="128" t="s">
        <v>97</v>
      </c>
      <c r="I548" s="136"/>
      <c r="J548" s="128" t="s">
        <v>113</v>
      </c>
      <c r="K548" s="163">
        <v>0</v>
      </c>
      <c r="L548" s="130">
        <v>46160</v>
      </c>
      <c r="M548" s="136"/>
      <c r="N548" s="128">
        <v>179</v>
      </c>
      <c r="O548" s="130">
        <v>46161</v>
      </c>
      <c r="P548" s="128">
        <v>0</v>
      </c>
      <c r="Q548" s="128">
        <v>370</v>
      </c>
      <c r="R548" s="128">
        <v>50</v>
      </c>
      <c r="S548" s="128">
        <v>420</v>
      </c>
      <c r="T548" s="128">
        <v>420</v>
      </c>
      <c r="U548" s="163">
        <v>0</v>
      </c>
      <c r="V548" s="163">
        <v>0</v>
      </c>
      <c r="W548" s="169">
        <v>252</v>
      </c>
      <c r="X548" s="169">
        <v>254.1</v>
      </c>
      <c r="Y548" s="169">
        <v>1909187.28</v>
      </c>
      <c r="Z548" s="169"/>
      <c r="AA548" s="169">
        <v>47729.68</v>
      </c>
      <c r="AB548" s="169">
        <v>47729.68</v>
      </c>
      <c r="AC548" s="169">
        <v>2004646.64</v>
      </c>
      <c r="AD548" s="197">
        <f t="shared" si="387"/>
        <v>2002641.99336</v>
      </c>
      <c r="AE548" s="147">
        <v>40.75</v>
      </c>
      <c r="AF548" s="147">
        <v>39.9</v>
      </c>
      <c r="AG548" s="147">
        <v>40.450000000000003</v>
      </c>
      <c r="AH548" s="170">
        <v>3.3999999999999998E-3</v>
      </c>
      <c r="AI548" s="170">
        <v>3.4500000000000003E-2</v>
      </c>
      <c r="AJ548" s="170">
        <v>5.2999999999999999E-2</v>
      </c>
      <c r="AK548" s="155">
        <f t="shared" si="383"/>
        <v>0</v>
      </c>
      <c r="AL548" s="157">
        <v>0</v>
      </c>
      <c r="AM548" s="157"/>
      <c r="AN548" s="165">
        <v>0</v>
      </c>
      <c r="AO548" s="140">
        <f t="shared" si="386"/>
        <v>5000.2524000000003</v>
      </c>
      <c r="AP548" s="136"/>
      <c r="AQ548" s="137">
        <v>0</v>
      </c>
      <c r="AR548" s="155">
        <f t="shared" si="384"/>
        <v>5000.2524000000003</v>
      </c>
      <c r="AS548" s="155">
        <f t="shared" si="385"/>
        <v>5250</v>
      </c>
      <c r="AT548" s="137">
        <v>66</v>
      </c>
      <c r="AU548" s="136"/>
      <c r="AV548" s="136"/>
      <c r="AW548" s="137">
        <f t="shared" si="371"/>
        <v>25200</v>
      </c>
      <c r="AX548" s="136"/>
      <c r="AY548" s="137">
        <f t="shared" si="372"/>
        <v>25200</v>
      </c>
      <c r="AZ548" s="137">
        <f t="shared" si="373"/>
        <v>25410</v>
      </c>
      <c r="BA548" s="142">
        <f t="shared" si="374"/>
        <v>-210</v>
      </c>
      <c r="BB548" s="137"/>
      <c r="BC548" s="137">
        <v>0</v>
      </c>
      <c r="BD548" s="136"/>
      <c r="BE548" s="128">
        <v>254.9</v>
      </c>
      <c r="BF548" s="143">
        <f t="shared" si="375"/>
        <v>0.38234999999999997</v>
      </c>
      <c r="BG548" s="143">
        <f t="shared" si="376"/>
        <v>254.51765</v>
      </c>
      <c r="BH548" s="143">
        <f t="shared" si="377"/>
        <v>254.1</v>
      </c>
      <c r="BI548" s="144">
        <f t="shared" si="378"/>
        <v>80.000000000001137</v>
      </c>
      <c r="BJ548" s="144">
        <v>0</v>
      </c>
      <c r="BK548" s="137">
        <f t="shared" si="379"/>
        <v>80.000000000001137</v>
      </c>
      <c r="BL548" s="42"/>
      <c r="BM548" s="43" t="str">
        <f t="shared" si="380"/>
        <v>Unloading no. 524 Bill No 179 ,Deduction For Oil Deduction= 0 ,Bardana= 0 ,F.M=  Brokerage/Rate Difference 0 ,Shortage = 5000.2524 ,Greenish=  ,Moisture= 0</v>
      </c>
      <c r="BN548" s="41"/>
      <c r="BO548" s="44" t="str">
        <f t="shared" si="381"/>
        <v xml:space="preserve"> Party Condition 39.9  ,F.M% 0.34 ,Greenish 3.45 ,Moisture 5.3 ,Shortage in KG= 66  ,Oil% 40.45</v>
      </c>
      <c r="BP548" s="45">
        <f t="shared" si="382"/>
        <v>7493.848987012987</v>
      </c>
      <c r="BX548" s="27">
        <v>40.75</v>
      </c>
      <c r="BY548" s="27">
        <v>40.450000000000003</v>
      </c>
    </row>
    <row r="549" spans="1:77" ht="14.1" hidden="1" customHeight="1" x14ac:dyDescent="0.3">
      <c r="A549" s="128" t="s">
        <v>1139</v>
      </c>
      <c r="B549" s="130">
        <v>46161</v>
      </c>
      <c r="C549" s="138">
        <v>525</v>
      </c>
      <c r="D549" s="128" t="s">
        <v>1118</v>
      </c>
      <c r="E549" s="129">
        <v>46162</v>
      </c>
      <c r="F549" s="128" t="s">
        <v>98</v>
      </c>
      <c r="G549" s="158" t="s">
        <v>99</v>
      </c>
      <c r="H549" s="128" t="s">
        <v>199</v>
      </c>
      <c r="I549" s="136"/>
      <c r="J549" s="128" t="s">
        <v>113</v>
      </c>
      <c r="K549" s="163">
        <v>0</v>
      </c>
      <c r="L549" s="130">
        <v>46161</v>
      </c>
      <c r="M549" s="136"/>
      <c r="N549" s="128">
        <v>119</v>
      </c>
      <c r="O549" s="130">
        <v>46161</v>
      </c>
      <c r="P549" s="128">
        <v>0</v>
      </c>
      <c r="Q549" s="128">
        <v>400</v>
      </c>
      <c r="R549" s="128">
        <v>78</v>
      </c>
      <c r="S549" s="128">
        <v>478</v>
      </c>
      <c r="T549" s="128">
        <v>478</v>
      </c>
      <c r="U549" s="163">
        <v>0</v>
      </c>
      <c r="V549" s="163">
        <v>0</v>
      </c>
      <c r="W549" s="169">
        <v>286.8</v>
      </c>
      <c r="X549" s="169">
        <v>289.89999999999998</v>
      </c>
      <c r="Y549" s="169">
        <v>2192772.42</v>
      </c>
      <c r="Z549" s="169"/>
      <c r="AA549" s="169">
        <v>54819.31</v>
      </c>
      <c r="AB549" s="169">
        <v>54819.31</v>
      </c>
      <c r="AC549" s="169">
        <v>2302411.04</v>
      </c>
      <c r="AD549" s="197">
        <f t="shared" si="387"/>
        <v>2300108.6289599999</v>
      </c>
      <c r="AE549" s="147">
        <v>39.799999999999997</v>
      </c>
      <c r="AF549" s="147">
        <v>39.75</v>
      </c>
      <c r="AG549" s="147">
        <v>39.82</v>
      </c>
      <c r="AH549" s="170">
        <v>3.0000000000000001E-3</v>
      </c>
      <c r="AI549" s="170">
        <v>3.2500000000000001E-2</v>
      </c>
      <c r="AJ549" s="170">
        <v>0.05</v>
      </c>
      <c r="AK549" s="155">
        <f t="shared" si="383"/>
        <v>0</v>
      </c>
      <c r="AL549" s="157">
        <v>0</v>
      </c>
      <c r="AM549" s="157"/>
      <c r="AN549" s="165">
        <v>0</v>
      </c>
      <c r="AO549" s="140">
        <f t="shared" si="386"/>
        <v>229.36949999999999</v>
      </c>
      <c r="AP549" s="136"/>
      <c r="AQ549" s="137">
        <v>0</v>
      </c>
      <c r="AR549" s="155">
        <f t="shared" si="384"/>
        <v>229.36949999999999</v>
      </c>
      <c r="AS549" s="155">
        <f t="shared" si="385"/>
        <v>241</v>
      </c>
      <c r="AT549" s="137">
        <v>3</v>
      </c>
      <c r="AU549" s="136"/>
      <c r="AV549" s="136"/>
      <c r="AW549" s="137">
        <f t="shared" si="371"/>
        <v>28680</v>
      </c>
      <c r="AX549" s="136"/>
      <c r="AY549" s="137">
        <f t="shared" si="372"/>
        <v>28680</v>
      </c>
      <c r="AZ549" s="137">
        <f t="shared" si="373"/>
        <v>28989.999999999996</v>
      </c>
      <c r="BA549" s="142">
        <f t="shared" si="374"/>
        <v>-309.99999999999636</v>
      </c>
      <c r="BB549" s="137"/>
      <c r="BC549" s="137">
        <v>0</v>
      </c>
      <c r="BD549" s="136"/>
      <c r="BE549" s="128">
        <v>290.35000000000002</v>
      </c>
      <c r="BF549" s="143">
        <f t="shared" si="375"/>
        <v>0.435525</v>
      </c>
      <c r="BG549" s="143">
        <f t="shared" si="376"/>
        <v>289.91447500000004</v>
      </c>
      <c r="BH549" s="143">
        <f t="shared" si="377"/>
        <v>289.89999999999998</v>
      </c>
      <c r="BI549" s="144">
        <f t="shared" si="378"/>
        <v>45.000000000004547</v>
      </c>
      <c r="BJ549" s="144">
        <v>0</v>
      </c>
      <c r="BK549" s="137">
        <f t="shared" si="379"/>
        <v>45.000000000004547</v>
      </c>
      <c r="BL549" s="42"/>
      <c r="BM549" s="43" t="str">
        <f t="shared" si="380"/>
        <v>Unloading no. 525 Bill No 119 ,Deduction For Oil Deduction= 0 ,Bardana= 0 ,F.M=  Brokerage/Rate Difference 0 ,Shortage = 229.3695 ,Greenish=  ,Moisture= 0</v>
      </c>
      <c r="BN549" s="41"/>
      <c r="BO549" s="44" t="str">
        <f t="shared" si="381"/>
        <v xml:space="preserve"> Party Condition 39.75  ,F.M% 0.3 ,Greenish 3.25 ,Moisture 5 ,Shortage in KG= 3  ,Oil% 39.8</v>
      </c>
      <c r="BP549" s="45">
        <f t="shared" si="382"/>
        <v>7563.1012435322527</v>
      </c>
      <c r="BX549" s="27">
        <v>39.799999999999997</v>
      </c>
      <c r="BY549" s="27">
        <v>39.82</v>
      </c>
    </row>
    <row r="550" spans="1:77" ht="14.1" hidden="1" customHeight="1" x14ac:dyDescent="0.3">
      <c r="A550" s="128" t="s">
        <v>1140</v>
      </c>
      <c r="B550" s="130">
        <v>46161</v>
      </c>
      <c r="C550" s="138">
        <v>526</v>
      </c>
      <c r="D550" s="128" t="s">
        <v>1119</v>
      </c>
      <c r="E550" s="129">
        <v>46162</v>
      </c>
      <c r="F550" s="128" t="s">
        <v>110</v>
      </c>
      <c r="G550" s="158" t="s">
        <v>111</v>
      </c>
      <c r="H550" s="128" t="s">
        <v>112</v>
      </c>
      <c r="I550" s="136"/>
      <c r="J550" s="128" t="s">
        <v>113</v>
      </c>
      <c r="K550" s="163">
        <v>0</v>
      </c>
      <c r="L550" s="130">
        <v>46161</v>
      </c>
      <c r="M550" s="136"/>
      <c r="N550" s="163" t="s">
        <v>1245</v>
      </c>
      <c r="O550" s="129">
        <v>46161</v>
      </c>
      <c r="P550" s="128">
        <v>0</v>
      </c>
      <c r="Q550" s="128">
        <v>200</v>
      </c>
      <c r="R550" s="128">
        <v>215</v>
      </c>
      <c r="S550" s="128">
        <v>415</v>
      </c>
      <c r="T550" s="128">
        <v>415</v>
      </c>
      <c r="U550" s="163">
        <v>0</v>
      </c>
      <c r="V550" s="163">
        <v>0</v>
      </c>
      <c r="W550" s="169">
        <v>249</v>
      </c>
      <c r="X550" s="169">
        <v>253.1</v>
      </c>
      <c r="Y550" s="169">
        <v>1913067</v>
      </c>
      <c r="Z550" s="169"/>
      <c r="AA550" s="169">
        <v>47826.68</v>
      </c>
      <c r="AB550" s="169">
        <v>47826.68</v>
      </c>
      <c r="AC550" s="169">
        <v>2008720.35</v>
      </c>
      <c r="AD550" s="197">
        <f t="shared" si="387"/>
        <v>2006711.62965</v>
      </c>
      <c r="AE550" s="147">
        <v>40.950000000000003</v>
      </c>
      <c r="AF550" s="147">
        <v>40.24</v>
      </c>
      <c r="AG550" s="147">
        <v>40.57</v>
      </c>
      <c r="AH550" s="170">
        <v>2.5999999999999999E-3</v>
      </c>
      <c r="AI550" s="170">
        <v>3.2500000000000001E-2</v>
      </c>
      <c r="AJ550" s="170">
        <v>4.9000000000000002E-2</v>
      </c>
      <c r="AK550" s="155">
        <f t="shared" si="383"/>
        <v>0</v>
      </c>
      <c r="AL550" s="157">
        <v>0</v>
      </c>
      <c r="AM550" s="157"/>
      <c r="AN550" s="165">
        <v>0</v>
      </c>
      <c r="AO550" s="140">
        <f t="shared" si="386"/>
        <v>0</v>
      </c>
      <c r="AP550" s="136"/>
      <c r="AQ550" s="137">
        <v>0</v>
      </c>
      <c r="AR550" s="155">
        <f t="shared" si="384"/>
        <v>0</v>
      </c>
      <c r="AS550" s="155">
        <f t="shared" si="385"/>
        <v>0</v>
      </c>
      <c r="AT550" s="137">
        <v>0</v>
      </c>
      <c r="AU550" s="136"/>
      <c r="AV550" s="136"/>
      <c r="AW550" s="137">
        <f t="shared" si="371"/>
        <v>24900</v>
      </c>
      <c r="AX550" s="136"/>
      <c r="AY550" s="137">
        <f t="shared" si="372"/>
        <v>24900</v>
      </c>
      <c r="AZ550" s="137">
        <f t="shared" si="373"/>
        <v>25310</v>
      </c>
      <c r="BA550" s="142">
        <f t="shared" si="374"/>
        <v>-410</v>
      </c>
      <c r="BB550" s="137"/>
      <c r="BC550" s="137">
        <v>0</v>
      </c>
      <c r="BD550" s="136"/>
      <c r="BE550" s="128">
        <v>253.05</v>
      </c>
      <c r="BF550" s="143">
        <f t="shared" si="375"/>
        <v>0.37957500000000005</v>
      </c>
      <c r="BG550" s="143">
        <f t="shared" si="376"/>
        <v>252.67042500000002</v>
      </c>
      <c r="BH550" s="143">
        <f t="shared" si="377"/>
        <v>253.1</v>
      </c>
      <c r="BI550" s="144">
        <f t="shared" si="378"/>
        <v>-4.9999999999982947</v>
      </c>
      <c r="BJ550" s="144">
        <v>0</v>
      </c>
      <c r="BK550" s="137">
        <f t="shared" si="379"/>
        <v>-4.9999999999982947</v>
      </c>
      <c r="BL550" s="42"/>
      <c r="BM550" s="43" t="str">
        <f t="shared" si="380"/>
        <v>Unloading no. 526 Bill No G1703 ,Deduction For Oil Deduction= 0 ,Bardana= 0 ,F.M=  Brokerage/Rate Difference 0 ,Shortage = 0 ,Greenish=  ,Moisture= 0</v>
      </c>
      <c r="BN550" s="41"/>
      <c r="BO550" s="44" t="str">
        <f t="shared" si="381"/>
        <v xml:space="preserve"> Party Condition 40.24  ,F.M% 0.26 ,Greenish 3.25 ,Moisture 4.9 ,Shortage in KG= 0  ,Oil% 40.57</v>
      </c>
      <c r="BP550" s="45">
        <f t="shared" si="382"/>
        <v>7558.5420782299489</v>
      </c>
      <c r="BX550" s="27">
        <v>40.950000000000003</v>
      </c>
      <c r="BY550" s="27">
        <v>40.57</v>
      </c>
    </row>
    <row r="551" spans="1:77" ht="14.1" hidden="1" customHeight="1" x14ac:dyDescent="0.3">
      <c r="A551" s="128" t="s">
        <v>1137</v>
      </c>
      <c r="B551" s="130">
        <v>46160</v>
      </c>
      <c r="C551" s="190">
        <v>527</v>
      </c>
      <c r="D551" s="159" t="s">
        <v>1120</v>
      </c>
      <c r="E551" s="239">
        <v>46162</v>
      </c>
      <c r="F551" s="159" t="s">
        <v>1144</v>
      </c>
      <c r="G551" s="237" t="s">
        <v>1145</v>
      </c>
      <c r="H551" s="159" t="s">
        <v>103</v>
      </c>
      <c r="I551" s="206"/>
      <c r="J551" s="159" t="s">
        <v>1146</v>
      </c>
      <c r="K551" s="159">
        <v>0</v>
      </c>
      <c r="L551" s="194">
        <v>46160</v>
      </c>
      <c r="M551" s="206"/>
      <c r="N551" s="159" t="s">
        <v>1160</v>
      </c>
      <c r="O551" s="129">
        <v>46162</v>
      </c>
      <c r="P551" s="128">
        <v>0</v>
      </c>
      <c r="Q551" s="128">
        <v>120</v>
      </c>
      <c r="R551" s="128">
        <v>40</v>
      </c>
      <c r="S551" s="128">
        <v>160</v>
      </c>
      <c r="T551" s="128">
        <v>160</v>
      </c>
      <c r="U551" s="163">
        <v>0</v>
      </c>
      <c r="V551" s="163">
        <v>0</v>
      </c>
      <c r="W551" s="169">
        <v>95</v>
      </c>
      <c r="X551" s="169">
        <v>95.1</v>
      </c>
      <c r="Y551" s="169">
        <v>741095</v>
      </c>
      <c r="Z551" s="235">
        <v>40.06</v>
      </c>
      <c r="AA551" s="169">
        <v>18527.38</v>
      </c>
      <c r="AB551" s="169">
        <v>18527.38</v>
      </c>
      <c r="AC551" s="169">
        <v>778149.75</v>
      </c>
      <c r="AD551" s="197">
        <f t="shared" si="387"/>
        <v>777371.60025000002</v>
      </c>
      <c r="AE551" s="147">
        <v>40.06</v>
      </c>
      <c r="AF551" s="147">
        <v>42</v>
      </c>
      <c r="AG551" s="147">
        <v>40.06</v>
      </c>
      <c r="AH551" s="170">
        <v>2.5000000000000001E-3</v>
      </c>
      <c r="AI551" s="170">
        <v>3.2000000000000001E-2</v>
      </c>
      <c r="AJ551" s="170">
        <v>5.0999999999999997E-2</v>
      </c>
      <c r="AK551" s="155">
        <f t="shared" si="383"/>
        <v>34231.530952380912</v>
      </c>
      <c r="AL551" s="157">
        <v>0</v>
      </c>
      <c r="AM551" s="157"/>
      <c r="AN551" s="165">
        <v>0</v>
      </c>
      <c r="AO551" s="140">
        <f t="shared" si="386"/>
        <v>0</v>
      </c>
      <c r="AP551" s="136"/>
      <c r="AQ551" s="137">
        <v>0</v>
      </c>
      <c r="AR551" s="155">
        <f t="shared" si="384"/>
        <v>34231.530952380912</v>
      </c>
      <c r="AS551" s="155">
        <f t="shared" si="385"/>
        <v>35943</v>
      </c>
      <c r="AT551" s="137">
        <v>0</v>
      </c>
      <c r="AU551" s="136"/>
      <c r="AV551" s="136"/>
      <c r="AW551" s="137">
        <f t="shared" si="371"/>
        <v>9500</v>
      </c>
      <c r="AX551" s="136"/>
      <c r="AY551" s="137">
        <f t="shared" si="372"/>
        <v>9500</v>
      </c>
      <c r="AZ551" s="137">
        <f t="shared" si="373"/>
        <v>9510</v>
      </c>
      <c r="BA551" s="142">
        <f t="shared" si="374"/>
        <v>-10</v>
      </c>
      <c r="BB551" s="137"/>
      <c r="BC551" s="137">
        <v>0</v>
      </c>
      <c r="BD551" s="136"/>
      <c r="BE551" s="128">
        <v>95</v>
      </c>
      <c r="BF551" s="143">
        <f t="shared" si="375"/>
        <v>0.14249999999999999</v>
      </c>
      <c r="BG551" s="143">
        <f t="shared" si="376"/>
        <v>94.857500000000002</v>
      </c>
      <c r="BH551" s="143">
        <f t="shared" si="377"/>
        <v>95.1</v>
      </c>
      <c r="BI551" s="144">
        <f t="shared" si="378"/>
        <v>-9.9999999999994316</v>
      </c>
      <c r="BJ551" s="144">
        <v>0</v>
      </c>
      <c r="BK551" s="137">
        <f t="shared" si="379"/>
        <v>-9.9999999999994316</v>
      </c>
      <c r="BL551" s="42"/>
      <c r="BM551" s="43" t="str">
        <f t="shared" si="380"/>
        <v>Unloading no. 527 Bill No 2026-27/31 ,Deduction For Oil Deduction= 34231.5309523809 ,Bardana= 0 ,F.M=  Brokerage/Rate Difference 0 ,Shortage = 0 ,Greenish=  ,Moisture= 0</v>
      </c>
      <c r="BN551" s="41"/>
      <c r="BO551" s="44" t="str">
        <f t="shared" si="381"/>
        <v xml:space="preserve"> Party Condition 42  ,F.M% 0.25 ,Greenish 3.2 ,Moisture 5.1 ,Shortage in KG= 0  ,Oil% 40.06</v>
      </c>
      <c r="BP551" s="45">
        <f t="shared" si="382"/>
        <v>7432.8440488708629</v>
      </c>
      <c r="BX551" s="27">
        <v>40.119999999999997</v>
      </c>
      <c r="BY551" s="27">
        <v>40.11</v>
      </c>
    </row>
    <row r="552" spans="1:77" ht="14.1" hidden="1" customHeight="1" x14ac:dyDescent="0.3">
      <c r="A552" s="128" t="s">
        <v>1137</v>
      </c>
      <c r="B552" s="130">
        <v>46160</v>
      </c>
      <c r="C552" s="138">
        <v>528</v>
      </c>
      <c r="D552" s="128" t="s">
        <v>1121</v>
      </c>
      <c r="E552" s="129">
        <v>46162</v>
      </c>
      <c r="F552" s="128" t="s">
        <v>1144</v>
      </c>
      <c r="G552" s="158" t="s">
        <v>1145</v>
      </c>
      <c r="H552" s="128" t="s">
        <v>103</v>
      </c>
      <c r="I552" s="136"/>
      <c r="J552" s="128" t="s">
        <v>1146</v>
      </c>
      <c r="K552" s="163">
        <v>0</v>
      </c>
      <c r="L552" s="130">
        <v>46160</v>
      </c>
      <c r="M552" s="136"/>
      <c r="N552" s="128" t="s">
        <v>1161</v>
      </c>
      <c r="O552" s="129">
        <v>46162</v>
      </c>
      <c r="P552" s="128">
        <v>0</v>
      </c>
      <c r="Q552" s="128">
        <v>120</v>
      </c>
      <c r="R552" s="128">
        <v>30</v>
      </c>
      <c r="S552" s="128">
        <v>150</v>
      </c>
      <c r="T552" s="128">
        <v>150</v>
      </c>
      <c r="U552" s="163">
        <v>0</v>
      </c>
      <c r="V552" s="163">
        <v>0</v>
      </c>
      <c r="W552" s="169">
        <v>91.4</v>
      </c>
      <c r="X552" s="169">
        <v>91.2</v>
      </c>
      <c r="Y552" s="169">
        <v>713011.4</v>
      </c>
      <c r="Z552" s="235">
        <v>40.03</v>
      </c>
      <c r="AA552" s="169">
        <v>17825.29</v>
      </c>
      <c r="AB552" s="169">
        <v>17825.29</v>
      </c>
      <c r="AC552" s="169">
        <v>748661.97</v>
      </c>
      <c r="AD552" s="197">
        <f t="shared" si="387"/>
        <v>747913.30802999996</v>
      </c>
      <c r="AE552" s="147">
        <v>40.03</v>
      </c>
      <c r="AF552" s="147">
        <v>42</v>
      </c>
      <c r="AG552" s="147">
        <v>40.03</v>
      </c>
      <c r="AH552" s="170">
        <v>3.5999999999999999E-3</v>
      </c>
      <c r="AI552" s="170">
        <v>3.4000000000000002E-2</v>
      </c>
      <c r="AJ552" s="170">
        <v>5.3999999999999999E-2</v>
      </c>
      <c r="AK552" s="155">
        <f t="shared" si="383"/>
        <v>33443.629952380936</v>
      </c>
      <c r="AL552" s="157">
        <v>0</v>
      </c>
      <c r="AM552" s="157"/>
      <c r="AN552" s="165">
        <v>0</v>
      </c>
      <c r="AO552" s="140">
        <f t="shared" si="386"/>
        <v>156.02000000000001</v>
      </c>
      <c r="AP552" s="136"/>
      <c r="AQ552" s="137">
        <v>0</v>
      </c>
      <c r="AR552" s="155">
        <f t="shared" si="384"/>
        <v>33599.649952380933</v>
      </c>
      <c r="AS552" s="155">
        <f t="shared" si="385"/>
        <v>35280</v>
      </c>
      <c r="AT552" s="137">
        <v>2</v>
      </c>
      <c r="AU552" s="136"/>
      <c r="AV552" s="136"/>
      <c r="AW552" s="137">
        <f t="shared" si="371"/>
        <v>9140</v>
      </c>
      <c r="AX552" s="136"/>
      <c r="AY552" s="137">
        <f t="shared" si="372"/>
        <v>9140</v>
      </c>
      <c r="AZ552" s="137">
        <f t="shared" si="373"/>
        <v>9120</v>
      </c>
      <c r="BA552" s="142">
        <f t="shared" si="374"/>
        <v>20</v>
      </c>
      <c r="BB552" s="137"/>
      <c r="BC552" s="137">
        <v>0</v>
      </c>
      <c r="BD552" s="136"/>
      <c r="BE552" s="128">
        <v>91.4</v>
      </c>
      <c r="BF552" s="143">
        <f t="shared" si="375"/>
        <v>0.1371</v>
      </c>
      <c r="BG552" s="143">
        <f t="shared" si="376"/>
        <v>91.262900000000002</v>
      </c>
      <c r="BH552" s="143">
        <f t="shared" si="377"/>
        <v>91.2</v>
      </c>
      <c r="BI552" s="144">
        <f t="shared" si="378"/>
        <v>20.000000000000284</v>
      </c>
      <c r="BJ552" s="144">
        <v>0</v>
      </c>
      <c r="BK552" s="137">
        <f t="shared" si="379"/>
        <v>20.000000000000284</v>
      </c>
      <c r="BL552" s="42"/>
      <c r="BM552" s="43" t="str">
        <f t="shared" si="380"/>
        <v>Unloading no. 528 Bill No 2026-27/32 ,Deduction For Oil Deduction= 33443.6299523809 ,Bardana= 0 ,F.M=  Brokerage/Rate Difference 0 ,Shortage = 156.02 ,Greenish=  ,Moisture= 0</v>
      </c>
      <c r="BN552" s="41"/>
      <c r="BO552" s="44" t="str">
        <f t="shared" si="381"/>
        <v xml:space="preserve"> Party Condition 42  ,F.M% 0.36 ,Greenish 3.4 ,Moisture 5.4 ,Shortage in KG= 2  ,Oil% 40.03</v>
      </c>
      <c r="BP552" s="45">
        <f t="shared" si="382"/>
        <v>7449.6902417502097</v>
      </c>
      <c r="BX552" s="27">
        <v>39.799999999999997</v>
      </c>
      <c r="BY552" s="27">
        <v>39.76</v>
      </c>
    </row>
    <row r="553" spans="1:77" ht="14.1" hidden="1" customHeight="1" x14ac:dyDescent="0.3">
      <c r="A553" s="128" t="s">
        <v>1137</v>
      </c>
      <c r="B553" s="130">
        <v>46160</v>
      </c>
      <c r="C553" s="138">
        <v>529</v>
      </c>
      <c r="D553" s="128" t="s">
        <v>1122</v>
      </c>
      <c r="E553" s="129">
        <v>46162</v>
      </c>
      <c r="F553" s="128" t="s">
        <v>1144</v>
      </c>
      <c r="G553" s="158" t="s">
        <v>1145</v>
      </c>
      <c r="H553" s="128" t="s">
        <v>103</v>
      </c>
      <c r="I553" s="136"/>
      <c r="J553" s="128" t="s">
        <v>1146</v>
      </c>
      <c r="K553" s="163">
        <v>0</v>
      </c>
      <c r="L553" s="130">
        <v>46160</v>
      </c>
      <c r="M553" s="136"/>
      <c r="N553" s="128" t="s">
        <v>1162</v>
      </c>
      <c r="O553" s="129">
        <v>46162</v>
      </c>
      <c r="P553" s="128">
        <v>0</v>
      </c>
      <c r="Q553" s="128">
        <v>115</v>
      </c>
      <c r="R553" s="128">
        <v>35</v>
      </c>
      <c r="S553" s="128">
        <v>150</v>
      </c>
      <c r="T553" s="128">
        <v>150</v>
      </c>
      <c r="U553" s="163">
        <v>0</v>
      </c>
      <c r="V553" s="163">
        <v>0</v>
      </c>
      <c r="W553" s="169">
        <v>89.5</v>
      </c>
      <c r="X553" s="169">
        <v>89.4</v>
      </c>
      <c r="Y553" s="169">
        <v>698189.5</v>
      </c>
      <c r="Z553" s="235">
        <v>40.130000000000003</v>
      </c>
      <c r="AA553" s="169">
        <v>17454.740000000002</v>
      </c>
      <c r="AB553" s="169">
        <v>17454.740000000002</v>
      </c>
      <c r="AC553" s="169">
        <v>733098.98</v>
      </c>
      <c r="AD553" s="197">
        <f t="shared" si="387"/>
        <v>732365.88101999997</v>
      </c>
      <c r="AE553" s="147">
        <v>40.130000000000003</v>
      </c>
      <c r="AF553" s="169">
        <v>42</v>
      </c>
      <c r="AG553" s="147">
        <v>40.130000000000003</v>
      </c>
      <c r="AH553" s="170">
        <v>3.8999999999999998E-3</v>
      </c>
      <c r="AI553" s="170">
        <v>3.2000000000000001E-2</v>
      </c>
      <c r="AJ553" s="170">
        <v>5.1999999999999998E-2</v>
      </c>
      <c r="AK553" s="155">
        <f t="shared" si="383"/>
        <v>31086.05630952377</v>
      </c>
      <c r="AL553" s="157">
        <v>0</v>
      </c>
      <c r="AM553" s="157"/>
      <c r="AN553" s="165">
        <v>0</v>
      </c>
      <c r="AO553" s="140">
        <f t="shared" si="386"/>
        <v>0</v>
      </c>
      <c r="AP553" s="136"/>
      <c r="AQ553" s="137">
        <v>0</v>
      </c>
      <c r="AR553" s="155">
        <f t="shared" si="384"/>
        <v>31086.05630952377</v>
      </c>
      <c r="AS553" s="155">
        <f t="shared" si="385"/>
        <v>32640</v>
      </c>
      <c r="AT553" s="137">
        <v>0</v>
      </c>
      <c r="AU553" s="136"/>
      <c r="AV553" s="136"/>
      <c r="AW553" s="137">
        <f t="shared" si="371"/>
        <v>8950</v>
      </c>
      <c r="AX553" s="136"/>
      <c r="AY553" s="137">
        <f t="shared" si="372"/>
        <v>8950</v>
      </c>
      <c r="AZ553" s="137">
        <f t="shared" si="373"/>
        <v>8940</v>
      </c>
      <c r="BA553" s="142">
        <f t="shared" si="374"/>
        <v>10</v>
      </c>
      <c r="BB553" s="137"/>
      <c r="BC553" s="137">
        <v>0</v>
      </c>
      <c r="BD553" s="136"/>
      <c r="BE553" s="128">
        <v>89.5</v>
      </c>
      <c r="BF553" s="143">
        <f t="shared" si="375"/>
        <v>0.13424999999999998</v>
      </c>
      <c r="BG553" s="143">
        <f t="shared" si="376"/>
        <v>89.365750000000006</v>
      </c>
      <c r="BH553" s="143">
        <f t="shared" si="377"/>
        <v>89.4</v>
      </c>
      <c r="BI553" s="144">
        <f t="shared" si="378"/>
        <v>9.9999999999994316</v>
      </c>
      <c r="BJ553" s="144">
        <v>0</v>
      </c>
      <c r="BK553" s="137">
        <f t="shared" si="379"/>
        <v>9.9999999999994316</v>
      </c>
      <c r="BL553" s="42"/>
      <c r="BM553" s="43" t="str">
        <f t="shared" si="380"/>
        <v>Unloading no. 529 Bill No 2026-27/33 ,Deduction For Oil Deduction= 31086.0563095238 ,Bardana= 0 ,F.M=  Brokerage/Rate Difference 0 ,Shortage = 0 ,Greenish=  ,Moisture= 0</v>
      </c>
      <c r="BN553" s="41"/>
      <c r="BO553" s="44" t="str">
        <f t="shared" si="381"/>
        <v xml:space="preserve"> Party Condition 42  ,F.M% 0.39 ,Greenish 3.2 ,Moisture 5.2 ,Shortage in KG= 0  ,Oil% 40.13</v>
      </c>
      <c r="BP553" s="45">
        <f t="shared" si="382"/>
        <v>7462.0072001171839</v>
      </c>
      <c r="BX553" s="27">
        <v>40.299999999999997</v>
      </c>
      <c r="BY553" s="27">
        <v>40.090000000000003</v>
      </c>
    </row>
    <row r="554" spans="1:77" ht="14.1" hidden="1" customHeight="1" x14ac:dyDescent="0.3">
      <c r="A554" s="128" t="s">
        <v>1137</v>
      </c>
      <c r="B554" s="130">
        <v>46160</v>
      </c>
      <c r="C554" s="138">
        <v>530</v>
      </c>
      <c r="D554" s="128" t="s">
        <v>1123</v>
      </c>
      <c r="E554" s="129">
        <v>46162</v>
      </c>
      <c r="F554" s="128" t="s">
        <v>1144</v>
      </c>
      <c r="G554" s="158" t="s">
        <v>1145</v>
      </c>
      <c r="H554" s="128" t="s">
        <v>103</v>
      </c>
      <c r="I554" s="136"/>
      <c r="J554" s="128" t="s">
        <v>1146</v>
      </c>
      <c r="K554" s="163">
        <v>0</v>
      </c>
      <c r="L554" s="130">
        <v>46160</v>
      </c>
      <c r="M554" s="136"/>
      <c r="N554" s="158" t="s">
        <v>1163</v>
      </c>
      <c r="O554" s="129">
        <v>46162</v>
      </c>
      <c r="P554" s="128">
        <v>0</v>
      </c>
      <c r="Q554" s="128">
        <v>120</v>
      </c>
      <c r="R554" s="128">
        <v>30</v>
      </c>
      <c r="S554" s="128">
        <v>150</v>
      </c>
      <c r="T554" s="128">
        <v>150</v>
      </c>
      <c r="U554" s="163">
        <v>0</v>
      </c>
      <c r="V554" s="163">
        <v>0</v>
      </c>
      <c r="W554" s="169">
        <v>90.2</v>
      </c>
      <c r="X554" s="169">
        <v>90.1</v>
      </c>
      <c r="Y554" s="169">
        <v>703650.2</v>
      </c>
      <c r="Z554" s="235">
        <v>40.049999999999997</v>
      </c>
      <c r="AA554" s="169">
        <v>17591.259999999998</v>
      </c>
      <c r="AB554" s="169">
        <v>17591.259999999998</v>
      </c>
      <c r="AC554" s="169">
        <v>738832.71</v>
      </c>
      <c r="AD554" s="197">
        <f t="shared" si="387"/>
        <v>738093.87728999997</v>
      </c>
      <c r="AE554" s="147">
        <v>40.049999999999997</v>
      </c>
      <c r="AF554" s="169">
        <v>42</v>
      </c>
      <c r="AG554" s="147">
        <v>40.049999999999997</v>
      </c>
      <c r="AH554" s="170">
        <v>3.8E-3</v>
      </c>
      <c r="AI554" s="170">
        <v>3.5000000000000003E-2</v>
      </c>
      <c r="AJ554" s="170">
        <v>5.2999999999999999E-2</v>
      </c>
      <c r="AK554" s="155">
        <f t="shared" si="383"/>
        <v>32669.473571428618</v>
      </c>
      <c r="AL554" s="157">
        <v>0</v>
      </c>
      <c r="AM554" s="157"/>
      <c r="AN554" s="165">
        <v>0</v>
      </c>
      <c r="AO554" s="140">
        <f t="shared" si="386"/>
        <v>0</v>
      </c>
      <c r="AP554" s="136"/>
      <c r="AQ554" s="137">
        <v>0</v>
      </c>
      <c r="AR554" s="155">
        <f t="shared" si="384"/>
        <v>32669.473571428618</v>
      </c>
      <c r="AS554" s="155">
        <f t="shared" si="385"/>
        <v>34303</v>
      </c>
      <c r="AT554" s="137">
        <v>0</v>
      </c>
      <c r="AU554" s="136"/>
      <c r="AV554" s="136"/>
      <c r="AW554" s="137">
        <f t="shared" si="371"/>
        <v>9020</v>
      </c>
      <c r="AX554" s="136"/>
      <c r="AY554" s="137">
        <f t="shared" si="372"/>
        <v>9020</v>
      </c>
      <c r="AZ554" s="137">
        <f t="shared" si="373"/>
        <v>9010</v>
      </c>
      <c r="BA554" s="142">
        <f t="shared" si="374"/>
        <v>10</v>
      </c>
      <c r="BB554" s="137"/>
      <c r="BC554" s="137">
        <v>0</v>
      </c>
      <c r="BD554" s="136"/>
      <c r="BE554" s="128">
        <v>90.2</v>
      </c>
      <c r="BF554" s="143">
        <f t="shared" si="375"/>
        <v>0.1353</v>
      </c>
      <c r="BG554" s="143">
        <f t="shared" si="376"/>
        <v>90.064700000000002</v>
      </c>
      <c r="BH554" s="143">
        <f t="shared" si="377"/>
        <v>90.1</v>
      </c>
      <c r="BI554" s="144">
        <f t="shared" si="378"/>
        <v>10.000000000000853</v>
      </c>
      <c r="BJ554" s="144">
        <v>0</v>
      </c>
      <c r="BK554" s="137">
        <f t="shared" si="379"/>
        <v>10.000000000000853</v>
      </c>
      <c r="BL554" s="42"/>
      <c r="BM554" s="43" t="str">
        <f t="shared" si="380"/>
        <v>Unloading no. 530 Bill No 2026-27/35 ,Deduction For Oil Deduction= 32669.4735714286 ,Bardana= 0 ,F.M=  Brokerage/Rate Difference 0 ,Shortage = 0 ,Greenish=  ,Moisture= 0</v>
      </c>
      <c r="BN554" s="41"/>
      <c r="BO554" s="44" t="str">
        <f t="shared" si="381"/>
        <v xml:space="preserve"> Party Condition 42  ,F.M% 0.38 ,Greenish 3.5 ,Moisture 5.3 ,Shortage in KG= 0  ,Oil% 40.05</v>
      </c>
      <c r="BP554" s="45">
        <f t="shared" si="382"/>
        <v>7447.0668859996831</v>
      </c>
      <c r="BX554" s="27">
        <v>40.08</v>
      </c>
      <c r="BY554" s="27">
        <v>39.880000000000003</v>
      </c>
    </row>
    <row r="555" spans="1:77" ht="14.1" hidden="1" customHeight="1" x14ac:dyDescent="0.3">
      <c r="A555" s="128" t="s">
        <v>1137</v>
      </c>
      <c r="B555" s="130">
        <v>46160</v>
      </c>
      <c r="C555" s="138">
        <v>531</v>
      </c>
      <c r="D555" s="128" t="s">
        <v>1124</v>
      </c>
      <c r="E555" s="129">
        <v>46162</v>
      </c>
      <c r="F555" s="128" t="s">
        <v>1144</v>
      </c>
      <c r="G555" s="158" t="s">
        <v>1145</v>
      </c>
      <c r="H555" s="128" t="s">
        <v>103</v>
      </c>
      <c r="I555" s="136"/>
      <c r="J555" s="128" t="s">
        <v>1146</v>
      </c>
      <c r="K555" s="163">
        <v>0</v>
      </c>
      <c r="L555" s="130">
        <v>46160</v>
      </c>
      <c r="M555" s="136"/>
      <c r="N555" s="158" t="s">
        <v>1164</v>
      </c>
      <c r="O555" s="129">
        <v>46162</v>
      </c>
      <c r="P555" s="128">
        <v>0</v>
      </c>
      <c r="Q555" s="128">
        <v>150</v>
      </c>
      <c r="R555" s="128">
        <v>0</v>
      </c>
      <c r="S555" s="128">
        <v>150</v>
      </c>
      <c r="T555" s="128">
        <v>150</v>
      </c>
      <c r="U555" s="163">
        <v>0</v>
      </c>
      <c r="V555" s="163">
        <v>0</v>
      </c>
      <c r="W555" s="169">
        <v>89.8</v>
      </c>
      <c r="X555" s="169">
        <v>89.6</v>
      </c>
      <c r="Y555" s="169">
        <v>700529.8</v>
      </c>
      <c r="Z555" s="235">
        <v>39.659999999999997</v>
      </c>
      <c r="AA555" s="169">
        <v>17513.25</v>
      </c>
      <c r="AB555" s="169">
        <v>17513.25</v>
      </c>
      <c r="AC555" s="169">
        <v>735556.29</v>
      </c>
      <c r="AD555" s="197">
        <f t="shared" si="387"/>
        <v>734820.73371000006</v>
      </c>
      <c r="AE555" s="147">
        <v>39.659999999999997</v>
      </c>
      <c r="AF555" s="169">
        <v>42</v>
      </c>
      <c r="AG555" s="147">
        <v>39.659999999999997</v>
      </c>
      <c r="AH555" s="170">
        <v>3.7000000000000002E-3</v>
      </c>
      <c r="AI555" s="170">
        <v>3.5999999999999997E-2</v>
      </c>
      <c r="AJ555" s="170">
        <v>4.9000000000000002E-2</v>
      </c>
      <c r="AK555" s="155">
        <f t="shared" si="383"/>
        <v>39029.517428571489</v>
      </c>
      <c r="AL555" s="157">
        <v>0</v>
      </c>
      <c r="AM555" s="157"/>
      <c r="AN555" s="165">
        <v>0</v>
      </c>
      <c r="AO555" s="140">
        <f t="shared" si="386"/>
        <v>156.02000000000001</v>
      </c>
      <c r="AP555" s="136"/>
      <c r="AQ555" s="137">
        <v>0</v>
      </c>
      <c r="AR555" s="155">
        <f t="shared" si="384"/>
        <v>39185.537428571486</v>
      </c>
      <c r="AS555" s="155">
        <f t="shared" si="385"/>
        <v>41145</v>
      </c>
      <c r="AT555" s="137">
        <v>2</v>
      </c>
      <c r="AU555" s="136"/>
      <c r="AV555" s="136"/>
      <c r="AW555" s="137">
        <f t="shared" si="371"/>
        <v>8980</v>
      </c>
      <c r="AX555" s="136"/>
      <c r="AY555" s="137">
        <f t="shared" si="372"/>
        <v>8980</v>
      </c>
      <c r="AZ555" s="137">
        <f t="shared" si="373"/>
        <v>8960</v>
      </c>
      <c r="BA555" s="142">
        <f t="shared" si="374"/>
        <v>20</v>
      </c>
      <c r="BB555" s="137"/>
      <c r="BC555" s="137">
        <v>0</v>
      </c>
      <c r="BD555" s="136"/>
      <c r="BE555" s="128">
        <v>89.8</v>
      </c>
      <c r="BF555" s="143">
        <f t="shared" si="375"/>
        <v>0.13469999999999999</v>
      </c>
      <c r="BG555" s="143">
        <f t="shared" si="376"/>
        <v>89.665300000000002</v>
      </c>
      <c r="BH555" s="143">
        <f t="shared" si="377"/>
        <v>89.6</v>
      </c>
      <c r="BI555" s="144">
        <f t="shared" si="378"/>
        <v>20.000000000000284</v>
      </c>
      <c r="BJ555" s="144">
        <v>0</v>
      </c>
      <c r="BK555" s="137">
        <f t="shared" si="379"/>
        <v>20.000000000000284</v>
      </c>
      <c r="BL555" s="42"/>
      <c r="BM555" s="43" t="str">
        <f t="shared" si="380"/>
        <v>Unloading no. 531 Bill No 2026-27/36 ,Deduction For Oil Deduction= 39029.5174285715 ,Bardana= 0 ,F.M=  Brokerage/Rate Difference 0 ,Shortage = 156.02 ,Greenish=  ,Moisture= 0</v>
      </c>
      <c r="BN555" s="41"/>
      <c r="BO555" s="44" t="str">
        <f t="shared" si="381"/>
        <v xml:space="preserve"> Party Condition 42  ,F.M% 0.37 ,Greenish 3.6 ,Moisture 4.9 ,Shortage in KG= 2  ,Oil% 39.66</v>
      </c>
      <c r="BP555" s="45">
        <f t="shared" si="382"/>
        <v>7381.0743590561224</v>
      </c>
      <c r="BX555" s="27">
        <v>40.24</v>
      </c>
      <c r="BY555" s="27">
        <v>40.08</v>
      </c>
    </row>
    <row r="556" spans="1:77" ht="14.1" hidden="1" customHeight="1" x14ac:dyDescent="0.3">
      <c r="A556" s="128" t="s">
        <v>1137</v>
      </c>
      <c r="B556" s="130">
        <v>46160</v>
      </c>
      <c r="C556" s="138">
        <v>532</v>
      </c>
      <c r="D556" s="128" t="s">
        <v>1125</v>
      </c>
      <c r="E556" s="129">
        <v>46162</v>
      </c>
      <c r="F556" s="128" t="s">
        <v>1144</v>
      </c>
      <c r="G556" s="158" t="s">
        <v>1145</v>
      </c>
      <c r="H556" s="128" t="s">
        <v>103</v>
      </c>
      <c r="I556" s="136"/>
      <c r="J556" s="128" t="s">
        <v>1146</v>
      </c>
      <c r="K556" s="163">
        <v>0</v>
      </c>
      <c r="L556" s="130">
        <v>46160</v>
      </c>
      <c r="M556" s="136"/>
      <c r="N556" s="158" t="s">
        <v>1165</v>
      </c>
      <c r="O556" s="129">
        <v>46162</v>
      </c>
      <c r="P556" s="128">
        <v>0</v>
      </c>
      <c r="Q556" s="128">
        <v>120</v>
      </c>
      <c r="R556" s="128">
        <v>30</v>
      </c>
      <c r="S556" s="128">
        <v>150</v>
      </c>
      <c r="T556" s="128">
        <v>150</v>
      </c>
      <c r="U556" s="163">
        <v>0</v>
      </c>
      <c r="V556" s="163">
        <v>0</v>
      </c>
      <c r="W556" s="169">
        <v>88</v>
      </c>
      <c r="X556" s="169">
        <v>87.9</v>
      </c>
      <c r="Y556" s="169">
        <v>686488</v>
      </c>
      <c r="Z556" s="235">
        <v>40.22</v>
      </c>
      <c r="AA556" s="169">
        <v>17162.2</v>
      </c>
      <c r="AB556" s="169">
        <v>17162.2</v>
      </c>
      <c r="AC556" s="169">
        <v>720812.4</v>
      </c>
      <c r="AD556" s="197">
        <f t="shared" si="387"/>
        <v>720091.58759999997</v>
      </c>
      <c r="AE556" s="147">
        <v>40.22</v>
      </c>
      <c r="AF556" s="169">
        <v>42</v>
      </c>
      <c r="AG556" s="147">
        <v>40.22</v>
      </c>
      <c r="AH556" s="170">
        <v>3.3999999999999998E-3</v>
      </c>
      <c r="AI556" s="170">
        <v>3.6499999999999998E-2</v>
      </c>
      <c r="AJ556" s="170">
        <v>5.2999999999999999E-2</v>
      </c>
      <c r="AK556" s="155">
        <f t="shared" si="383"/>
        <v>29094.015238095257</v>
      </c>
      <c r="AL556" s="157">
        <v>0</v>
      </c>
      <c r="AM556" s="157"/>
      <c r="AN556" s="165">
        <v>0</v>
      </c>
      <c r="AO556" s="140">
        <f t="shared" si="386"/>
        <v>0</v>
      </c>
      <c r="AP556" s="136"/>
      <c r="AQ556" s="137">
        <v>0</v>
      </c>
      <c r="AR556" s="155">
        <f t="shared" si="384"/>
        <v>29094.015238095257</v>
      </c>
      <c r="AS556" s="155">
        <f t="shared" si="385"/>
        <v>30549</v>
      </c>
      <c r="AT556" s="137">
        <v>0</v>
      </c>
      <c r="AU556" s="136"/>
      <c r="AV556" s="136"/>
      <c r="AW556" s="137">
        <f t="shared" si="371"/>
        <v>8800</v>
      </c>
      <c r="AX556" s="136"/>
      <c r="AY556" s="137">
        <f t="shared" si="372"/>
        <v>8800</v>
      </c>
      <c r="AZ556" s="137">
        <f t="shared" si="373"/>
        <v>8790</v>
      </c>
      <c r="BA556" s="142">
        <f t="shared" si="374"/>
        <v>10</v>
      </c>
      <c r="BB556" s="137"/>
      <c r="BC556" s="137">
        <v>0</v>
      </c>
      <c r="BD556" s="136"/>
      <c r="BE556" s="128">
        <v>88</v>
      </c>
      <c r="BF556" s="143">
        <f t="shared" si="375"/>
        <v>0.13200000000000001</v>
      </c>
      <c r="BG556" s="143">
        <f t="shared" si="376"/>
        <v>87.867999999999995</v>
      </c>
      <c r="BH556" s="143">
        <f t="shared" si="377"/>
        <v>87.9</v>
      </c>
      <c r="BI556" s="144">
        <f t="shared" si="378"/>
        <v>9.9999999999994316</v>
      </c>
      <c r="BJ556" s="144">
        <v>0</v>
      </c>
      <c r="BK556" s="137">
        <f t="shared" si="379"/>
        <v>9.9999999999994316</v>
      </c>
      <c r="BL556" s="42"/>
      <c r="BM556" s="43" t="str">
        <f t="shared" si="380"/>
        <v>Unloading no. 532 Bill No 2026-27/34 ,Deduction For Oil Deduction= 29094.0152380953 ,Bardana= 0 ,F.M=  Brokerage/Rate Difference 0 ,Shortage = 0 ,Greenish=  ,Moisture= 0</v>
      </c>
      <c r="BN556" s="41"/>
      <c r="BO556" s="44" t="str">
        <f t="shared" si="381"/>
        <v xml:space="preserve"> Party Condition 42  ,F.M% 0.34 ,Greenish 3.65 ,Moisture 5.3 ,Shortage in KG= 0  ,Oil% 40.22</v>
      </c>
      <c r="BP556" s="45">
        <f t="shared" si="382"/>
        <v>7478.8849233436249</v>
      </c>
      <c r="BX556" s="27">
        <v>40.020000000000003</v>
      </c>
      <c r="BY556" s="27">
        <v>39.96</v>
      </c>
    </row>
    <row r="557" spans="1:77" ht="14.1" hidden="1" customHeight="1" x14ac:dyDescent="0.3">
      <c r="A557" s="128" t="s">
        <v>1137</v>
      </c>
      <c r="B557" s="130">
        <v>46160</v>
      </c>
      <c r="C557" s="138">
        <v>533</v>
      </c>
      <c r="D557" s="128" t="s">
        <v>1126</v>
      </c>
      <c r="E557" s="129">
        <v>46162</v>
      </c>
      <c r="F557" s="128" t="s">
        <v>1144</v>
      </c>
      <c r="G557" s="158" t="s">
        <v>1145</v>
      </c>
      <c r="H557" s="128" t="s">
        <v>103</v>
      </c>
      <c r="I557" s="136"/>
      <c r="J557" s="128" t="s">
        <v>1146</v>
      </c>
      <c r="K557" s="163">
        <v>0</v>
      </c>
      <c r="L557" s="130">
        <v>46160</v>
      </c>
      <c r="M557" s="136"/>
      <c r="N557" s="158" t="s">
        <v>1166</v>
      </c>
      <c r="O557" s="129">
        <v>46162</v>
      </c>
      <c r="P557" s="128">
        <v>0</v>
      </c>
      <c r="Q557" s="128">
        <v>110</v>
      </c>
      <c r="R557" s="128">
        <v>40</v>
      </c>
      <c r="S557" s="128">
        <v>150</v>
      </c>
      <c r="T557" s="128">
        <v>150</v>
      </c>
      <c r="U557" s="163">
        <v>0</v>
      </c>
      <c r="V557" s="163">
        <v>0</v>
      </c>
      <c r="W557" s="169">
        <v>89.5</v>
      </c>
      <c r="X557" s="169">
        <v>89.2</v>
      </c>
      <c r="Y557" s="169">
        <v>698189.5</v>
      </c>
      <c r="Z557" s="235">
        <v>39.9</v>
      </c>
      <c r="AA557" s="169">
        <v>17454.740000000002</v>
      </c>
      <c r="AB557" s="169">
        <v>17454.740000000002</v>
      </c>
      <c r="AC557" s="169">
        <v>733098.98</v>
      </c>
      <c r="AD557" s="197">
        <f t="shared" si="387"/>
        <v>732365.88101999997</v>
      </c>
      <c r="AE557" s="147">
        <v>39.9</v>
      </c>
      <c r="AF557" s="169">
        <v>42</v>
      </c>
      <c r="AG557" s="147">
        <v>39.9</v>
      </c>
      <c r="AH557" s="170">
        <v>3.5999999999999999E-3</v>
      </c>
      <c r="AI557" s="170">
        <v>0.03</v>
      </c>
      <c r="AJ557" s="170">
        <v>0.05</v>
      </c>
      <c r="AK557" s="155">
        <f t="shared" si="383"/>
        <v>34909.47500000002</v>
      </c>
      <c r="AL557" s="157">
        <v>0</v>
      </c>
      <c r="AM557" s="157"/>
      <c r="AN557" s="165">
        <v>0</v>
      </c>
      <c r="AO557" s="140">
        <f t="shared" si="386"/>
        <v>936.12</v>
      </c>
      <c r="AP557" s="136"/>
      <c r="AQ557" s="137">
        <v>0</v>
      </c>
      <c r="AR557" s="155">
        <f t="shared" si="384"/>
        <v>35845.595000000023</v>
      </c>
      <c r="AS557" s="155">
        <f t="shared" si="385"/>
        <v>37638</v>
      </c>
      <c r="AT557" s="137">
        <v>12</v>
      </c>
      <c r="AU557" s="136"/>
      <c r="AV557" s="136"/>
      <c r="AW557" s="137">
        <f t="shared" si="371"/>
        <v>8950</v>
      </c>
      <c r="AX557" s="136"/>
      <c r="AY557" s="137">
        <f t="shared" si="372"/>
        <v>8950</v>
      </c>
      <c r="AZ557" s="137">
        <f t="shared" si="373"/>
        <v>8920</v>
      </c>
      <c r="BA557" s="142">
        <f t="shared" si="374"/>
        <v>30</v>
      </c>
      <c r="BB557" s="137"/>
      <c r="BC557" s="137">
        <v>0</v>
      </c>
      <c r="BD557" s="136"/>
      <c r="BE557" s="128">
        <v>89.5</v>
      </c>
      <c r="BF557" s="143">
        <f t="shared" si="375"/>
        <v>0.13424999999999998</v>
      </c>
      <c r="BG557" s="143">
        <f t="shared" si="376"/>
        <v>89.365750000000006</v>
      </c>
      <c r="BH557" s="143">
        <f t="shared" si="377"/>
        <v>89.2</v>
      </c>
      <c r="BI557" s="144">
        <f t="shared" si="378"/>
        <v>29.999999999999716</v>
      </c>
      <c r="BJ557" s="144">
        <v>0</v>
      </c>
      <c r="BK557" s="137">
        <f t="shared" si="379"/>
        <v>29.999999999999716</v>
      </c>
      <c r="BL557" s="42"/>
      <c r="BM557" s="43" t="str">
        <f t="shared" si="380"/>
        <v>Unloading no. 533 Bill No 2026-27/39 ,Deduction For Oil Deduction= 34909.475 ,Bardana= 0 ,F.M=  Brokerage/Rate Difference 0 ,Shortage = 936.12 ,Greenish=  ,Moisture= 0</v>
      </c>
      <c r="BN557" s="41"/>
      <c r="BO557" s="44" t="str">
        <f t="shared" si="381"/>
        <v xml:space="preserve"> Party Condition 42  ,F.M% 0.36 ,Greenish 3 ,Moisture 5 ,Shortage in KG= 12  ,Oil% 39.9</v>
      </c>
      <c r="BP557" s="45">
        <f t="shared" si="382"/>
        <v>7425.3801008968612</v>
      </c>
      <c r="BX557" s="27">
        <v>40</v>
      </c>
      <c r="BY557" s="27">
        <v>39.79</v>
      </c>
    </row>
    <row r="558" spans="1:77" ht="14.1" hidden="1" customHeight="1" x14ac:dyDescent="0.3">
      <c r="A558" s="128" t="s">
        <v>1141</v>
      </c>
      <c r="B558" s="130">
        <v>46160</v>
      </c>
      <c r="C558" s="138">
        <v>534</v>
      </c>
      <c r="D558" s="128" t="s">
        <v>1127</v>
      </c>
      <c r="E558" s="129">
        <v>46162</v>
      </c>
      <c r="F558" s="128" t="s">
        <v>98</v>
      </c>
      <c r="G558" s="158" t="s">
        <v>99</v>
      </c>
      <c r="H558" s="128" t="s">
        <v>199</v>
      </c>
      <c r="I558" s="136"/>
      <c r="J558" s="128" t="s">
        <v>113</v>
      </c>
      <c r="K558" s="163">
        <v>0</v>
      </c>
      <c r="L558" s="130">
        <v>46160</v>
      </c>
      <c r="M558" s="136"/>
      <c r="N558" s="158">
        <v>118</v>
      </c>
      <c r="O558" s="129">
        <v>46161</v>
      </c>
      <c r="P558" s="128">
        <v>0</v>
      </c>
      <c r="Q558" s="128">
        <v>460</v>
      </c>
      <c r="R558" s="128">
        <v>61</v>
      </c>
      <c r="S558" s="128">
        <v>521</v>
      </c>
      <c r="T558" s="128">
        <v>521</v>
      </c>
      <c r="U558" s="163">
        <v>0</v>
      </c>
      <c r="V558" s="163">
        <v>0</v>
      </c>
      <c r="W558" s="169">
        <v>312.60000000000002</v>
      </c>
      <c r="X558" s="169">
        <v>315.8</v>
      </c>
      <c r="Y558" s="169">
        <v>2370083.1800000002</v>
      </c>
      <c r="Z558" s="169"/>
      <c r="AA558" s="169">
        <v>59252.08</v>
      </c>
      <c r="AB558" s="169">
        <v>59252.08</v>
      </c>
      <c r="AC558" s="169">
        <v>2488587.34</v>
      </c>
      <c r="AD558" s="197">
        <f t="shared" si="387"/>
        <v>2486098.7526599998</v>
      </c>
      <c r="AE558" s="147">
        <v>40.22</v>
      </c>
      <c r="AF558" s="169">
        <v>39.700000000000003</v>
      </c>
      <c r="AG558" s="147">
        <v>40</v>
      </c>
      <c r="AH558" s="170">
        <v>3.5999999999999999E-3</v>
      </c>
      <c r="AI558" s="170">
        <v>0.03</v>
      </c>
      <c r="AJ558" s="170">
        <v>4.4999999999999998E-2</v>
      </c>
      <c r="AK558" s="155">
        <f t="shared" si="383"/>
        <v>0</v>
      </c>
      <c r="AL558" s="157">
        <v>0</v>
      </c>
      <c r="AM558" s="157"/>
      <c r="AN558" s="165">
        <v>0</v>
      </c>
      <c r="AO558" s="140">
        <f t="shared" si="386"/>
        <v>1592.1863973128598</v>
      </c>
      <c r="AP558" s="136"/>
      <c r="AQ558" s="137">
        <v>0</v>
      </c>
      <c r="AR558" s="155">
        <f t="shared" si="384"/>
        <v>1592.1863973128598</v>
      </c>
      <c r="AS558" s="155">
        <f t="shared" si="385"/>
        <v>1672</v>
      </c>
      <c r="AT558" s="137">
        <v>21</v>
      </c>
      <c r="AU558" s="136"/>
      <c r="AV558" s="136"/>
      <c r="AW558" s="137">
        <f t="shared" si="371"/>
        <v>31260.000000000004</v>
      </c>
      <c r="AX558" s="136"/>
      <c r="AY558" s="137">
        <f t="shared" si="372"/>
        <v>31260.000000000004</v>
      </c>
      <c r="AZ558" s="137">
        <f t="shared" si="373"/>
        <v>31580</v>
      </c>
      <c r="BA558" s="142">
        <f t="shared" si="374"/>
        <v>-319.99999999999636</v>
      </c>
      <c r="BB558" s="137"/>
      <c r="BC558" s="137">
        <v>0</v>
      </c>
      <c r="BD558" s="136"/>
      <c r="BE558" s="128">
        <v>316.2</v>
      </c>
      <c r="BF558" s="143">
        <f t="shared" si="375"/>
        <v>0.4743</v>
      </c>
      <c r="BG558" s="143">
        <f t="shared" si="376"/>
        <v>315.72569999999996</v>
      </c>
      <c r="BH558" s="143">
        <f t="shared" si="377"/>
        <v>315.8</v>
      </c>
      <c r="BI558" s="144">
        <f t="shared" si="378"/>
        <v>39.999999999997726</v>
      </c>
      <c r="BJ558" s="144">
        <v>0</v>
      </c>
      <c r="BK558" s="137">
        <f t="shared" si="379"/>
        <v>39.999999999997726</v>
      </c>
      <c r="BL558" s="42"/>
      <c r="BM558" s="43" t="str">
        <f t="shared" si="380"/>
        <v>Unloading no. 534 Bill No 118 ,Deduction For Oil Deduction= 0 ,Bardana= 0 ,F.M=  Brokerage/Rate Difference 0 ,Shortage = 1592.18639731286 ,Greenish=  ,Moisture= 0</v>
      </c>
      <c r="BN558" s="41"/>
      <c r="BO558" s="44" t="str">
        <f t="shared" si="381"/>
        <v xml:space="preserve"> Party Condition 39.7  ,F.M% 0.36 ,Greenish 3 ,Moisture 4.5 ,Shortage in KG= 21  ,Oil% 40</v>
      </c>
      <c r="BP558" s="45">
        <f t="shared" si="382"/>
        <v>7499.9714806924867</v>
      </c>
      <c r="BX558" s="27">
        <v>40.22</v>
      </c>
      <c r="BY558" s="27">
        <v>40</v>
      </c>
    </row>
    <row r="559" spans="1:77" ht="14.1" hidden="1" customHeight="1" x14ac:dyDescent="0.3">
      <c r="A559" s="128" t="s">
        <v>1137</v>
      </c>
      <c r="B559" s="130">
        <v>46160</v>
      </c>
      <c r="C559" s="138">
        <v>535</v>
      </c>
      <c r="D559" s="128" t="s">
        <v>1128</v>
      </c>
      <c r="E559" s="129">
        <v>46162</v>
      </c>
      <c r="F559" s="128" t="s">
        <v>1144</v>
      </c>
      <c r="G559" s="158" t="s">
        <v>1145</v>
      </c>
      <c r="H559" s="128" t="s">
        <v>103</v>
      </c>
      <c r="I559" s="136"/>
      <c r="J559" s="128" t="s">
        <v>1146</v>
      </c>
      <c r="K559" s="163">
        <v>0</v>
      </c>
      <c r="L559" s="130">
        <v>46160</v>
      </c>
      <c r="M559" s="136"/>
      <c r="N559" s="158" t="s">
        <v>1167</v>
      </c>
      <c r="O559" s="129">
        <v>46162</v>
      </c>
      <c r="P559" s="128">
        <v>0</v>
      </c>
      <c r="Q559" s="128">
        <v>135</v>
      </c>
      <c r="R559" s="128">
        <v>15</v>
      </c>
      <c r="S559" s="128">
        <v>150</v>
      </c>
      <c r="T559" s="128">
        <v>150</v>
      </c>
      <c r="U559" s="163">
        <v>0</v>
      </c>
      <c r="V559" s="163">
        <v>0</v>
      </c>
      <c r="W559" s="169">
        <v>87.8</v>
      </c>
      <c r="X559" s="169">
        <v>87.6</v>
      </c>
      <c r="Y559" s="169">
        <v>684927.8</v>
      </c>
      <c r="Z559" s="235">
        <v>40.18</v>
      </c>
      <c r="AA559" s="169">
        <v>17123.2</v>
      </c>
      <c r="AB559" s="169">
        <v>17123.2</v>
      </c>
      <c r="AC559" s="169">
        <v>719174.19</v>
      </c>
      <c r="AD559" s="197">
        <f t="shared" si="387"/>
        <v>718455.0158099999</v>
      </c>
      <c r="AE559" s="147">
        <v>40.18</v>
      </c>
      <c r="AF559" s="169">
        <v>42</v>
      </c>
      <c r="AG559" s="147">
        <v>40.18</v>
      </c>
      <c r="AH559" s="170">
        <v>3.8E-3</v>
      </c>
      <c r="AI559" s="170">
        <v>3.1800000000000002E-2</v>
      </c>
      <c r="AJ559" s="170">
        <v>4.9000000000000002E-2</v>
      </c>
      <c r="AK559" s="155">
        <f t="shared" si="383"/>
        <v>29680.204666666676</v>
      </c>
      <c r="AL559" s="157">
        <v>0</v>
      </c>
      <c r="AM559" s="157"/>
      <c r="AN559" s="165">
        <v>0</v>
      </c>
      <c r="AO559" s="140">
        <f t="shared" si="386"/>
        <v>156.02000000000001</v>
      </c>
      <c r="AP559" s="136"/>
      <c r="AQ559" s="137">
        <v>0</v>
      </c>
      <c r="AR559" s="155">
        <f t="shared" si="384"/>
        <v>29836.224666666676</v>
      </c>
      <c r="AS559" s="155">
        <f t="shared" si="385"/>
        <v>31328</v>
      </c>
      <c r="AT559" s="137">
        <v>2</v>
      </c>
      <c r="AU559" s="136"/>
      <c r="AV559" s="136"/>
      <c r="AW559" s="137">
        <f t="shared" si="371"/>
        <v>8780</v>
      </c>
      <c r="AX559" s="136"/>
      <c r="AY559" s="137">
        <f t="shared" si="372"/>
        <v>8780</v>
      </c>
      <c r="AZ559" s="137">
        <f t="shared" si="373"/>
        <v>8760</v>
      </c>
      <c r="BA559" s="142">
        <f t="shared" si="374"/>
        <v>20</v>
      </c>
      <c r="BB559" s="137"/>
      <c r="BC559" s="137">
        <v>0</v>
      </c>
      <c r="BD559" s="136"/>
      <c r="BE559" s="128">
        <v>87.8</v>
      </c>
      <c r="BF559" s="143">
        <f t="shared" si="375"/>
        <v>0.13170000000000001</v>
      </c>
      <c r="BG559" s="143">
        <f t="shared" si="376"/>
        <v>87.668300000000002</v>
      </c>
      <c r="BH559" s="143">
        <f t="shared" si="377"/>
        <v>87.6</v>
      </c>
      <c r="BI559" s="144">
        <f t="shared" si="378"/>
        <v>20.000000000000284</v>
      </c>
      <c r="BJ559" s="144">
        <v>0</v>
      </c>
      <c r="BK559" s="137">
        <f t="shared" si="379"/>
        <v>20.000000000000284</v>
      </c>
      <c r="BL559" s="42"/>
      <c r="BM559" s="43" t="str">
        <f t="shared" si="380"/>
        <v>Unloading no. 535 Bill No 2026-27/38 ,Deduction For Oil Deduction= 29680.2046666667 ,Bardana= 0 ,F.M=  Brokerage/Rate Difference 0 ,Shortage = 156.02 ,Greenish=  ,Moisture= 0</v>
      </c>
      <c r="BN559" s="41"/>
      <c r="BO559" s="44" t="str">
        <f t="shared" si="381"/>
        <v xml:space="preserve"> Party Condition 42  ,F.M% 0.38 ,Greenish 3.18 ,Moisture 4.9 ,Shortage in KG= 2  ,Oil% 40.18</v>
      </c>
      <c r="BP559" s="45">
        <f t="shared" si="382"/>
        <v>7478.2143302891936</v>
      </c>
      <c r="BX559" s="27">
        <v>40.35</v>
      </c>
      <c r="BY559" s="27">
        <v>40.119999999999997</v>
      </c>
    </row>
    <row r="560" spans="1:77" ht="14.1" hidden="1" customHeight="1" x14ac:dyDescent="0.3">
      <c r="A560" s="128" t="s">
        <v>1137</v>
      </c>
      <c r="B560" s="130">
        <v>46160</v>
      </c>
      <c r="C560" s="138">
        <v>536</v>
      </c>
      <c r="D560" s="128" t="s">
        <v>1129</v>
      </c>
      <c r="E560" s="129">
        <v>46162</v>
      </c>
      <c r="F560" s="128" t="s">
        <v>1144</v>
      </c>
      <c r="G560" s="158" t="s">
        <v>1145</v>
      </c>
      <c r="H560" s="128" t="s">
        <v>103</v>
      </c>
      <c r="I560" s="136"/>
      <c r="J560" s="128" t="s">
        <v>1146</v>
      </c>
      <c r="K560" s="163">
        <v>0</v>
      </c>
      <c r="L560" s="130">
        <v>46160</v>
      </c>
      <c r="M560" s="136"/>
      <c r="N560" s="158" t="s">
        <v>1168</v>
      </c>
      <c r="O560" s="129">
        <v>46162</v>
      </c>
      <c r="P560" s="128">
        <v>0</v>
      </c>
      <c r="Q560" s="128">
        <v>120</v>
      </c>
      <c r="R560" s="128">
        <v>30</v>
      </c>
      <c r="S560" s="128">
        <v>150</v>
      </c>
      <c r="T560" s="128">
        <v>150</v>
      </c>
      <c r="U560" s="163">
        <v>0</v>
      </c>
      <c r="V560" s="163">
        <v>0</v>
      </c>
      <c r="W560" s="169">
        <v>88.4</v>
      </c>
      <c r="X560" s="169">
        <v>88.2</v>
      </c>
      <c r="Y560" s="169">
        <v>689608.4</v>
      </c>
      <c r="Z560" s="235">
        <v>40.200000000000003</v>
      </c>
      <c r="AA560" s="169">
        <v>17240.21</v>
      </c>
      <c r="AB560" s="169">
        <v>17240.21</v>
      </c>
      <c r="AC560" s="169">
        <v>724088.82</v>
      </c>
      <c r="AD560" s="197">
        <f t="shared" si="387"/>
        <v>723364.73118</v>
      </c>
      <c r="AE560" s="147">
        <v>40.200000000000003</v>
      </c>
      <c r="AF560" s="169">
        <v>42</v>
      </c>
      <c r="AG560" s="147">
        <v>40.200000000000003</v>
      </c>
      <c r="AH560" s="170">
        <v>3.8E-3</v>
      </c>
      <c r="AI560" s="170">
        <v>3.2000000000000001E-2</v>
      </c>
      <c r="AJ560" s="170">
        <v>0.05</v>
      </c>
      <c r="AK560" s="155">
        <f t="shared" si="383"/>
        <v>29554.645714285667</v>
      </c>
      <c r="AL560" s="157">
        <v>0</v>
      </c>
      <c r="AM560" s="157"/>
      <c r="AN560" s="165">
        <v>0</v>
      </c>
      <c r="AO560" s="140">
        <f t="shared" si="386"/>
        <v>156.02000000000001</v>
      </c>
      <c r="AP560" s="136"/>
      <c r="AQ560" s="137">
        <v>0</v>
      </c>
      <c r="AR560" s="155">
        <f t="shared" si="384"/>
        <v>29710.665714285667</v>
      </c>
      <c r="AS560" s="155">
        <f t="shared" si="385"/>
        <v>31196</v>
      </c>
      <c r="AT560" s="137">
        <v>2</v>
      </c>
      <c r="AU560" s="136"/>
      <c r="AV560" s="136"/>
      <c r="AW560" s="137">
        <f t="shared" si="371"/>
        <v>8840</v>
      </c>
      <c r="AX560" s="136"/>
      <c r="AY560" s="137">
        <f t="shared" si="372"/>
        <v>8840</v>
      </c>
      <c r="AZ560" s="137">
        <f t="shared" si="373"/>
        <v>8820</v>
      </c>
      <c r="BA560" s="142">
        <f t="shared" si="374"/>
        <v>20</v>
      </c>
      <c r="BB560" s="137"/>
      <c r="BC560" s="137">
        <v>0</v>
      </c>
      <c r="BD560" s="136"/>
      <c r="BE560" s="128">
        <v>88.4</v>
      </c>
      <c r="BF560" s="143">
        <f t="shared" si="375"/>
        <v>0.1326</v>
      </c>
      <c r="BG560" s="143">
        <f t="shared" si="376"/>
        <v>88.267400000000009</v>
      </c>
      <c r="BH560" s="143">
        <f t="shared" si="377"/>
        <v>88.2</v>
      </c>
      <c r="BI560" s="144">
        <f t="shared" si="378"/>
        <v>20.000000000000284</v>
      </c>
      <c r="BJ560" s="144">
        <v>0</v>
      </c>
      <c r="BK560" s="137">
        <f t="shared" si="379"/>
        <v>20.000000000000284</v>
      </c>
      <c r="BL560" s="42"/>
      <c r="BM560" s="43" t="str">
        <f t="shared" si="380"/>
        <v>Unloading no. 536 Bill No 2026-27/40 ,Deduction For Oil Deduction= 29554.6457142857 ,Bardana= 0 ,F.M=  Brokerage/Rate Difference 0 ,Shortage = 156.02 ,Greenish=  ,Moisture= 0</v>
      </c>
      <c r="BN560" s="41"/>
      <c r="BO560" s="44" t="str">
        <f t="shared" si="381"/>
        <v xml:space="preserve"> Party Condition 42  ,F.M% 0.38 ,Greenish 3.2 ,Moisture 5 ,Shortage in KG= 2  ,Oil% 40.2</v>
      </c>
      <c r="BP560" s="45">
        <f t="shared" si="382"/>
        <v>7481.8337220602534</v>
      </c>
      <c r="BX560" s="27">
        <v>40.17</v>
      </c>
      <c r="BY560" s="27">
        <v>40.020000000000003</v>
      </c>
    </row>
    <row r="561" spans="1:80" ht="14.1" hidden="1" customHeight="1" x14ac:dyDescent="0.3">
      <c r="A561" s="128" t="s">
        <v>1137</v>
      </c>
      <c r="B561" s="130">
        <v>46160</v>
      </c>
      <c r="C561" s="138">
        <v>537</v>
      </c>
      <c r="D561" s="128" t="s">
        <v>1130</v>
      </c>
      <c r="E561" s="129">
        <v>46162</v>
      </c>
      <c r="F561" s="128" t="s">
        <v>1144</v>
      </c>
      <c r="G561" s="158" t="s">
        <v>1145</v>
      </c>
      <c r="H561" s="128" t="s">
        <v>103</v>
      </c>
      <c r="I561" s="136"/>
      <c r="J561" s="128" t="s">
        <v>1146</v>
      </c>
      <c r="K561" s="163">
        <v>0</v>
      </c>
      <c r="L561" s="130">
        <v>46160</v>
      </c>
      <c r="M561" s="136"/>
      <c r="N561" s="158" t="s">
        <v>1169</v>
      </c>
      <c r="O561" s="129">
        <v>46162</v>
      </c>
      <c r="P561" s="128">
        <v>0</v>
      </c>
      <c r="Q561" s="128">
        <v>150</v>
      </c>
      <c r="R561" s="128">
        <v>0</v>
      </c>
      <c r="S561" s="128">
        <v>150</v>
      </c>
      <c r="T561" s="128">
        <v>150</v>
      </c>
      <c r="U561" s="163">
        <v>0</v>
      </c>
      <c r="V561" s="163">
        <v>0</v>
      </c>
      <c r="W561" s="169">
        <v>89</v>
      </c>
      <c r="X561" s="169">
        <v>88.8</v>
      </c>
      <c r="Y561" s="169">
        <v>694289</v>
      </c>
      <c r="Z561" s="235">
        <v>39.770000000000003</v>
      </c>
      <c r="AA561" s="169">
        <v>17357.23</v>
      </c>
      <c r="AB561" s="169">
        <v>17357.23</v>
      </c>
      <c r="AC561" s="169">
        <v>729003.45</v>
      </c>
      <c r="AD561" s="197">
        <f t="shared" si="387"/>
        <v>728274.44654999999</v>
      </c>
      <c r="AE561" s="147">
        <v>39.770000000000003</v>
      </c>
      <c r="AF561" s="169">
        <v>42</v>
      </c>
      <c r="AG561" s="147">
        <v>39.770000000000003</v>
      </c>
      <c r="AH561" s="170">
        <v>3.3999999999999998E-3</v>
      </c>
      <c r="AI561" s="170">
        <v>0.03</v>
      </c>
      <c r="AJ561" s="170">
        <v>5.1999999999999998E-2</v>
      </c>
      <c r="AK561" s="155">
        <f t="shared" si="383"/>
        <v>36863.439761904709</v>
      </c>
      <c r="AL561" s="157">
        <v>0</v>
      </c>
      <c r="AM561" s="157"/>
      <c r="AN561" s="165">
        <v>0</v>
      </c>
      <c r="AO561" s="140">
        <f t="shared" si="386"/>
        <v>156.02000000000001</v>
      </c>
      <c r="AP561" s="136"/>
      <c r="AQ561" s="137">
        <v>0</v>
      </c>
      <c r="AR561" s="155">
        <f t="shared" si="384"/>
        <v>37019.459761904705</v>
      </c>
      <c r="AS561" s="155">
        <f t="shared" si="385"/>
        <v>38870</v>
      </c>
      <c r="AT561" s="137">
        <v>2</v>
      </c>
      <c r="AU561" s="136"/>
      <c r="AV561" s="136"/>
      <c r="AW561" s="137">
        <f t="shared" si="371"/>
        <v>8900</v>
      </c>
      <c r="AX561" s="136"/>
      <c r="AY561" s="137">
        <f t="shared" si="372"/>
        <v>8900</v>
      </c>
      <c r="AZ561" s="137">
        <f t="shared" si="373"/>
        <v>8880</v>
      </c>
      <c r="BA561" s="142">
        <f t="shared" si="374"/>
        <v>20</v>
      </c>
      <c r="BB561" s="137"/>
      <c r="BC561" s="137">
        <v>0</v>
      </c>
      <c r="BD561" s="136"/>
      <c r="BE561" s="128">
        <v>89</v>
      </c>
      <c r="BF561" s="143">
        <f t="shared" si="375"/>
        <v>0.13350000000000001</v>
      </c>
      <c r="BG561" s="143">
        <f t="shared" si="376"/>
        <v>88.866500000000002</v>
      </c>
      <c r="BH561" s="143">
        <f t="shared" si="377"/>
        <v>88.8</v>
      </c>
      <c r="BI561" s="144">
        <f t="shared" si="378"/>
        <v>20.000000000000284</v>
      </c>
      <c r="BJ561" s="144">
        <v>0</v>
      </c>
      <c r="BK561" s="137">
        <f t="shared" si="379"/>
        <v>20.000000000000284</v>
      </c>
      <c r="BL561" s="42"/>
      <c r="BM561" s="43" t="str">
        <f t="shared" si="380"/>
        <v>Unloading no. 537 Bill No 2026-27/37 ,Deduction For Oil Deduction= 36863.4397619047 ,Bardana= 0 ,F.M=  Brokerage/Rate Difference 0 ,Shortage = 156.02 ,Greenish=  ,Moisture= 0</v>
      </c>
      <c r="BN561" s="41"/>
      <c r="BO561" s="44" t="str">
        <f t="shared" si="381"/>
        <v xml:space="preserve"> Party Condition 42  ,F.M% 0.34 ,Greenish 3 ,Moisture 5.2 ,Shortage in KG= 2  ,Oil% 39.77</v>
      </c>
      <c r="BP561" s="45">
        <f t="shared" si="382"/>
        <v>7401.6840116902631</v>
      </c>
      <c r="BX561" s="27">
        <v>39.299999999999997</v>
      </c>
      <c r="BY561" s="27">
        <v>39.229999999999997</v>
      </c>
    </row>
    <row r="562" spans="1:80" ht="14.1" hidden="1" customHeight="1" x14ac:dyDescent="0.3">
      <c r="A562" s="128" t="s">
        <v>1137</v>
      </c>
      <c r="B562" s="130">
        <v>46160</v>
      </c>
      <c r="C562" s="138">
        <v>538</v>
      </c>
      <c r="D562" s="128" t="s">
        <v>1131</v>
      </c>
      <c r="E562" s="130">
        <v>46162</v>
      </c>
      <c r="F562" s="128" t="s">
        <v>1144</v>
      </c>
      <c r="G562" s="158" t="s">
        <v>1145</v>
      </c>
      <c r="H562" s="128" t="s">
        <v>103</v>
      </c>
      <c r="I562" s="136"/>
      <c r="J562" s="128" t="s">
        <v>1146</v>
      </c>
      <c r="K562" s="163">
        <v>0</v>
      </c>
      <c r="L562" s="130">
        <v>46160</v>
      </c>
      <c r="M562" s="136"/>
      <c r="N562" s="128" t="s">
        <v>1170</v>
      </c>
      <c r="O562" s="129">
        <v>46162</v>
      </c>
      <c r="P562" s="128"/>
      <c r="Q562" s="128">
        <v>120</v>
      </c>
      <c r="R562" s="128">
        <v>30</v>
      </c>
      <c r="S562" s="128">
        <v>150</v>
      </c>
      <c r="T562" s="128">
        <v>150</v>
      </c>
      <c r="U562" s="163">
        <v>0</v>
      </c>
      <c r="V562" s="163">
        <v>0</v>
      </c>
      <c r="W562" s="169">
        <v>89.5</v>
      </c>
      <c r="X562" s="169">
        <v>89.5</v>
      </c>
      <c r="Y562" s="169">
        <v>698189.5</v>
      </c>
      <c r="Z562" s="235">
        <v>40.25</v>
      </c>
      <c r="AA562" s="169">
        <v>17454.740000000002</v>
      </c>
      <c r="AB562" s="169">
        <v>17454.740000000002</v>
      </c>
      <c r="AC562" s="169">
        <v>733098.98</v>
      </c>
      <c r="AD562" s="197">
        <f t="shared" si="387"/>
        <v>732365.88101999997</v>
      </c>
      <c r="AE562" s="147">
        <v>40.25</v>
      </c>
      <c r="AF562" s="169">
        <v>42</v>
      </c>
      <c r="AG562" s="147">
        <v>40.25</v>
      </c>
      <c r="AH562" s="170">
        <v>3.3E-3</v>
      </c>
      <c r="AI562" s="170">
        <v>3.6200000000000003E-2</v>
      </c>
      <c r="AJ562" s="170">
        <v>5.0999999999999997E-2</v>
      </c>
      <c r="AK562" s="155">
        <f t="shared" si="383"/>
        <v>29091.229166666664</v>
      </c>
      <c r="AL562" s="157">
        <v>0</v>
      </c>
      <c r="AM562" s="157"/>
      <c r="AN562" s="165">
        <v>0</v>
      </c>
      <c r="AO562" s="140">
        <f t="shared" si="386"/>
        <v>0</v>
      </c>
      <c r="AP562" s="136"/>
      <c r="AQ562" s="137">
        <v>0</v>
      </c>
      <c r="AR562" s="155">
        <f t="shared" si="384"/>
        <v>29091.229166666664</v>
      </c>
      <c r="AS562" s="155">
        <f t="shared" si="385"/>
        <v>30546</v>
      </c>
      <c r="AT562" s="137">
        <v>0</v>
      </c>
      <c r="AU562" s="136"/>
      <c r="AV562" s="136"/>
      <c r="AW562" s="137">
        <f t="shared" si="371"/>
        <v>8950</v>
      </c>
      <c r="AX562" s="136"/>
      <c r="AY562" s="137">
        <f t="shared" si="372"/>
        <v>8950</v>
      </c>
      <c r="AZ562" s="137">
        <f t="shared" si="373"/>
        <v>8950</v>
      </c>
      <c r="BA562" s="142">
        <f t="shared" si="374"/>
        <v>0</v>
      </c>
      <c r="BB562" s="137"/>
      <c r="BC562" s="137">
        <v>0</v>
      </c>
      <c r="BD562" s="136"/>
      <c r="BE562" s="128">
        <v>89.5</v>
      </c>
      <c r="BF562" s="143">
        <f t="shared" si="375"/>
        <v>0.13424999999999998</v>
      </c>
      <c r="BG562" s="143">
        <f t="shared" si="376"/>
        <v>89.365750000000006</v>
      </c>
      <c r="BH562" s="143">
        <f t="shared" si="377"/>
        <v>89.5</v>
      </c>
      <c r="BI562" s="144">
        <f t="shared" si="378"/>
        <v>0</v>
      </c>
      <c r="BJ562" s="144">
        <v>0</v>
      </c>
      <c r="BK562" s="137">
        <f t="shared" si="379"/>
        <v>0</v>
      </c>
      <c r="BL562" s="42"/>
      <c r="BM562" s="43" t="str">
        <f t="shared" si="380"/>
        <v>Unloading no. 538 Bill No 2026-27/41 ,Deduction For Oil Deduction= 29091.2291666667 ,Bardana= 0 ,F.M=  Brokerage/Rate Difference 0 ,Shortage = 0 ,Greenish=  ,Moisture= 0</v>
      </c>
      <c r="BN562" s="41"/>
      <c r="BO562" s="44" t="str">
        <f t="shared" si="381"/>
        <v xml:space="preserve"> Party Condition 42  ,F.M% 0.33 ,Greenish 3.62 ,Moisture 5.1 ,Shortage in KG= 0  ,Oil% 40.25</v>
      </c>
      <c r="BP562" s="45">
        <f t="shared" si="382"/>
        <v>7475.9583333333339</v>
      </c>
      <c r="BX562" s="27">
        <v>40.270000000000003</v>
      </c>
      <c r="BY562" s="27">
        <v>40.090000000000003</v>
      </c>
    </row>
    <row r="563" spans="1:80" ht="14.1" hidden="1" customHeight="1" x14ac:dyDescent="0.3">
      <c r="A563" s="128" t="s">
        <v>1137</v>
      </c>
      <c r="B563" s="130">
        <v>46160</v>
      </c>
      <c r="C563" s="138">
        <v>539</v>
      </c>
      <c r="D563" s="128" t="s">
        <v>1132</v>
      </c>
      <c r="E563" s="129">
        <v>46162</v>
      </c>
      <c r="F563" s="128" t="s">
        <v>1144</v>
      </c>
      <c r="G563" s="158" t="s">
        <v>1145</v>
      </c>
      <c r="H563" s="128" t="s">
        <v>103</v>
      </c>
      <c r="I563" s="136"/>
      <c r="J563" s="128" t="s">
        <v>1146</v>
      </c>
      <c r="K563" s="163">
        <v>0</v>
      </c>
      <c r="L563" s="130">
        <v>46160</v>
      </c>
      <c r="M563" s="136"/>
      <c r="N563" s="158" t="s">
        <v>1171</v>
      </c>
      <c r="O563" s="129">
        <v>46162</v>
      </c>
      <c r="P563" s="128">
        <v>0</v>
      </c>
      <c r="Q563" s="128">
        <v>100</v>
      </c>
      <c r="R563" s="128">
        <v>50</v>
      </c>
      <c r="S563" s="128">
        <v>150</v>
      </c>
      <c r="T563" s="128">
        <v>150</v>
      </c>
      <c r="U563" s="163">
        <v>0</v>
      </c>
      <c r="V563" s="163">
        <v>0</v>
      </c>
      <c r="W563" s="169">
        <v>89.9</v>
      </c>
      <c r="X563" s="169">
        <v>89.7</v>
      </c>
      <c r="Y563" s="169">
        <v>701309.9</v>
      </c>
      <c r="Z563" s="235">
        <v>40.11</v>
      </c>
      <c r="AA563" s="169">
        <v>17532.75</v>
      </c>
      <c r="AB563" s="169">
        <v>17532.75</v>
      </c>
      <c r="AC563" s="169">
        <v>736375.4</v>
      </c>
      <c r="AD563" s="197">
        <f t="shared" si="387"/>
        <v>735639.0246</v>
      </c>
      <c r="AE563" s="147">
        <v>40.11</v>
      </c>
      <c r="AF563" s="169">
        <v>42</v>
      </c>
      <c r="AG563" s="147">
        <v>40.11</v>
      </c>
      <c r="AH563" s="170">
        <v>3.5999999999999999E-3</v>
      </c>
      <c r="AI563" s="170">
        <v>3.5499999999999997E-2</v>
      </c>
      <c r="AJ563" s="170">
        <v>5.1999999999999998E-2</v>
      </c>
      <c r="AK563" s="155">
        <f t="shared" si="383"/>
        <v>31558.945500000009</v>
      </c>
      <c r="AL563" s="157">
        <v>0</v>
      </c>
      <c r="AM563" s="157"/>
      <c r="AN563" s="165">
        <v>0</v>
      </c>
      <c r="AO563" s="140">
        <f t="shared" si="386"/>
        <v>156.02000000000001</v>
      </c>
      <c r="AP563" s="136"/>
      <c r="AQ563" s="137">
        <v>0</v>
      </c>
      <c r="AR563" s="155">
        <f t="shared" si="384"/>
        <v>31714.965500000009</v>
      </c>
      <c r="AS563" s="155">
        <f t="shared" si="385"/>
        <v>33301</v>
      </c>
      <c r="AT563" s="137">
        <v>2</v>
      </c>
      <c r="AU563" s="136"/>
      <c r="AV563" s="136"/>
      <c r="AW563" s="137">
        <f t="shared" si="371"/>
        <v>8990</v>
      </c>
      <c r="AX563" s="136"/>
      <c r="AY563" s="137">
        <f t="shared" si="372"/>
        <v>8990</v>
      </c>
      <c r="AZ563" s="137">
        <f t="shared" si="373"/>
        <v>8970</v>
      </c>
      <c r="BA563" s="142">
        <f t="shared" si="374"/>
        <v>20</v>
      </c>
      <c r="BB563" s="137"/>
      <c r="BC563" s="137">
        <v>0</v>
      </c>
      <c r="BD563" s="136"/>
      <c r="BE563" s="128">
        <v>89.9</v>
      </c>
      <c r="BF563" s="143">
        <f t="shared" si="375"/>
        <v>0.13485000000000003</v>
      </c>
      <c r="BG563" s="143">
        <f t="shared" si="376"/>
        <v>89.765150000000006</v>
      </c>
      <c r="BH563" s="143">
        <f t="shared" si="377"/>
        <v>89.7</v>
      </c>
      <c r="BI563" s="144">
        <f t="shared" si="378"/>
        <v>20.000000000000284</v>
      </c>
      <c r="BJ563" s="144">
        <v>0</v>
      </c>
      <c r="BK563" s="137">
        <f t="shared" si="379"/>
        <v>20.000000000000284</v>
      </c>
      <c r="BL563" s="42"/>
      <c r="BM563" s="43" t="str">
        <f t="shared" si="380"/>
        <v>Unloading no. 539 Bill No 2026-27/42 ,Deduction For Oil Deduction= 31558.9455 ,Bardana= 0 ,F.M=  Brokerage/Rate Difference 0 ,Shortage = 156.02 ,Greenish=  ,Moisture= 0</v>
      </c>
      <c r="BN563" s="41"/>
      <c r="BO563" s="44" t="str">
        <f t="shared" si="381"/>
        <v xml:space="preserve"> Party Condition 42  ,F.M% 0.36 ,Greenish 3.55 ,Moisture 5.2 ,Shortage in KG= 2  ,Oil% 40.11</v>
      </c>
      <c r="BP563" s="45">
        <f t="shared" si="382"/>
        <v>7464.826471571906</v>
      </c>
      <c r="BX563" s="27">
        <v>40</v>
      </c>
      <c r="BY563" s="27">
        <v>39.78</v>
      </c>
    </row>
    <row r="564" spans="1:80" ht="14.1" hidden="1" customHeight="1" x14ac:dyDescent="0.3">
      <c r="A564" s="128" t="s">
        <v>1137</v>
      </c>
      <c r="B564" s="130">
        <v>46160</v>
      </c>
      <c r="C564" s="138">
        <v>540</v>
      </c>
      <c r="D564" s="128" t="s">
        <v>1133</v>
      </c>
      <c r="E564" s="129">
        <v>46162</v>
      </c>
      <c r="F564" s="128" t="s">
        <v>1144</v>
      </c>
      <c r="G564" s="158" t="s">
        <v>1145</v>
      </c>
      <c r="H564" s="128" t="s">
        <v>103</v>
      </c>
      <c r="I564" s="136"/>
      <c r="J564" s="128" t="s">
        <v>1146</v>
      </c>
      <c r="K564" s="163">
        <v>0</v>
      </c>
      <c r="L564" s="130">
        <v>46160</v>
      </c>
      <c r="M564" s="136"/>
      <c r="N564" s="128" t="s">
        <v>1172</v>
      </c>
      <c r="O564" s="129">
        <v>46162</v>
      </c>
      <c r="P564" s="128">
        <v>0</v>
      </c>
      <c r="Q564" s="128">
        <v>140</v>
      </c>
      <c r="R564" s="128">
        <v>10</v>
      </c>
      <c r="S564" s="128">
        <v>150</v>
      </c>
      <c r="T564" s="128">
        <v>150</v>
      </c>
      <c r="U564" s="163">
        <v>0</v>
      </c>
      <c r="V564" s="163">
        <v>0</v>
      </c>
      <c r="W564" s="169">
        <v>89.6</v>
      </c>
      <c r="X564" s="169">
        <v>89.5</v>
      </c>
      <c r="Y564" s="169">
        <v>698969.59999999998</v>
      </c>
      <c r="Z564" s="235">
        <v>39.97</v>
      </c>
      <c r="AA564" s="169">
        <v>17474.240000000002</v>
      </c>
      <c r="AB564" s="169">
        <v>17474.240000000002</v>
      </c>
      <c r="AC564" s="169">
        <v>733918.08</v>
      </c>
      <c r="AD564" s="197">
        <f t="shared" si="387"/>
        <v>733184.16191999998</v>
      </c>
      <c r="AE564" s="147">
        <v>39.97</v>
      </c>
      <c r="AF564" s="169">
        <v>42</v>
      </c>
      <c r="AG564" s="147">
        <v>39.97</v>
      </c>
      <c r="AH564" s="170">
        <v>3.8E-3</v>
      </c>
      <c r="AI564" s="170">
        <v>3.44E-2</v>
      </c>
      <c r="AJ564" s="170">
        <v>5.3999999999999999E-2</v>
      </c>
      <c r="AK564" s="155">
        <f t="shared" si="383"/>
        <v>33783.530666666687</v>
      </c>
      <c r="AL564" s="157">
        <v>0</v>
      </c>
      <c r="AM564" s="157"/>
      <c r="AN564" s="165">
        <v>0</v>
      </c>
      <c r="AO564" s="140">
        <f t="shared" si="386"/>
        <v>0</v>
      </c>
      <c r="AP564" s="136"/>
      <c r="AQ564" s="137">
        <v>0</v>
      </c>
      <c r="AR564" s="155">
        <f t="shared" si="384"/>
        <v>33783.530666666687</v>
      </c>
      <c r="AS564" s="155">
        <f t="shared" si="385"/>
        <v>35473</v>
      </c>
      <c r="AT564" s="137">
        <v>0</v>
      </c>
      <c r="AU564" s="136"/>
      <c r="AV564" s="136"/>
      <c r="AW564" s="137">
        <f t="shared" si="371"/>
        <v>8960</v>
      </c>
      <c r="AX564" s="136"/>
      <c r="AY564" s="137">
        <f t="shared" si="372"/>
        <v>8960</v>
      </c>
      <c r="AZ564" s="137">
        <f t="shared" si="373"/>
        <v>8950</v>
      </c>
      <c r="BA564" s="142">
        <f t="shared" si="374"/>
        <v>10</v>
      </c>
      <c r="BB564" s="137"/>
      <c r="BC564" s="137">
        <v>0</v>
      </c>
      <c r="BD564" s="136"/>
      <c r="BE564" s="128">
        <v>89.6</v>
      </c>
      <c r="BF564" s="143">
        <f t="shared" si="375"/>
        <v>0.13439999999999999</v>
      </c>
      <c r="BG564" s="143">
        <f t="shared" si="376"/>
        <v>89.465599999999995</v>
      </c>
      <c r="BH564" s="143">
        <f t="shared" si="377"/>
        <v>89.5</v>
      </c>
      <c r="BI564" s="144">
        <f t="shared" si="378"/>
        <v>9.9999999999994316</v>
      </c>
      <c r="BJ564" s="144">
        <v>0</v>
      </c>
      <c r="BK564" s="137">
        <f t="shared" si="379"/>
        <v>9.9999999999994316</v>
      </c>
      <c r="BL564" s="42"/>
      <c r="BM564" s="43" t="str">
        <f t="shared" si="380"/>
        <v>Unloading no. 540 Bill No 2026-27/43 ,Deduction For Oil Deduction= 33783.5306666667 ,Bardana= 0 ,F.M=  Brokerage/Rate Difference 0 ,Shortage = 0 ,Greenish=  ,Moisture= 0</v>
      </c>
      <c r="BN564" s="41"/>
      <c r="BO564" s="44" t="str">
        <f t="shared" si="381"/>
        <v xml:space="preserve"> Party Condition 42  ,F.M% 0.38 ,Greenish 3.44 ,Moisture 5.4 ,Shortage in KG= 0  ,Oil% 39.97</v>
      </c>
      <c r="BP564" s="45">
        <f t="shared" si="382"/>
        <v>7432.2465847299809</v>
      </c>
      <c r="BX564" s="27">
        <v>39.729999999999997</v>
      </c>
      <c r="BY564" s="27">
        <v>39.56</v>
      </c>
    </row>
    <row r="565" spans="1:80" ht="14.1" hidden="1" customHeight="1" x14ac:dyDescent="0.3">
      <c r="A565" s="128" t="s">
        <v>1137</v>
      </c>
      <c r="B565" s="130">
        <v>46160</v>
      </c>
      <c r="C565" s="138">
        <v>541</v>
      </c>
      <c r="D565" s="128" t="s">
        <v>1134</v>
      </c>
      <c r="E565" s="129">
        <v>46162</v>
      </c>
      <c r="F565" s="128" t="s">
        <v>1144</v>
      </c>
      <c r="G565" s="158" t="s">
        <v>1145</v>
      </c>
      <c r="H565" s="128" t="s">
        <v>103</v>
      </c>
      <c r="I565" s="136"/>
      <c r="J565" s="128" t="s">
        <v>1146</v>
      </c>
      <c r="K565" s="163">
        <v>0</v>
      </c>
      <c r="L565" s="240" t="s">
        <v>1144</v>
      </c>
      <c r="M565" s="136"/>
      <c r="N565" s="128" t="s">
        <v>1173</v>
      </c>
      <c r="O565" s="129">
        <v>46162</v>
      </c>
      <c r="P565" s="128">
        <v>0</v>
      </c>
      <c r="Q565" s="128">
        <v>110</v>
      </c>
      <c r="R565" s="128">
        <v>40</v>
      </c>
      <c r="S565" s="128">
        <v>150</v>
      </c>
      <c r="T565" s="128">
        <v>150</v>
      </c>
      <c r="U565" s="163">
        <v>0</v>
      </c>
      <c r="V565" s="163">
        <v>0</v>
      </c>
      <c r="W565" s="169">
        <v>89.2</v>
      </c>
      <c r="X565" s="169">
        <v>89</v>
      </c>
      <c r="Y565" s="169">
        <v>695849.2</v>
      </c>
      <c r="Z565" s="235">
        <v>40.119999999999997</v>
      </c>
      <c r="AA565" s="169">
        <v>17396.23</v>
      </c>
      <c r="AB565" s="169">
        <v>17396.23</v>
      </c>
      <c r="AC565" s="169">
        <v>730641.66</v>
      </c>
      <c r="AD565" s="197">
        <f t="shared" si="387"/>
        <v>729911.01834000007</v>
      </c>
      <c r="AE565" s="147">
        <v>40.119999999999997</v>
      </c>
      <c r="AF565" s="169">
        <v>42</v>
      </c>
      <c r="AG565" s="147">
        <v>40.119999999999997</v>
      </c>
      <c r="AH565" s="170">
        <v>3.5999999999999999E-3</v>
      </c>
      <c r="AI565" s="170">
        <v>3.95E-2</v>
      </c>
      <c r="AJ565" s="170">
        <v>5.5E-2</v>
      </c>
      <c r="AK565" s="155">
        <f t="shared" si="383"/>
        <v>31147.53561904766</v>
      </c>
      <c r="AL565" s="157">
        <v>0</v>
      </c>
      <c r="AM565" s="157"/>
      <c r="AN565" s="165">
        <v>0</v>
      </c>
      <c r="AO565" s="140">
        <f t="shared" si="386"/>
        <v>156.01999999999998</v>
      </c>
      <c r="AP565" s="136"/>
      <c r="AQ565" s="137">
        <v>0</v>
      </c>
      <c r="AR565" s="155">
        <f t="shared" si="384"/>
        <v>31303.55561904766</v>
      </c>
      <c r="AS565" s="155">
        <f t="shared" si="385"/>
        <v>32869</v>
      </c>
      <c r="AT565" s="137">
        <v>2</v>
      </c>
      <c r="AU565" s="136"/>
      <c r="AV565" s="136"/>
      <c r="AW565" s="137">
        <f t="shared" si="371"/>
        <v>8920</v>
      </c>
      <c r="AX565" s="136"/>
      <c r="AY565" s="137">
        <f t="shared" si="372"/>
        <v>8920</v>
      </c>
      <c r="AZ565" s="137">
        <f t="shared" si="373"/>
        <v>8900</v>
      </c>
      <c r="BA565" s="142">
        <f t="shared" si="374"/>
        <v>20</v>
      </c>
      <c r="BB565" s="137"/>
      <c r="BC565" s="137">
        <v>0</v>
      </c>
      <c r="BD565" s="136"/>
      <c r="BE565" s="128">
        <v>89.2</v>
      </c>
      <c r="BF565" s="143">
        <f t="shared" si="375"/>
        <v>0.1338</v>
      </c>
      <c r="BG565" s="143">
        <f t="shared" si="376"/>
        <v>89.066200000000009</v>
      </c>
      <c r="BH565" s="143">
        <f t="shared" si="377"/>
        <v>89</v>
      </c>
      <c r="BI565" s="144">
        <f t="shared" si="378"/>
        <v>20.000000000000284</v>
      </c>
      <c r="BJ565" s="144">
        <v>0</v>
      </c>
      <c r="BK565" s="137">
        <f t="shared" si="379"/>
        <v>20.000000000000284</v>
      </c>
      <c r="BL565" s="42"/>
      <c r="BM565" s="43" t="str">
        <f t="shared" si="380"/>
        <v>Unloading no. 541 Bill No 2026-27/44 ,Deduction For Oil Deduction= 31147.5356190477 ,Bardana= 0 ,F.M=  Brokerage/Rate Difference 0 ,Shortage = 156.02 ,Greenish=  ,Moisture= 0</v>
      </c>
      <c r="BN565" s="41"/>
      <c r="BO565" s="44" t="str">
        <f t="shared" si="381"/>
        <v xml:space="preserve"> Party Condition 42  ,F.M% 0.36 ,Greenish 3.95 ,Moisture 5.5 ,Shortage in KG= 2  ,Oil% 40.12</v>
      </c>
      <c r="BP565" s="45">
        <f t="shared" si="382"/>
        <v>7466.8049930444085</v>
      </c>
      <c r="BX565" s="27">
        <v>39.659999999999997</v>
      </c>
      <c r="BY565" s="27">
        <v>39.53</v>
      </c>
    </row>
    <row r="566" spans="1:80" ht="14.1" hidden="1" customHeight="1" x14ac:dyDescent="0.3">
      <c r="A566" s="163" t="s">
        <v>1137</v>
      </c>
      <c r="B566" s="166">
        <v>46160</v>
      </c>
      <c r="C566" s="187">
        <v>542</v>
      </c>
      <c r="D566" s="163" t="s">
        <v>1183</v>
      </c>
      <c r="E566" s="162">
        <v>46162</v>
      </c>
      <c r="F566" s="163" t="s">
        <v>1144</v>
      </c>
      <c r="G566" s="161" t="s">
        <v>1145</v>
      </c>
      <c r="H566" s="163" t="s">
        <v>103</v>
      </c>
      <c r="I566" s="157"/>
      <c r="J566" s="163" t="s">
        <v>1146</v>
      </c>
      <c r="K566" s="163">
        <v>0</v>
      </c>
      <c r="L566" s="166">
        <v>46160</v>
      </c>
      <c r="M566" s="157"/>
      <c r="N566" s="163" t="s">
        <v>1215</v>
      </c>
      <c r="O566" s="162">
        <v>46162</v>
      </c>
      <c r="P566" s="163">
        <v>0</v>
      </c>
      <c r="Q566" s="163">
        <v>140</v>
      </c>
      <c r="R566" s="163">
        <v>10</v>
      </c>
      <c r="S566" s="163">
        <v>150</v>
      </c>
      <c r="T566" s="163">
        <v>150</v>
      </c>
      <c r="U566" s="163">
        <v>0</v>
      </c>
      <c r="V566" s="163"/>
      <c r="W566" s="188">
        <v>89.7</v>
      </c>
      <c r="X566" s="188">
        <v>89.7</v>
      </c>
      <c r="Y566" s="188">
        <v>699749.7</v>
      </c>
      <c r="Z566" s="235">
        <v>39.799999999999997</v>
      </c>
      <c r="AA566" s="163">
        <v>17493.740000000002</v>
      </c>
      <c r="AB566" s="163">
        <v>17493.740000000002</v>
      </c>
      <c r="AC566" s="163">
        <v>734737.19</v>
      </c>
      <c r="AD566" s="197">
        <f t="shared" si="387"/>
        <v>734002.45280999993</v>
      </c>
      <c r="AE566" s="241">
        <v>39.799999999999997</v>
      </c>
      <c r="AF566" s="188">
        <v>42</v>
      </c>
      <c r="AG566" s="238">
        <v>39.799999999999997</v>
      </c>
      <c r="AH566" s="198">
        <v>3.3999999999999998E-3</v>
      </c>
      <c r="AI566" s="198">
        <v>3.1699999999999999E-2</v>
      </c>
      <c r="AJ566" s="198">
        <v>5.6000000000000001E-2</v>
      </c>
      <c r="AK566" s="155">
        <f t="shared" ref="AK566:AK596" si="388">+IF(AF566=42,IF(MIN(AE566,AG566)&lt;AF566,Y566*((AF566-MIN(AE566,AG566))/AF566)),IF(MIN(AE566,AG566)&lt;AF566,Y566*((AF566-MIN(AE566,AG566))/AF566),0))</f>
        <v>36653.555714285758</v>
      </c>
      <c r="AL566" s="157">
        <v>0</v>
      </c>
      <c r="AM566" s="157"/>
      <c r="AN566" s="199">
        <v>0</v>
      </c>
      <c r="AO566" s="156">
        <f t="shared" ref="AO566:AO596" si="389">AT566*Y566/AW566</f>
        <v>0</v>
      </c>
      <c r="AP566" s="157"/>
      <c r="AQ566" s="155">
        <v>0</v>
      </c>
      <c r="AR566" s="155">
        <f t="shared" ref="AR566:AR596" si="390">SUM(AK566:AQ566)</f>
        <v>36653.555714285758</v>
      </c>
      <c r="AS566" s="155">
        <f t="shared" ref="AS566:AS596" si="391">ROUND(AR566*1.05,0)</f>
        <v>38486</v>
      </c>
      <c r="AT566" s="155"/>
      <c r="AU566" s="157"/>
      <c r="AV566" s="157"/>
      <c r="AW566" s="155">
        <f t="shared" ref="AW566:AW596" si="392">W566*100</f>
        <v>8970</v>
      </c>
      <c r="AX566" s="157"/>
      <c r="AY566" s="155">
        <f t="shared" ref="AY566:AY596" si="393">+AW566+AX566</f>
        <v>8970</v>
      </c>
      <c r="AZ566" s="155">
        <f t="shared" ref="AZ566:AZ596" si="394">X566*100</f>
        <v>8970</v>
      </c>
      <c r="BA566" s="242">
        <f t="shared" ref="BA566:BA596" si="395">AY566-AZ566</f>
        <v>0</v>
      </c>
      <c r="BB566" s="155"/>
      <c r="BC566" s="155">
        <v>0</v>
      </c>
      <c r="BD566" s="157"/>
      <c r="BE566" s="163">
        <v>89.7</v>
      </c>
      <c r="BF566" s="197">
        <f t="shared" ref="BF566:BF596" si="396">+BE566*0.15/100</f>
        <v>0.13455</v>
      </c>
      <c r="BG566" s="197">
        <f t="shared" ref="BG566:BG596" si="397">BE566-BF566</f>
        <v>89.565449999999998</v>
      </c>
      <c r="BH566" s="197">
        <f t="shared" ref="BH566:BH596" si="398">X566</f>
        <v>89.7</v>
      </c>
      <c r="BI566" s="243">
        <f t="shared" ref="BI566:BI596" si="399">(BE566-BH566)*100</f>
        <v>0</v>
      </c>
      <c r="BJ566" s="243">
        <v>0</v>
      </c>
      <c r="BK566" s="155">
        <f t="shared" ref="BK566:BK596" si="400">BI566</f>
        <v>0</v>
      </c>
      <c r="BL566" s="47"/>
      <c r="BM566" s="48" t="str">
        <f t="shared" ref="BM566:BM596" si="401">+$C$1&amp;" "&amp;C566 &amp;" "&amp;$N$1&amp;" "&amp;N566&amp;" "&amp;$BM$1&amp;" "&amp;$AK$1&amp;" "&amp;AK566&amp;" "&amp;$AL$1&amp;" "&amp;AL566&amp;" "&amp;$AM$1&amp;" "&amp;AM566&amp;" "&amp;$AN$1&amp;" "&amp;AN566&amp;" "&amp;$AO$1&amp;" "&amp;AO566&amp;" "&amp;$AP$1&amp;" "&amp;AP566&amp;" "&amp;$AQ$1&amp;" "&amp;AQ566</f>
        <v>Unloading no. 542 Bill No 2026-27/45 ,Deduction For Oil Deduction= 36653.5557142858 ,Bardana= 0 ,F.M=  Brokerage/Rate Difference 0 ,Shortage = 0 ,Greenish=  ,Moisture= 0</v>
      </c>
      <c r="BN566" s="41"/>
      <c r="BO566" s="44" t="str">
        <f t="shared" ref="BO566:BO596" si="402">+" "&amp;$AF$1&amp;" "&amp;AF566&amp;" "&amp;" "&amp;$AH$1&amp;" "&amp;AH566*100&amp;" "&amp;$AI$1&amp;" "&amp;AI566*100&amp;" "&amp;$AJ$1&amp;" "&amp;AJ566*100&amp;" ,"&amp;$AT$1&amp;" "&amp;AT566&amp;" "&amp;IF(AE566&gt;AG566," ,Oil%"&amp;" "&amp;AG566," ,Oil%"&amp;" "&amp;AE566)</f>
        <v xml:space="preserve"> Party Condition 42  ,F.M% 0.34 ,Greenish 3.17 ,Moisture 5.6 ,Shortage in KG=   ,Oil% 39.8</v>
      </c>
      <c r="BP566" s="45">
        <f t="shared" ref="BP566:BP596" si="403">(Y566-AR566)/X566</f>
        <v>7392.3761904761895</v>
      </c>
      <c r="BX566" s="30">
        <v>39.700000000000003</v>
      </c>
      <c r="BY566" s="30">
        <v>39.65</v>
      </c>
    </row>
    <row r="567" spans="1:80" ht="14.1" hidden="1" customHeight="1" x14ac:dyDescent="0.3">
      <c r="A567" s="163" t="s">
        <v>1137</v>
      </c>
      <c r="B567" s="166">
        <v>46160</v>
      </c>
      <c r="C567" s="187">
        <v>543</v>
      </c>
      <c r="D567" s="163" t="s">
        <v>1184</v>
      </c>
      <c r="E567" s="162">
        <v>46163</v>
      </c>
      <c r="F567" s="163" t="s">
        <v>1144</v>
      </c>
      <c r="G567" s="163" t="s">
        <v>1145</v>
      </c>
      <c r="H567" s="163" t="s">
        <v>103</v>
      </c>
      <c r="I567" s="157"/>
      <c r="J567" s="163" t="s">
        <v>1146</v>
      </c>
      <c r="K567" s="163">
        <v>0</v>
      </c>
      <c r="L567" s="166">
        <v>46160</v>
      </c>
      <c r="M567" s="157"/>
      <c r="N567" s="163" t="s">
        <v>1216</v>
      </c>
      <c r="O567" s="162">
        <v>46162</v>
      </c>
      <c r="P567" s="163">
        <v>0</v>
      </c>
      <c r="Q567" s="163">
        <v>130</v>
      </c>
      <c r="R567" s="163">
        <v>20</v>
      </c>
      <c r="S567" s="163">
        <v>150</v>
      </c>
      <c r="T567" s="163">
        <v>150</v>
      </c>
      <c r="U567" s="163">
        <v>0</v>
      </c>
      <c r="V567" s="163"/>
      <c r="W567" s="188">
        <v>89.8</v>
      </c>
      <c r="X567" s="188">
        <v>89.6</v>
      </c>
      <c r="Y567" s="188">
        <v>700529.8</v>
      </c>
      <c r="Z567" s="235">
        <v>40.6</v>
      </c>
      <c r="AA567" s="163">
        <v>17513.25</v>
      </c>
      <c r="AB567" s="163">
        <v>17513.25</v>
      </c>
      <c r="AC567" s="163">
        <v>735556.29</v>
      </c>
      <c r="AD567" s="244">
        <f t="shared" si="387"/>
        <v>734820.73371000006</v>
      </c>
      <c r="AE567" s="147">
        <v>40.6</v>
      </c>
      <c r="AF567" s="245">
        <v>42</v>
      </c>
      <c r="AG567" s="238">
        <v>40.6</v>
      </c>
      <c r="AH567" s="198">
        <v>3.5000000000000001E-3</v>
      </c>
      <c r="AI567" s="198">
        <v>3.4200000000000001E-2</v>
      </c>
      <c r="AJ567" s="198">
        <v>5.0999999999999997E-2</v>
      </c>
      <c r="AK567" s="155">
        <f t="shared" si="388"/>
        <v>23350.99333333331</v>
      </c>
      <c r="AL567" s="157">
        <v>0</v>
      </c>
      <c r="AM567" s="157"/>
      <c r="AN567" s="199">
        <v>0</v>
      </c>
      <c r="AO567" s="156">
        <f t="shared" si="389"/>
        <v>159.14039999999994</v>
      </c>
      <c r="AP567" s="157"/>
      <c r="AQ567" s="155">
        <v>0</v>
      </c>
      <c r="AR567" s="155">
        <f t="shared" si="390"/>
        <v>23510.13373333331</v>
      </c>
      <c r="AS567" s="155">
        <f>ROUND(AR567*1.05,0)</f>
        <v>24686</v>
      </c>
      <c r="AT567" s="155">
        <f>BA567-BB567</f>
        <v>2.0399999999999991</v>
      </c>
      <c r="AU567" s="157"/>
      <c r="AV567" s="157"/>
      <c r="AW567" s="155">
        <f t="shared" si="392"/>
        <v>8980</v>
      </c>
      <c r="AX567" s="157"/>
      <c r="AY567" s="155">
        <f t="shared" si="393"/>
        <v>8980</v>
      </c>
      <c r="AZ567" s="155">
        <f t="shared" si="394"/>
        <v>8960</v>
      </c>
      <c r="BA567" s="242">
        <f t="shared" si="395"/>
        <v>20</v>
      </c>
      <c r="BB567" s="246">
        <f>AW567*2/1000</f>
        <v>17.96</v>
      </c>
      <c r="BC567" s="155">
        <v>0</v>
      </c>
      <c r="BD567" s="157"/>
      <c r="BE567" s="188">
        <v>89.8</v>
      </c>
      <c r="BF567" s="197">
        <f t="shared" si="396"/>
        <v>0.13469999999999999</v>
      </c>
      <c r="BG567" s="197">
        <f t="shared" si="397"/>
        <v>89.665300000000002</v>
      </c>
      <c r="BH567" s="197">
        <f t="shared" si="398"/>
        <v>89.6</v>
      </c>
      <c r="BI567" s="243">
        <f t="shared" si="399"/>
        <v>20.000000000000284</v>
      </c>
      <c r="BJ567" s="243">
        <v>0</v>
      </c>
      <c r="BK567" s="155">
        <f t="shared" si="400"/>
        <v>20.000000000000284</v>
      </c>
      <c r="BL567" s="47"/>
      <c r="BM567" s="48" t="str">
        <f t="shared" si="401"/>
        <v>Unloading no. 543 Bill No 2026-27/46 ,Deduction For Oil Deduction= 23350.9933333333 ,Bardana= 0 ,F.M=  Brokerage/Rate Difference 0 ,Shortage = 159.1404 ,Greenish=  ,Moisture= 0</v>
      </c>
      <c r="BN567" s="41"/>
      <c r="BO567" s="44" t="str">
        <f t="shared" si="402"/>
        <v xml:space="preserve"> Party Condition 42  ,F.M% 0.35 ,Greenish 3.42 ,Moisture 5.1 ,Shortage in KG= 2.04  ,Oil% 40.6</v>
      </c>
      <c r="BP567" s="45">
        <f t="shared" si="403"/>
        <v>7556.0230610119061</v>
      </c>
      <c r="BX567" s="27">
        <v>40.39</v>
      </c>
      <c r="BY567" s="27">
        <v>40.380000000000003</v>
      </c>
      <c r="CB567" s="57">
        <f>Z567-AE567</f>
        <v>0</v>
      </c>
    </row>
    <row r="568" spans="1:80" ht="14.1" hidden="1" customHeight="1" x14ac:dyDescent="0.3">
      <c r="A568" s="163" t="s">
        <v>1137</v>
      </c>
      <c r="B568" s="166">
        <v>46160</v>
      </c>
      <c r="C568" s="187">
        <v>544</v>
      </c>
      <c r="D568" s="163" t="s">
        <v>1185</v>
      </c>
      <c r="E568" s="162">
        <v>46163</v>
      </c>
      <c r="F568" s="163" t="s">
        <v>1144</v>
      </c>
      <c r="G568" s="163" t="s">
        <v>1145</v>
      </c>
      <c r="H568" s="163" t="s">
        <v>103</v>
      </c>
      <c r="I568" s="157"/>
      <c r="J568" s="163" t="s">
        <v>1146</v>
      </c>
      <c r="K568" s="163">
        <v>0</v>
      </c>
      <c r="L568" s="166">
        <v>46160</v>
      </c>
      <c r="M568" s="157"/>
      <c r="N568" s="163" t="s">
        <v>1217</v>
      </c>
      <c r="O568" s="162">
        <v>46162</v>
      </c>
      <c r="P568" s="163">
        <v>0</v>
      </c>
      <c r="Q568" s="163">
        <v>110</v>
      </c>
      <c r="R568" s="163">
        <v>40</v>
      </c>
      <c r="S568" s="163">
        <v>150</v>
      </c>
      <c r="T568" s="163">
        <v>150</v>
      </c>
      <c r="U568" s="163">
        <v>0</v>
      </c>
      <c r="V568" s="163"/>
      <c r="W568" s="188">
        <v>89.2</v>
      </c>
      <c r="X568" s="188">
        <v>88.9</v>
      </c>
      <c r="Y568" s="188">
        <v>695849.2</v>
      </c>
      <c r="Z568" s="235">
        <v>40.479999999999997</v>
      </c>
      <c r="AA568" s="163">
        <v>17396.23</v>
      </c>
      <c r="AB568" s="163">
        <v>17396.23</v>
      </c>
      <c r="AC568" s="163">
        <v>730641.66</v>
      </c>
      <c r="AD568" s="244">
        <f t="shared" si="387"/>
        <v>729911.01834000007</v>
      </c>
      <c r="AE568" s="147">
        <v>40.479999999999997</v>
      </c>
      <c r="AF568" s="245">
        <v>42</v>
      </c>
      <c r="AG568" s="238">
        <v>40.479999999999997</v>
      </c>
      <c r="AH568" s="198">
        <v>3.3999999999999998E-3</v>
      </c>
      <c r="AI568" s="198">
        <v>3.4000000000000002E-2</v>
      </c>
      <c r="AJ568" s="198">
        <v>5.2999999999999999E-2</v>
      </c>
      <c r="AK568" s="155">
        <f t="shared" si="388"/>
        <v>25183.113904761954</v>
      </c>
      <c r="AL568" s="157">
        <v>0</v>
      </c>
      <c r="AM568" s="157"/>
      <c r="AN568" s="199">
        <v>0</v>
      </c>
      <c r="AO568" s="156">
        <f t="shared" si="389"/>
        <v>948.60159999999996</v>
      </c>
      <c r="AP568" s="157"/>
      <c r="AQ568" s="155">
        <v>0</v>
      </c>
      <c r="AR568" s="155">
        <f t="shared" si="390"/>
        <v>26131.715504761953</v>
      </c>
      <c r="AS568" s="155">
        <f t="shared" si="391"/>
        <v>27438</v>
      </c>
      <c r="AT568" s="155">
        <f t="shared" ref="AT568:AT570" si="404">BA568-BB568</f>
        <v>12.16</v>
      </c>
      <c r="AU568" s="157"/>
      <c r="AV568" s="157"/>
      <c r="AW568" s="155">
        <f t="shared" si="392"/>
        <v>8920</v>
      </c>
      <c r="AX568" s="157"/>
      <c r="AY568" s="155">
        <f t="shared" si="393"/>
        <v>8920</v>
      </c>
      <c r="AZ568" s="155">
        <f t="shared" si="394"/>
        <v>8890</v>
      </c>
      <c r="BA568" s="242">
        <f t="shared" si="395"/>
        <v>30</v>
      </c>
      <c r="BB568" s="246">
        <f t="shared" ref="BB568:BB575" si="405">AW568*2/1000</f>
        <v>17.84</v>
      </c>
      <c r="BC568" s="155">
        <v>0</v>
      </c>
      <c r="BD568" s="157"/>
      <c r="BE568" s="188">
        <v>89.2</v>
      </c>
      <c r="BF568" s="197">
        <f t="shared" si="396"/>
        <v>0.1338</v>
      </c>
      <c r="BG568" s="197">
        <f t="shared" si="397"/>
        <v>89.066200000000009</v>
      </c>
      <c r="BH568" s="197">
        <f t="shared" si="398"/>
        <v>88.9</v>
      </c>
      <c r="BI568" s="243">
        <f t="shared" si="399"/>
        <v>29.999999999999716</v>
      </c>
      <c r="BJ568" s="243">
        <v>0</v>
      </c>
      <c r="BK568" s="155">
        <f t="shared" si="400"/>
        <v>29.999999999999716</v>
      </c>
      <c r="BL568" s="47"/>
      <c r="BM568" s="48" t="str">
        <f t="shared" si="401"/>
        <v>Unloading no. 544 Bill No 2026-27/47 ,Deduction For Oil Deduction= 25183.113904762 ,Bardana= 0 ,F.M=  Brokerage/Rate Difference 0 ,Shortage = 948.6016 ,Greenish=  ,Moisture= 0</v>
      </c>
      <c r="BN568" s="41"/>
      <c r="BO568" s="44" t="str">
        <f t="shared" si="402"/>
        <v xml:space="preserve"> Party Condition 42  ,F.M% 0.34 ,Greenish 3.4 ,Moisture 5.3 ,Shortage in KG= 12.16  ,Oil% 40.48</v>
      </c>
      <c r="BP568" s="45">
        <f t="shared" si="403"/>
        <v>7533.3800280679188</v>
      </c>
      <c r="BX568" s="27">
        <v>40.42</v>
      </c>
      <c r="BY568" s="27">
        <v>40.4</v>
      </c>
      <c r="CB568" s="57">
        <f t="shared" ref="CB568:CB570" si="406">Z568-AE568</f>
        <v>0</v>
      </c>
    </row>
    <row r="569" spans="1:80" ht="14.1" hidden="1" customHeight="1" x14ac:dyDescent="0.3">
      <c r="A569" s="163" t="s">
        <v>1137</v>
      </c>
      <c r="B569" s="166">
        <v>46160</v>
      </c>
      <c r="C569" s="187">
        <v>545</v>
      </c>
      <c r="D569" s="163" t="s">
        <v>1186</v>
      </c>
      <c r="E569" s="162">
        <v>46163</v>
      </c>
      <c r="F569" s="163" t="s">
        <v>1144</v>
      </c>
      <c r="G569" s="163" t="s">
        <v>1145</v>
      </c>
      <c r="H569" s="163" t="s">
        <v>103</v>
      </c>
      <c r="I569" s="157"/>
      <c r="J569" s="163" t="s">
        <v>1146</v>
      </c>
      <c r="K569" s="163">
        <v>0</v>
      </c>
      <c r="L569" s="166">
        <v>46160</v>
      </c>
      <c r="M569" s="157"/>
      <c r="N569" s="159" t="s">
        <v>1218</v>
      </c>
      <c r="O569" s="162">
        <v>46162</v>
      </c>
      <c r="P569" s="163">
        <v>0</v>
      </c>
      <c r="Q569" s="163">
        <v>125</v>
      </c>
      <c r="R569" s="163">
        <v>25</v>
      </c>
      <c r="S569" s="163">
        <v>150</v>
      </c>
      <c r="T569" s="163">
        <v>150</v>
      </c>
      <c r="U569" s="163">
        <v>0</v>
      </c>
      <c r="V569" s="163"/>
      <c r="W569" s="188">
        <v>90.5</v>
      </c>
      <c r="X569" s="188">
        <v>90.2</v>
      </c>
      <c r="Y569" s="188">
        <v>705990.5</v>
      </c>
      <c r="Z569" s="235">
        <v>39.479999999999997</v>
      </c>
      <c r="AA569" s="163">
        <v>17649.759999999998</v>
      </c>
      <c r="AB569" s="163">
        <v>17649.759999999998</v>
      </c>
      <c r="AC569" s="163">
        <v>741290.03</v>
      </c>
      <c r="AD569" s="244">
        <f t="shared" si="387"/>
        <v>740548.73997</v>
      </c>
      <c r="AE569" s="147">
        <v>39.479999999999997</v>
      </c>
      <c r="AF569" s="245">
        <v>42</v>
      </c>
      <c r="AG569" s="238">
        <v>39.479999999999997</v>
      </c>
      <c r="AH569" s="198">
        <v>3.5999999999999999E-3</v>
      </c>
      <c r="AI569" s="198">
        <v>3.2000000000000001E-2</v>
      </c>
      <c r="AJ569" s="198">
        <v>5.1999999999999998E-2</v>
      </c>
      <c r="AK569" s="155">
        <f t="shared" si="388"/>
        <v>42359.430000000051</v>
      </c>
      <c r="AL569" s="157">
        <v>0</v>
      </c>
      <c r="AM569" s="157"/>
      <c r="AN569" s="199">
        <v>0</v>
      </c>
      <c r="AO569" s="156">
        <f t="shared" si="389"/>
        <v>928.31899999999996</v>
      </c>
      <c r="AP569" s="157"/>
      <c r="AQ569" s="155">
        <v>0</v>
      </c>
      <c r="AR569" s="155">
        <f t="shared" si="390"/>
        <v>43287.749000000054</v>
      </c>
      <c r="AS569" s="155">
        <f t="shared" si="391"/>
        <v>45452</v>
      </c>
      <c r="AT569" s="155">
        <f t="shared" si="404"/>
        <v>11.899999999999999</v>
      </c>
      <c r="AU569" s="157"/>
      <c r="AV569" s="157"/>
      <c r="AW569" s="155">
        <f t="shared" si="392"/>
        <v>9050</v>
      </c>
      <c r="AX569" s="157"/>
      <c r="AY569" s="155">
        <f t="shared" si="393"/>
        <v>9050</v>
      </c>
      <c r="AZ569" s="155">
        <f t="shared" si="394"/>
        <v>9020</v>
      </c>
      <c r="BA569" s="242">
        <f t="shared" si="395"/>
        <v>30</v>
      </c>
      <c r="BB569" s="246">
        <f t="shared" si="405"/>
        <v>18.100000000000001</v>
      </c>
      <c r="BC569" s="155">
        <v>0</v>
      </c>
      <c r="BD569" s="157"/>
      <c r="BE569" s="188">
        <v>90.5</v>
      </c>
      <c r="BF569" s="197">
        <f t="shared" si="396"/>
        <v>0.13574999999999998</v>
      </c>
      <c r="BG569" s="197">
        <f t="shared" si="397"/>
        <v>90.364249999999998</v>
      </c>
      <c r="BH569" s="197">
        <f t="shared" si="398"/>
        <v>90.2</v>
      </c>
      <c r="BI569" s="243">
        <f t="shared" si="399"/>
        <v>29.999999999999716</v>
      </c>
      <c r="BJ569" s="243">
        <v>0</v>
      </c>
      <c r="BK569" s="155">
        <f t="shared" si="400"/>
        <v>29.999999999999716</v>
      </c>
      <c r="BL569" s="47"/>
      <c r="BM569" s="48" t="str">
        <f t="shared" si="401"/>
        <v>Unloading no. 545 Bill No 2026-27/48 ,Deduction For Oil Deduction= 42359.4300000001 ,Bardana= 0 ,F.M=  Brokerage/Rate Difference 0 ,Shortage = 928.319 ,Greenish=  ,Moisture= 0</v>
      </c>
      <c r="BN569" s="41"/>
      <c r="BO569" s="44" t="str">
        <f t="shared" si="402"/>
        <v xml:space="preserve"> Party Condition 42  ,F.M% 0.36 ,Greenish 3.2 ,Moisture 5.2 ,Shortage in KG= 11.9  ,Oil% 39.48</v>
      </c>
      <c r="BP569" s="45">
        <f t="shared" si="403"/>
        <v>7347.0371507760519</v>
      </c>
      <c r="BX569" s="27">
        <v>39</v>
      </c>
      <c r="BY569" s="27">
        <v>39.03</v>
      </c>
      <c r="CB569" s="57">
        <f t="shared" si="406"/>
        <v>0</v>
      </c>
    </row>
    <row r="570" spans="1:80" ht="14.1" hidden="1" customHeight="1" x14ac:dyDescent="0.3">
      <c r="A570" s="163" t="s">
        <v>1137</v>
      </c>
      <c r="B570" s="166">
        <v>46160</v>
      </c>
      <c r="C570" s="187">
        <v>546</v>
      </c>
      <c r="D570" s="163" t="s">
        <v>1187</v>
      </c>
      <c r="E570" s="162">
        <v>46163</v>
      </c>
      <c r="F570" s="163" t="s">
        <v>1144</v>
      </c>
      <c r="G570" s="163" t="s">
        <v>1145</v>
      </c>
      <c r="H570" s="163" t="s">
        <v>103</v>
      </c>
      <c r="I570" s="157"/>
      <c r="J570" s="163" t="s">
        <v>1146</v>
      </c>
      <c r="K570" s="163">
        <v>0</v>
      </c>
      <c r="L570" s="166">
        <v>46160</v>
      </c>
      <c r="M570" s="157"/>
      <c r="N570" s="163" t="s">
        <v>1219</v>
      </c>
      <c r="O570" s="162">
        <v>46162</v>
      </c>
      <c r="P570" s="163">
        <v>0</v>
      </c>
      <c r="Q570" s="163">
        <v>100</v>
      </c>
      <c r="R570" s="163">
        <v>50</v>
      </c>
      <c r="S570" s="163">
        <v>150</v>
      </c>
      <c r="T570" s="163">
        <v>148</v>
      </c>
      <c r="U570" s="163">
        <v>2</v>
      </c>
      <c r="V570" s="163"/>
      <c r="W570" s="188">
        <v>89.2</v>
      </c>
      <c r="X570" s="188">
        <v>89</v>
      </c>
      <c r="Y570" s="188">
        <v>695849.2</v>
      </c>
      <c r="Z570" s="235">
        <v>39.74</v>
      </c>
      <c r="AA570" s="163">
        <v>17396.23</v>
      </c>
      <c r="AB570" s="163">
        <v>17396.23</v>
      </c>
      <c r="AC570" s="163">
        <v>730641.66</v>
      </c>
      <c r="AD570" s="244">
        <f t="shared" si="387"/>
        <v>729911.01834000007</v>
      </c>
      <c r="AE570" s="147">
        <v>39.74</v>
      </c>
      <c r="AF570" s="245">
        <v>42</v>
      </c>
      <c r="AG570" s="238">
        <v>39.74</v>
      </c>
      <c r="AH570" s="198">
        <v>3.0000000000000001E-3</v>
      </c>
      <c r="AI570" s="198">
        <v>3.3000000000000002E-2</v>
      </c>
      <c r="AJ570" s="198">
        <v>5.2999999999999999E-2</v>
      </c>
      <c r="AK570" s="155">
        <f t="shared" si="388"/>
        <v>37443.314095238064</v>
      </c>
      <c r="AL570" s="157">
        <v>0</v>
      </c>
      <c r="AM570" s="157"/>
      <c r="AN570" s="199">
        <v>0</v>
      </c>
      <c r="AO570" s="156">
        <f t="shared" si="389"/>
        <v>168.50160000000002</v>
      </c>
      <c r="AP570" s="157"/>
      <c r="AQ570" s="155">
        <v>0</v>
      </c>
      <c r="AR570" s="155">
        <f t="shared" si="390"/>
        <v>37611.815695238067</v>
      </c>
      <c r="AS570" s="155">
        <f t="shared" si="391"/>
        <v>39492</v>
      </c>
      <c r="AT570" s="155">
        <f t="shared" si="404"/>
        <v>2.16</v>
      </c>
      <c r="AU570" s="157"/>
      <c r="AV570" s="157"/>
      <c r="AW570" s="155">
        <f t="shared" si="392"/>
        <v>8920</v>
      </c>
      <c r="AX570" s="157"/>
      <c r="AY570" s="155">
        <f t="shared" si="393"/>
        <v>8920</v>
      </c>
      <c r="AZ570" s="155">
        <f t="shared" si="394"/>
        <v>8900</v>
      </c>
      <c r="BA570" s="242">
        <f t="shared" si="395"/>
        <v>20</v>
      </c>
      <c r="BB570" s="246">
        <f t="shared" si="405"/>
        <v>17.84</v>
      </c>
      <c r="BC570" s="155">
        <v>0</v>
      </c>
      <c r="BD570" s="157"/>
      <c r="BE570" s="188">
        <v>89.2</v>
      </c>
      <c r="BF570" s="197">
        <f t="shared" si="396"/>
        <v>0.1338</v>
      </c>
      <c r="BG570" s="197">
        <f t="shared" si="397"/>
        <v>89.066200000000009</v>
      </c>
      <c r="BH570" s="197">
        <f t="shared" si="398"/>
        <v>89</v>
      </c>
      <c r="BI570" s="243">
        <f t="shared" si="399"/>
        <v>20.000000000000284</v>
      </c>
      <c r="BJ570" s="243">
        <v>0</v>
      </c>
      <c r="BK570" s="155">
        <f t="shared" si="400"/>
        <v>20.000000000000284</v>
      </c>
      <c r="BL570" s="47"/>
      <c r="BM570" s="48" t="str">
        <f t="shared" si="401"/>
        <v>Unloading no. 546 Bill No 2026-27/49 ,Deduction For Oil Deduction= 37443.3140952381 ,Bardana= 0 ,F.M=  Brokerage/Rate Difference 0 ,Shortage = 168.5016 ,Greenish=  ,Moisture= 0</v>
      </c>
      <c r="BN570" s="41"/>
      <c r="BO570" s="44" t="str">
        <f t="shared" si="402"/>
        <v xml:space="preserve"> Party Condition 42  ,F.M% 0.3 ,Greenish 3.3 ,Moisture 5.3 ,Shortage in KG= 2.16  ,Oil% 39.74</v>
      </c>
      <c r="BP570" s="45">
        <f t="shared" si="403"/>
        <v>7395.925666345639</v>
      </c>
      <c r="BX570" s="27">
        <v>39.340000000000003</v>
      </c>
      <c r="BY570" s="27">
        <v>39.409999999999997</v>
      </c>
      <c r="CB570" s="57">
        <f t="shared" si="406"/>
        <v>0</v>
      </c>
    </row>
    <row r="571" spans="1:80" ht="14.1" hidden="1" customHeight="1" x14ac:dyDescent="0.3">
      <c r="A571" s="163" t="s">
        <v>1176</v>
      </c>
      <c r="B571" s="166">
        <v>46161</v>
      </c>
      <c r="C571" s="187">
        <v>547</v>
      </c>
      <c r="D571" s="163" t="s">
        <v>1188</v>
      </c>
      <c r="E571" s="162">
        <v>46163</v>
      </c>
      <c r="F571" s="163" t="s">
        <v>101</v>
      </c>
      <c r="G571" s="163" t="s">
        <v>102</v>
      </c>
      <c r="H571" s="163" t="s">
        <v>103</v>
      </c>
      <c r="I571" s="157"/>
      <c r="J571" s="163" t="s">
        <v>113</v>
      </c>
      <c r="K571" s="163">
        <v>0</v>
      </c>
      <c r="L571" s="166">
        <v>46161</v>
      </c>
      <c r="M571" s="157"/>
      <c r="N571" s="163" t="s">
        <v>1220</v>
      </c>
      <c r="O571" s="162">
        <v>46162</v>
      </c>
      <c r="P571" s="163">
        <v>0</v>
      </c>
      <c r="Q571" s="163">
        <v>500</v>
      </c>
      <c r="R571" s="163">
        <v>120</v>
      </c>
      <c r="S571" s="163">
        <v>620</v>
      </c>
      <c r="T571" s="163">
        <v>620</v>
      </c>
      <c r="U571" s="163">
        <v>0</v>
      </c>
      <c r="V571" s="163"/>
      <c r="W571" s="188">
        <v>372</v>
      </c>
      <c r="X571" s="188">
        <v>375.8</v>
      </c>
      <c r="Y571" s="188">
        <v>2829104.64</v>
      </c>
      <c r="Z571" s="188"/>
      <c r="AA571" s="163">
        <v>70727.62</v>
      </c>
      <c r="AB571" s="163">
        <v>70727.62</v>
      </c>
      <c r="AC571" s="163">
        <v>2970559.87</v>
      </c>
      <c r="AD571" s="244">
        <f t="shared" si="387"/>
        <v>2967589.3101300001</v>
      </c>
      <c r="AE571" s="147">
        <v>40</v>
      </c>
      <c r="AF571" s="245">
        <v>39.700000000000003</v>
      </c>
      <c r="AG571" s="238">
        <v>40.07</v>
      </c>
      <c r="AH571" s="198">
        <v>3.0000000000000001E-3</v>
      </c>
      <c r="AI571" s="198">
        <v>3.2000000000000001E-2</v>
      </c>
      <c r="AJ571" s="198">
        <v>4.9000000000000002E-2</v>
      </c>
      <c r="AK571" s="155">
        <f t="shared" si="388"/>
        <v>0</v>
      </c>
      <c r="AL571" s="157">
        <v>0</v>
      </c>
      <c r="AM571" s="157"/>
      <c r="AN571" s="199">
        <v>0</v>
      </c>
      <c r="AO571" s="156">
        <f t="shared" si="389"/>
        <v>2053.3824</v>
      </c>
      <c r="AP571" s="157"/>
      <c r="AQ571" s="155">
        <v>0</v>
      </c>
      <c r="AR571" s="155">
        <f t="shared" si="390"/>
        <v>2053.3824</v>
      </c>
      <c r="AS571" s="155">
        <f t="shared" si="391"/>
        <v>2156</v>
      </c>
      <c r="AT571" s="155">
        <v>27</v>
      </c>
      <c r="AU571" s="157" t="s">
        <v>664</v>
      </c>
      <c r="AV571" s="157"/>
      <c r="AW571" s="155">
        <f t="shared" si="392"/>
        <v>37200</v>
      </c>
      <c r="AX571" s="157"/>
      <c r="AY571" s="155">
        <f t="shared" si="393"/>
        <v>37200</v>
      </c>
      <c r="AZ571" s="155">
        <f t="shared" si="394"/>
        <v>37580</v>
      </c>
      <c r="BA571" s="242">
        <f t="shared" si="395"/>
        <v>-380</v>
      </c>
      <c r="BB571" s="145">
        <f t="shared" si="405"/>
        <v>74.400000000000006</v>
      </c>
      <c r="BC571" s="155">
        <v>0</v>
      </c>
      <c r="BD571" s="157"/>
      <c r="BE571" s="188">
        <v>375.8</v>
      </c>
      <c r="BF571" s="197">
        <f t="shared" si="396"/>
        <v>0.56369999999999998</v>
      </c>
      <c r="BG571" s="197">
        <f t="shared" si="397"/>
        <v>375.23630000000003</v>
      </c>
      <c r="BH571" s="197">
        <f t="shared" si="398"/>
        <v>375.8</v>
      </c>
      <c r="BI571" s="243">
        <f t="shared" si="399"/>
        <v>0</v>
      </c>
      <c r="BJ571" s="243">
        <v>0</v>
      </c>
      <c r="BK571" s="155">
        <f t="shared" si="400"/>
        <v>0</v>
      </c>
      <c r="BL571" s="47"/>
      <c r="BM571" s="48" t="str">
        <f t="shared" si="401"/>
        <v>Unloading no. 547 Bill No L/PB/26-27/93 ,Deduction For Oil Deduction= 0 ,Bardana= 0 ,F.M=  Brokerage/Rate Difference 0 ,Shortage = 2053.3824 ,Greenish=  ,Moisture= 0</v>
      </c>
      <c r="BN571" s="41"/>
      <c r="BO571" s="44" t="str">
        <f t="shared" si="402"/>
        <v xml:space="preserve"> Party Condition 39.7  ,F.M% 0.3 ,Greenish 3.2 ,Moisture 4.9 ,Shortage in KG= 27  ,Oil% 40</v>
      </c>
      <c r="BP571" s="45">
        <f t="shared" si="403"/>
        <v>7522.7548100053218</v>
      </c>
      <c r="BX571" s="27">
        <v>40</v>
      </c>
      <c r="BY571" s="27">
        <v>40.07</v>
      </c>
    </row>
    <row r="572" spans="1:80" ht="14.1" hidden="1" customHeight="1" x14ac:dyDescent="0.3">
      <c r="A572" s="163" t="s">
        <v>1137</v>
      </c>
      <c r="B572" s="166">
        <v>46160</v>
      </c>
      <c r="C572" s="187">
        <v>548</v>
      </c>
      <c r="D572" s="163" t="s">
        <v>1189</v>
      </c>
      <c r="E572" s="162">
        <v>46163</v>
      </c>
      <c r="F572" s="163" t="s">
        <v>1144</v>
      </c>
      <c r="G572" s="163" t="s">
        <v>1145</v>
      </c>
      <c r="H572" s="163" t="s">
        <v>103</v>
      </c>
      <c r="I572" s="157"/>
      <c r="J572" s="163" t="s">
        <v>1146</v>
      </c>
      <c r="K572" s="163">
        <v>0</v>
      </c>
      <c r="L572" s="166">
        <v>46160</v>
      </c>
      <c r="M572" s="157"/>
      <c r="N572" s="163" t="s">
        <v>1221</v>
      </c>
      <c r="O572" s="162">
        <v>46162</v>
      </c>
      <c r="P572" s="163">
        <v>0</v>
      </c>
      <c r="Q572" s="163">
        <v>110</v>
      </c>
      <c r="R572" s="163">
        <v>40</v>
      </c>
      <c r="S572" s="163">
        <v>150</v>
      </c>
      <c r="T572" s="163">
        <v>150</v>
      </c>
      <c r="U572" s="163">
        <v>0</v>
      </c>
      <c r="V572" s="163"/>
      <c r="W572" s="188">
        <v>88.8</v>
      </c>
      <c r="X572" s="188">
        <v>88.6</v>
      </c>
      <c r="Y572" s="188">
        <v>692728.8</v>
      </c>
      <c r="Z572" s="235">
        <v>39.5</v>
      </c>
      <c r="AA572" s="163">
        <v>17318.22</v>
      </c>
      <c r="AB572" s="163">
        <v>17318.22</v>
      </c>
      <c r="AC572" s="163">
        <v>727365.24</v>
      </c>
      <c r="AD572" s="244">
        <f t="shared" si="387"/>
        <v>726637.87476000004</v>
      </c>
      <c r="AE572" s="147">
        <v>39.5</v>
      </c>
      <c r="AF572" s="245">
        <v>42</v>
      </c>
      <c r="AG572" s="238">
        <v>39.5</v>
      </c>
      <c r="AH572" s="198">
        <v>3.5999999999999999E-3</v>
      </c>
      <c r="AI572" s="198">
        <v>3.5999999999999997E-2</v>
      </c>
      <c r="AJ572" s="198">
        <v>0.05</v>
      </c>
      <c r="AK572" s="155">
        <f t="shared" si="388"/>
        <v>41233.857142857145</v>
      </c>
      <c r="AL572" s="157">
        <v>0</v>
      </c>
      <c r="AM572" s="157"/>
      <c r="AN572" s="199">
        <v>0</v>
      </c>
      <c r="AO572" s="156">
        <f t="shared" si="389"/>
        <v>174.74239999999989</v>
      </c>
      <c r="AP572" s="157"/>
      <c r="AQ572" s="155">
        <v>0</v>
      </c>
      <c r="AR572" s="155">
        <f t="shared" si="390"/>
        <v>41408.599542857148</v>
      </c>
      <c r="AS572" s="155">
        <f t="shared" si="391"/>
        <v>43479</v>
      </c>
      <c r="AT572" s="155">
        <f>BA572-BB572</f>
        <v>2.2399999999999984</v>
      </c>
      <c r="AU572" s="157"/>
      <c r="AV572" s="157"/>
      <c r="AW572" s="155">
        <f t="shared" si="392"/>
        <v>8880</v>
      </c>
      <c r="AX572" s="157"/>
      <c r="AY572" s="155">
        <f t="shared" si="393"/>
        <v>8880</v>
      </c>
      <c r="AZ572" s="155">
        <f t="shared" si="394"/>
        <v>8860</v>
      </c>
      <c r="BA572" s="242">
        <f t="shared" si="395"/>
        <v>20</v>
      </c>
      <c r="BB572" s="246">
        <f>AW572*2/1000</f>
        <v>17.760000000000002</v>
      </c>
      <c r="BC572" s="155">
        <v>0</v>
      </c>
      <c r="BD572" s="157"/>
      <c r="BE572" s="188">
        <v>88.8</v>
      </c>
      <c r="BF572" s="197">
        <f t="shared" si="396"/>
        <v>0.13319999999999999</v>
      </c>
      <c r="BG572" s="197">
        <f t="shared" si="397"/>
        <v>88.666799999999995</v>
      </c>
      <c r="BH572" s="197">
        <f t="shared" si="398"/>
        <v>88.6</v>
      </c>
      <c r="BI572" s="243">
        <f t="shared" si="399"/>
        <v>20.000000000000284</v>
      </c>
      <c r="BJ572" s="243">
        <v>0</v>
      </c>
      <c r="BK572" s="155">
        <f t="shared" si="400"/>
        <v>20.000000000000284</v>
      </c>
      <c r="BL572" s="47"/>
      <c r="BM572" s="48" t="str">
        <f t="shared" si="401"/>
        <v>Unloading no. 548 Bill No 2026-27/50 ,Deduction For Oil Deduction= 41233.8571428571 ,Bardana= 0 ,F.M=  Brokerage/Rate Difference 0 ,Shortage = 174.7424 ,Greenish=  ,Moisture= 0</v>
      </c>
      <c r="BN572" s="41"/>
      <c r="BO572" s="44" t="str">
        <f t="shared" si="402"/>
        <v xml:space="preserve"> Party Condition 42  ,F.M% 0.36 ,Greenish 3.6 ,Moisture 5 ,Shortage in KG= 2.24  ,Oil% 39.5</v>
      </c>
      <c r="BP572" s="45">
        <f t="shared" si="403"/>
        <v>7351.2437974846835</v>
      </c>
      <c r="BX572" s="27">
        <v>39.07</v>
      </c>
      <c r="BY572" s="27">
        <v>39.04</v>
      </c>
      <c r="CB572" s="57">
        <f>Z572-AE572</f>
        <v>0</v>
      </c>
    </row>
    <row r="573" spans="1:80" ht="14.1" hidden="1" customHeight="1" x14ac:dyDescent="0.3">
      <c r="A573" s="163" t="s">
        <v>1177</v>
      </c>
      <c r="B573" s="166">
        <v>46161</v>
      </c>
      <c r="C573" s="187">
        <v>549</v>
      </c>
      <c r="D573" s="163" t="s">
        <v>1190</v>
      </c>
      <c r="E573" s="162">
        <v>46163</v>
      </c>
      <c r="F573" s="163" t="s">
        <v>95</v>
      </c>
      <c r="G573" s="163" t="s">
        <v>96</v>
      </c>
      <c r="H573" s="163" t="s">
        <v>97</v>
      </c>
      <c r="I573" s="157"/>
      <c r="J573" s="163" t="s">
        <v>113</v>
      </c>
      <c r="K573" s="163">
        <v>0</v>
      </c>
      <c r="L573" s="166">
        <v>46161</v>
      </c>
      <c r="M573" s="157"/>
      <c r="N573" s="163">
        <v>181</v>
      </c>
      <c r="O573" s="162">
        <v>46162</v>
      </c>
      <c r="P573" s="163">
        <v>0</v>
      </c>
      <c r="Q573" s="163">
        <v>310</v>
      </c>
      <c r="R573" s="163">
        <v>112</v>
      </c>
      <c r="S573" s="163">
        <v>422</v>
      </c>
      <c r="T573" s="163">
        <v>422</v>
      </c>
      <c r="U573" s="163">
        <v>0</v>
      </c>
      <c r="V573" s="163"/>
      <c r="W573" s="188">
        <v>253.2</v>
      </c>
      <c r="X573" s="188">
        <v>255.8</v>
      </c>
      <c r="Y573" s="188">
        <v>1940517.2</v>
      </c>
      <c r="Z573" s="188"/>
      <c r="AA573" s="163">
        <v>48512.93</v>
      </c>
      <c r="AB573" s="163">
        <v>48512.93</v>
      </c>
      <c r="AC573" s="163">
        <v>2037543.06</v>
      </c>
      <c r="AD573" s="244">
        <f t="shared" si="387"/>
        <v>2035505.51694</v>
      </c>
      <c r="AE573" s="147">
        <v>40</v>
      </c>
      <c r="AF573" s="245">
        <v>40.020000000000003</v>
      </c>
      <c r="AG573" s="238">
        <v>39.700000000000003</v>
      </c>
      <c r="AH573" s="198">
        <v>2.8999999999999998E-3</v>
      </c>
      <c r="AI573" s="198">
        <v>3.2199999999999999E-2</v>
      </c>
      <c r="AJ573" s="198">
        <v>4.8000000000000001E-2</v>
      </c>
      <c r="AK573" s="155">
        <f t="shared" si="388"/>
        <v>15516.379410294865</v>
      </c>
      <c r="AL573" s="157">
        <v>0</v>
      </c>
      <c r="AM573" s="157"/>
      <c r="AN573" s="199">
        <v>0</v>
      </c>
      <c r="AO573" s="156">
        <f t="shared" si="389"/>
        <v>1226.2351974723538</v>
      </c>
      <c r="AP573" s="157"/>
      <c r="AQ573" s="155">
        <v>0</v>
      </c>
      <c r="AR573" s="155">
        <f t="shared" si="390"/>
        <v>16742.61460776722</v>
      </c>
      <c r="AS573" s="155">
        <f t="shared" si="391"/>
        <v>17580</v>
      </c>
      <c r="AT573" s="155">
        <v>16</v>
      </c>
      <c r="AU573" s="157" t="s">
        <v>664</v>
      </c>
      <c r="AV573" s="157"/>
      <c r="AW573" s="155">
        <f t="shared" si="392"/>
        <v>25320</v>
      </c>
      <c r="AX573" s="157"/>
      <c r="AY573" s="155">
        <f t="shared" si="393"/>
        <v>25320</v>
      </c>
      <c r="AZ573" s="155">
        <f t="shared" si="394"/>
        <v>25580</v>
      </c>
      <c r="BA573" s="242">
        <f t="shared" si="395"/>
        <v>-260</v>
      </c>
      <c r="BB573" s="145">
        <f t="shared" si="405"/>
        <v>50.64</v>
      </c>
      <c r="BC573" s="155">
        <v>0</v>
      </c>
      <c r="BD573" s="157"/>
      <c r="BE573" s="188">
        <v>256</v>
      </c>
      <c r="BF573" s="197">
        <f t="shared" si="396"/>
        <v>0.38400000000000001</v>
      </c>
      <c r="BG573" s="197">
        <f t="shared" si="397"/>
        <v>255.61600000000001</v>
      </c>
      <c r="BH573" s="197">
        <f t="shared" si="398"/>
        <v>255.8</v>
      </c>
      <c r="BI573" s="243">
        <f>(BE573-BH573)*100</f>
        <v>19.999999999998863</v>
      </c>
      <c r="BJ573" s="243">
        <v>0</v>
      </c>
      <c r="BK573" s="155">
        <f t="shared" si="400"/>
        <v>19.999999999998863</v>
      </c>
      <c r="BL573" s="47"/>
      <c r="BM573" s="48" t="str">
        <f t="shared" si="401"/>
        <v>Unloading no. 549 Bill No 181 ,Deduction For Oil Deduction= 15516.3794102949 ,Bardana= 0 ,F.M=  Brokerage/Rate Difference 0 ,Shortage = 1226.23519747235 ,Greenish=  ,Moisture= 0</v>
      </c>
      <c r="BN573" s="41"/>
      <c r="BO573" s="44" t="str">
        <f t="shared" si="402"/>
        <v xml:space="preserve"> Party Condition 40.02  ,F.M% 0.29 ,Greenish 3.22 ,Moisture 4.8 ,Shortage in KG= 16  ,Oil% 39.7</v>
      </c>
      <c r="BP573" s="45">
        <f t="shared" si="403"/>
        <v>7520.6199585310114</v>
      </c>
      <c r="BX573" s="27">
        <v>40</v>
      </c>
      <c r="BY573" s="27">
        <v>39.700000000000003</v>
      </c>
    </row>
    <row r="574" spans="1:80" ht="14.1" hidden="1" customHeight="1" x14ac:dyDescent="0.3">
      <c r="A574" s="163" t="s">
        <v>1178</v>
      </c>
      <c r="B574" s="166">
        <v>46162</v>
      </c>
      <c r="C574" s="187">
        <v>550</v>
      </c>
      <c r="D574" s="163" t="s">
        <v>1191</v>
      </c>
      <c r="E574" s="162">
        <v>46163</v>
      </c>
      <c r="F574" s="163" t="s">
        <v>98</v>
      </c>
      <c r="G574" s="163" t="s">
        <v>99</v>
      </c>
      <c r="H574" s="163" t="s">
        <v>199</v>
      </c>
      <c r="I574" s="157"/>
      <c r="J574" s="163" t="s">
        <v>113</v>
      </c>
      <c r="K574" s="163">
        <v>0</v>
      </c>
      <c r="L574" s="166">
        <v>46162</v>
      </c>
      <c r="M574" s="157"/>
      <c r="N574" s="163">
        <v>120</v>
      </c>
      <c r="O574" s="162">
        <v>46162</v>
      </c>
      <c r="P574" s="163">
        <v>0</v>
      </c>
      <c r="Q574" s="163">
        <v>240</v>
      </c>
      <c r="R574" s="163">
        <v>266</v>
      </c>
      <c r="S574" s="163">
        <v>506</v>
      </c>
      <c r="T574" s="163">
        <v>506</v>
      </c>
      <c r="U574" s="163">
        <v>0</v>
      </c>
      <c r="V574" s="163"/>
      <c r="W574" s="188">
        <v>303.60000000000002</v>
      </c>
      <c r="X574" s="188">
        <v>306.7</v>
      </c>
      <c r="Y574" s="188">
        <v>2348528.16</v>
      </c>
      <c r="Z574" s="188"/>
      <c r="AA574" s="163">
        <v>58713.2</v>
      </c>
      <c r="AB574" s="163">
        <v>58713.2</v>
      </c>
      <c r="AC574" s="163">
        <v>2465954.5699999998</v>
      </c>
      <c r="AD574" s="244">
        <f t="shared" si="387"/>
        <v>2463488.6154299998</v>
      </c>
      <c r="AE574" s="147">
        <v>39.96</v>
      </c>
      <c r="AF574" s="245">
        <v>39.880000000000003</v>
      </c>
      <c r="AG574" s="238">
        <v>39.86</v>
      </c>
      <c r="AH574" s="198">
        <v>2.8E-3</v>
      </c>
      <c r="AI574" s="198">
        <v>3.2500000000000001E-2</v>
      </c>
      <c r="AJ574" s="198">
        <v>5.0999999999999997E-2</v>
      </c>
      <c r="AK574" s="155">
        <v>0</v>
      </c>
      <c r="AL574" s="157">
        <v>0</v>
      </c>
      <c r="AM574" s="157"/>
      <c r="AN574" s="199">
        <v>0</v>
      </c>
      <c r="AO574" s="156">
        <f t="shared" si="389"/>
        <v>1624.4759999999999</v>
      </c>
      <c r="AP574" s="157"/>
      <c r="AQ574" s="155">
        <v>0</v>
      </c>
      <c r="AR574" s="155">
        <f t="shared" si="390"/>
        <v>1624.4759999999999</v>
      </c>
      <c r="AS574" s="155">
        <f t="shared" si="391"/>
        <v>1706</v>
      </c>
      <c r="AT574" s="155">
        <v>21</v>
      </c>
      <c r="AU574" s="157" t="s">
        <v>664</v>
      </c>
      <c r="AV574" s="157"/>
      <c r="AW574" s="155">
        <f t="shared" si="392"/>
        <v>30360.000000000004</v>
      </c>
      <c r="AX574" s="157"/>
      <c r="AY574" s="155">
        <f t="shared" si="393"/>
        <v>30360.000000000004</v>
      </c>
      <c r="AZ574" s="155">
        <f t="shared" si="394"/>
        <v>30670</v>
      </c>
      <c r="BA574" s="242">
        <f t="shared" si="395"/>
        <v>-309.99999999999636</v>
      </c>
      <c r="BB574" s="145">
        <f t="shared" si="405"/>
        <v>60.720000000000006</v>
      </c>
      <c r="BC574" s="155">
        <v>0</v>
      </c>
      <c r="BD574" s="157"/>
      <c r="BE574" s="188">
        <v>307.3</v>
      </c>
      <c r="BF574" s="197">
        <f t="shared" si="396"/>
        <v>0.46094999999999997</v>
      </c>
      <c r="BG574" s="197">
        <f t="shared" si="397"/>
        <v>306.83904999999999</v>
      </c>
      <c r="BH574" s="197">
        <f t="shared" si="398"/>
        <v>306.7</v>
      </c>
      <c r="BI574" s="243">
        <f t="shared" si="399"/>
        <v>60.000000000002274</v>
      </c>
      <c r="BJ574" s="243">
        <v>0</v>
      </c>
      <c r="BK574" s="155">
        <f t="shared" si="400"/>
        <v>60.000000000002274</v>
      </c>
      <c r="BL574" s="47"/>
      <c r="BM574" s="48" t="str">
        <f t="shared" si="401"/>
        <v>Unloading no. 550 Bill No 120 ,Deduction For Oil Deduction= 0 ,Bardana= 0 ,F.M=  Brokerage/Rate Difference 0 ,Shortage = 1624.476 ,Greenish=  ,Moisture= 0</v>
      </c>
      <c r="BN574" s="41"/>
      <c r="BO574" s="44" t="str">
        <f t="shared" si="402"/>
        <v xml:space="preserve"> Party Condition 39.88  ,F.M% 0.28 ,Greenish 3.25 ,Moisture 5.1 ,Shortage in KG= 21  ,Oil% 39.86</v>
      </c>
      <c r="BP574" s="45">
        <f t="shared" si="403"/>
        <v>7652.1150440169558</v>
      </c>
      <c r="BX574" s="27">
        <v>39.96</v>
      </c>
      <c r="BY574" s="27">
        <v>39.86</v>
      </c>
    </row>
    <row r="575" spans="1:80" ht="14.1" hidden="1" customHeight="1" x14ac:dyDescent="0.3">
      <c r="A575" s="163" t="s">
        <v>1179</v>
      </c>
      <c r="B575" s="166">
        <v>46162</v>
      </c>
      <c r="C575" s="187">
        <v>552</v>
      </c>
      <c r="D575" s="163" t="s">
        <v>1192</v>
      </c>
      <c r="E575" s="166">
        <v>46163</v>
      </c>
      <c r="F575" s="163" t="s">
        <v>110</v>
      </c>
      <c r="G575" s="163" t="s">
        <v>111</v>
      </c>
      <c r="H575" s="163" t="s">
        <v>112</v>
      </c>
      <c r="I575" s="157"/>
      <c r="J575" s="163" t="s">
        <v>113</v>
      </c>
      <c r="K575" s="163">
        <v>0</v>
      </c>
      <c r="L575" s="166">
        <v>46162</v>
      </c>
      <c r="M575" s="157"/>
      <c r="N575" s="163" t="s">
        <v>1222</v>
      </c>
      <c r="O575" s="166">
        <v>46162</v>
      </c>
      <c r="P575" s="163">
        <v>0</v>
      </c>
      <c r="Q575" s="163">
        <v>450</v>
      </c>
      <c r="R575" s="163">
        <v>149</v>
      </c>
      <c r="S575" s="163">
        <v>599</v>
      </c>
      <c r="T575" s="163">
        <v>599</v>
      </c>
      <c r="U575" s="163">
        <v>0</v>
      </c>
      <c r="V575" s="163"/>
      <c r="W575" s="188">
        <v>359.4</v>
      </c>
      <c r="X575" s="188">
        <v>364.5</v>
      </c>
      <c r="Y575" s="188">
        <v>2805476.4</v>
      </c>
      <c r="Z575" s="188"/>
      <c r="AA575" s="163">
        <v>70136.91</v>
      </c>
      <c r="AB575" s="163">
        <v>70136.91</v>
      </c>
      <c r="AC575" s="163">
        <v>2945750.22</v>
      </c>
      <c r="AD575" s="244">
        <f t="shared" si="387"/>
        <v>2942804.4697800004</v>
      </c>
      <c r="AE575" s="147">
        <v>40.78</v>
      </c>
      <c r="AF575" s="245">
        <v>40.14</v>
      </c>
      <c r="AG575" s="238">
        <v>40.72</v>
      </c>
      <c r="AH575" s="198">
        <v>2.8999999999999998E-3</v>
      </c>
      <c r="AI575" s="198">
        <v>3.4799999999999998E-2</v>
      </c>
      <c r="AJ575" s="198">
        <v>5.1999999999999998E-2</v>
      </c>
      <c r="AK575" s="155">
        <f t="shared" si="388"/>
        <v>0</v>
      </c>
      <c r="AL575" s="157">
        <v>0</v>
      </c>
      <c r="AM575" s="157"/>
      <c r="AN575" s="199">
        <v>0</v>
      </c>
      <c r="AO575" s="156">
        <f t="shared" si="389"/>
        <v>0</v>
      </c>
      <c r="AP575" s="157"/>
      <c r="AQ575" s="155">
        <v>0</v>
      </c>
      <c r="AR575" s="155">
        <f t="shared" si="390"/>
        <v>0</v>
      </c>
      <c r="AS575" s="155">
        <f t="shared" si="391"/>
        <v>0</v>
      </c>
      <c r="AT575" s="155"/>
      <c r="AU575" s="157" t="s">
        <v>1246</v>
      </c>
      <c r="AV575" s="157"/>
      <c r="AW575" s="155">
        <f t="shared" si="392"/>
        <v>35940</v>
      </c>
      <c r="AX575" s="157"/>
      <c r="AY575" s="155">
        <f t="shared" si="393"/>
        <v>35940</v>
      </c>
      <c r="AZ575" s="155">
        <f t="shared" si="394"/>
        <v>36450</v>
      </c>
      <c r="BA575" s="242">
        <f t="shared" si="395"/>
        <v>-510</v>
      </c>
      <c r="BB575" s="145">
        <f t="shared" si="405"/>
        <v>71.88</v>
      </c>
      <c r="BC575" s="155">
        <v>0</v>
      </c>
      <c r="BD575" s="157"/>
      <c r="BE575" s="188">
        <v>364.45</v>
      </c>
      <c r="BF575" s="197">
        <f t="shared" si="396"/>
        <v>0.54667500000000002</v>
      </c>
      <c r="BG575" s="197">
        <f t="shared" si="397"/>
        <v>363.903325</v>
      </c>
      <c r="BH575" s="197">
        <f t="shared" si="398"/>
        <v>364.5</v>
      </c>
      <c r="BI575" s="243">
        <f t="shared" si="399"/>
        <v>-5.0000000000011369</v>
      </c>
      <c r="BJ575" s="243">
        <v>0</v>
      </c>
      <c r="BK575" s="155">
        <f t="shared" si="400"/>
        <v>-5.0000000000011369</v>
      </c>
      <c r="BL575" s="47"/>
      <c r="BM575" s="48" t="str">
        <f t="shared" si="401"/>
        <v>Unloading no. 552 Bill No G1706 ,Deduction For Oil Deduction= 0 ,Bardana= 0 ,F.M=  Brokerage/Rate Difference 0 ,Shortage = 0 ,Greenish=  ,Moisture= 0</v>
      </c>
      <c r="BN575" s="41"/>
      <c r="BO575" s="44" t="str">
        <f t="shared" si="402"/>
        <v xml:space="preserve"> Party Condition 40.14  ,F.M% 0.29 ,Greenish 3.48 ,Moisture 5.2 ,Shortage in KG=   ,Oil% 40.72</v>
      </c>
      <c r="BP575" s="45">
        <f t="shared" si="403"/>
        <v>7696.7802469135804</v>
      </c>
      <c r="BX575" s="27">
        <v>40.78</v>
      </c>
      <c r="BY575" s="27">
        <v>40.72</v>
      </c>
    </row>
    <row r="576" spans="1:80" ht="14.1" hidden="1" customHeight="1" x14ac:dyDescent="0.3">
      <c r="A576" s="163" t="s">
        <v>1137</v>
      </c>
      <c r="B576" s="166">
        <v>46160</v>
      </c>
      <c r="C576" s="187">
        <v>553</v>
      </c>
      <c r="D576" s="163" t="s">
        <v>1193</v>
      </c>
      <c r="E576" s="166">
        <v>46163</v>
      </c>
      <c r="F576" s="163" t="s">
        <v>1144</v>
      </c>
      <c r="G576" s="163" t="s">
        <v>1145</v>
      </c>
      <c r="H576" s="163" t="s">
        <v>103</v>
      </c>
      <c r="I576" s="157"/>
      <c r="J576" s="163" t="s">
        <v>1146</v>
      </c>
      <c r="K576" s="163">
        <v>0</v>
      </c>
      <c r="L576" s="166">
        <v>46160</v>
      </c>
      <c r="M576" s="157"/>
      <c r="N576" s="163" t="s">
        <v>1223</v>
      </c>
      <c r="O576" s="166">
        <v>46163</v>
      </c>
      <c r="P576" s="163">
        <v>0</v>
      </c>
      <c r="Q576" s="163">
        <v>100</v>
      </c>
      <c r="R576" s="163">
        <v>50</v>
      </c>
      <c r="S576" s="163">
        <v>150</v>
      </c>
      <c r="T576" s="163">
        <v>149</v>
      </c>
      <c r="U576" s="163">
        <v>1</v>
      </c>
      <c r="V576" s="163"/>
      <c r="W576" s="188">
        <v>89.2</v>
      </c>
      <c r="X576" s="188">
        <v>89</v>
      </c>
      <c r="Y576" s="188">
        <v>695849.2</v>
      </c>
      <c r="Z576" s="235">
        <v>39.590000000000003</v>
      </c>
      <c r="AA576" s="163">
        <v>17396.23</v>
      </c>
      <c r="AB576" s="163">
        <v>17396.23</v>
      </c>
      <c r="AC576" s="163">
        <v>730641.66</v>
      </c>
      <c r="AD576" s="244">
        <f t="shared" si="387"/>
        <v>729911.01834000007</v>
      </c>
      <c r="AE576" s="147">
        <v>39.590000000000003</v>
      </c>
      <c r="AF576" s="245">
        <v>42</v>
      </c>
      <c r="AG576" s="238">
        <v>39.590000000000003</v>
      </c>
      <c r="AH576" s="198">
        <v>2.5999999999999999E-3</v>
      </c>
      <c r="AI576" s="198">
        <v>0.03</v>
      </c>
      <c r="AJ576" s="198">
        <v>5.3999999999999999E-2</v>
      </c>
      <c r="AK576" s="155">
        <f t="shared" si="388"/>
        <v>39928.489809523751</v>
      </c>
      <c r="AL576" s="157">
        <v>0</v>
      </c>
      <c r="AM576" s="157"/>
      <c r="AN576" s="199">
        <v>0</v>
      </c>
      <c r="AO576" s="156">
        <f t="shared" si="389"/>
        <v>168.50160000000002</v>
      </c>
      <c r="AP576" s="157"/>
      <c r="AQ576" s="155">
        <v>0</v>
      </c>
      <c r="AR576" s="155">
        <f t="shared" si="390"/>
        <v>40096.991409523755</v>
      </c>
      <c r="AS576" s="155">
        <f t="shared" si="391"/>
        <v>42102</v>
      </c>
      <c r="AT576" s="155">
        <f t="shared" ref="AT576:AT582" si="407">BA576-BB576</f>
        <v>2.16</v>
      </c>
      <c r="AU576" s="157"/>
      <c r="AV576" s="157"/>
      <c r="AW576" s="155">
        <f t="shared" si="392"/>
        <v>8920</v>
      </c>
      <c r="AX576" s="157"/>
      <c r="AY576" s="155">
        <f t="shared" si="393"/>
        <v>8920</v>
      </c>
      <c r="AZ576" s="155">
        <f t="shared" si="394"/>
        <v>8900</v>
      </c>
      <c r="BA576" s="242">
        <f t="shared" si="395"/>
        <v>20</v>
      </c>
      <c r="BB576" s="246">
        <f t="shared" ref="BB576:BB585" si="408">AW576*2/1000</f>
        <v>17.84</v>
      </c>
      <c r="BC576" s="155">
        <v>0</v>
      </c>
      <c r="BD576" s="157"/>
      <c r="BE576" s="188">
        <v>89.2</v>
      </c>
      <c r="BF576" s="197">
        <f t="shared" si="396"/>
        <v>0.1338</v>
      </c>
      <c r="BG576" s="197">
        <f t="shared" si="397"/>
        <v>89.066200000000009</v>
      </c>
      <c r="BH576" s="197">
        <f t="shared" si="398"/>
        <v>89</v>
      </c>
      <c r="BI576" s="243">
        <f t="shared" si="399"/>
        <v>20.000000000000284</v>
      </c>
      <c r="BJ576" s="243">
        <v>0</v>
      </c>
      <c r="BK576" s="155">
        <f t="shared" si="400"/>
        <v>20.000000000000284</v>
      </c>
      <c r="BL576" s="47"/>
      <c r="BM576" s="48" t="str">
        <f t="shared" si="401"/>
        <v>Unloading no. 553 Bill No 2026-27/51 ,Deduction For Oil Deduction= 39928.4898095238 ,Bardana= 0 ,F.M=  Brokerage/Rate Difference 0 ,Shortage = 168.5016 ,Greenish=  ,Moisture= 0</v>
      </c>
      <c r="BN576" s="41"/>
      <c r="BO576" s="44" t="str">
        <f t="shared" si="402"/>
        <v xml:space="preserve"> Party Condition 42  ,F.M% 0.26 ,Greenish 3 ,Moisture 5.4 ,Shortage in KG= 2.16  ,Oil% 39.59</v>
      </c>
      <c r="BP576" s="45">
        <f t="shared" si="403"/>
        <v>7368.0023437132159</v>
      </c>
      <c r="BX576" s="27">
        <v>39.72</v>
      </c>
      <c r="BY576" s="27">
        <v>39.64</v>
      </c>
      <c r="CB576" s="57">
        <f t="shared" ref="CB576:CB582" si="409">Z576-AE576</f>
        <v>0</v>
      </c>
    </row>
    <row r="577" spans="1:80" ht="14.1" hidden="1" customHeight="1" x14ac:dyDescent="0.3">
      <c r="A577" s="163" t="s">
        <v>1137</v>
      </c>
      <c r="B577" s="166">
        <v>46160</v>
      </c>
      <c r="C577" s="187">
        <v>554</v>
      </c>
      <c r="D577" s="163" t="s">
        <v>1194</v>
      </c>
      <c r="E577" s="166">
        <v>46163</v>
      </c>
      <c r="F577" s="163" t="s">
        <v>1144</v>
      </c>
      <c r="G577" s="163" t="s">
        <v>1145</v>
      </c>
      <c r="H577" s="163" t="s">
        <v>103</v>
      </c>
      <c r="I577" s="157"/>
      <c r="J577" s="163" t="s">
        <v>1146</v>
      </c>
      <c r="K577" s="163">
        <v>0</v>
      </c>
      <c r="L577" s="166">
        <v>46160</v>
      </c>
      <c r="M577" s="157"/>
      <c r="N577" s="163" t="s">
        <v>1224</v>
      </c>
      <c r="O577" s="166">
        <v>46163</v>
      </c>
      <c r="P577" s="163">
        <v>0</v>
      </c>
      <c r="Q577" s="163">
        <v>100</v>
      </c>
      <c r="R577" s="163">
        <v>50</v>
      </c>
      <c r="S577" s="163">
        <v>150</v>
      </c>
      <c r="T577" s="163">
        <v>149</v>
      </c>
      <c r="U577" s="163">
        <v>1</v>
      </c>
      <c r="V577" s="163"/>
      <c r="W577" s="188">
        <v>89.9</v>
      </c>
      <c r="X577" s="188">
        <v>89.7</v>
      </c>
      <c r="Y577" s="188">
        <v>701309</v>
      </c>
      <c r="Z577" s="235">
        <v>39.909999999999997</v>
      </c>
      <c r="AA577" s="163">
        <v>17532.73</v>
      </c>
      <c r="AB577" s="163">
        <v>17532.73</v>
      </c>
      <c r="AC577" s="163">
        <v>736374.45</v>
      </c>
      <c r="AD577" s="244">
        <f t="shared" si="387"/>
        <v>735638.07554999995</v>
      </c>
      <c r="AE577" s="147">
        <v>39.909999999999997</v>
      </c>
      <c r="AF577" s="245">
        <v>42</v>
      </c>
      <c r="AG577" s="238">
        <v>39.909999999999997</v>
      </c>
      <c r="AH577" s="198">
        <v>2.5000000000000001E-3</v>
      </c>
      <c r="AI577" s="198">
        <v>3.2000000000000001E-2</v>
      </c>
      <c r="AJ577" s="198">
        <v>0.05</v>
      </c>
      <c r="AK577" s="155">
        <f t="shared" si="388"/>
        <v>34898.471666666723</v>
      </c>
      <c r="AL577" s="157">
        <v>0</v>
      </c>
      <c r="AM577" s="157"/>
      <c r="AN577" s="199">
        <v>0</v>
      </c>
      <c r="AO577" s="156">
        <f t="shared" si="389"/>
        <v>157.57999777530586</v>
      </c>
      <c r="AP577" s="157"/>
      <c r="AQ577" s="155">
        <v>0</v>
      </c>
      <c r="AR577" s="155">
        <f t="shared" si="390"/>
        <v>35056.051664442028</v>
      </c>
      <c r="AS577" s="155">
        <f t="shared" si="391"/>
        <v>36809</v>
      </c>
      <c r="AT577" s="155">
        <f t="shared" si="407"/>
        <v>2.0199999999999996</v>
      </c>
      <c r="AU577" s="157"/>
      <c r="AV577" s="157"/>
      <c r="AW577" s="155">
        <f t="shared" si="392"/>
        <v>8990</v>
      </c>
      <c r="AX577" s="157"/>
      <c r="AY577" s="155">
        <f t="shared" si="393"/>
        <v>8990</v>
      </c>
      <c r="AZ577" s="155">
        <f t="shared" si="394"/>
        <v>8970</v>
      </c>
      <c r="BA577" s="242">
        <f t="shared" si="395"/>
        <v>20</v>
      </c>
      <c r="BB577" s="246">
        <f t="shared" si="408"/>
        <v>17.98</v>
      </c>
      <c r="BC577" s="155">
        <v>0</v>
      </c>
      <c r="BD577" s="157"/>
      <c r="BE577" s="188">
        <v>89.9</v>
      </c>
      <c r="BF577" s="197">
        <f t="shared" si="396"/>
        <v>0.13485000000000003</v>
      </c>
      <c r="BG577" s="197">
        <f t="shared" si="397"/>
        <v>89.765150000000006</v>
      </c>
      <c r="BH577" s="197">
        <f t="shared" si="398"/>
        <v>89.7</v>
      </c>
      <c r="BI577" s="243">
        <f t="shared" si="399"/>
        <v>20.000000000000284</v>
      </c>
      <c r="BJ577" s="243">
        <v>0</v>
      </c>
      <c r="BK577" s="155">
        <f t="shared" si="400"/>
        <v>20.000000000000284</v>
      </c>
      <c r="BL577" s="47"/>
      <c r="BM577" s="48" t="str">
        <f t="shared" si="401"/>
        <v>Unloading no. 554 Bill No 2026-27/53 ,Deduction For Oil Deduction= 34898.4716666667 ,Bardana= 0 ,F.M=  Brokerage/Rate Difference 0 ,Shortage = 157.579997775306 ,Greenish=  ,Moisture= 0</v>
      </c>
      <c r="BN577" s="41"/>
      <c r="BO577" s="44" t="str">
        <f t="shared" si="402"/>
        <v xml:space="preserve"> Party Condition 42  ,F.M% 0.25 ,Greenish 3.2 ,Moisture 5 ,Shortage in KG= 2.02  ,Oil% 39.91</v>
      </c>
      <c r="BP577" s="45">
        <f t="shared" si="403"/>
        <v>7427.5691007308578</v>
      </c>
      <c r="BX577" s="27">
        <v>39.840000000000003</v>
      </c>
      <c r="BY577" s="27">
        <v>39.86</v>
      </c>
      <c r="CB577" s="57">
        <f t="shared" si="409"/>
        <v>0</v>
      </c>
    </row>
    <row r="578" spans="1:80" ht="14.1" hidden="1" customHeight="1" x14ac:dyDescent="0.3">
      <c r="A578" s="163" t="s">
        <v>1137</v>
      </c>
      <c r="B578" s="166">
        <v>46160</v>
      </c>
      <c r="C578" s="187">
        <v>555</v>
      </c>
      <c r="D578" s="163" t="s">
        <v>1195</v>
      </c>
      <c r="E578" s="166">
        <v>46163</v>
      </c>
      <c r="F578" s="163" t="s">
        <v>1144</v>
      </c>
      <c r="G578" s="163" t="s">
        <v>1145</v>
      </c>
      <c r="H578" s="163" t="s">
        <v>103</v>
      </c>
      <c r="I578" s="157"/>
      <c r="J578" s="163" t="s">
        <v>1146</v>
      </c>
      <c r="K578" s="163">
        <v>0</v>
      </c>
      <c r="L578" s="166">
        <v>46160</v>
      </c>
      <c r="M578" s="157"/>
      <c r="N578" s="163" t="s">
        <v>1225</v>
      </c>
      <c r="O578" s="166">
        <v>46163</v>
      </c>
      <c r="P578" s="163">
        <v>0</v>
      </c>
      <c r="Q578" s="163">
        <v>120</v>
      </c>
      <c r="R578" s="163">
        <v>30</v>
      </c>
      <c r="S578" s="163">
        <v>150</v>
      </c>
      <c r="T578" s="163">
        <v>145</v>
      </c>
      <c r="U578" s="163">
        <v>5</v>
      </c>
      <c r="V578" s="163"/>
      <c r="W578" s="188">
        <v>88.7</v>
      </c>
      <c r="X578" s="188">
        <v>88.5</v>
      </c>
      <c r="Y578" s="188">
        <v>691948.7</v>
      </c>
      <c r="Z578" s="235">
        <v>39.83</v>
      </c>
      <c r="AA578" s="163">
        <v>17298.72</v>
      </c>
      <c r="AB578" s="163">
        <v>17298.72</v>
      </c>
      <c r="AC578" s="163">
        <v>726546.14</v>
      </c>
      <c r="AD578" s="244">
        <f t="shared" si="387"/>
        <v>725819.59386000002</v>
      </c>
      <c r="AE578" s="147">
        <v>39.83</v>
      </c>
      <c r="AF578" s="245">
        <v>42</v>
      </c>
      <c r="AG578" s="238">
        <v>39.83</v>
      </c>
      <c r="AH578" s="198">
        <v>3.0999999999999999E-3</v>
      </c>
      <c r="AI578" s="198">
        <v>0.03</v>
      </c>
      <c r="AJ578" s="198">
        <v>4.7E-2</v>
      </c>
      <c r="AK578" s="155">
        <f t="shared" si="388"/>
        <v>35750.682833333361</v>
      </c>
      <c r="AL578" s="157">
        <v>0</v>
      </c>
      <c r="AM578" s="157"/>
      <c r="AN578" s="199">
        <v>0</v>
      </c>
      <c r="AO578" s="156">
        <f t="shared" si="389"/>
        <v>176.30260000000013</v>
      </c>
      <c r="AP578" s="157"/>
      <c r="AQ578" s="155">
        <v>0</v>
      </c>
      <c r="AR578" s="155">
        <f t="shared" si="390"/>
        <v>35926.985433333364</v>
      </c>
      <c r="AS578" s="155">
        <f t="shared" si="391"/>
        <v>37723</v>
      </c>
      <c r="AT578" s="155">
        <f t="shared" si="407"/>
        <v>2.2600000000000016</v>
      </c>
      <c r="AU578" s="157"/>
      <c r="AV578" s="157"/>
      <c r="AW578" s="155">
        <f t="shared" si="392"/>
        <v>8870</v>
      </c>
      <c r="AX578" s="157"/>
      <c r="AY578" s="155">
        <f t="shared" si="393"/>
        <v>8870</v>
      </c>
      <c r="AZ578" s="155">
        <f t="shared" si="394"/>
        <v>8850</v>
      </c>
      <c r="BA578" s="242">
        <f t="shared" si="395"/>
        <v>20</v>
      </c>
      <c r="BB578" s="246">
        <f t="shared" si="408"/>
        <v>17.739999999999998</v>
      </c>
      <c r="BC578" s="155">
        <v>0</v>
      </c>
      <c r="BD578" s="157"/>
      <c r="BE578" s="188">
        <v>88.7</v>
      </c>
      <c r="BF578" s="197">
        <f t="shared" si="396"/>
        <v>0.13305</v>
      </c>
      <c r="BG578" s="197">
        <f t="shared" si="397"/>
        <v>88.566950000000006</v>
      </c>
      <c r="BH578" s="197">
        <f t="shared" si="398"/>
        <v>88.5</v>
      </c>
      <c r="BI578" s="243">
        <f t="shared" si="399"/>
        <v>20.000000000000284</v>
      </c>
      <c r="BJ578" s="243">
        <v>0</v>
      </c>
      <c r="BK578" s="155">
        <f t="shared" si="400"/>
        <v>20.000000000000284</v>
      </c>
      <c r="BL578" s="47"/>
      <c r="BM578" s="48" t="str">
        <f t="shared" si="401"/>
        <v>Unloading no. 555 Bill No 2026-27/52 ,Deduction For Oil Deduction= 35750.6828333334 ,Bardana= 0 ,F.M=  Brokerage/Rate Difference 0 ,Shortage = 176.3026 ,Greenish=  ,Moisture= 0</v>
      </c>
      <c r="BN578" s="41"/>
      <c r="BO578" s="44" t="str">
        <f t="shared" si="402"/>
        <v xml:space="preserve"> Party Condition 42  ,F.M% 0.31 ,Greenish 3 ,Moisture 4.7 ,Shortage in KG= 2.26  ,Oil% 39.83</v>
      </c>
      <c r="BP578" s="45">
        <f t="shared" si="403"/>
        <v>7412.6747408662895</v>
      </c>
      <c r="BX578" s="27">
        <v>39.72</v>
      </c>
      <c r="BY578" s="27">
        <v>39.68</v>
      </c>
      <c r="CB578" s="57">
        <f t="shared" si="409"/>
        <v>0</v>
      </c>
    </row>
    <row r="579" spans="1:80" ht="14.1" hidden="1" customHeight="1" x14ac:dyDescent="0.3">
      <c r="A579" s="163" t="s">
        <v>1137</v>
      </c>
      <c r="B579" s="166">
        <v>46160</v>
      </c>
      <c r="C579" s="187">
        <v>556</v>
      </c>
      <c r="D579" s="163" t="s">
        <v>1196</v>
      </c>
      <c r="E579" s="166">
        <v>46163</v>
      </c>
      <c r="F579" s="163" t="s">
        <v>1144</v>
      </c>
      <c r="G579" s="163" t="s">
        <v>1145</v>
      </c>
      <c r="H579" s="163" t="s">
        <v>103</v>
      </c>
      <c r="I579" s="157"/>
      <c r="J579" s="163" t="s">
        <v>1146</v>
      </c>
      <c r="K579" s="163">
        <v>0</v>
      </c>
      <c r="L579" s="166">
        <v>46160</v>
      </c>
      <c r="M579" s="157"/>
      <c r="N579" s="163" t="s">
        <v>1226</v>
      </c>
      <c r="O579" s="166">
        <v>46163</v>
      </c>
      <c r="P579" s="163">
        <v>0</v>
      </c>
      <c r="Q579" s="163">
        <v>120</v>
      </c>
      <c r="R579" s="163">
        <v>30</v>
      </c>
      <c r="S579" s="163">
        <v>150</v>
      </c>
      <c r="T579" s="163">
        <v>150</v>
      </c>
      <c r="U579" s="163">
        <v>0</v>
      </c>
      <c r="V579" s="163"/>
      <c r="W579" s="188">
        <v>89.1</v>
      </c>
      <c r="X579" s="188">
        <v>89</v>
      </c>
      <c r="Y579" s="188">
        <v>695069.1</v>
      </c>
      <c r="Z579" s="235">
        <v>39.9</v>
      </c>
      <c r="AA579" s="163">
        <v>17376.73</v>
      </c>
      <c r="AB579" s="163">
        <v>17376.73</v>
      </c>
      <c r="AC579" s="163">
        <v>729822.56</v>
      </c>
      <c r="AD579" s="244">
        <f t="shared" si="387"/>
        <v>729092.73744000006</v>
      </c>
      <c r="AE579" s="147">
        <v>39.9</v>
      </c>
      <c r="AF579" s="245">
        <v>42</v>
      </c>
      <c r="AG579" s="238">
        <v>39.9</v>
      </c>
      <c r="AH579" s="198">
        <v>3.0000000000000001E-3</v>
      </c>
      <c r="AI579" s="198">
        <v>3.4000000000000002E-2</v>
      </c>
      <c r="AJ579" s="198">
        <v>0.05</v>
      </c>
      <c r="AK579" s="155">
        <f t="shared" si="388"/>
        <v>34753.455000000024</v>
      </c>
      <c r="AL579" s="157">
        <v>0</v>
      </c>
      <c r="AM579" s="157"/>
      <c r="AN579" s="199">
        <v>0</v>
      </c>
      <c r="AO579" s="156">
        <f t="shared" si="389"/>
        <v>0</v>
      </c>
      <c r="AP579" s="157"/>
      <c r="AQ579" s="155">
        <v>0</v>
      </c>
      <c r="AR579" s="155">
        <f t="shared" si="390"/>
        <v>34753.455000000024</v>
      </c>
      <c r="AS579" s="155">
        <f t="shared" si="391"/>
        <v>36491</v>
      </c>
      <c r="AT579" s="155">
        <v>0</v>
      </c>
      <c r="AU579" s="157"/>
      <c r="AV579" s="157"/>
      <c r="AW579" s="155">
        <f t="shared" si="392"/>
        <v>8910</v>
      </c>
      <c r="AX579" s="157"/>
      <c r="AY579" s="155">
        <f t="shared" si="393"/>
        <v>8910</v>
      </c>
      <c r="AZ579" s="155">
        <f t="shared" si="394"/>
        <v>8900</v>
      </c>
      <c r="BA579" s="242">
        <f t="shared" si="395"/>
        <v>10</v>
      </c>
      <c r="BB579" s="246">
        <f t="shared" si="408"/>
        <v>17.82</v>
      </c>
      <c r="BC579" s="155">
        <v>0</v>
      </c>
      <c r="BD579" s="157"/>
      <c r="BE579" s="188">
        <v>89.1</v>
      </c>
      <c r="BF579" s="197">
        <f t="shared" si="396"/>
        <v>0.13364999999999999</v>
      </c>
      <c r="BG579" s="197">
        <f t="shared" si="397"/>
        <v>88.966349999999991</v>
      </c>
      <c r="BH579" s="197">
        <f t="shared" si="398"/>
        <v>89</v>
      </c>
      <c r="BI579" s="243">
        <f t="shared" si="399"/>
        <v>9.9999999999994316</v>
      </c>
      <c r="BJ579" s="243">
        <v>0</v>
      </c>
      <c r="BK579" s="155">
        <f t="shared" si="400"/>
        <v>9.9999999999994316</v>
      </c>
      <c r="BL579" s="47"/>
      <c r="BM579" s="48" t="str">
        <f t="shared" si="401"/>
        <v>Unloading no. 556 Bill No 2026-27/54 ,Deduction For Oil Deduction= 34753.455 ,Bardana= 0 ,F.M=  Brokerage/Rate Difference 0 ,Shortage = 0 ,Greenish=  ,Moisture= 0</v>
      </c>
      <c r="BN579" s="41"/>
      <c r="BO579" s="44" t="str">
        <f t="shared" si="402"/>
        <v xml:space="preserve"> Party Condition 42  ,F.M% 0.3 ,Greenish 3.4 ,Moisture 5 ,Shortage in KG= 0  ,Oil% 39.9</v>
      </c>
      <c r="BP579" s="45">
        <f t="shared" si="403"/>
        <v>7419.2769101123586</v>
      </c>
      <c r="BX579" s="27">
        <v>40.049999999999997</v>
      </c>
      <c r="BY579" s="27">
        <v>39.9</v>
      </c>
      <c r="CB579" s="57">
        <f t="shared" si="409"/>
        <v>0</v>
      </c>
    </row>
    <row r="580" spans="1:80" ht="14.1" hidden="1" customHeight="1" x14ac:dyDescent="0.3">
      <c r="A580" s="163" t="s">
        <v>1137</v>
      </c>
      <c r="B580" s="166">
        <v>46160</v>
      </c>
      <c r="C580" s="187">
        <v>557</v>
      </c>
      <c r="D580" s="163" t="s">
        <v>1197</v>
      </c>
      <c r="E580" s="166">
        <v>46163</v>
      </c>
      <c r="F580" s="163" t="s">
        <v>1144</v>
      </c>
      <c r="G580" s="163" t="s">
        <v>1145</v>
      </c>
      <c r="H580" s="163" t="s">
        <v>103</v>
      </c>
      <c r="I580" s="157"/>
      <c r="J580" s="163" t="s">
        <v>1146</v>
      </c>
      <c r="K580" s="163">
        <v>0</v>
      </c>
      <c r="L580" s="166">
        <v>46160</v>
      </c>
      <c r="M580" s="157"/>
      <c r="N580" s="163" t="s">
        <v>1227</v>
      </c>
      <c r="O580" s="166">
        <v>46163</v>
      </c>
      <c r="P580" s="163">
        <v>0</v>
      </c>
      <c r="Q580" s="163">
        <v>110</v>
      </c>
      <c r="R580" s="163">
        <v>40</v>
      </c>
      <c r="S580" s="163">
        <v>150</v>
      </c>
      <c r="T580" s="163">
        <v>150</v>
      </c>
      <c r="U580" s="163">
        <v>0</v>
      </c>
      <c r="V580" s="163"/>
      <c r="W580" s="188">
        <v>89.2</v>
      </c>
      <c r="X580" s="188">
        <v>89.2</v>
      </c>
      <c r="Y580" s="188">
        <v>695849.2</v>
      </c>
      <c r="Z580" s="235">
        <v>40.06</v>
      </c>
      <c r="AA580" s="163">
        <v>17396.23</v>
      </c>
      <c r="AB580" s="163">
        <v>17396.23</v>
      </c>
      <c r="AC580" s="163">
        <v>730641.66</v>
      </c>
      <c r="AD580" s="244">
        <f t="shared" si="387"/>
        <v>729911.01834000007</v>
      </c>
      <c r="AE580" s="147">
        <v>40.06</v>
      </c>
      <c r="AF580" s="245">
        <v>42</v>
      </c>
      <c r="AG580" s="238">
        <v>40.06</v>
      </c>
      <c r="AH580" s="198">
        <v>3.3E-3</v>
      </c>
      <c r="AI580" s="198">
        <v>3.2000000000000001E-2</v>
      </c>
      <c r="AJ580" s="198">
        <v>4.7E-2</v>
      </c>
      <c r="AK580" s="155">
        <f t="shared" si="388"/>
        <v>32141.605904761866</v>
      </c>
      <c r="AL580" s="157">
        <v>0</v>
      </c>
      <c r="AM580" s="157"/>
      <c r="AN580" s="199">
        <v>0</v>
      </c>
      <c r="AO580" s="156">
        <f t="shared" si="389"/>
        <v>0</v>
      </c>
      <c r="AP580" s="157"/>
      <c r="AQ580" s="155">
        <v>0</v>
      </c>
      <c r="AR580" s="155">
        <f t="shared" si="390"/>
        <v>32141.605904761866</v>
      </c>
      <c r="AS580" s="145">
        <f t="shared" si="391"/>
        <v>33749</v>
      </c>
      <c r="AT580" s="155">
        <v>0</v>
      </c>
      <c r="AU580" s="157"/>
      <c r="AV580" s="157"/>
      <c r="AW580" s="155">
        <f t="shared" si="392"/>
        <v>8920</v>
      </c>
      <c r="AX580" s="157"/>
      <c r="AY580" s="155">
        <f t="shared" si="393"/>
        <v>8920</v>
      </c>
      <c r="AZ580" s="155">
        <f t="shared" si="394"/>
        <v>8920</v>
      </c>
      <c r="BA580" s="242">
        <f t="shared" si="395"/>
        <v>0</v>
      </c>
      <c r="BB580" s="246">
        <f t="shared" si="408"/>
        <v>17.84</v>
      </c>
      <c r="BC580" s="155">
        <v>0</v>
      </c>
      <c r="BD580" s="157"/>
      <c r="BE580" s="188">
        <v>89.2</v>
      </c>
      <c r="BF580" s="197">
        <f t="shared" si="396"/>
        <v>0.1338</v>
      </c>
      <c r="BG580" s="197">
        <f t="shared" si="397"/>
        <v>89.066200000000009</v>
      </c>
      <c r="BH580" s="197">
        <f t="shared" si="398"/>
        <v>89.2</v>
      </c>
      <c r="BI580" s="243">
        <f t="shared" si="399"/>
        <v>0</v>
      </c>
      <c r="BJ580" s="243">
        <v>0</v>
      </c>
      <c r="BK580" s="155">
        <f t="shared" si="400"/>
        <v>0</v>
      </c>
      <c r="BL580" s="47"/>
      <c r="BM580" s="48" t="str">
        <f t="shared" si="401"/>
        <v>Unloading no. 557 Bill No 2026-27/55 ,Deduction For Oil Deduction= 32141.6059047619 ,Bardana= 0 ,F.M=  Brokerage/Rate Difference 0 ,Shortage = 0 ,Greenish=  ,Moisture= 0</v>
      </c>
      <c r="BN580" s="41"/>
      <c r="BO580" s="44" t="str">
        <f t="shared" si="402"/>
        <v xml:space="preserve"> Party Condition 42  ,F.M% 0.33 ,Greenish 3.2 ,Moisture 4.7 ,Shortage in KG= 0  ,Oil% 40.06</v>
      </c>
      <c r="BP580" s="45">
        <f t="shared" si="403"/>
        <v>7440.6680952380957</v>
      </c>
      <c r="BX580" s="27">
        <v>40</v>
      </c>
      <c r="BY580" s="27">
        <v>39.76</v>
      </c>
      <c r="CB580" s="57">
        <f t="shared" si="409"/>
        <v>0</v>
      </c>
    </row>
    <row r="581" spans="1:80" ht="14.1" hidden="1" customHeight="1" x14ac:dyDescent="0.3">
      <c r="A581" s="163" t="s">
        <v>1137</v>
      </c>
      <c r="B581" s="166">
        <v>46160</v>
      </c>
      <c r="C581" s="187">
        <v>558</v>
      </c>
      <c r="D581" s="163" t="s">
        <v>1198</v>
      </c>
      <c r="E581" s="166">
        <v>46163</v>
      </c>
      <c r="F581" s="163" t="s">
        <v>1144</v>
      </c>
      <c r="G581" s="163" t="s">
        <v>1145</v>
      </c>
      <c r="H581" s="163" t="s">
        <v>103</v>
      </c>
      <c r="I581" s="157"/>
      <c r="J581" s="163" t="s">
        <v>1146</v>
      </c>
      <c r="K581" s="163">
        <v>0</v>
      </c>
      <c r="L581" s="166">
        <v>46160</v>
      </c>
      <c r="M581" s="157"/>
      <c r="N581" s="163" t="s">
        <v>1228</v>
      </c>
      <c r="O581" s="166">
        <v>46163</v>
      </c>
      <c r="P581" s="163">
        <v>0</v>
      </c>
      <c r="Q581" s="163">
        <v>125</v>
      </c>
      <c r="R581" s="163">
        <v>25</v>
      </c>
      <c r="S581" s="163">
        <v>150</v>
      </c>
      <c r="T581" s="163">
        <v>150</v>
      </c>
      <c r="U581" s="163">
        <v>0</v>
      </c>
      <c r="V581" s="163"/>
      <c r="W581" s="188">
        <v>90.3</v>
      </c>
      <c r="X581" s="188">
        <v>90.1</v>
      </c>
      <c r="Y581" s="188">
        <v>704430.3</v>
      </c>
      <c r="Z581" s="235">
        <v>39.83</v>
      </c>
      <c r="AA581" s="163">
        <v>17610.759999999998</v>
      </c>
      <c r="AB581" s="163">
        <v>17610.759999999998</v>
      </c>
      <c r="AC581" s="163">
        <v>739651.82</v>
      </c>
      <c r="AD581" s="244">
        <f t="shared" si="387"/>
        <v>738912.16817999992</v>
      </c>
      <c r="AE581" s="147">
        <v>39.83</v>
      </c>
      <c r="AF581" s="245">
        <v>42</v>
      </c>
      <c r="AG581" s="238">
        <v>39.83</v>
      </c>
      <c r="AH581" s="198">
        <v>2.8E-3</v>
      </c>
      <c r="AI581" s="198">
        <v>3.3399999999999999E-2</v>
      </c>
      <c r="AJ581" s="198">
        <v>4.9000000000000002E-2</v>
      </c>
      <c r="AK581" s="155">
        <f t="shared" si="388"/>
        <v>36395.565500000033</v>
      </c>
      <c r="AL581" s="157">
        <v>0</v>
      </c>
      <c r="AM581" s="157"/>
      <c r="AN581" s="199">
        <v>0</v>
      </c>
      <c r="AO581" s="156">
        <f t="shared" si="389"/>
        <v>151.33940000000013</v>
      </c>
      <c r="AP581" s="157"/>
      <c r="AQ581" s="155">
        <v>0</v>
      </c>
      <c r="AR581" s="155">
        <f t="shared" si="390"/>
        <v>36546.90490000003</v>
      </c>
      <c r="AS581" s="155">
        <f t="shared" si="391"/>
        <v>38374</v>
      </c>
      <c r="AT581" s="155">
        <f t="shared" si="407"/>
        <v>1.9400000000000013</v>
      </c>
      <c r="AU581" s="157"/>
      <c r="AV581" s="157"/>
      <c r="AW581" s="155">
        <f t="shared" si="392"/>
        <v>9030</v>
      </c>
      <c r="AX581" s="157"/>
      <c r="AY581" s="155">
        <f t="shared" si="393"/>
        <v>9030</v>
      </c>
      <c r="AZ581" s="155">
        <f t="shared" si="394"/>
        <v>9010</v>
      </c>
      <c r="BA581" s="242">
        <f t="shared" si="395"/>
        <v>20</v>
      </c>
      <c r="BB581" s="246">
        <f t="shared" si="408"/>
        <v>18.059999999999999</v>
      </c>
      <c r="BC581" s="155">
        <v>0</v>
      </c>
      <c r="BD581" s="157"/>
      <c r="BE581" s="188">
        <v>90.3</v>
      </c>
      <c r="BF581" s="197">
        <f t="shared" si="396"/>
        <v>0.13544999999999999</v>
      </c>
      <c r="BG581" s="197">
        <f t="shared" si="397"/>
        <v>90.164549999999991</v>
      </c>
      <c r="BH581" s="197">
        <f t="shared" si="398"/>
        <v>90.1</v>
      </c>
      <c r="BI581" s="243">
        <f t="shared" si="399"/>
        <v>20.000000000000284</v>
      </c>
      <c r="BJ581" s="243">
        <v>0</v>
      </c>
      <c r="BK581" s="155">
        <f t="shared" si="400"/>
        <v>20.000000000000284</v>
      </c>
      <c r="BL581" s="47"/>
      <c r="BM581" s="48" t="str">
        <f t="shared" si="401"/>
        <v>Unloading no. 558 Bill No 2026-27/56 ,Deduction For Oil Deduction= 36395.5655 ,Bardana= 0 ,F.M=  Brokerage/Rate Difference 0 ,Shortage = 151.3394 ,Greenish=  ,Moisture= 0</v>
      </c>
      <c r="BN581" s="41"/>
      <c r="BO581" s="44" t="str">
        <f t="shared" si="402"/>
        <v xml:space="preserve"> Party Condition 42  ,F.M% 0.28 ,Greenish 3.34 ,Moisture 4.9 ,Shortage in KG= 1.94  ,Oil% 39.83</v>
      </c>
      <c r="BP581" s="45">
        <f t="shared" si="403"/>
        <v>7412.6902896781357</v>
      </c>
      <c r="BX581" s="27">
        <v>39.82</v>
      </c>
      <c r="BY581" s="27">
        <v>39.76</v>
      </c>
      <c r="CB581" s="57">
        <f t="shared" si="409"/>
        <v>0</v>
      </c>
    </row>
    <row r="582" spans="1:80" ht="14.1" hidden="1" customHeight="1" x14ac:dyDescent="0.3">
      <c r="A582" s="163" t="s">
        <v>1137</v>
      </c>
      <c r="B582" s="166">
        <v>46160</v>
      </c>
      <c r="C582" s="187">
        <v>559</v>
      </c>
      <c r="D582" s="163" t="s">
        <v>1199</v>
      </c>
      <c r="E582" s="166">
        <v>46163</v>
      </c>
      <c r="F582" s="163" t="s">
        <v>1144</v>
      </c>
      <c r="G582" s="163" t="s">
        <v>1145</v>
      </c>
      <c r="H582" s="163" t="s">
        <v>103</v>
      </c>
      <c r="I582" s="157"/>
      <c r="J582" s="163" t="s">
        <v>1146</v>
      </c>
      <c r="K582" s="163">
        <v>0</v>
      </c>
      <c r="L582" s="166">
        <v>46160</v>
      </c>
      <c r="M582" s="157"/>
      <c r="N582" s="163" t="s">
        <v>1229</v>
      </c>
      <c r="O582" s="166">
        <v>46163</v>
      </c>
      <c r="P582" s="163">
        <v>0</v>
      </c>
      <c r="Q582" s="163">
        <v>120</v>
      </c>
      <c r="R582" s="163">
        <v>30</v>
      </c>
      <c r="S582" s="163">
        <v>150</v>
      </c>
      <c r="T582" s="163">
        <v>150</v>
      </c>
      <c r="U582" s="163">
        <v>0</v>
      </c>
      <c r="V582" s="163"/>
      <c r="W582" s="188">
        <v>90.2</v>
      </c>
      <c r="X582" s="188">
        <v>90</v>
      </c>
      <c r="Y582" s="188">
        <v>703650.2</v>
      </c>
      <c r="Z582" s="235">
        <v>39.72</v>
      </c>
      <c r="AA582" s="163">
        <v>17591.259999999998</v>
      </c>
      <c r="AB582" s="163">
        <v>17591.259999999998</v>
      </c>
      <c r="AC582" s="163">
        <v>738832.71</v>
      </c>
      <c r="AD582" s="244">
        <f t="shared" si="387"/>
        <v>738093.87728999997</v>
      </c>
      <c r="AE582" s="147">
        <v>39.72</v>
      </c>
      <c r="AF582" s="245">
        <v>42</v>
      </c>
      <c r="AG582" s="238">
        <v>39.72</v>
      </c>
      <c r="AH582" s="198">
        <v>2.8999999999999998E-3</v>
      </c>
      <c r="AI582" s="198">
        <v>3.5000000000000003E-2</v>
      </c>
      <c r="AJ582" s="198">
        <v>5.1999999999999998E-2</v>
      </c>
      <c r="AK582" s="155">
        <f t="shared" si="388"/>
        <v>38198.153714285727</v>
      </c>
      <c r="AL582" s="157">
        <v>0</v>
      </c>
      <c r="AM582" s="157"/>
      <c r="AN582" s="199">
        <v>0</v>
      </c>
      <c r="AO582" s="156">
        <f t="shared" si="389"/>
        <v>152.89960000000005</v>
      </c>
      <c r="AP582" s="157"/>
      <c r="AQ582" s="155">
        <v>0</v>
      </c>
      <c r="AR582" s="155">
        <f t="shared" si="390"/>
        <v>38351.053314285724</v>
      </c>
      <c r="AS582" s="155">
        <f t="shared" si="391"/>
        <v>40269</v>
      </c>
      <c r="AT582" s="155">
        <f t="shared" si="407"/>
        <v>1.9600000000000009</v>
      </c>
      <c r="AU582" s="157"/>
      <c r="AV582" s="157"/>
      <c r="AW582" s="155">
        <f t="shared" si="392"/>
        <v>9020</v>
      </c>
      <c r="AX582" s="157"/>
      <c r="AY582" s="155">
        <f t="shared" si="393"/>
        <v>9020</v>
      </c>
      <c r="AZ582" s="155">
        <f t="shared" si="394"/>
        <v>9000</v>
      </c>
      <c r="BA582" s="242">
        <f t="shared" si="395"/>
        <v>20</v>
      </c>
      <c r="BB582" s="246">
        <f t="shared" si="408"/>
        <v>18.04</v>
      </c>
      <c r="BC582" s="155">
        <v>0</v>
      </c>
      <c r="BD582" s="157"/>
      <c r="BE582" s="188">
        <v>90.2</v>
      </c>
      <c r="BF582" s="197">
        <f t="shared" si="396"/>
        <v>0.1353</v>
      </c>
      <c r="BG582" s="197">
        <f t="shared" si="397"/>
        <v>90.064700000000002</v>
      </c>
      <c r="BH582" s="197">
        <f t="shared" si="398"/>
        <v>90</v>
      </c>
      <c r="BI582" s="243">
        <f t="shared" si="399"/>
        <v>20.000000000000284</v>
      </c>
      <c r="BJ582" s="243">
        <v>0</v>
      </c>
      <c r="BK582" s="155">
        <f t="shared" si="400"/>
        <v>20.000000000000284</v>
      </c>
      <c r="BL582" s="47"/>
      <c r="BM582" s="48" t="str">
        <f t="shared" si="401"/>
        <v>Unloading no. 559 Bill No 2026-27/58 ,Deduction For Oil Deduction= 38198.1537142857 ,Bardana= 0 ,F.M=  Brokerage/Rate Difference 0 ,Shortage = 152.8996 ,Greenish=  ,Moisture= 0</v>
      </c>
      <c r="BN582" s="41"/>
      <c r="BO582" s="44" t="str">
        <f t="shared" si="402"/>
        <v xml:space="preserve"> Party Condition 42  ,F.M% 0.29 ,Greenish 3.5 ,Moisture 5.2 ,Shortage in KG= 1.96  ,Oil% 39.72</v>
      </c>
      <c r="BP582" s="45">
        <f t="shared" si="403"/>
        <v>7392.212740952381</v>
      </c>
      <c r="BX582" s="27">
        <v>39.4</v>
      </c>
      <c r="BY582" s="27">
        <v>39.380000000000003</v>
      </c>
      <c r="CB582" s="57">
        <f t="shared" si="409"/>
        <v>0</v>
      </c>
    </row>
    <row r="583" spans="1:80" ht="14.1" hidden="1" customHeight="1" x14ac:dyDescent="0.3">
      <c r="A583" s="163" t="s">
        <v>1180</v>
      </c>
      <c r="B583" s="166">
        <v>46160</v>
      </c>
      <c r="C583" s="190">
        <v>560</v>
      </c>
      <c r="D583" s="163" t="s">
        <v>1200</v>
      </c>
      <c r="E583" s="166">
        <v>46163</v>
      </c>
      <c r="F583" s="163" t="s">
        <v>110</v>
      </c>
      <c r="G583" s="163" t="s">
        <v>111</v>
      </c>
      <c r="H583" s="163" t="s">
        <v>112</v>
      </c>
      <c r="I583" s="157"/>
      <c r="J583" s="163" t="s">
        <v>113</v>
      </c>
      <c r="K583" s="163">
        <v>0</v>
      </c>
      <c r="L583" s="166">
        <v>46160</v>
      </c>
      <c r="M583" s="157"/>
      <c r="N583" s="159" t="s">
        <v>1230</v>
      </c>
      <c r="O583" s="166">
        <v>46162</v>
      </c>
      <c r="P583" s="163">
        <v>0</v>
      </c>
      <c r="Q583" s="163">
        <v>69</v>
      </c>
      <c r="R583" s="163">
        <v>92</v>
      </c>
      <c r="S583" s="163">
        <v>161</v>
      </c>
      <c r="T583" s="163">
        <v>161</v>
      </c>
      <c r="U583" s="163">
        <v>0</v>
      </c>
      <c r="V583" s="163"/>
      <c r="W583" s="188">
        <v>93.279799999999994</v>
      </c>
      <c r="X583" s="188">
        <v>93.2</v>
      </c>
      <c r="Y583" s="188">
        <v>673110</v>
      </c>
      <c r="Z583" s="188"/>
      <c r="AA583" s="163">
        <v>16827.75</v>
      </c>
      <c r="AB583" s="163">
        <v>16827.75</v>
      </c>
      <c r="AC583" s="163">
        <v>706765.5</v>
      </c>
      <c r="AD583" s="244">
        <f t="shared" si="387"/>
        <v>706058.73450000002</v>
      </c>
      <c r="AE583" s="196">
        <v>39.979999999999997</v>
      </c>
      <c r="AF583" s="247">
        <v>39.75</v>
      </c>
      <c r="AG583" s="196">
        <v>39.94</v>
      </c>
      <c r="AH583" s="198">
        <v>2.8E-3</v>
      </c>
      <c r="AI583" s="198">
        <v>3.2800000000000003E-2</v>
      </c>
      <c r="AJ583" s="198">
        <v>0.05</v>
      </c>
      <c r="AK583" s="155">
        <f t="shared" si="388"/>
        <v>0</v>
      </c>
      <c r="AL583" s="157">
        <v>0</v>
      </c>
      <c r="AM583" s="157"/>
      <c r="AN583" s="199">
        <v>0</v>
      </c>
      <c r="AO583" s="156">
        <f t="shared" si="389"/>
        <v>1010.2444473508734</v>
      </c>
      <c r="AP583" s="157"/>
      <c r="AQ583" s="155">
        <v>0</v>
      </c>
      <c r="AR583" s="155">
        <f t="shared" si="390"/>
        <v>1010.2444473508734</v>
      </c>
      <c r="AS583" s="145">
        <f t="shared" si="391"/>
        <v>1061</v>
      </c>
      <c r="AT583" s="155">
        <v>14</v>
      </c>
      <c r="AU583" s="157" t="s">
        <v>1246</v>
      </c>
      <c r="AV583" s="157"/>
      <c r="AW583" s="155">
        <f t="shared" si="392"/>
        <v>9327.98</v>
      </c>
      <c r="AX583" s="157"/>
      <c r="AY583" s="155">
        <f t="shared" si="393"/>
        <v>9327.98</v>
      </c>
      <c r="AZ583" s="155">
        <f t="shared" si="394"/>
        <v>9320</v>
      </c>
      <c r="BA583" s="242">
        <f t="shared" si="395"/>
        <v>7.9799999999995634</v>
      </c>
      <c r="BB583" s="145">
        <f t="shared" si="408"/>
        <v>18.65596</v>
      </c>
      <c r="BC583" s="155">
        <v>0</v>
      </c>
      <c r="BD583" s="157"/>
      <c r="BE583" s="188">
        <v>90.2</v>
      </c>
      <c r="BF583" s="197">
        <f t="shared" si="396"/>
        <v>0.1353</v>
      </c>
      <c r="BG583" s="197">
        <f t="shared" si="397"/>
        <v>90.064700000000002</v>
      </c>
      <c r="BH583" s="197">
        <f t="shared" si="398"/>
        <v>93.2</v>
      </c>
      <c r="BI583" s="243">
        <f t="shared" si="399"/>
        <v>-300</v>
      </c>
      <c r="BJ583" s="243">
        <v>0</v>
      </c>
      <c r="BK583" s="155">
        <f t="shared" si="400"/>
        <v>-300</v>
      </c>
      <c r="BL583" s="47"/>
      <c r="BM583" s="48" t="str">
        <f t="shared" si="401"/>
        <v>Unloading no. 560 Bill No G1704 ,Deduction For Oil Deduction= 0 ,Bardana= 0 ,F.M=  Brokerage/Rate Difference 0 ,Shortage = 1010.24444735087 ,Greenish=  ,Moisture= 0</v>
      </c>
      <c r="BN583" s="41"/>
      <c r="BO583" s="44" t="str">
        <f t="shared" si="402"/>
        <v xml:space="preserve"> Party Condition 39.75  ,F.M% 0.28 ,Greenish 3.28 ,Moisture 5 ,Shortage in KG= 14  ,Oil% 39.94</v>
      </c>
      <c r="BP583" s="45">
        <f t="shared" si="403"/>
        <v>7211.3707677322864</v>
      </c>
      <c r="BX583" s="27">
        <v>39.979999999999997</v>
      </c>
      <c r="BY583" s="27">
        <v>39.94</v>
      </c>
    </row>
    <row r="584" spans="1:80" ht="14.1" hidden="1" customHeight="1" x14ac:dyDescent="0.3">
      <c r="A584" s="163" t="s">
        <v>1181</v>
      </c>
      <c r="B584" s="166">
        <v>46162</v>
      </c>
      <c r="C584" s="190">
        <v>560</v>
      </c>
      <c r="D584" s="163" t="s">
        <v>1200</v>
      </c>
      <c r="E584" s="166">
        <v>46163</v>
      </c>
      <c r="F584" s="163" t="s">
        <v>110</v>
      </c>
      <c r="G584" s="163" t="s">
        <v>111</v>
      </c>
      <c r="H584" s="163" t="s">
        <v>112</v>
      </c>
      <c r="I584" s="157"/>
      <c r="J584" s="163" t="s">
        <v>113</v>
      </c>
      <c r="K584" s="163">
        <v>0</v>
      </c>
      <c r="L584" s="166">
        <v>46162</v>
      </c>
      <c r="M584" s="157"/>
      <c r="N584" s="163" t="s">
        <v>1231</v>
      </c>
      <c r="O584" s="166">
        <v>46162</v>
      </c>
      <c r="P584" s="163">
        <v>0</v>
      </c>
      <c r="Q584" s="163">
        <v>111</v>
      </c>
      <c r="R584" s="163">
        <v>0</v>
      </c>
      <c r="S584" s="163">
        <v>111</v>
      </c>
      <c r="T584" s="163">
        <v>111</v>
      </c>
      <c r="U584" s="163">
        <v>0</v>
      </c>
      <c r="V584" s="163"/>
      <c r="W584" s="188">
        <v>66.599999999999994</v>
      </c>
      <c r="X584" s="188">
        <v>66.599999999999994</v>
      </c>
      <c r="Y584" s="188">
        <v>517215.6</v>
      </c>
      <c r="Z584" s="188"/>
      <c r="AA584" s="163">
        <v>12930.39</v>
      </c>
      <c r="AB584" s="163">
        <v>12930.39</v>
      </c>
      <c r="AC584" s="163">
        <v>543076.38</v>
      </c>
      <c r="AD584" s="244">
        <f t="shared" si="387"/>
        <v>542533.30362000002</v>
      </c>
      <c r="AE584" s="147">
        <v>39.979999999999997</v>
      </c>
      <c r="AF584" s="245">
        <v>39.82</v>
      </c>
      <c r="AG584" s="238">
        <v>39.94</v>
      </c>
      <c r="AH584" s="198">
        <v>2.8E-3</v>
      </c>
      <c r="AI584" s="198">
        <v>3.2800000000000003E-2</v>
      </c>
      <c r="AJ584" s="198">
        <v>0.05</v>
      </c>
      <c r="AK584" s="155">
        <f t="shared" si="388"/>
        <v>0</v>
      </c>
      <c r="AL584" s="157">
        <v>0</v>
      </c>
      <c r="AM584" s="157"/>
      <c r="AN584" s="199">
        <v>0</v>
      </c>
      <c r="AO584" s="156">
        <f t="shared" si="389"/>
        <v>0</v>
      </c>
      <c r="AP584" s="157"/>
      <c r="AQ584" s="155">
        <v>0</v>
      </c>
      <c r="AR584" s="155">
        <f t="shared" si="390"/>
        <v>0</v>
      </c>
      <c r="AS584" s="155">
        <f t="shared" si="391"/>
        <v>0</v>
      </c>
      <c r="AT584" s="155"/>
      <c r="AU584" s="157"/>
      <c r="AV584" s="157"/>
      <c r="AW584" s="155">
        <f t="shared" si="392"/>
        <v>6659.9999999999991</v>
      </c>
      <c r="AX584" s="157"/>
      <c r="AY584" s="155">
        <f t="shared" si="393"/>
        <v>6659.9999999999991</v>
      </c>
      <c r="AZ584" s="155">
        <f t="shared" si="394"/>
        <v>6659.9999999999991</v>
      </c>
      <c r="BA584" s="242">
        <f t="shared" si="395"/>
        <v>0</v>
      </c>
      <c r="BB584" s="145">
        <f t="shared" si="408"/>
        <v>13.319999999999999</v>
      </c>
      <c r="BC584" s="155">
        <v>0</v>
      </c>
      <c r="BD584" s="157"/>
      <c r="BE584" s="188">
        <v>66.599999999999994</v>
      </c>
      <c r="BF584" s="197">
        <f t="shared" si="396"/>
        <v>9.9899999999999989E-2</v>
      </c>
      <c r="BG584" s="197">
        <f t="shared" si="397"/>
        <v>66.500099999999989</v>
      </c>
      <c r="BH584" s="197">
        <f t="shared" si="398"/>
        <v>66.599999999999994</v>
      </c>
      <c r="BI584" s="243">
        <f t="shared" si="399"/>
        <v>0</v>
      </c>
      <c r="BJ584" s="243">
        <v>0</v>
      </c>
      <c r="BK584" s="155">
        <f t="shared" si="400"/>
        <v>0</v>
      </c>
      <c r="BL584" s="47"/>
      <c r="BM584" s="48" t="str">
        <f t="shared" si="401"/>
        <v>Unloading no. 560 Bill No G1705 ,Deduction For Oil Deduction= 0 ,Bardana= 0 ,F.M=  Brokerage/Rate Difference 0 ,Shortage = 0 ,Greenish=  ,Moisture= 0</v>
      </c>
      <c r="BN584" s="41"/>
      <c r="BO584" s="44" t="str">
        <f t="shared" si="402"/>
        <v xml:space="preserve"> Party Condition 39.82  ,F.M% 0.28 ,Greenish 3.28 ,Moisture 5 ,Shortage in KG=   ,Oil% 39.94</v>
      </c>
      <c r="BP584" s="45">
        <f t="shared" si="403"/>
        <v>7766</v>
      </c>
      <c r="BX584" s="27">
        <v>39.979999999999997</v>
      </c>
      <c r="BY584" s="27">
        <v>39.94</v>
      </c>
    </row>
    <row r="585" spans="1:80" ht="14.1" hidden="1" customHeight="1" x14ac:dyDescent="0.3">
      <c r="A585" s="163" t="s">
        <v>1180</v>
      </c>
      <c r="B585" s="166">
        <v>46160</v>
      </c>
      <c r="C585" s="190">
        <v>560</v>
      </c>
      <c r="D585" s="163" t="s">
        <v>1201</v>
      </c>
      <c r="E585" s="166">
        <v>46163</v>
      </c>
      <c r="F585" s="163" t="s">
        <v>110</v>
      </c>
      <c r="G585" s="163" t="s">
        <v>111</v>
      </c>
      <c r="H585" s="163" t="s">
        <v>112</v>
      </c>
      <c r="I585" s="157"/>
      <c r="J585" s="163" t="s">
        <v>113</v>
      </c>
      <c r="K585" s="163">
        <v>0</v>
      </c>
      <c r="L585" s="166">
        <v>46160</v>
      </c>
      <c r="M585" s="157"/>
      <c r="N585" s="159" t="s">
        <v>1230</v>
      </c>
      <c r="O585" s="166">
        <v>46162</v>
      </c>
      <c r="P585" s="163">
        <v>0</v>
      </c>
      <c r="Q585" s="163">
        <v>10</v>
      </c>
      <c r="R585" s="163">
        <v>39</v>
      </c>
      <c r="S585" s="163">
        <v>49</v>
      </c>
      <c r="T585" s="163">
        <v>49</v>
      </c>
      <c r="U585" s="163">
        <v>0</v>
      </c>
      <c r="V585" s="163"/>
      <c r="W585" s="188">
        <v>29.9</v>
      </c>
      <c r="X585" s="188">
        <v>29.9</v>
      </c>
      <c r="Y585" s="188">
        <v>276804</v>
      </c>
      <c r="Z585" s="188"/>
      <c r="AA585" s="163">
        <v>6920.1</v>
      </c>
      <c r="AB585" s="163">
        <v>6920.1</v>
      </c>
      <c r="AC585" s="163">
        <v>290644.2</v>
      </c>
      <c r="AD585" s="244">
        <f t="shared" si="387"/>
        <v>290353.55580000003</v>
      </c>
      <c r="AE585" s="196">
        <v>40.159999999999997</v>
      </c>
      <c r="AF585" s="247">
        <v>39.75</v>
      </c>
      <c r="AG585" s="196">
        <v>40.119999999999997</v>
      </c>
      <c r="AH585" s="198">
        <v>3.0999999999999999E-3</v>
      </c>
      <c r="AI585" s="198">
        <v>3.3000000000000002E-2</v>
      </c>
      <c r="AJ585" s="198">
        <v>4.8000000000000001E-2</v>
      </c>
      <c r="AK585" s="155">
        <f t="shared" si="388"/>
        <v>0</v>
      </c>
      <c r="AL585" s="157">
        <v>0</v>
      </c>
      <c r="AM585" s="157"/>
      <c r="AN585" s="199">
        <v>0</v>
      </c>
      <c r="AO585" s="156">
        <f t="shared" si="389"/>
        <v>0</v>
      </c>
      <c r="AP585" s="157"/>
      <c r="AQ585" s="155">
        <v>0</v>
      </c>
      <c r="AR585" s="155">
        <f t="shared" si="390"/>
        <v>0</v>
      </c>
      <c r="AS585" s="155">
        <f t="shared" si="391"/>
        <v>0</v>
      </c>
      <c r="AT585" s="155"/>
      <c r="AU585" s="157"/>
      <c r="AV585" s="157"/>
      <c r="AW585" s="155">
        <f t="shared" si="392"/>
        <v>2990</v>
      </c>
      <c r="AX585" s="157"/>
      <c r="AY585" s="155">
        <f t="shared" si="393"/>
        <v>2990</v>
      </c>
      <c r="AZ585" s="155">
        <f t="shared" si="394"/>
        <v>2990</v>
      </c>
      <c r="BA585" s="242">
        <f t="shared" si="395"/>
        <v>0</v>
      </c>
      <c r="BB585" s="145">
        <f t="shared" si="408"/>
        <v>5.98</v>
      </c>
      <c r="BC585" s="155">
        <v>0</v>
      </c>
      <c r="BD585" s="157"/>
      <c r="BE585" s="188">
        <v>29.9</v>
      </c>
      <c r="BF585" s="197">
        <f t="shared" si="396"/>
        <v>4.4849999999999994E-2</v>
      </c>
      <c r="BG585" s="197">
        <f t="shared" si="397"/>
        <v>29.855149999999998</v>
      </c>
      <c r="BH585" s="197">
        <f t="shared" si="398"/>
        <v>29.9</v>
      </c>
      <c r="BI585" s="243">
        <f t="shared" si="399"/>
        <v>0</v>
      </c>
      <c r="BJ585" s="243">
        <v>0</v>
      </c>
      <c r="BK585" s="155">
        <f t="shared" si="400"/>
        <v>0</v>
      </c>
      <c r="BL585" s="47"/>
      <c r="BM585" s="48" t="str">
        <f t="shared" si="401"/>
        <v>Unloading no. 560 Bill No G1704 ,Deduction For Oil Deduction= 0 ,Bardana= 0 ,F.M=  Brokerage/Rate Difference 0 ,Shortage = 0 ,Greenish=  ,Moisture= 0</v>
      </c>
      <c r="BN585" s="41"/>
      <c r="BO585" s="44" t="str">
        <f t="shared" si="402"/>
        <v xml:space="preserve"> Party Condition 39.75  ,F.M% 0.31 ,Greenish 3.3 ,Moisture 4.8 ,Shortage in KG=   ,Oil% 40.12</v>
      </c>
      <c r="BP585" s="45">
        <f t="shared" si="403"/>
        <v>9257.6588628762547</v>
      </c>
      <c r="BX585" s="27">
        <v>40.159999999999997</v>
      </c>
      <c r="BY585" s="27">
        <v>40.119999999999997</v>
      </c>
    </row>
    <row r="586" spans="1:80" ht="14.1" hidden="1" customHeight="1" x14ac:dyDescent="0.3">
      <c r="A586" s="163" t="s">
        <v>1137</v>
      </c>
      <c r="B586" s="166">
        <v>46160</v>
      </c>
      <c r="C586" s="187">
        <v>561</v>
      </c>
      <c r="D586" s="163" t="s">
        <v>1202</v>
      </c>
      <c r="E586" s="166">
        <v>46163</v>
      </c>
      <c r="F586" s="163" t="s">
        <v>1144</v>
      </c>
      <c r="G586" s="163" t="s">
        <v>1145</v>
      </c>
      <c r="H586" s="163" t="s">
        <v>103</v>
      </c>
      <c r="I586" s="157"/>
      <c r="J586" s="163" t="s">
        <v>1146</v>
      </c>
      <c r="K586" s="163">
        <v>0</v>
      </c>
      <c r="L586" s="166">
        <v>46160</v>
      </c>
      <c r="M586" s="157"/>
      <c r="N586" s="163" t="s">
        <v>1232</v>
      </c>
      <c r="O586" s="166">
        <v>46163</v>
      </c>
      <c r="P586" s="163">
        <v>0</v>
      </c>
      <c r="Q586" s="163">
        <v>130</v>
      </c>
      <c r="R586" s="163">
        <v>29</v>
      </c>
      <c r="S586" s="163">
        <v>159</v>
      </c>
      <c r="T586" s="163">
        <v>159</v>
      </c>
      <c r="U586" s="163">
        <v>0</v>
      </c>
      <c r="V586" s="163"/>
      <c r="W586" s="188">
        <v>95</v>
      </c>
      <c r="X586" s="188">
        <v>94.9</v>
      </c>
      <c r="Y586" s="188">
        <v>741095</v>
      </c>
      <c r="Z586" s="235">
        <v>40.42</v>
      </c>
      <c r="AA586" s="163">
        <v>18527.38</v>
      </c>
      <c r="AB586" s="163">
        <v>18527.38</v>
      </c>
      <c r="AC586" s="163">
        <v>778149.75</v>
      </c>
      <c r="AD586" s="244">
        <f t="shared" si="387"/>
        <v>777371.60025000002</v>
      </c>
      <c r="AE586" s="147">
        <v>40.42</v>
      </c>
      <c r="AF586" s="245">
        <v>42</v>
      </c>
      <c r="AG586" s="238">
        <v>40.42</v>
      </c>
      <c r="AH586" s="198">
        <v>3.7000000000000002E-3</v>
      </c>
      <c r="AI586" s="248">
        <v>3.3700000000000001E-2</v>
      </c>
      <c r="AJ586" s="198">
        <v>5.2999999999999999E-2</v>
      </c>
      <c r="AK586" s="155">
        <f t="shared" si="388"/>
        <v>27879.288095238066</v>
      </c>
      <c r="AL586" s="157">
        <v>0</v>
      </c>
      <c r="AM586" s="157"/>
      <c r="AN586" s="199">
        <v>0</v>
      </c>
      <c r="AO586" s="156">
        <f t="shared" si="389"/>
        <v>0</v>
      </c>
      <c r="AP586" s="157"/>
      <c r="AQ586" s="155">
        <v>0</v>
      </c>
      <c r="AR586" s="155">
        <f t="shared" si="390"/>
        <v>27879.288095238066</v>
      </c>
      <c r="AS586" s="155">
        <f t="shared" si="391"/>
        <v>29273</v>
      </c>
      <c r="AT586" s="155">
        <v>0</v>
      </c>
      <c r="AU586" s="157"/>
      <c r="AV586" s="157"/>
      <c r="AW586" s="155">
        <f t="shared" si="392"/>
        <v>9500</v>
      </c>
      <c r="AX586" s="157"/>
      <c r="AY586" s="155">
        <f t="shared" si="393"/>
        <v>9500</v>
      </c>
      <c r="AZ586" s="155">
        <f t="shared" si="394"/>
        <v>9490</v>
      </c>
      <c r="BA586" s="242">
        <f t="shared" si="395"/>
        <v>10</v>
      </c>
      <c r="BB586" s="246">
        <f t="shared" ref="BB586:BB596" si="410">AW586*2/1000</f>
        <v>19</v>
      </c>
      <c r="BC586" s="155">
        <v>0</v>
      </c>
      <c r="BD586" s="157"/>
      <c r="BE586" s="188">
        <v>95</v>
      </c>
      <c r="BF586" s="197">
        <f t="shared" si="396"/>
        <v>0.14249999999999999</v>
      </c>
      <c r="BG586" s="197">
        <f t="shared" si="397"/>
        <v>94.857500000000002</v>
      </c>
      <c r="BH586" s="197">
        <f t="shared" si="398"/>
        <v>94.9</v>
      </c>
      <c r="BI586" s="243">
        <f t="shared" si="399"/>
        <v>9.9999999999994316</v>
      </c>
      <c r="BJ586" s="243">
        <v>0</v>
      </c>
      <c r="BK586" s="155">
        <f t="shared" si="400"/>
        <v>9.9999999999994316</v>
      </c>
      <c r="BL586" s="47"/>
      <c r="BM586" s="48" t="str">
        <f t="shared" si="401"/>
        <v>Unloading no. 561 Bill No 2026-27/57 ,Deduction For Oil Deduction= 27879.2880952381 ,Bardana= 0 ,F.M=  Brokerage/Rate Difference 0 ,Shortage = 0 ,Greenish=  ,Moisture= 0</v>
      </c>
      <c r="BN586" s="41"/>
      <c r="BO586" s="44" t="str">
        <f t="shared" si="402"/>
        <v xml:space="preserve"> Party Condition 42  ,F.M% 0.37 ,Greenish 3.37 ,Moisture 5.3 ,Shortage in KG= 0  ,Oil% 40.42</v>
      </c>
      <c r="BP586" s="45">
        <f t="shared" si="403"/>
        <v>7515.444804054393</v>
      </c>
      <c r="BX586" s="27">
        <v>40.25</v>
      </c>
      <c r="BY586" s="27">
        <v>40.22</v>
      </c>
      <c r="CB586" s="57">
        <f t="shared" ref="CB586:CB596" si="411">Z586-AE586</f>
        <v>0</v>
      </c>
    </row>
    <row r="587" spans="1:80" ht="14.1" hidden="1" customHeight="1" x14ac:dyDescent="0.3">
      <c r="A587" s="163" t="s">
        <v>1137</v>
      </c>
      <c r="B587" s="166">
        <v>46160</v>
      </c>
      <c r="C587" s="187">
        <v>562</v>
      </c>
      <c r="D587" s="163" t="s">
        <v>1203</v>
      </c>
      <c r="E587" s="166">
        <v>46163</v>
      </c>
      <c r="F587" s="163" t="s">
        <v>1144</v>
      </c>
      <c r="G587" s="163" t="s">
        <v>1145</v>
      </c>
      <c r="H587" s="163" t="s">
        <v>103</v>
      </c>
      <c r="I587" s="157"/>
      <c r="J587" s="163" t="s">
        <v>1146</v>
      </c>
      <c r="K587" s="163">
        <v>0</v>
      </c>
      <c r="L587" s="166">
        <v>46160</v>
      </c>
      <c r="M587" s="157"/>
      <c r="N587" s="163" t="s">
        <v>1233</v>
      </c>
      <c r="O587" s="166">
        <v>46163</v>
      </c>
      <c r="P587" s="163">
        <v>0</v>
      </c>
      <c r="Q587" s="163">
        <v>130</v>
      </c>
      <c r="R587" s="163">
        <v>25</v>
      </c>
      <c r="S587" s="163">
        <v>155</v>
      </c>
      <c r="T587" s="163">
        <v>155</v>
      </c>
      <c r="U587" s="163">
        <v>0</v>
      </c>
      <c r="V587" s="163"/>
      <c r="W587" s="188">
        <v>91.3</v>
      </c>
      <c r="X587" s="188">
        <v>91.3</v>
      </c>
      <c r="Y587" s="188">
        <v>712231.3</v>
      </c>
      <c r="Z587" s="235">
        <v>39.880000000000003</v>
      </c>
      <c r="AA587" s="163">
        <v>17805.78</v>
      </c>
      <c r="AB587" s="163">
        <v>17805.78</v>
      </c>
      <c r="AC587" s="163">
        <v>747842.87</v>
      </c>
      <c r="AD587" s="244">
        <f t="shared" si="387"/>
        <v>747095.02712999994</v>
      </c>
      <c r="AE587" s="147">
        <v>39.880000000000003</v>
      </c>
      <c r="AF587" s="245">
        <v>42</v>
      </c>
      <c r="AG587" s="238">
        <v>39.880000000000003</v>
      </c>
      <c r="AH587" s="198">
        <v>3.8E-3</v>
      </c>
      <c r="AI587" s="198">
        <v>3.1800000000000002E-2</v>
      </c>
      <c r="AJ587" s="198">
        <v>5.2999999999999999E-2</v>
      </c>
      <c r="AK587" s="155">
        <f t="shared" si="388"/>
        <v>35950.722761904719</v>
      </c>
      <c r="AL587" s="157">
        <v>0</v>
      </c>
      <c r="AM587" s="157"/>
      <c r="AN587" s="199">
        <v>0</v>
      </c>
      <c r="AO587" s="156">
        <f t="shared" si="389"/>
        <v>0</v>
      </c>
      <c r="AP587" s="157"/>
      <c r="AQ587" s="155">
        <v>0</v>
      </c>
      <c r="AR587" s="155">
        <f t="shared" si="390"/>
        <v>35950.722761904719</v>
      </c>
      <c r="AS587" s="155">
        <f t="shared" si="391"/>
        <v>37748</v>
      </c>
      <c r="AT587" s="155">
        <v>0</v>
      </c>
      <c r="AU587" s="157"/>
      <c r="AV587" s="157"/>
      <c r="AW587" s="155">
        <f t="shared" si="392"/>
        <v>9130</v>
      </c>
      <c r="AX587" s="157"/>
      <c r="AY587" s="155">
        <f t="shared" si="393"/>
        <v>9130</v>
      </c>
      <c r="AZ587" s="155">
        <f t="shared" si="394"/>
        <v>9130</v>
      </c>
      <c r="BA587" s="242">
        <f t="shared" si="395"/>
        <v>0</v>
      </c>
      <c r="BB587" s="246">
        <f t="shared" si="410"/>
        <v>18.260000000000002</v>
      </c>
      <c r="BC587" s="155">
        <v>0</v>
      </c>
      <c r="BD587" s="157"/>
      <c r="BE587" s="188">
        <v>91.3</v>
      </c>
      <c r="BF587" s="197">
        <f t="shared" si="396"/>
        <v>0.13694999999999999</v>
      </c>
      <c r="BG587" s="197">
        <f t="shared" si="397"/>
        <v>91.163049999999998</v>
      </c>
      <c r="BH587" s="197">
        <f t="shared" si="398"/>
        <v>91.3</v>
      </c>
      <c r="BI587" s="243">
        <f t="shared" si="399"/>
        <v>0</v>
      </c>
      <c r="BJ587" s="243">
        <v>0</v>
      </c>
      <c r="BK587" s="155">
        <f t="shared" si="400"/>
        <v>0</v>
      </c>
      <c r="BL587" s="47"/>
      <c r="BM587" s="48" t="str">
        <f t="shared" si="401"/>
        <v>Unloading no. 562 Bill No 2026-27/59 ,Deduction For Oil Deduction= 35950.7227619047 ,Bardana= 0 ,F.M=  Brokerage/Rate Difference 0 ,Shortage = 0 ,Greenish=  ,Moisture= 0</v>
      </c>
      <c r="BN587" s="41"/>
      <c r="BO587" s="44" t="str">
        <f t="shared" si="402"/>
        <v xml:space="preserve"> Party Condition 42  ,F.M% 0.38 ,Greenish 3.18 ,Moisture 5.3 ,Shortage in KG= 0  ,Oil% 39.88</v>
      </c>
      <c r="BP587" s="45">
        <f t="shared" si="403"/>
        <v>7407.2352380952398</v>
      </c>
      <c r="BX587" s="27">
        <v>39.700000000000003</v>
      </c>
      <c r="BY587" s="27">
        <v>39.6</v>
      </c>
      <c r="CB587" s="57">
        <f t="shared" si="411"/>
        <v>0</v>
      </c>
    </row>
    <row r="588" spans="1:80" ht="14.1" hidden="1" customHeight="1" x14ac:dyDescent="0.3">
      <c r="A588" s="163" t="s">
        <v>1137</v>
      </c>
      <c r="B588" s="162">
        <v>46160</v>
      </c>
      <c r="C588" s="187">
        <v>563</v>
      </c>
      <c r="D588" s="163" t="s">
        <v>1204</v>
      </c>
      <c r="E588" s="166">
        <v>46163</v>
      </c>
      <c r="F588" s="163" t="s">
        <v>1144</v>
      </c>
      <c r="G588" s="163" t="s">
        <v>1145</v>
      </c>
      <c r="H588" s="163" t="s">
        <v>103</v>
      </c>
      <c r="I588" s="157"/>
      <c r="J588" s="163" t="s">
        <v>1146</v>
      </c>
      <c r="K588" s="163">
        <v>0</v>
      </c>
      <c r="L588" s="166">
        <v>46160</v>
      </c>
      <c r="M588" s="157"/>
      <c r="N588" s="163" t="s">
        <v>1234</v>
      </c>
      <c r="O588" s="166">
        <v>46163</v>
      </c>
      <c r="P588" s="163">
        <v>0</v>
      </c>
      <c r="Q588" s="163">
        <v>140</v>
      </c>
      <c r="R588" s="163">
        <v>15</v>
      </c>
      <c r="S588" s="163">
        <v>155</v>
      </c>
      <c r="T588" s="163">
        <v>155</v>
      </c>
      <c r="U588" s="163">
        <v>0</v>
      </c>
      <c r="V588" s="163"/>
      <c r="W588" s="188">
        <v>92.1</v>
      </c>
      <c r="X588" s="188">
        <v>92</v>
      </c>
      <c r="Y588" s="188">
        <v>718472.1</v>
      </c>
      <c r="Z588" s="235">
        <v>40.44</v>
      </c>
      <c r="AA588" s="163">
        <v>17961.8</v>
      </c>
      <c r="AB588" s="163">
        <v>17961.8</v>
      </c>
      <c r="AC588" s="163">
        <v>754395.71</v>
      </c>
      <c r="AD588" s="244">
        <f t="shared" si="387"/>
        <v>753641.31429000001</v>
      </c>
      <c r="AE588" s="147">
        <v>40.44</v>
      </c>
      <c r="AF588" s="245">
        <v>42</v>
      </c>
      <c r="AG588" s="238">
        <v>40.44</v>
      </c>
      <c r="AH588" s="198">
        <v>2.5999999999999999E-3</v>
      </c>
      <c r="AI588" s="198">
        <v>3.15E-2</v>
      </c>
      <c r="AJ588" s="198">
        <v>5.1999999999999998E-2</v>
      </c>
      <c r="AK588" s="155">
        <f t="shared" si="388"/>
        <v>26686.106571428612</v>
      </c>
      <c r="AL588" s="157">
        <v>0</v>
      </c>
      <c r="AM588" s="157"/>
      <c r="AN588" s="199">
        <v>0</v>
      </c>
      <c r="AO588" s="156">
        <f t="shared" si="389"/>
        <v>0</v>
      </c>
      <c r="AP588" s="157"/>
      <c r="AQ588" s="155">
        <v>0</v>
      </c>
      <c r="AR588" s="155">
        <f t="shared" si="390"/>
        <v>26686.106571428612</v>
      </c>
      <c r="AS588" s="155">
        <f t="shared" si="391"/>
        <v>28020</v>
      </c>
      <c r="AT588" s="155">
        <v>0</v>
      </c>
      <c r="AU588" s="157"/>
      <c r="AV588" s="157"/>
      <c r="AW588" s="155">
        <f t="shared" si="392"/>
        <v>9210</v>
      </c>
      <c r="AX588" s="157"/>
      <c r="AY588" s="155">
        <f t="shared" si="393"/>
        <v>9210</v>
      </c>
      <c r="AZ588" s="155">
        <f t="shared" si="394"/>
        <v>9200</v>
      </c>
      <c r="BA588" s="242">
        <f t="shared" si="395"/>
        <v>10</v>
      </c>
      <c r="BB588" s="246">
        <f t="shared" si="410"/>
        <v>18.420000000000002</v>
      </c>
      <c r="BC588" s="155">
        <v>0</v>
      </c>
      <c r="BD588" s="157"/>
      <c r="BE588" s="188">
        <v>92.1</v>
      </c>
      <c r="BF588" s="197">
        <f t="shared" si="396"/>
        <v>0.13815</v>
      </c>
      <c r="BG588" s="197">
        <f t="shared" si="397"/>
        <v>91.961849999999998</v>
      </c>
      <c r="BH588" s="197">
        <f t="shared" si="398"/>
        <v>92</v>
      </c>
      <c r="BI588" s="243">
        <f t="shared" si="399"/>
        <v>9.9999999999994316</v>
      </c>
      <c r="BJ588" s="243">
        <v>0</v>
      </c>
      <c r="BK588" s="155">
        <f t="shared" si="400"/>
        <v>9.9999999999994316</v>
      </c>
      <c r="BL588" s="47"/>
      <c r="BM588" s="48" t="str">
        <f t="shared" si="401"/>
        <v>Unloading no. 563 Bill No 2026-27/60 ,Deduction For Oil Deduction= 26686.1065714286 ,Bardana= 0 ,F.M=  Brokerage/Rate Difference 0 ,Shortage = 0 ,Greenish=  ,Moisture= 0</v>
      </c>
      <c r="BN588" s="41"/>
      <c r="BO588" s="44" t="str">
        <f t="shared" si="402"/>
        <v xml:space="preserve"> Party Condition 42  ,F.M% 0.26 ,Greenish 3.15 ,Moisture 5.2 ,Shortage in KG= 0  ,Oil% 40.44</v>
      </c>
      <c r="BP588" s="45">
        <f t="shared" si="403"/>
        <v>7519.4129720496885</v>
      </c>
      <c r="BX588" s="27">
        <v>40.29</v>
      </c>
      <c r="BY588" s="27">
        <v>40.22</v>
      </c>
      <c r="CB588" s="57">
        <f t="shared" si="411"/>
        <v>0</v>
      </c>
    </row>
    <row r="589" spans="1:80" ht="14.1" hidden="1" customHeight="1" x14ac:dyDescent="0.3">
      <c r="A589" s="163" t="s">
        <v>1137</v>
      </c>
      <c r="B589" s="162">
        <v>46160</v>
      </c>
      <c r="C589" s="187">
        <v>564</v>
      </c>
      <c r="D589" s="163" t="s">
        <v>1205</v>
      </c>
      <c r="E589" s="166">
        <v>46163</v>
      </c>
      <c r="F589" s="163" t="s">
        <v>1144</v>
      </c>
      <c r="G589" s="163" t="s">
        <v>1145</v>
      </c>
      <c r="H589" s="163" t="s">
        <v>103</v>
      </c>
      <c r="I589" s="157"/>
      <c r="J589" s="163" t="s">
        <v>1146</v>
      </c>
      <c r="K589" s="163">
        <v>0</v>
      </c>
      <c r="L589" s="166">
        <v>46160</v>
      </c>
      <c r="M589" s="157"/>
      <c r="N589" s="163" t="s">
        <v>1235</v>
      </c>
      <c r="O589" s="166">
        <v>46163</v>
      </c>
      <c r="P589" s="163">
        <v>0</v>
      </c>
      <c r="Q589" s="163">
        <v>125</v>
      </c>
      <c r="R589" s="163">
        <v>30</v>
      </c>
      <c r="S589" s="163">
        <v>155</v>
      </c>
      <c r="T589" s="163">
        <v>155</v>
      </c>
      <c r="U589" s="163">
        <v>0</v>
      </c>
      <c r="V589" s="163"/>
      <c r="W589" s="188">
        <v>92.2</v>
      </c>
      <c r="X589" s="188">
        <v>92.1</v>
      </c>
      <c r="Y589" s="188">
        <v>719252.2</v>
      </c>
      <c r="Z589" s="235">
        <v>40.58</v>
      </c>
      <c r="AA589" s="163">
        <v>17981.310000000001</v>
      </c>
      <c r="AB589" s="163">
        <v>17981.310000000001</v>
      </c>
      <c r="AC589" s="163">
        <v>755214.81</v>
      </c>
      <c r="AD589" s="244">
        <f t="shared" si="387"/>
        <v>754459.59519000002</v>
      </c>
      <c r="AE589" s="147">
        <v>40.58</v>
      </c>
      <c r="AF589" s="245">
        <v>42</v>
      </c>
      <c r="AG589" s="238">
        <v>40.58</v>
      </c>
      <c r="AH589" s="198">
        <v>2.8E-3</v>
      </c>
      <c r="AI589" s="198">
        <v>3.2000000000000001E-2</v>
      </c>
      <c r="AJ589" s="198">
        <v>5.3999999999999999E-2</v>
      </c>
      <c r="AK589" s="155">
        <f t="shared" si="388"/>
        <v>24317.57438095241</v>
      </c>
      <c r="AL589" s="157">
        <v>0</v>
      </c>
      <c r="AM589" s="157"/>
      <c r="AN589" s="199">
        <v>0</v>
      </c>
      <c r="AO589" s="156">
        <f t="shared" si="389"/>
        <v>0</v>
      </c>
      <c r="AP589" s="157"/>
      <c r="AQ589" s="155">
        <v>0</v>
      </c>
      <c r="AR589" s="155">
        <f t="shared" si="390"/>
        <v>24317.57438095241</v>
      </c>
      <c r="AS589" s="155">
        <f t="shared" si="391"/>
        <v>25533</v>
      </c>
      <c r="AT589" s="155">
        <v>0</v>
      </c>
      <c r="AU589" s="157"/>
      <c r="AV589" s="157"/>
      <c r="AW589" s="155">
        <f t="shared" si="392"/>
        <v>9220</v>
      </c>
      <c r="AX589" s="157"/>
      <c r="AY589" s="155">
        <f t="shared" si="393"/>
        <v>9220</v>
      </c>
      <c r="AZ589" s="155">
        <f t="shared" si="394"/>
        <v>9210</v>
      </c>
      <c r="BA589" s="242">
        <f t="shared" si="395"/>
        <v>10</v>
      </c>
      <c r="BB589" s="246">
        <f t="shared" si="410"/>
        <v>18.440000000000001</v>
      </c>
      <c r="BC589" s="155">
        <v>0</v>
      </c>
      <c r="BD589" s="157"/>
      <c r="BE589" s="188">
        <v>92.2</v>
      </c>
      <c r="BF589" s="197">
        <f t="shared" si="396"/>
        <v>0.13830000000000001</v>
      </c>
      <c r="BG589" s="197">
        <f t="shared" si="397"/>
        <v>92.061700000000002</v>
      </c>
      <c r="BH589" s="197">
        <f t="shared" si="398"/>
        <v>92.1</v>
      </c>
      <c r="BI589" s="243">
        <f t="shared" si="399"/>
        <v>10.000000000000853</v>
      </c>
      <c r="BJ589" s="243">
        <v>0</v>
      </c>
      <c r="BK589" s="155">
        <f t="shared" si="400"/>
        <v>10.000000000000853</v>
      </c>
      <c r="BL589" s="47"/>
      <c r="BM589" s="48" t="str">
        <f t="shared" si="401"/>
        <v>Unloading no. 564 Bill No 2026-27/61 ,Deduction For Oil Deduction= 24317.5743809524 ,Bardana= 0 ,F.M=  Brokerage/Rate Difference 0 ,Shortage = 0 ,Greenish=  ,Moisture= 0</v>
      </c>
      <c r="BN589" s="41"/>
      <c r="BO589" s="44" t="str">
        <f t="shared" si="402"/>
        <v xml:space="preserve"> Party Condition 42  ,F.M% 0.28 ,Greenish 3.2 ,Moisture 5.4 ,Shortage in KG= 0  ,Oil% 40.58</v>
      </c>
      <c r="BP589" s="45">
        <f t="shared" si="403"/>
        <v>7545.4356744739152</v>
      </c>
      <c r="BX589" s="27">
        <v>40.5</v>
      </c>
      <c r="BY589" s="27">
        <v>40.42</v>
      </c>
      <c r="CB589" s="57">
        <f t="shared" si="411"/>
        <v>0</v>
      </c>
    </row>
    <row r="590" spans="1:80" ht="14.1" hidden="1" customHeight="1" x14ac:dyDescent="0.3">
      <c r="A590" s="163" t="s">
        <v>1182</v>
      </c>
      <c r="B590" s="162">
        <v>46161</v>
      </c>
      <c r="C590" s="187">
        <v>565</v>
      </c>
      <c r="D590" s="163" t="s">
        <v>1206</v>
      </c>
      <c r="E590" s="166">
        <v>46163</v>
      </c>
      <c r="F590" s="163" t="s">
        <v>1213</v>
      </c>
      <c r="G590" s="163" t="s">
        <v>1214</v>
      </c>
      <c r="H590" s="163" t="s">
        <v>103</v>
      </c>
      <c r="I590" s="157"/>
      <c r="J590" s="163" t="s">
        <v>1146</v>
      </c>
      <c r="K590" s="163">
        <v>0</v>
      </c>
      <c r="L590" s="166">
        <v>46161</v>
      </c>
      <c r="M590" s="157"/>
      <c r="N590" s="163" t="s">
        <v>1236</v>
      </c>
      <c r="O590" s="166">
        <v>46163</v>
      </c>
      <c r="P590" s="163">
        <v>0</v>
      </c>
      <c r="Q590" s="163">
        <v>125</v>
      </c>
      <c r="R590" s="163">
        <v>25</v>
      </c>
      <c r="S590" s="163">
        <v>150</v>
      </c>
      <c r="T590" s="163">
        <v>150</v>
      </c>
      <c r="U590" s="163">
        <v>0</v>
      </c>
      <c r="V590" s="163"/>
      <c r="W590" s="188">
        <v>88.6</v>
      </c>
      <c r="X590" s="188">
        <v>88.5</v>
      </c>
      <c r="Y590" s="188">
        <v>689751</v>
      </c>
      <c r="Z590" s="235">
        <v>38.909999999999997</v>
      </c>
      <c r="AA590" s="163">
        <v>17243.78</v>
      </c>
      <c r="AB590" s="163">
        <v>17243.78</v>
      </c>
      <c r="AC590" s="163">
        <v>724238.55</v>
      </c>
      <c r="AD590" s="244">
        <f t="shared" si="387"/>
        <v>723514.31145000004</v>
      </c>
      <c r="AE590" s="147">
        <v>38.909999999999997</v>
      </c>
      <c r="AF590" s="245">
        <v>42</v>
      </c>
      <c r="AG590" s="238">
        <v>38.909999999999997</v>
      </c>
      <c r="AH590" s="198">
        <v>3.7000000000000002E-3</v>
      </c>
      <c r="AI590" s="198">
        <v>3.1699999999999999E-2</v>
      </c>
      <c r="AJ590" s="198">
        <v>4.7E-2</v>
      </c>
      <c r="AK590" s="155">
        <f t="shared" si="388"/>
        <v>50745.966428571483</v>
      </c>
      <c r="AL590" s="157">
        <v>0</v>
      </c>
      <c r="AM590" s="157"/>
      <c r="AN590" s="199">
        <v>0</v>
      </c>
      <c r="AO590" s="156">
        <f t="shared" si="389"/>
        <v>0</v>
      </c>
      <c r="AP590" s="157"/>
      <c r="AQ590" s="155">
        <v>0</v>
      </c>
      <c r="AR590" s="155">
        <f t="shared" si="390"/>
        <v>50745.966428571483</v>
      </c>
      <c r="AS590" s="155">
        <f t="shared" si="391"/>
        <v>53283</v>
      </c>
      <c r="AT590" s="155">
        <v>0</v>
      </c>
      <c r="AU590" s="157"/>
      <c r="AV590" s="157"/>
      <c r="AW590" s="155">
        <f t="shared" si="392"/>
        <v>8860</v>
      </c>
      <c r="AX590" s="157"/>
      <c r="AY590" s="155">
        <f t="shared" si="393"/>
        <v>8860</v>
      </c>
      <c r="AZ590" s="155">
        <f t="shared" si="394"/>
        <v>8850</v>
      </c>
      <c r="BA590" s="242">
        <f t="shared" si="395"/>
        <v>10</v>
      </c>
      <c r="BB590" s="246">
        <f t="shared" si="410"/>
        <v>17.72</v>
      </c>
      <c r="BC590" s="155">
        <v>0</v>
      </c>
      <c r="BD590" s="157"/>
      <c r="BE590" s="188">
        <v>88.6</v>
      </c>
      <c r="BF590" s="197">
        <f t="shared" si="396"/>
        <v>0.13289999999999999</v>
      </c>
      <c r="BG590" s="197">
        <f t="shared" si="397"/>
        <v>88.467099999999988</v>
      </c>
      <c r="BH590" s="197">
        <f t="shared" si="398"/>
        <v>88.5</v>
      </c>
      <c r="BI590" s="243">
        <f t="shared" si="399"/>
        <v>9.9999999999994316</v>
      </c>
      <c r="BJ590" s="243">
        <v>0</v>
      </c>
      <c r="BK590" s="155">
        <f t="shared" si="400"/>
        <v>9.9999999999994316</v>
      </c>
      <c r="BL590" s="47"/>
      <c r="BM590" s="48" t="str">
        <f t="shared" si="401"/>
        <v>Unloading no. 565 Bill No 2026-27/8 ,Deduction For Oil Deduction= 50745.9664285715 ,Bardana= 0 ,F.M=  Brokerage/Rate Difference 0 ,Shortage = 0 ,Greenish=  ,Moisture= 0</v>
      </c>
      <c r="BN590" s="41"/>
      <c r="BO590" s="44" t="str">
        <f t="shared" si="402"/>
        <v xml:space="preserve"> Party Condition 42  ,F.M% 0.37 ,Greenish 3.17 ,Moisture 4.7 ,Shortage in KG= 0  ,Oil% 38.91</v>
      </c>
      <c r="BP590" s="45">
        <f t="shared" si="403"/>
        <v>7220.3958595641643</v>
      </c>
      <c r="BX590" s="27">
        <v>38.700000000000003</v>
      </c>
      <c r="BY590" s="27">
        <v>38.9</v>
      </c>
      <c r="CB590" s="57">
        <f t="shared" si="411"/>
        <v>0</v>
      </c>
    </row>
    <row r="591" spans="1:80" ht="14.1" hidden="1" customHeight="1" x14ac:dyDescent="0.3">
      <c r="A591" s="163" t="s">
        <v>1182</v>
      </c>
      <c r="B591" s="162">
        <v>46161</v>
      </c>
      <c r="C591" s="187">
        <v>566</v>
      </c>
      <c r="D591" s="163" t="s">
        <v>1207</v>
      </c>
      <c r="E591" s="166">
        <v>46163</v>
      </c>
      <c r="F591" s="163" t="s">
        <v>1213</v>
      </c>
      <c r="G591" s="163" t="s">
        <v>1214</v>
      </c>
      <c r="H591" s="163" t="s">
        <v>103</v>
      </c>
      <c r="I591" s="157"/>
      <c r="J591" s="163" t="s">
        <v>1146</v>
      </c>
      <c r="K591" s="163">
        <v>0</v>
      </c>
      <c r="L591" s="166">
        <v>46161</v>
      </c>
      <c r="M591" s="157"/>
      <c r="N591" s="163" t="s">
        <v>1237</v>
      </c>
      <c r="O591" s="166">
        <v>46163</v>
      </c>
      <c r="P591" s="163">
        <v>0</v>
      </c>
      <c r="Q591" s="163">
        <v>140</v>
      </c>
      <c r="R591" s="163">
        <v>10</v>
      </c>
      <c r="S591" s="163">
        <v>150</v>
      </c>
      <c r="T591" s="163">
        <v>150</v>
      </c>
      <c r="U591" s="163">
        <v>0</v>
      </c>
      <c r="V591" s="163"/>
      <c r="W591" s="188">
        <v>89</v>
      </c>
      <c r="X591" s="188">
        <v>89</v>
      </c>
      <c r="Y591" s="188">
        <v>692865</v>
      </c>
      <c r="Z591" s="235">
        <v>38.47</v>
      </c>
      <c r="AA591" s="163">
        <v>17321.63</v>
      </c>
      <c r="AB591" s="163">
        <v>17321.63</v>
      </c>
      <c r="AC591" s="163">
        <v>727508.25</v>
      </c>
      <c r="AD591" s="244">
        <f t="shared" si="387"/>
        <v>726780.74175000004</v>
      </c>
      <c r="AE591" s="147">
        <v>38.47</v>
      </c>
      <c r="AF591" s="245">
        <v>42</v>
      </c>
      <c r="AG591" s="238">
        <v>38.47</v>
      </c>
      <c r="AH591" s="198">
        <v>3.5999999999999999E-3</v>
      </c>
      <c r="AI591" s="198">
        <v>3.5999999999999997E-2</v>
      </c>
      <c r="AJ591" s="198">
        <v>4.7E-2</v>
      </c>
      <c r="AK591" s="155">
        <f t="shared" si="388"/>
        <v>58233.653571428593</v>
      </c>
      <c r="AL591" s="157">
        <v>0</v>
      </c>
      <c r="AM591" s="157"/>
      <c r="AN591" s="199">
        <v>0</v>
      </c>
      <c r="AO591" s="156">
        <f t="shared" si="389"/>
        <v>0</v>
      </c>
      <c r="AP591" s="157"/>
      <c r="AQ591" s="155">
        <v>0</v>
      </c>
      <c r="AR591" s="155">
        <f t="shared" si="390"/>
        <v>58233.653571428593</v>
      </c>
      <c r="AS591" s="155">
        <f t="shared" si="391"/>
        <v>61145</v>
      </c>
      <c r="AT591" s="155">
        <v>0</v>
      </c>
      <c r="AU591" s="157"/>
      <c r="AV591" s="157"/>
      <c r="AW591" s="155">
        <f t="shared" si="392"/>
        <v>8900</v>
      </c>
      <c r="AX591" s="157"/>
      <c r="AY591" s="155">
        <f t="shared" si="393"/>
        <v>8900</v>
      </c>
      <c r="AZ591" s="155">
        <f t="shared" si="394"/>
        <v>8900</v>
      </c>
      <c r="BA591" s="242">
        <f t="shared" si="395"/>
        <v>0</v>
      </c>
      <c r="BB591" s="246">
        <f t="shared" si="410"/>
        <v>17.8</v>
      </c>
      <c r="BC591" s="155">
        <v>0</v>
      </c>
      <c r="BD591" s="157"/>
      <c r="BE591" s="188">
        <v>89</v>
      </c>
      <c r="BF591" s="197">
        <f t="shared" si="396"/>
        <v>0.13350000000000001</v>
      </c>
      <c r="BG591" s="197">
        <f t="shared" si="397"/>
        <v>88.866500000000002</v>
      </c>
      <c r="BH591" s="197">
        <f t="shared" si="398"/>
        <v>89</v>
      </c>
      <c r="BI591" s="243">
        <f t="shared" si="399"/>
        <v>0</v>
      </c>
      <c r="BJ591" s="243">
        <v>0</v>
      </c>
      <c r="BK591" s="155">
        <f t="shared" si="400"/>
        <v>0</v>
      </c>
      <c r="BL591" s="47"/>
      <c r="BM591" s="48" t="str">
        <f t="shared" si="401"/>
        <v>Unloading no. 566 Bill No 2026-27/9 ,Deduction For Oil Deduction= 58233.6535714286 ,Bardana= 0 ,F.M=  Brokerage/Rate Difference 0 ,Shortage = 0 ,Greenish=  ,Moisture= 0</v>
      </c>
      <c r="BN591" s="41"/>
      <c r="BO591" s="44" t="str">
        <f t="shared" si="402"/>
        <v xml:space="preserve"> Party Condition 42  ,F.M% 0.36 ,Greenish 3.6 ,Moisture 4.7 ,Shortage in KG= 0  ,Oil% 38.47</v>
      </c>
      <c r="BP591" s="45">
        <f t="shared" si="403"/>
        <v>7130.6892857142848</v>
      </c>
      <c r="BX591" s="27">
        <v>38.5</v>
      </c>
      <c r="BY591" s="27">
        <v>38.619999999999997</v>
      </c>
      <c r="CB591" s="57">
        <f t="shared" si="411"/>
        <v>0</v>
      </c>
    </row>
    <row r="592" spans="1:80" ht="14.1" hidden="1" customHeight="1" x14ac:dyDescent="0.3">
      <c r="A592" s="163" t="s">
        <v>1182</v>
      </c>
      <c r="B592" s="162">
        <v>46161</v>
      </c>
      <c r="C592" s="187">
        <v>567</v>
      </c>
      <c r="D592" s="163" t="s">
        <v>1208</v>
      </c>
      <c r="E592" s="166">
        <v>46163</v>
      </c>
      <c r="F592" s="163" t="s">
        <v>1213</v>
      </c>
      <c r="G592" s="163" t="s">
        <v>1214</v>
      </c>
      <c r="H592" s="163" t="s">
        <v>103</v>
      </c>
      <c r="I592" s="157"/>
      <c r="J592" s="163" t="s">
        <v>1146</v>
      </c>
      <c r="K592" s="163">
        <v>0</v>
      </c>
      <c r="L592" s="166">
        <v>46161</v>
      </c>
      <c r="M592" s="157"/>
      <c r="N592" s="163" t="s">
        <v>1238</v>
      </c>
      <c r="O592" s="166">
        <v>46163</v>
      </c>
      <c r="P592" s="163">
        <v>0</v>
      </c>
      <c r="Q592" s="163">
        <v>100</v>
      </c>
      <c r="R592" s="163">
        <v>50</v>
      </c>
      <c r="S592" s="163">
        <v>150</v>
      </c>
      <c r="T592" s="163">
        <v>150</v>
      </c>
      <c r="U592" s="163">
        <v>0</v>
      </c>
      <c r="V592" s="163"/>
      <c r="W592" s="188">
        <v>88.6</v>
      </c>
      <c r="X592" s="188">
        <v>88.6</v>
      </c>
      <c r="Y592" s="188">
        <v>689751</v>
      </c>
      <c r="Z592" s="235">
        <v>38.770000000000003</v>
      </c>
      <c r="AA592" s="163">
        <v>17243.78</v>
      </c>
      <c r="AB592" s="163">
        <v>17243.78</v>
      </c>
      <c r="AC592" s="163">
        <v>724238.55</v>
      </c>
      <c r="AD592" s="244">
        <f t="shared" si="387"/>
        <v>723514.31145000004</v>
      </c>
      <c r="AE592" s="147">
        <v>38.770000000000003</v>
      </c>
      <c r="AF592" s="245">
        <v>42</v>
      </c>
      <c r="AG592" s="238">
        <v>38.770000000000003</v>
      </c>
      <c r="AH592" s="198">
        <v>3.0000000000000001E-3</v>
      </c>
      <c r="AI592" s="198">
        <v>3.7999999999999999E-2</v>
      </c>
      <c r="AJ592" s="198">
        <v>4.4999999999999998E-2</v>
      </c>
      <c r="AK592" s="155">
        <f t="shared" si="388"/>
        <v>53045.136428571379</v>
      </c>
      <c r="AL592" s="157">
        <v>0</v>
      </c>
      <c r="AM592" s="157"/>
      <c r="AN592" s="199">
        <v>0</v>
      </c>
      <c r="AO592" s="156">
        <f t="shared" si="389"/>
        <v>0</v>
      </c>
      <c r="AP592" s="157"/>
      <c r="AQ592" s="155">
        <v>0</v>
      </c>
      <c r="AR592" s="155">
        <f t="shared" si="390"/>
        <v>53045.136428571379</v>
      </c>
      <c r="AS592" s="155">
        <f t="shared" si="391"/>
        <v>55697</v>
      </c>
      <c r="AT592" s="155">
        <v>0</v>
      </c>
      <c r="AU592" s="157"/>
      <c r="AV592" s="157"/>
      <c r="AW592" s="155">
        <f t="shared" si="392"/>
        <v>8860</v>
      </c>
      <c r="AX592" s="157"/>
      <c r="AY592" s="155">
        <f t="shared" si="393"/>
        <v>8860</v>
      </c>
      <c r="AZ592" s="155">
        <f t="shared" si="394"/>
        <v>8860</v>
      </c>
      <c r="BA592" s="242">
        <f t="shared" si="395"/>
        <v>0</v>
      </c>
      <c r="BB592" s="246">
        <f t="shared" si="410"/>
        <v>17.72</v>
      </c>
      <c r="BC592" s="155">
        <v>0</v>
      </c>
      <c r="BD592" s="157"/>
      <c r="BE592" s="188">
        <v>88.6</v>
      </c>
      <c r="BF592" s="197">
        <f t="shared" si="396"/>
        <v>0.13289999999999999</v>
      </c>
      <c r="BG592" s="197">
        <f t="shared" si="397"/>
        <v>88.467099999999988</v>
      </c>
      <c r="BH592" s="197">
        <f t="shared" si="398"/>
        <v>88.6</v>
      </c>
      <c r="BI592" s="243">
        <f t="shared" si="399"/>
        <v>0</v>
      </c>
      <c r="BJ592" s="243">
        <v>0</v>
      </c>
      <c r="BK592" s="155">
        <f t="shared" si="400"/>
        <v>0</v>
      </c>
      <c r="BL592" s="47"/>
      <c r="BM592" s="48" t="str">
        <f t="shared" si="401"/>
        <v>Unloading no. 567 Bill No 2026-27/7 ,Deduction For Oil Deduction= 53045.1364285714 ,Bardana= 0 ,F.M=  Brokerage/Rate Difference 0 ,Shortage = 0 ,Greenish=  ,Moisture= 0</v>
      </c>
      <c r="BN592" s="41"/>
      <c r="BO592" s="44" t="str">
        <f t="shared" si="402"/>
        <v xml:space="preserve"> Party Condition 42  ,F.M% 0.3 ,Greenish 3.8 ,Moisture 4.5 ,Shortage in KG= 0  ,Oil% 38.77</v>
      </c>
      <c r="BP592" s="45">
        <f t="shared" si="403"/>
        <v>7186.2964285714288</v>
      </c>
      <c r="BX592" s="27">
        <v>38.78</v>
      </c>
      <c r="BY592" s="27">
        <v>38.89</v>
      </c>
      <c r="CB592" s="57">
        <f t="shared" si="411"/>
        <v>0</v>
      </c>
    </row>
    <row r="593" spans="1:80" ht="14.1" hidden="1" customHeight="1" x14ac:dyDescent="0.3">
      <c r="A593" s="163" t="s">
        <v>1182</v>
      </c>
      <c r="B593" s="162">
        <v>46161</v>
      </c>
      <c r="C593" s="187">
        <v>568</v>
      </c>
      <c r="D593" s="163" t="s">
        <v>1209</v>
      </c>
      <c r="E593" s="166">
        <v>46163</v>
      </c>
      <c r="F593" s="163" t="s">
        <v>1213</v>
      </c>
      <c r="G593" s="163" t="s">
        <v>1214</v>
      </c>
      <c r="H593" s="163" t="s">
        <v>103</v>
      </c>
      <c r="I593" s="157"/>
      <c r="J593" s="163" t="s">
        <v>1146</v>
      </c>
      <c r="K593" s="163">
        <v>0</v>
      </c>
      <c r="L593" s="166">
        <v>46161</v>
      </c>
      <c r="M593" s="157"/>
      <c r="N593" s="163" t="s">
        <v>1239</v>
      </c>
      <c r="O593" s="166">
        <v>46163</v>
      </c>
      <c r="P593" s="163">
        <v>0</v>
      </c>
      <c r="Q593" s="163">
        <v>80</v>
      </c>
      <c r="R593" s="163">
        <v>31</v>
      </c>
      <c r="S593" s="163">
        <v>111</v>
      </c>
      <c r="T593" s="163">
        <v>111</v>
      </c>
      <c r="U593" s="163">
        <v>0</v>
      </c>
      <c r="V593" s="163"/>
      <c r="W593" s="188">
        <v>68.599999999999994</v>
      </c>
      <c r="X593" s="188">
        <v>68.400000000000006</v>
      </c>
      <c r="Y593" s="188">
        <v>534051</v>
      </c>
      <c r="Z593" s="235">
        <v>38.880000000000003</v>
      </c>
      <c r="AA593" s="163">
        <v>13351.28</v>
      </c>
      <c r="AB593" s="163">
        <v>13351.28</v>
      </c>
      <c r="AC593" s="163">
        <v>560753.55000000005</v>
      </c>
      <c r="AD593" s="244">
        <f t="shared" si="387"/>
        <v>560192.79645000002</v>
      </c>
      <c r="AE593" s="147">
        <v>38.880000000000003</v>
      </c>
      <c r="AF593" s="245">
        <v>42</v>
      </c>
      <c r="AG593" s="238">
        <v>38.880000000000003</v>
      </c>
      <c r="AH593" s="198">
        <v>3.5000000000000001E-3</v>
      </c>
      <c r="AI593" s="198">
        <v>3.5000000000000003E-2</v>
      </c>
      <c r="AJ593" s="198">
        <v>4.4999999999999998E-2</v>
      </c>
      <c r="AK593" s="155">
        <f t="shared" si="388"/>
        <v>39672.359999999964</v>
      </c>
      <c r="AL593" s="157">
        <v>0</v>
      </c>
      <c r="AM593" s="157"/>
      <c r="AN593" s="199">
        <v>0</v>
      </c>
      <c r="AO593" s="156">
        <f t="shared" si="389"/>
        <v>488.8979999998586</v>
      </c>
      <c r="AP593" s="157"/>
      <c r="AQ593" s="155">
        <v>0</v>
      </c>
      <c r="AR593" s="155">
        <f t="shared" si="390"/>
        <v>40161.25799999982</v>
      </c>
      <c r="AS593" s="155">
        <f t="shared" si="391"/>
        <v>42169</v>
      </c>
      <c r="AT593" s="155">
        <f t="shared" ref="AT593" si="412">BA593-BB593</f>
        <v>6.2799999999981821</v>
      </c>
      <c r="AU593" s="157"/>
      <c r="AV593" s="157"/>
      <c r="AW593" s="155">
        <f t="shared" si="392"/>
        <v>6859.9999999999991</v>
      </c>
      <c r="AX593" s="157"/>
      <c r="AY593" s="155">
        <f t="shared" si="393"/>
        <v>6859.9999999999991</v>
      </c>
      <c r="AZ593" s="155">
        <f t="shared" si="394"/>
        <v>6840.0000000000009</v>
      </c>
      <c r="BA593" s="242">
        <f t="shared" si="395"/>
        <v>19.999999999998181</v>
      </c>
      <c r="BB593" s="246">
        <f t="shared" si="410"/>
        <v>13.719999999999999</v>
      </c>
      <c r="BC593" s="155">
        <v>0</v>
      </c>
      <c r="BD593" s="157"/>
      <c r="BE593" s="188">
        <v>68.599999999999994</v>
      </c>
      <c r="BF593" s="197">
        <f t="shared" si="396"/>
        <v>0.10289999999999999</v>
      </c>
      <c r="BG593" s="197">
        <f t="shared" si="397"/>
        <v>68.497099999999989</v>
      </c>
      <c r="BH593" s="197">
        <f t="shared" si="398"/>
        <v>68.400000000000006</v>
      </c>
      <c r="BI593" s="243">
        <f t="shared" si="399"/>
        <v>19.999999999998863</v>
      </c>
      <c r="BJ593" s="243">
        <v>0</v>
      </c>
      <c r="BK593" s="155">
        <f t="shared" si="400"/>
        <v>19.999999999998863</v>
      </c>
      <c r="BL593" s="47"/>
      <c r="BM593" s="48" t="str">
        <f t="shared" si="401"/>
        <v>Unloading no. 568 Bill No 2026-27/6 ,Deduction For Oil Deduction= 39672.36 ,Bardana= 0 ,F.M=  Brokerage/Rate Difference 0 ,Shortage = 488.897999999859 ,Greenish=  ,Moisture= 0</v>
      </c>
      <c r="BN593" s="41"/>
      <c r="BO593" s="44" t="str">
        <f t="shared" si="402"/>
        <v xml:space="preserve"> Party Condition 42  ,F.M% 0.35 ,Greenish 3.5 ,Moisture 4.5 ,Shortage in KG= 6.27999999999818  ,Oil% 38.88</v>
      </c>
      <c r="BP593" s="45">
        <f t="shared" si="403"/>
        <v>7220.610263157897</v>
      </c>
      <c r="BX593" s="27">
        <v>38.700000000000003</v>
      </c>
      <c r="BY593" s="27">
        <v>38.74</v>
      </c>
      <c r="CB593" s="57">
        <f t="shared" si="411"/>
        <v>0</v>
      </c>
    </row>
    <row r="594" spans="1:80" ht="14.1" hidden="1" customHeight="1" x14ac:dyDescent="0.3">
      <c r="A594" s="163" t="s">
        <v>1137</v>
      </c>
      <c r="B594" s="162">
        <v>46160</v>
      </c>
      <c r="C594" s="187">
        <v>569</v>
      </c>
      <c r="D594" s="163" t="s">
        <v>1210</v>
      </c>
      <c r="E594" s="166">
        <v>46163</v>
      </c>
      <c r="F594" s="163" t="s">
        <v>1144</v>
      </c>
      <c r="G594" s="163" t="s">
        <v>1145</v>
      </c>
      <c r="H594" s="163" t="s">
        <v>103</v>
      </c>
      <c r="I594" s="157"/>
      <c r="J594" s="163" t="s">
        <v>1146</v>
      </c>
      <c r="K594" s="163">
        <v>0</v>
      </c>
      <c r="L594" s="166">
        <v>46160</v>
      </c>
      <c r="M594" s="157"/>
      <c r="N594" s="163" t="s">
        <v>1240</v>
      </c>
      <c r="O594" s="166">
        <v>46163</v>
      </c>
      <c r="P594" s="163">
        <v>0</v>
      </c>
      <c r="Q594" s="163">
        <v>110</v>
      </c>
      <c r="R594" s="163">
        <v>40</v>
      </c>
      <c r="S594" s="163">
        <v>150</v>
      </c>
      <c r="T594" s="163">
        <v>150</v>
      </c>
      <c r="U594" s="163">
        <v>0</v>
      </c>
      <c r="V594" s="163"/>
      <c r="W594" s="188">
        <v>87.7</v>
      </c>
      <c r="X594" s="188">
        <v>87.6</v>
      </c>
      <c r="Y594" s="188">
        <v>684147.7</v>
      </c>
      <c r="Z594" s="235">
        <v>40.51</v>
      </c>
      <c r="AA594" s="163">
        <v>17103.689999999999</v>
      </c>
      <c r="AB594" s="163">
        <v>17103.689999999999</v>
      </c>
      <c r="AC594" s="163">
        <v>718355.09</v>
      </c>
      <c r="AD594" s="244">
        <f t="shared" si="387"/>
        <v>717636.73491</v>
      </c>
      <c r="AE594" s="147">
        <v>40.51</v>
      </c>
      <c r="AF594" s="245">
        <v>42</v>
      </c>
      <c r="AG594" s="238">
        <v>40.51</v>
      </c>
      <c r="AH594" s="198">
        <v>3.5000000000000001E-3</v>
      </c>
      <c r="AI594" s="198">
        <v>3.1800000000000002E-2</v>
      </c>
      <c r="AJ594" s="198">
        <v>5.5E-2</v>
      </c>
      <c r="AK594" s="155">
        <f t="shared" si="388"/>
        <v>24270.954119047648</v>
      </c>
      <c r="AL594" s="157">
        <v>0</v>
      </c>
      <c r="AM594" s="157"/>
      <c r="AN594" s="199">
        <v>0</v>
      </c>
      <c r="AO594" s="156">
        <f t="shared" si="389"/>
        <v>0</v>
      </c>
      <c r="AP594" s="157"/>
      <c r="AQ594" s="155">
        <v>0</v>
      </c>
      <c r="AR594" s="155">
        <f t="shared" si="390"/>
        <v>24270.954119047648</v>
      </c>
      <c r="AS594" s="155">
        <f t="shared" si="391"/>
        <v>25485</v>
      </c>
      <c r="AT594" s="155">
        <v>0</v>
      </c>
      <c r="AU594" s="157"/>
      <c r="AV594" s="157"/>
      <c r="AW594" s="155">
        <f t="shared" si="392"/>
        <v>8770</v>
      </c>
      <c r="AX594" s="157"/>
      <c r="AY594" s="155">
        <f t="shared" si="393"/>
        <v>8770</v>
      </c>
      <c r="AZ594" s="155">
        <f t="shared" si="394"/>
        <v>8760</v>
      </c>
      <c r="BA594" s="242">
        <f t="shared" si="395"/>
        <v>10</v>
      </c>
      <c r="BB594" s="246">
        <f t="shared" si="410"/>
        <v>17.54</v>
      </c>
      <c r="BC594" s="155">
        <v>0</v>
      </c>
      <c r="BD594" s="157"/>
      <c r="BE594" s="188">
        <v>87.7</v>
      </c>
      <c r="BF594" s="197">
        <f t="shared" si="396"/>
        <v>0.13155</v>
      </c>
      <c r="BG594" s="197">
        <f t="shared" si="397"/>
        <v>87.568449999999999</v>
      </c>
      <c r="BH594" s="197">
        <f t="shared" si="398"/>
        <v>87.6</v>
      </c>
      <c r="BI594" s="243">
        <f t="shared" si="399"/>
        <v>10.000000000000853</v>
      </c>
      <c r="BJ594" s="243">
        <v>0</v>
      </c>
      <c r="BK594" s="155">
        <f t="shared" si="400"/>
        <v>10.000000000000853</v>
      </c>
      <c r="BL594" s="47"/>
      <c r="BM594" s="48" t="str">
        <f t="shared" si="401"/>
        <v>Unloading no. 569 Bill No 2026-27/62 ,Deduction For Oil Deduction= 24270.9541190476 ,Bardana= 0 ,F.M=  Brokerage/Rate Difference 0 ,Shortage = 0 ,Greenish=  ,Moisture= 0</v>
      </c>
      <c r="BN594" s="41"/>
      <c r="BO594" s="44" t="str">
        <f t="shared" si="402"/>
        <v xml:space="preserve"> Party Condition 42  ,F.M% 0.35 ,Greenish 3.18 ,Moisture 5.5 ,Shortage in KG= 0  ,Oil% 40.51</v>
      </c>
      <c r="BP594" s="45">
        <f t="shared" si="403"/>
        <v>7532.839564851055</v>
      </c>
      <c r="BX594" s="27">
        <v>40.29</v>
      </c>
      <c r="BY594" s="27">
        <v>40.270000000000003</v>
      </c>
      <c r="CB594" s="57">
        <f t="shared" si="411"/>
        <v>0</v>
      </c>
    </row>
    <row r="595" spans="1:80" ht="14.1" hidden="1" customHeight="1" x14ac:dyDescent="0.3">
      <c r="A595" s="163" t="s">
        <v>1137</v>
      </c>
      <c r="B595" s="162">
        <v>46160</v>
      </c>
      <c r="C595" s="187">
        <v>570</v>
      </c>
      <c r="D595" s="163" t="s">
        <v>1211</v>
      </c>
      <c r="E595" s="166">
        <v>46163</v>
      </c>
      <c r="F595" s="163" t="s">
        <v>1144</v>
      </c>
      <c r="G595" s="163" t="s">
        <v>1145</v>
      </c>
      <c r="H595" s="163" t="s">
        <v>103</v>
      </c>
      <c r="I595" s="157"/>
      <c r="J595" s="163" t="s">
        <v>1146</v>
      </c>
      <c r="K595" s="163">
        <v>0</v>
      </c>
      <c r="L595" s="166">
        <v>46160</v>
      </c>
      <c r="M595" s="157"/>
      <c r="N595" s="163" t="s">
        <v>1241</v>
      </c>
      <c r="O595" s="166">
        <v>46163</v>
      </c>
      <c r="P595" s="163">
        <v>0</v>
      </c>
      <c r="Q595" s="163">
        <v>120</v>
      </c>
      <c r="R595" s="163">
        <v>35</v>
      </c>
      <c r="S595" s="163">
        <v>155</v>
      </c>
      <c r="T595" s="163">
        <v>155</v>
      </c>
      <c r="U595" s="163">
        <v>0</v>
      </c>
      <c r="V595" s="163"/>
      <c r="W595" s="188">
        <v>91.9</v>
      </c>
      <c r="X595" s="188">
        <v>91.8</v>
      </c>
      <c r="Y595" s="188">
        <v>716911.9</v>
      </c>
      <c r="Z595" s="235">
        <v>40.58</v>
      </c>
      <c r="AA595" s="163">
        <v>17922.8</v>
      </c>
      <c r="AB595" s="163">
        <v>17922.8</v>
      </c>
      <c r="AC595" s="163">
        <v>752757.5</v>
      </c>
      <c r="AD595" s="244">
        <f t="shared" si="387"/>
        <v>752004.74250000005</v>
      </c>
      <c r="AE595" s="147">
        <v>40.58</v>
      </c>
      <c r="AF595" s="245">
        <v>42</v>
      </c>
      <c r="AG595" s="238">
        <v>40.58</v>
      </c>
      <c r="AH595" s="198">
        <v>3.3E-3</v>
      </c>
      <c r="AI595" s="198">
        <v>3.3599999999999998E-2</v>
      </c>
      <c r="AJ595" s="198">
        <v>4.7E-2</v>
      </c>
      <c r="AK595" s="155">
        <f t="shared" si="388"/>
        <v>24238.449952380983</v>
      </c>
      <c r="AL595" s="157">
        <v>0</v>
      </c>
      <c r="AM595" s="157"/>
      <c r="AN595" s="199">
        <v>0</v>
      </c>
      <c r="AO595" s="156">
        <f t="shared" si="389"/>
        <v>0</v>
      </c>
      <c r="AP595" s="157"/>
      <c r="AQ595" s="155">
        <v>0</v>
      </c>
      <c r="AR595" s="155">
        <f t="shared" si="390"/>
        <v>24238.449952380983</v>
      </c>
      <c r="AS595" s="155">
        <f t="shared" si="391"/>
        <v>25450</v>
      </c>
      <c r="AT595" s="155">
        <v>0</v>
      </c>
      <c r="AU595" s="157"/>
      <c r="AV595" s="157"/>
      <c r="AW595" s="155">
        <f t="shared" si="392"/>
        <v>9190</v>
      </c>
      <c r="AX595" s="157"/>
      <c r="AY595" s="155">
        <f t="shared" si="393"/>
        <v>9190</v>
      </c>
      <c r="AZ595" s="155">
        <f t="shared" si="394"/>
        <v>9180</v>
      </c>
      <c r="BA595" s="242">
        <f t="shared" si="395"/>
        <v>10</v>
      </c>
      <c r="BB595" s="246">
        <f t="shared" si="410"/>
        <v>18.38</v>
      </c>
      <c r="BC595" s="155">
        <v>0</v>
      </c>
      <c r="BD595" s="157"/>
      <c r="BE595" s="188">
        <v>91.9</v>
      </c>
      <c r="BF595" s="197">
        <f t="shared" si="396"/>
        <v>0.13785</v>
      </c>
      <c r="BG595" s="197">
        <f t="shared" si="397"/>
        <v>91.762150000000005</v>
      </c>
      <c r="BH595" s="197">
        <f t="shared" si="398"/>
        <v>91.8</v>
      </c>
      <c r="BI595" s="243">
        <f t="shared" si="399"/>
        <v>10.000000000000853</v>
      </c>
      <c r="BJ595" s="243">
        <v>0</v>
      </c>
      <c r="BK595" s="155">
        <f t="shared" si="400"/>
        <v>10.000000000000853</v>
      </c>
      <c r="BL595" s="47"/>
      <c r="BM595" s="48" t="str">
        <f t="shared" si="401"/>
        <v>Unloading no. 570 Bill No 2026-27/64 ,Deduction For Oil Deduction= 24238.449952381 ,Bardana= 0 ,F.M=  Brokerage/Rate Difference 0 ,Shortage = 0 ,Greenish=  ,Moisture= 0</v>
      </c>
      <c r="BN595" s="41"/>
      <c r="BO595" s="44" t="str">
        <f t="shared" si="402"/>
        <v xml:space="preserve"> Party Condition 42  ,F.M% 0.33 ,Greenish 3.36 ,Moisture 4.7 ,Shortage in KG= 0  ,Oil% 40.58</v>
      </c>
      <c r="BP595" s="45">
        <f t="shared" si="403"/>
        <v>7545.4624188193802</v>
      </c>
      <c r="BX595" s="27">
        <v>40.5</v>
      </c>
      <c r="BY595" s="27">
        <v>40.4</v>
      </c>
      <c r="CB595" s="57">
        <f t="shared" si="411"/>
        <v>0</v>
      </c>
    </row>
    <row r="596" spans="1:80" ht="14.1" hidden="1" customHeight="1" x14ac:dyDescent="0.3">
      <c r="A596" s="209" t="s">
        <v>1137</v>
      </c>
      <c r="B596" s="249">
        <v>46160</v>
      </c>
      <c r="C596" s="250">
        <v>571</v>
      </c>
      <c r="D596" s="209" t="s">
        <v>1212</v>
      </c>
      <c r="E596" s="251">
        <v>46163</v>
      </c>
      <c r="F596" s="209" t="s">
        <v>1144</v>
      </c>
      <c r="G596" s="209" t="s">
        <v>1145</v>
      </c>
      <c r="H596" s="209" t="s">
        <v>103</v>
      </c>
      <c r="I596" s="208"/>
      <c r="J596" s="209" t="s">
        <v>1146</v>
      </c>
      <c r="K596" s="209">
        <v>0</v>
      </c>
      <c r="L596" s="251">
        <v>46160</v>
      </c>
      <c r="M596" s="208"/>
      <c r="N596" s="209" t="s">
        <v>1242</v>
      </c>
      <c r="O596" s="251">
        <v>46163</v>
      </c>
      <c r="P596" s="209">
        <v>0</v>
      </c>
      <c r="Q596" s="209">
        <v>130</v>
      </c>
      <c r="R596" s="209">
        <v>35</v>
      </c>
      <c r="S596" s="209">
        <v>165</v>
      </c>
      <c r="T596" s="209">
        <v>0</v>
      </c>
      <c r="U596" s="209">
        <v>0</v>
      </c>
      <c r="V596" s="209"/>
      <c r="W596" s="252">
        <v>99.4</v>
      </c>
      <c r="X596" s="252">
        <v>99.4</v>
      </c>
      <c r="Y596" s="252">
        <v>775419.4</v>
      </c>
      <c r="Z596" s="253">
        <v>40.03</v>
      </c>
      <c r="AA596" s="209">
        <v>19385.490000000002</v>
      </c>
      <c r="AB596" s="209">
        <v>19385.490000000002</v>
      </c>
      <c r="AC596" s="209">
        <v>814190.37</v>
      </c>
      <c r="AD596" s="254">
        <f t="shared" si="387"/>
        <v>813376.17963000003</v>
      </c>
      <c r="AE596" s="178">
        <v>40.03</v>
      </c>
      <c r="AF596" s="255">
        <v>42</v>
      </c>
      <c r="AG596" s="241">
        <v>40.03</v>
      </c>
      <c r="AH596" s="256">
        <v>3.0999999999999999E-3</v>
      </c>
      <c r="AI596" s="256">
        <v>3.1199999999999999E-2</v>
      </c>
      <c r="AJ596" s="256">
        <v>5.6000000000000001E-2</v>
      </c>
      <c r="AK596" s="184">
        <f t="shared" si="388"/>
        <v>36370.862333333316</v>
      </c>
      <c r="AL596" s="208">
        <v>0</v>
      </c>
      <c r="AM596" s="208"/>
      <c r="AN596" s="257">
        <v>0</v>
      </c>
      <c r="AO596" s="258">
        <f t="shared" si="389"/>
        <v>0</v>
      </c>
      <c r="AP596" s="208"/>
      <c r="AQ596" s="184">
        <v>0</v>
      </c>
      <c r="AR596" s="184">
        <f t="shared" si="390"/>
        <v>36370.862333333316</v>
      </c>
      <c r="AS596" s="184">
        <f t="shared" si="391"/>
        <v>38189</v>
      </c>
      <c r="AT596" s="184">
        <v>0</v>
      </c>
      <c r="AU596" s="208"/>
      <c r="AV596" s="208"/>
      <c r="AW596" s="184">
        <f t="shared" si="392"/>
        <v>9940</v>
      </c>
      <c r="AX596" s="208"/>
      <c r="AY596" s="184">
        <f t="shared" si="393"/>
        <v>9940</v>
      </c>
      <c r="AZ596" s="184">
        <f t="shared" si="394"/>
        <v>9940</v>
      </c>
      <c r="BA596" s="259">
        <f t="shared" si="395"/>
        <v>0</v>
      </c>
      <c r="BB596" s="260">
        <f t="shared" si="410"/>
        <v>19.88</v>
      </c>
      <c r="BC596" s="184">
        <v>0</v>
      </c>
      <c r="BD596" s="208"/>
      <c r="BE596" s="252">
        <v>99.4</v>
      </c>
      <c r="BF596" s="210">
        <f t="shared" si="396"/>
        <v>0.14910000000000001</v>
      </c>
      <c r="BG596" s="210">
        <f t="shared" si="397"/>
        <v>99.250900000000001</v>
      </c>
      <c r="BH596" s="210">
        <f t="shared" si="398"/>
        <v>99.4</v>
      </c>
      <c r="BI596" s="261">
        <f t="shared" si="399"/>
        <v>0</v>
      </c>
      <c r="BJ596" s="261">
        <v>0</v>
      </c>
      <c r="BK596" s="184">
        <f t="shared" si="400"/>
        <v>0</v>
      </c>
      <c r="BL596" s="61"/>
      <c r="BM596" s="62" t="str">
        <f t="shared" si="401"/>
        <v>Unloading no. 571 Bill No 2026-27/63 ,Deduction For Oil Deduction= 36370.8623333333 ,Bardana= 0 ,F.M=  Brokerage/Rate Difference 0 ,Shortage = 0 ,Greenish=  ,Moisture= 0</v>
      </c>
      <c r="BN596" s="41"/>
      <c r="BO596" s="44" t="str">
        <f t="shared" si="402"/>
        <v xml:space="preserve"> Party Condition 42  ,F.M% 0.31 ,Greenish 3.12 ,Moisture 5.6 ,Shortage in KG= 0  ,Oil% 40.03</v>
      </c>
      <c r="BP596" s="45">
        <f t="shared" si="403"/>
        <v>7435.0959523809524</v>
      </c>
      <c r="BX596" s="30">
        <v>40.06</v>
      </c>
      <c r="BY596" s="30">
        <v>40.020000000000003</v>
      </c>
      <c r="CB596" s="57">
        <f t="shared" si="411"/>
        <v>0</v>
      </c>
    </row>
    <row r="597" spans="1:80" ht="14.1" hidden="1" customHeight="1" x14ac:dyDescent="0.3">
      <c r="A597" s="128" t="s">
        <v>1247</v>
      </c>
      <c r="B597" s="130">
        <v>46162</v>
      </c>
      <c r="C597" s="138">
        <v>572</v>
      </c>
      <c r="D597" s="128" t="s">
        <v>1261</v>
      </c>
      <c r="E597" s="130">
        <v>46164</v>
      </c>
      <c r="F597" s="128" t="s">
        <v>95</v>
      </c>
      <c r="G597" s="128" t="s">
        <v>96</v>
      </c>
      <c r="H597" s="128" t="s">
        <v>97</v>
      </c>
      <c r="I597" s="157"/>
      <c r="J597" s="128" t="s">
        <v>113</v>
      </c>
      <c r="K597" s="163">
        <v>0</v>
      </c>
      <c r="L597" s="130">
        <v>46162</v>
      </c>
      <c r="M597" s="136"/>
      <c r="N597" s="128">
        <v>183</v>
      </c>
      <c r="O597" s="130">
        <v>46163</v>
      </c>
      <c r="P597" s="128">
        <v>0</v>
      </c>
      <c r="Q597" s="128">
        <v>318</v>
      </c>
      <c r="R597" s="128">
        <v>200</v>
      </c>
      <c r="S597" s="128">
        <v>518</v>
      </c>
      <c r="T597" s="128">
        <v>518</v>
      </c>
      <c r="U597" s="163">
        <v>0</v>
      </c>
      <c r="V597" s="163"/>
      <c r="W597" s="169">
        <v>310.8</v>
      </c>
      <c r="X597" s="169">
        <v>313.5</v>
      </c>
      <c r="Y597" s="169">
        <v>2435916.7599999998</v>
      </c>
      <c r="Z597" s="128"/>
      <c r="AA597" s="128">
        <v>60897.919999999998</v>
      </c>
      <c r="AB597" s="128">
        <v>60897.919999999998</v>
      </c>
      <c r="AC597" s="128">
        <v>2557712.6</v>
      </c>
      <c r="AD597" s="197">
        <f t="shared" si="387"/>
        <v>2555154.8873999999</v>
      </c>
      <c r="AE597" s="147">
        <v>40.17</v>
      </c>
      <c r="AF597" s="169">
        <v>40.450000000000003</v>
      </c>
      <c r="AG597" s="147">
        <v>40.14</v>
      </c>
      <c r="AH597" s="170">
        <v>2.5999999999999999E-3</v>
      </c>
      <c r="AI597" s="170">
        <v>3.1800000000000002E-2</v>
      </c>
      <c r="AJ597" s="170">
        <v>0.05</v>
      </c>
      <c r="AK597" s="155">
        <f t="shared" ref="AK597:AK660" si="413">+IF(AF597=42,IF(MIN(AE597,AG597)&lt;AF597,Y597*((AF597-MIN(AE597,AG597))/AF597)),IF(MIN(AE597,AG597)&lt;AF597,Y597*((AF597-MIN(AE597,AG597))/AF597),0))</f>
        <v>18668.336108776402</v>
      </c>
      <c r="AL597" s="157">
        <v>0</v>
      </c>
      <c r="AM597" s="157"/>
      <c r="AN597" s="199">
        <v>0</v>
      </c>
      <c r="AO597" s="156">
        <f t="shared" ref="AO597:AO637" si="414">AT597*Y597/AW597</f>
        <v>5407.9233088803085</v>
      </c>
      <c r="AP597" s="157"/>
      <c r="AQ597" s="155">
        <v>0</v>
      </c>
      <c r="AR597" s="155">
        <f t="shared" ref="AR597:AR637" si="415">SUM(AK597:AQ597)</f>
        <v>24076.259417656711</v>
      </c>
      <c r="AS597" s="155">
        <f t="shared" ref="AS597:AS637" si="416">ROUND(AR597*1.05,0)</f>
        <v>25280</v>
      </c>
      <c r="AT597" s="155">
        <v>69</v>
      </c>
      <c r="AU597" s="157" t="s">
        <v>664</v>
      </c>
      <c r="AV597" s="157"/>
      <c r="AW597" s="155">
        <f t="shared" ref="AW597:AW637" si="417">W597*100</f>
        <v>31080</v>
      </c>
      <c r="AX597" s="157"/>
      <c r="AY597" s="155">
        <f t="shared" ref="AY597:AY637" si="418">+AW597+AX597</f>
        <v>31080</v>
      </c>
      <c r="AZ597" s="155">
        <f t="shared" ref="AZ597:AZ637" si="419">X597*100</f>
        <v>31350</v>
      </c>
      <c r="BA597" s="242">
        <f t="shared" ref="BA597:BA637" si="420">AY597-AZ597</f>
        <v>-270</v>
      </c>
      <c r="BB597" s="246">
        <f t="shared" ref="BB597:BB637" si="421">AW597*2/1000</f>
        <v>62.16</v>
      </c>
      <c r="BC597" s="155">
        <v>0</v>
      </c>
      <c r="BD597" s="157"/>
      <c r="BE597" s="169">
        <v>314.2</v>
      </c>
      <c r="BF597" s="197">
        <f t="shared" ref="BF597:BF635" si="422">+BE597*0.15/100</f>
        <v>0.47129999999999994</v>
      </c>
      <c r="BG597" s="197">
        <f t="shared" ref="BG597:BG635" si="423">BE597-BF597</f>
        <v>313.7287</v>
      </c>
      <c r="BH597" s="197">
        <f t="shared" ref="BH597:BH635" si="424">X597</f>
        <v>313.5</v>
      </c>
      <c r="BI597" s="243">
        <f t="shared" ref="BI597:BI635" si="425">(BE597-BH597)*100</f>
        <v>69.999999999998863</v>
      </c>
      <c r="BJ597" s="243">
        <v>0</v>
      </c>
      <c r="BK597" s="155">
        <f t="shared" ref="BK597:BK635" si="426">BI597</f>
        <v>69.999999999998863</v>
      </c>
      <c r="BL597" s="47"/>
      <c r="BM597" s="48" t="str">
        <f t="shared" ref="BM597:BM635" si="427">+$C$1&amp;" "&amp;C597 &amp;" "&amp;$N$1&amp;" "&amp;N597&amp;" "&amp;$BM$1&amp;" "&amp;$AK$1&amp;" "&amp;AK597&amp;" "&amp;$AL$1&amp;" "&amp;AL597&amp;" "&amp;$AM$1&amp;" "&amp;AM597&amp;" "&amp;$AN$1&amp;" "&amp;AN597&amp;" "&amp;$AO$1&amp;" "&amp;AO597&amp;" "&amp;$AP$1&amp;" "&amp;AP597&amp;" "&amp;$AQ$1&amp;" "&amp;AQ597</f>
        <v>Unloading no. 572 Bill No 183 ,Deduction For Oil Deduction= 18668.3361087764 ,Bardana= 0 ,F.M=  Brokerage/Rate Difference 0 ,Shortage = 5407.92330888031 ,Greenish=  ,Moisture= 0</v>
      </c>
      <c r="BN597" s="41"/>
      <c r="BO597" s="44" t="str">
        <f t="shared" ref="BO597:BO635" si="428">+" "&amp;$AF$1&amp;" "&amp;AF597&amp;" "&amp;" "&amp;$AH$1&amp;" "&amp;AH597*100&amp;" "&amp;$AI$1&amp;" "&amp;AI597*100&amp;" "&amp;$AJ$1&amp;" "&amp;AJ597*100&amp;" ,"&amp;$AT$1&amp;" "&amp;AT597&amp;" "&amp;IF(AE597&gt;AG597," ,Oil%"&amp;" "&amp;AG597," ,Oil%"&amp;" "&amp;AE597)</f>
        <v xml:space="preserve"> Party Condition 40.45  ,F.M% 0.26 ,Greenish 3.18 ,Moisture 5 ,Shortage in KG= 69  ,Oil% 40.14</v>
      </c>
      <c r="BP597" s="45">
        <f t="shared" ref="BP597:BP635" si="429">(Y597-AR597)/X597</f>
        <v>7693.2711342339489</v>
      </c>
      <c r="BX597" s="27">
        <v>40.17</v>
      </c>
      <c r="BY597" s="27">
        <v>40.14</v>
      </c>
    </row>
    <row r="598" spans="1:80" ht="14.1" hidden="1" customHeight="1" x14ac:dyDescent="0.3">
      <c r="A598" s="128" t="s">
        <v>1248</v>
      </c>
      <c r="B598" s="130">
        <v>46163</v>
      </c>
      <c r="C598" s="138">
        <v>573</v>
      </c>
      <c r="D598" s="128" t="s">
        <v>1262</v>
      </c>
      <c r="E598" s="130">
        <v>46164</v>
      </c>
      <c r="F598" s="128" t="s">
        <v>436</v>
      </c>
      <c r="G598" s="128" t="s">
        <v>437</v>
      </c>
      <c r="H598" s="128" t="s">
        <v>438</v>
      </c>
      <c r="I598" s="157"/>
      <c r="J598" s="128" t="s">
        <v>113</v>
      </c>
      <c r="K598" s="163">
        <v>0</v>
      </c>
      <c r="L598" s="130">
        <v>46163</v>
      </c>
      <c r="M598" s="136"/>
      <c r="N598" s="128">
        <v>105</v>
      </c>
      <c r="O598" s="130">
        <v>46163</v>
      </c>
      <c r="P598" s="128">
        <v>0</v>
      </c>
      <c r="Q598" s="128">
        <v>385</v>
      </c>
      <c r="R598" s="128">
        <v>80</v>
      </c>
      <c r="S598" s="128">
        <v>465</v>
      </c>
      <c r="T598" s="128">
        <v>465</v>
      </c>
      <c r="U598" s="163">
        <v>0</v>
      </c>
      <c r="V598" s="163"/>
      <c r="W598" s="169">
        <v>279</v>
      </c>
      <c r="X598" s="169">
        <v>283.2</v>
      </c>
      <c r="Y598" s="169">
        <v>2143819.2599999998</v>
      </c>
      <c r="Z598" s="128"/>
      <c r="AA598" s="128">
        <v>53595.48</v>
      </c>
      <c r="AB598" s="128">
        <v>53595.48</v>
      </c>
      <c r="AC598" s="128">
        <v>2251010.2200000002</v>
      </c>
      <c r="AD598" s="197">
        <f t="shared" si="387"/>
        <v>2248759.2097800002</v>
      </c>
      <c r="AE598" s="147">
        <v>40.08</v>
      </c>
      <c r="AF598" s="169">
        <v>39.9</v>
      </c>
      <c r="AG598" s="147">
        <v>40.19</v>
      </c>
      <c r="AH598" s="170">
        <v>2.8E-3</v>
      </c>
      <c r="AI598" s="170">
        <v>4.4999999999999998E-2</v>
      </c>
      <c r="AJ598" s="170">
        <v>4.7E-2</v>
      </c>
      <c r="AK598" s="155">
        <f t="shared" si="413"/>
        <v>0</v>
      </c>
      <c r="AL598" s="157">
        <v>0</v>
      </c>
      <c r="AM598" s="157"/>
      <c r="AN598" s="199">
        <v>0</v>
      </c>
      <c r="AO598" s="156">
        <f t="shared" si="414"/>
        <v>0</v>
      </c>
      <c r="AP598" s="157"/>
      <c r="AQ598" s="155">
        <v>0</v>
      </c>
      <c r="AR598" s="155">
        <f t="shared" si="415"/>
        <v>0</v>
      </c>
      <c r="AS598" s="155">
        <f t="shared" si="416"/>
        <v>0</v>
      </c>
      <c r="AT598" s="155">
        <v>0</v>
      </c>
      <c r="AU598" s="157" t="s">
        <v>1246</v>
      </c>
      <c r="AV598" s="157"/>
      <c r="AW598" s="155">
        <f t="shared" si="417"/>
        <v>27900</v>
      </c>
      <c r="AX598" s="157"/>
      <c r="AY598" s="155">
        <f t="shared" si="418"/>
        <v>27900</v>
      </c>
      <c r="AZ598" s="155">
        <f t="shared" si="419"/>
        <v>28320</v>
      </c>
      <c r="BA598" s="242">
        <f t="shared" si="420"/>
        <v>-420</v>
      </c>
      <c r="BB598" s="246">
        <f t="shared" si="421"/>
        <v>55.8</v>
      </c>
      <c r="BC598" s="155">
        <v>0</v>
      </c>
      <c r="BD598" s="157"/>
      <c r="BE598" s="169">
        <v>283.25</v>
      </c>
      <c r="BF598" s="197">
        <f t="shared" si="422"/>
        <v>0.42487499999999995</v>
      </c>
      <c r="BG598" s="197">
        <f t="shared" si="423"/>
        <v>282.82512500000001</v>
      </c>
      <c r="BH598" s="197">
        <f t="shared" si="424"/>
        <v>283.2</v>
      </c>
      <c r="BI598" s="243">
        <f t="shared" si="425"/>
        <v>5.0000000000011369</v>
      </c>
      <c r="BJ598" s="243">
        <v>0</v>
      </c>
      <c r="BK598" s="155">
        <f t="shared" si="426"/>
        <v>5.0000000000011369</v>
      </c>
      <c r="BL598" s="47"/>
      <c r="BM598" s="48" t="str">
        <f t="shared" si="427"/>
        <v>Unloading no. 573 Bill No 105 ,Deduction For Oil Deduction= 0 ,Bardana= 0 ,F.M=  Brokerage/Rate Difference 0 ,Shortage = 0 ,Greenish=  ,Moisture= 0</v>
      </c>
      <c r="BN598" s="41"/>
      <c r="BO598" s="44" t="str">
        <f t="shared" si="428"/>
        <v xml:space="preserve"> Party Condition 39.9  ,F.M% 0.28 ,Greenish 4.5 ,Moisture 4.7 ,Shortage in KG= 0  ,Oil% 40.08</v>
      </c>
      <c r="BP598" s="45">
        <f t="shared" si="429"/>
        <v>7569.983262711864</v>
      </c>
      <c r="BX598" s="27">
        <v>40.08</v>
      </c>
      <c r="BY598" s="27">
        <v>40.19</v>
      </c>
    </row>
    <row r="599" spans="1:80" ht="14.1" hidden="1" customHeight="1" x14ac:dyDescent="0.3">
      <c r="A599" s="128" t="s">
        <v>1137</v>
      </c>
      <c r="B599" s="129">
        <v>46160</v>
      </c>
      <c r="C599" s="138">
        <v>574</v>
      </c>
      <c r="D599" s="128" t="s">
        <v>1263</v>
      </c>
      <c r="E599" s="130">
        <v>46164</v>
      </c>
      <c r="F599" s="128" t="s">
        <v>1144</v>
      </c>
      <c r="G599" s="128" t="s">
        <v>1145</v>
      </c>
      <c r="H599" s="128" t="s">
        <v>100</v>
      </c>
      <c r="I599" s="157"/>
      <c r="J599" s="128" t="s">
        <v>1146</v>
      </c>
      <c r="K599" s="163">
        <v>0</v>
      </c>
      <c r="L599" s="130">
        <v>46160</v>
      </c>
      <c r="M599" s="136"/>
      <c r="N599" s="128" t="s">
        <v>1303</v>
      </c>
      <c r="O599" s="130">
        <v>46164</v>
      </c>
      <c r="P599" s="128">
        <v>0</v>
      </c>
      <c r="Q599" s="128">
        <v>120</v>
      </c>
      <c r="R599" s="128">
        <v>30</v>
      </c>
      <c r="S599" s="128">
        <v>150</v>
      </c>
      <c r="T599" s="128">
        <v>150</v>
      </c>
      <c r="U599" s="163">
        <v>0</v>
      </c>
      <c r="V599" s="163"/>
      <c r="W599" s="169">
        <v>88.8</v>
      </c>
      <c r="X599" s="169">
        <v>88.7</v>
      </c>
      <c r="Y599" s="169">
        <v>692728.8</v>
      </c>
      <c r="Z599" s="262">
        <v>39.67</v>
      </c>
      <c r="AA599" s="128">
        <v>17318.22</v>
      </c>
      <c r="AB599" s="128">
        <v>17318.22</v>
      </c>
      <c r="AC599" s="128">
        <v>727365.24</v>
      </c>
      <c r="AD599" s="197">
        <f t="shared" si="387"/>
        <v>726637.87476000004</v>
      </c>
      <c r="AE599" s="147">
        <v>39.67</v>
      </c>
      <c r="AF599" s="169">
        <v>42</v>
      </c>
      <c r="AG599" s="147">
        <v>39.67</v>
      </c>
      <c r="AH599" s="170">
        <v>2.5000000000000001E-3</v>
      </c>
      <c r="AI599" s="170">
        <v>3.2500000000000001E-2</v>
      </c>
      <c r="AJ599" s="170">
        <v>4.7E-2</v>
      </c>
      <c r="AK599" s="155">
        <f t="shared" si="413"/>
        <v>38429.954857142831</v>
      </c>
      <c r="AL599" s="157">
        <v>0</v>
      </c>
      <c r="AM599" s="157"/>
      <c r="AN599" s="199">
        <v>0</v>
      </c>
      <c r="AO599" s="156">
        <f t="shared" si="414"/>
        <v>0</v>
      </c>
      <c r="AP599" s="157"/>
      <c r="AQ599" s="155">
        <v>0</v>
      </c>
      <c r="AR599" s="155">
        <f t="shared" si="415"/>
        <v>38429.954857142831</v>
      </c>
      <c r="AS599" s="155">
        <f t="shared" si="416"/>
        <v>40351</v>
      </c>
      <c r="AT599" s="155">
        <v>0</v>
      </c>
      <c r="AU599" s="157"/>
      <c r="AV599" s="157"/>
      <c r="AW599" s="155">
        <f t="shared" si="417"/>
        <v>8880</v>
      </c>
      <c r="AX599" s="157"/>
      <c r="AY599" s="155">
        <f t="shared" si="418"/>
        <v>8880</v>
      </c>
      <c r="AZ599" s="155">
        <f t="shared" si="419"/>
        <v>8870</v>
      </c>
      <c r="BA599" s="242">
        <f t="shared" si="420"/>
        <v>10</v>
      </c>
      <c r="BB599" s="246">
        <f t="shared" si="421"/>
        <v>17.760000000000002</v>
      </c>
      <c r="BC599" s="155">
        <v>0</v>
      </c>
      <c r="BD599" s="157"/>
      <c r="BE599" s="169">
        <v>88.8</v>
      </c>
      <c r="BF599" s="197">
        <f t="shared" si="422"/>
        <v>0.13319999999999999</v>
      </c>
      <c r="BG599" s="197">
        <f t="shared" si="423"/>
        <v>88.666799999999995</v>
      </c>
      <c r="BH599" s="197">
        <f t="shared" si="424"/>
        <v>88.7</v>
      </c>
      <c r="BI599" s="243">
        <f t="shared" si="425"/>
        <v>9.9999999999994316</v>
      </c>
      <c r="BJ599" s="243">
        <v>0</v>
      </c>
      <c r="BK599" s="155">
        <f t="shared" si="426"/>
        <v>9.9999999999994316</v>
      </c>
      <c r="BL599" s="47"/>
      <c r="BM599" s="48" t="str">
        <f t="shared" si="427"/>
        <v>Unloading no. 574 Bill No 2026-27/66 ,Deduction For Oil Deduction= 38429.9548571428 ,Bardana= 0 ,F.M=  Brokerage/Rate Difference 0 ,Shortage = 0 ,Greenish=  ,Moisture= 0</v>
      </c>
      <c r="BN599" s="41"/>
      <c r="BO599" s="44" t="str">
        <f t="shared" si="428"/>
        <v xml:space="preserve"> Party Condition 42  ,F.M% 0.25 ,Greenish 3.25 ,Moisture 4.7 ,Shortage in KG= 0  ,Oil% 39.67</v>
      </c>
      <c r="BP599" s="45">
        <f t="shared" si="429"/>
        <v>7376.5371492994045</v>
      </c>
      <c r="BX599" s="27">
        <v>39.57</v>
      </c>
      <c r="BY599" s="27">
        <v>39.35</v>
      </c>
      <c r="CA599" s="57">
        <f>Z599-AE599</f>
        <v>0</v>
      </c>
    </row>
    <row r="600" spans="1:80" ht="14.1" hidden="1" customHeight="1" x14ac:dyDescent="0.3">
      <c r="A600" s="128" t="s">
        <v>1137</v>
      </c>
      <c r="B600" s="129">
        <v>46160</v>
      </c>
      <c r="C600" s="138">
        <v>575</v>
      </c>
      <c r="D600" s="128" t="s">
        <v>1264</v>
      </c>
      <c r="E600" s="130">
        <v>46164</v>
      </c>
      <c r="F600" s="128" t="s">
        <v>1144</v>
      </c>
      <c r="G600" s="128" t="s">
        <v>1145</v>
      </c>
      <c r="H600" s="128" t="s">
        <v>100</v>
      </c>
      <c r="I600" s="157"/>
      <c r="J600" s="128" t="s">
        <v>1146</v>
      </c>
      <c r="K600" s="163">
        <v>0</v>
      </c>
      <c r="L600" s="130">
        <v>46160</v>
      </c>
      <c r="M600" s="136"/>
      <c r="N600" s="128" t="s">
        <v>1304</v>
      </c>
      <c r="O600" s="130">
        <v>46164</v>
      </c>
      <c r="P600" s="128">
        <v>0</v>
      </c>
      <c r="Q600" s="128">
        <v>110</v>
      </c>
      <c r="R600" s="128">
        <v>40</v>
      </c>
      <c r="S600" s="128">
        <v>150</v>
      </c>
      <c r="T600" s="128">
        <v>150</v>
      </c>
      <c r="U600" s="163">
        <v>0</v>
      </c>
      <c r="V600" s="163"/>
      <c r="W600" s="169">
        <v>89.2</v>
      </c>
      <c r="X600" s="169">
        <v>89.1</v>
      </c>
      <c r="Y600" s="169">
        <v>695849.2</v>
      </c>
      <c r="Z600" s="262">
        <v>39.75</v>
      </c>
      <c r="AA600" s="128">
        <v>17396.23</v>
      </c>
      <c r="AB600" s="128">
        <v>17396.23</v>
      </c>
      <c r="AC600" s="128">
        <v>730641.66</v>
      </c>
      <c r="AD600" s="197">
        <f t="shared" si="387"/>
        <v>729911.01834000007</v>
      </c>
      <c r="AE600" s="147">
        <v>39.75</v>
      </c>
      <c r="AF600" s="169">
        <v>42</v>
      </c>
      <c r="AG600" s="147">
        <v>39.75</v>
      </c>
      <c r="AH600" s="170">
        <v>3.2000000000000002E-3</v>
      </c>
      <c r="AI600" s="170">
        <v>3.7499999999999999E-2</v>
      </c>
      <c r="AJ600" s="170">
        <v>4.7E-2</v>
      </c>
      <c r="AK600" s="155">
        <f t="shared" si="413"/>
        <v>37277.635714285709</v>
      </c>
      <c r="AL600" s="157">
        <v>0</v>
      </c>
      <c r="AM600" s="157"/>
      <c r="AN600" s="199">
        <v>0</v>
      </c>
      <c r="AO600" s="156">
        <f t="shared" si="414"/>
        <v>0</v>
      </c>
      <c r="AP600" s="157"/>
      <c r="AQ600" s="155">
        <v>0</v>
      </c>
      <c r="AR600" s="155">
        <f t="shared" si="415"/>
        <v>37277.635714285709</v>
      </c>
      <c r="AS600" s="155">
        <f t="shared" si="416"/>
        <v>39142</v>
      </c>
      <c r="AT600" s="155">
        <v>0</v>
      </c>
      <c r="AU600" s="157"/>
      <c r="AV600" s="157"/>
      <c r="AW600" s="155">
        <f t="shared" si="417"/>
        <v>8920</v>
      </c>
      <c r="AX600" s="157"/>
      <c r="AY600" s="155">
        <f t="shared" si="418"/>
        <v>8920</v>
      </c>
      <c r="AZ600" s="155">
        <f t="shared" si="419"/>
        <v>8910</v>
      </c>
      <c r="BA600" s="242">
        <f t="shared" si="420"/>
        <v>10</v>
      </c>
      <c r="BB600" s="246">
        <f t="shared" si="421"/>
        <v>17.84</v>
      </c>
      <c r="BC600" s="155">
        <v>0</v>
      </c>
      <c r="BD600" s="157"/>
      <c r="BE600" s="169">
        <v>89.2</v>
      </c>
      <c r="BF600" s="197">
        <f t="shared" si="422"/>
        <v>0.1338</v>
      </c>
      <c r="BG600" s="197">
        <f t="shared" si="423"/>
        <v>89.066200000000009</v>
      </c>
      <c r="BH600" s="197">
        <f t="shared" si="424"/>
        <v>89.1</v>
      </c>
      <c r="BI600" s="243">
        <f t="shared" si="425"/>
        <v>10.000000000000853</v>
      </c>
      <c r="BJ600" s="243">
        <v>0</v>
      </c>
      <c r="BK600" s="155">
        <f t="shared" si="426"/>
        <v>10.000000000000853</v>
      </c>
      <c r="BL600" s="47"/>
      <c r="BM600" s="48" t="str">
        <f t="shared" si="427"/>
        <v>Unloading no. 575 Bill No 2026-27/65 ,Deduction For Oil Deduction= 37277.6357142857 ,Bardana= 0 ,F.M=  Brokerage/Rate Difference 0 ,Shortage = 0 ,Greenish=  ,Moisture= 0</v>
      </c>
      <c r="BN600" s="41"/>
      <c r="BO600" s="44" t="str">
        <f t="shared" si="428"/>
        <v xml:space="preserve"> Party Condition 42  ,F.M% 0.32 ,Greenish 3.75 ,Moisture 4.7 ,Shortage in KG= 0  ,Oil% 39.75</v>
      </c>
      <c r="BP600" s="45">
        <f t="shared" si="429"/>
        <v>7391.3755812089148</v>
      </c>
      <c r="BX600" s="27">
        <v>39.53</v>
      </c>
      <c r="BY600" s="27">
        <v>39.549999999999997</v>
      </c>
      <c r="CA600" s="57">
        <f t="shared" ref="CA600:CA611" si="430">Z600-AE600</f>
        <v>0</v>
      </c>
    </row>
    <row r="601" spans="1:80" ht="14.1" hidden="1" customHeight="1" x14ac:dyDescent="0.3">
      <c r="A601" s="128" t="s">
        <v>1137</v>
      </c>
      <c r="B601" s="129">
        <v>46160</v>
      </c>
      <c r="C601" s="138">
        <v>576</v>
      </c>
      <c r="D601" s="128" t="s">
        <v>1265</v>
      </c>
      <c r="E601" s="130">
        <v>46164</v>
      </c>
      <c r="F601" s="128" t="s">
        <v>1144</v>
      </c>
      <c r="G601" s="128" t="s">
        <v>1145</v>
      </c>
      <c r="H601" s="128" t="s">
        <v>100</v>
      </c>
      <c r="I601" s="157"/>
      <c r="J601" s="128" t="s">
        <v>1146</v>
      </c>
      <c r="K601" s="163">
        <v>0</v>
      </c>
      <c r="L601" s="130">
        <v>46160</v>
      </c>
      <c r="M601" s="136"/>
      <c r="N601" s="128" t="s">
        <v>1305</v>
      </c>
      <c r="O601" s="130">
        <v>46164</v>
      </c>
      <c r="P601" s="128">
        <v>0</v>
      </c>
      <c r="Q601" s="128">
        <v>125</v>
      </c>
      <c r="R601" s="128">
        <v>25</v>
      </c>
      <c r="S601" s="128">
        <v>150</v>
      </c>
      <c r="T601" s="128">
        <v>150</v>
      </c>
      <c r="U601" s="163">
        <v>0</v>
      </c>
      <c r="V601" s="163"/>
      <c r="W601" s="169">
        <v>90.6</v>
      </c>
      <c r="X601" s="169">
        <v>90.4</v>
      </c>
      <c r="Y601" s="169">
        <v>706770.6</v>
      </c>
      <c r="Z601" s="262">
        <v>39.71</v>
      </c>
      <c r="AA601" s="128">
        <v>17669.27</v>
      </c>
      <c r="AB601" s="128">
        <v>17669.27</v>
      </c>
      <c r="AC601" s="128">
        <v>742109.13</v>
      </c>
      <c r="AD601" s="197">
        <f t="shared" si="387"/>
        <v>741367.02087000001</v>
      </c>
      <c r="AE601" s="147">
        <v>39.71</v>
      </c>
      <c r="AF601" s="169">
        <v>42</v>
      </c>
      <c r="AG601" s="147">
        <v>39.71</v>
      </c>
      <c r="AH601" s="170">
        <v>3.0000000000000001E-3</v>
      </c>
      <c r="AI601" s="170">
        <v>0.03</v>
      </c>
      <c r="AJ601" s="170">
        <v>4.8000000000000001E-2</v>
      </c>
      <c r="AK601" s="155">
        <f t="shared" si="413"/>
        <v>38535.825571428555</v>
      </c>
      <c r="AL601" s="157">
        <v>0</v>
      </c>
      <c r="AM601" s="157"/>
      <c r="AN601" s="199">
        <v>0</v>
      </c>
      <c r="AO601" s="156">
        <f t="shared" si="414"/>
        <v>146.6587999999999</v>
      </c>
      <c r="AP601" s="157"/>
      <c r="AQ601" s="155">
        <v>0</v>
      </c>
      <c r="AR601" s="155">
        <f t="shared" si="415"/>
        <v>38682.484371428553</v>
      </c>
      <c r="AS601" s="155">
        <f t="shared" si="416"/>
        <v>40617</v>
      </c>
      <c r="AT601" s="155">
        <f t="shared" ref="AT601:AT605" si="431">BA601-BB601</f>
        <v>1.879999999999999</v>
      </c>
      <c r="AU601" s="157"/>
      <c r="AV601" s="157"/>
      <c r="AW601" s="155">
        <f t="shared" si="417"/>
        <v>9060</v>
      </c>
      <c r="AX601" s="157"/>
      <c r="AY601" s="155">
        <f t="shared" si="418"/>
        <v>9060</v>
      </c>
      <c r="AZ601" s="155">
        <f t="shared" si="419"/>
        <v>9040</v>
      </c>
      <c r="BA601" s="242">
        <f t="shared" si="420"/>
        <v>20</v>
      </c>
      <c r="BB601" s="246">
        <f t="shared" si="421"/>
        <v>18.12</v>
      </c>
      <c r="BC601" s="155">
        <v>0</v>
      </c>
      <c r="BD601" s="157"/>
      <c r="BE601" s="169">
        <v>90.6</v>
      </c>
      <c r="BF601" s="197">
        <f t="shared" si="422"/>
        <v>0.13589999999999999</v>
      </c>
      <c r="BG601" s="197">
        <f t="shared" si="423"/>
        <v>90.464099999999988</v>
      </c>
      <c r="BH601" s="197">
        <f t="shared" si="424"/>
        <v>90.4</v>
      </c>
      <c r="BI601" s="243">
        <f t="shared" si="425"/>
        <v>19.999999999998863</v>
      </c>
      <c r="BJ601" s="243">
        <v>0</v>
      </c>
      <c r="BK601" s="155">
        <f t="shared" si="426"/>
        <v>19.999999999998863</v>
      </c>
      <c r="BL601" s="47"/>
      <c r="BM601" s="48" t="str">
        <f t="shared" si="427"/>
        <v>Unloading no. 576 Bill No 2026-27/68 ,Deduction For Oil Deduction= 38535.8255714286 ,Bardana= 0 ,F.M=  Brokerage/Rate Difference 0 ,Shortage = 146.6588 ,Greenish=  ,Moisture= 0</v>
      </c>
      <c r="BN601" s="41"/>
      <c r="BO601" s="44" t="str">
        <f t="shared" si="428"/>
        <v xml:space="preserve"> Party Condition 42  ,F.M% 0.3 ,Greenish 3 ,Moisture 4.8 ,Shortage in KG= 1.88  ,Oil% 39.71</v>
      </c>
      <c r="BP601" s="45">
        <f t="shared" si="429"/>
        <v>7390.355261378003</v>
      </c>
      <c r="BX601" s="27">
        <v>39.58</v>
      </c>
      <c r="BY601" s="27">
        <v>39.549999999999997</v>
      </c>
      <c r="CA601" s="57">
        <f t="shared" si="430"/>
        <v>0</v>
      </c>
    </row>
    <row r="602" spans="1:80" ht="14.1" hidden="1" customHeight="1" x14ac:dyDescent="0.3">
      <c r="A602" s="128" t="s">
        <v>1137</v>
      </c>
      <c r="B602" s="129">
        <v>46160</v>
      </c>
      <c r="C602" s="138">
        <v>577</v>
      </c>
      <c r="D602" s="128" t="s">
        <v>1266</v>
      </c>
      <c r="E602" s="130">
        <v>46164</v>
      </c>
      <c r="F602" s="128" t="s">
        <v>1144</v>
      </c>
      <c r="G602" s="128" t="s">
        <v>1145</v>
      </c>
      <c r="H602" s="128" t="s">
        <v>100</v>
      </c>
      <c r="I602" s="157"/>
      <c r="J602" s="128" t="s">
        <v>1146</v>
      </c>
      <c r="K602" s="163">
        <v>0</v>
      </c>
      <c r="L602" s="130">
        <v>46160</v>
      </c>
      <c r="M602" s="136"/>
      <c r="N602" s="128" t="s">
        <v>1306</v>
      </c>
      <c r="O602" s="130">
        <v>46164</v>
      </c>
      <c r="P602" s="128">
        <v>0</v>
      </c>
      <c r="Q602" s="128">
        <v>110</v>
      </c>
      <c r="R602" s="128">
        <v>40</v>
      </c>
      <c r="S602" s="128">
        <v>150</v>
      </c>
      <c r="T602" s="128">
        <v>150</v>
      </c>
      <c r="U602" s="163">
        <v>0</v>
      </c>
      <c r="V602" s="163"/>
      <c r="W602" s="169">
        <v>90.1</v>
      </c>
      <c r="X602" s="169">
        <v>90</v>
      </c>
      <c r="Y602" s="169">
        <v>702870.1</v>
      </c>
      <c r="Z602" s="262">
        <v>39.869999999999997</v>
      </c>
      <c r="AA602" s="128">
        <v>17571.75</v>
      </c>
      <c r="AB602" s="128">
        <v>17571.75</v>
      </c>
      <c r="AC602" s="128">
        <v>738013.61</v>
      </c>
      <c r="AD602" s="197">
        <f t="shared" si="387"/>
        <v>737275.59638999996</v>
      </c>
      <c r="AE602" s="147">
        <v>39.869999999999997</v>
      </c>
      <c r="AF602" s="169">
        <v>42</v>
      </c>
      <c r="AG602" s="147">
        <v>39.869999999999997</v>
      </c>
      <c r="AH602" s="170">
        <v>2.8E-3</v>
      </c>
      <c r="AI602" s="170">
        <v>3.6999999999999998E-2</v>
      </c>
      <c r="AJ602" s="170">
        <v>4.9000000000000002E-2</v>
      </c>
      <c r="AK602" s="155">
        <f t="shared" si="413"/>
        <v>35645.555071428615</v>
      </c>
      <c r="AL602" s="157">
        <v>0</v>
      </c>
      <c r="AM602" s="157"/>
      <c r="AN602" s="199">
        <v>0</v>
      </c>
      <c r="AO602" s="156">
        <f t="shared" si="414"/>
        <v>0</v>
      </c>
      <c r="AP602" s="157"/>
      <c r="AQ602" s="155">
        <v>0</v>
      </c>
      <c r="AR602" s="155">
        <f t="shared" si="415"/>
        <v>35645.555071428615</v>
      </c>
      <c r="AS602" s="155">
        <f t="shared" si="416"/>
        <v>37428</v>
      </c>
      <c r="AT602" s="155">
        <v>0</v>
      </c>
      <c r="AU602" s="157"/>
      <c r="AV602" s="157"/>
      <c r="AW602" s="155">
        <f t="shared" si="417"/>
        <v>9010</v>
      </c>
      <c r="AX602" s="157"/>
      <c r="AY602" s="155">
        <f t="shared" si="418"/>
        <v>9010</v>
      </c>
      <c r="AZ602" s="155">
        <f t="shared" si="419"/>
        <v>9000</v>
      </c>
      <c r="BA602" s="242">
        <f t="shared" si="420"/>
        <v>10</v>
      </c>
      <c r="BB602" s="246">
        <f t="shared" si="421"/>
        <v>18.02</v>
      </c>
      <c r="BC602" s="155">
        <v>0</v>
      </c>
      <c r="BD602" s="157"/>
      <c r="BE602" s="169">
        <v>90.1</v>
      </c>
      <c r="BF602" s="197">
        <f t="shared" si="422"/>
        <v>0.13514999999999999</v>
      </c>
      <c r="BG602" s="197">
        <f t="shared" si="423"/>
        <v>89.964849999999998</v>
      </c>
      <c r="BH602" s="197">
        <f t="shared" si="424"/>
        <v>90</v>
      </c>
      <c r="BI602" s="243">
        <f t="shared" si="425"/>
        <v>9.9999999999994316</v>
      </c>
      <c r="BJ602" s="243">
        <v>0</v>
      </c>
      <c r="BK602" s="155">
        <f t="shared" si="426"/>
        <v>9.9999999999994316</v>
      </c>
      <c r="BL602" s="47"/>
      <c r="BM602" s="48" t="str">
        <f t="shared" si="427"/>
        <v>Unloading no. 577 Bill No 2026-27/67 ,Deduction For Oil Deduction= 35645.5550714286 ,Bardana= 0 ,F.M=  Brokerage/Rate Difference 0 ,Shortage = 0 ,Greenish=  ,Moisture= 0</v>
      </c>
      <c r="BN602" s="41"/>
      <c r="BO602" s="44" t="str">
        <f t="shared" si="428"/>
        <v xml:space="preserve"> Party Condition 42  ,F.M% 0.28 ,Greenish 3.7 ,Moisture 4.9 ,Shortage in KG= 0  ,Oil% 39.87</v>
      </c>
      <c r="BP602" s="45">
        <f t="shared" si="429"/>
        <v>7413.6060547619036</v>
      </c>
      <c r="BX602" s="27">
        <v>39.520000000000003</v>
      </c>
      <c r="BY602" s="27">
        <v>39.4</v>
      </c>
      <c r="CA602" s="57">
        <f t="shared" si="430"/>
        <v>0</v>
      </c>
    </row>
    <row r="603" spans="1:80" ht="14.1" hidden="1" customHeight="1" x14ac:dyDescent="0.3">
      <c r="A603" s="128" t="s">
        <v>1137</v>
      </c>
      <c r="B603" s="129">
        <v>46160</v>
      </c>
      <c r="C603" s="138">
        <v>578</v>
      </c>
      <c r="D603" s="128" t="s">
        <v>1267</v>
      </c>
      <c r="E603" s="130">
        <v>46164</v>
      </c>
      <c r="F603" s="128" t="s">
        <v>1144</v>
      </c>
      <c r="G603" s="128" t="s">
        <v>1145</v>
      </c>
      <c r="H603" s="128" t="s">
        <v>100</v>
      </c>
      <c r="I603" s="157"/>
      <c r="J603" s="128" t="s">
        <v>1146</v>
      </c>
      <c r="K603" s="163">
        <v>0</v>
      </c>
      <c r="L603" s="130">
        <v>46160</v>
      </c>
      <c r="M603" s="136"/>
      <c r="N603" s="128" t="s">
        <v>1307</v>
      </c>
      <c r="O603" s="130">
        <v>46164</v>
      </c>
      <c r="P603" s="128">
        <v>0</v>
      </c>
      <c r="Q603" s="128">
        <v>120</v>
      </c>
      <c r="R603" s="128">
        <v>30</v>
      </c>
      <c r="S603" s="128">
        <v>150</v>
      </c>
      <c r="T603" s="128">
        <v>150</v>
      </c>
      <c r="U603" s="163">
        <v>0</v>
      </c>
      <c r="V603" s="163"/>
      <c r="W603" s="169">
        <v>89.7</v>
      </c>
      <c r="X603" s="169">
        <v>89.5</v>
      </c>
      <c r="Y603" s="169">
        <v>699749.7</v>
      </c>
      <c r="Z603" s="262">
        <v>40.49</v>
      </c>
      <c r="AA603" s="128">
        <v>17493.740000000002</v>
      </c>
      <c r="AB603" s="128">
        <v>17493.740000000002</v>
      </c>
      <c r="AC603" s="128">
        <v>734737.19</v>
      </c>
      <c r="AD603" s="197">
        <f t="shared" si="387"/>
        <v>734002.45280999993</v>
      </c>
      <c r="AE603" s="147">
        <v>40.49</v>
      </c>
      <c r="AF603" s="169">
        <v>42</v>
      </c>
      <c r="AG603" s="147">
        <v>40.49</v>
      </c>
      <c r="AH603" s="170">
        <v>3.3E-3</v>
      </c>
      <c r="AI603" s="170">
        <v>3.2599999999999997E-2</v>
      </c>
      <c r="AJ603" s="170">
        <v>4.5999999999999999E-2</v>
      </c>
      <c r="AK603" s="155">
        <f t="shared" si="413"/>
        <v>25157.667785714249</v>
      </c>
      <c r="AL603" s="157">
        <v>0</v>
      </c>
      <c r="AM603" s="157"/>
      <c r="AN603" s="199">
        <v>0</v>
      </c>
      <c r="AO603" s="156">
        <f t="shared" si="414"/>
        <v>160.70059999999989</v>
      </c>
      <c r="AP603" s="157"/>
      <c r="AQ603" s="155">
        <v>0</v>
      </c>
      <c r="AR603" s="155">
        <f t="shared" si="415"/>
        <v>25318.36838571425</v>
      </c>
      <c r="AS603" s="155">
        <f t="shared" si="416"/>
        <v>26584</v>
      </c>
      <c r="AT603" s="155">
        <f t="shared" si="431"/>
        <v>2.0599999999999987</v>
      </c>
      <c r="AU603" s="157"/>
      <c r="AV603" s="157"/>
      <c r="AW603" s="155">
        <f t="shared" si="417"/>
        <v>8970</v>
      </c>
      <c r="AX603" s="157"/>
      <c r="AY603" s="155">
        <f t="shared" si="418"/>
        <v>8970</v>
      </c>
      <c r="AZ603" s="155">
        <f t="shared" si="419"/>
        <v>8950</v>
      </c>
      <c r="BA603" s="242">
        <f t="shared" si="420"/>
        <v>20</v>
      </c>
      <c r="BB603" s="246">
        <f t="shared" si="421"/>
        <v>17.940000000000001</v>
      </c>
      <c r="BC603" s="155">
        <v>0</v>
      </c>
      <c r="BD603" s="157"/>
      <c r="BE603" s="169">
        <v>89.7</v>
      </c>
      <c r="BF603" s="197">
        <f t="shared" si="422"/>
        <v>0.13455</v>
      </c>
      <c r="BG603" s="197">
        <f t="shared" si="423"/>
        <v>89.565449999999998</v>
      </c>
      <c r="BH603" s="197">
        <f t="shared" si="424"/>
        <v>89.5</v>
      </c>
      <c r="BI603" s="243">
        <f t="shared" si="425"/>
        <v>20.000000000000284</v>
      </c>
      <c r="BJ603" s="243">
        <v>0</v>
      </c>
      <c r="BK603" s="155">
        <f t="shared" si="426"/>
        <v>20.000000000000284</v>
      </c>
      <c r="BL603" s="47"/>
      <c r="BM603" s="48" t="str">
        <f t="shared" si="427"/>
        <v>Unloading no. 578 Bill No 2026-27/71 ,Deduction For Oil Deduction= 25157.6677857142 ,Bardana= 0 ,F.M=  Brokerage/Rate Difference 0 ,Shortage = 160.7006 ,Greenish=  ,Moisture= 0</v>
      </c>
      <c r="BN603" s="41"/>
      <c r="BO603" s="44" t="str">
        <f t="shared" si="428"/>
        <v xml:space="preserve"> Party Condition 42  ,F.M% 0.33 ,Greenish 3.26 ,Moisture 4.6 ,Shortage in KG= 2.06  ,Oil% 40.49</v>
      </c>
      <c r="BP603" s="45">
        <f t="shared" si="429"/>
        <v>7535.5456046288909</v>
      </c>
      <c r="BX603" s="27">
        <v>40.26</v>
      </c>
      <c r="BY603" s="27">
        <v>40.07</v>
      </c>
      <c r="CA603" s="57">
        <f t="shared" si="430"/>
        <v>0</v>
      </c>
    </row>
    <row r="604" spans="1:80" ht="14.1" hidden="1" customHeight="1" x14ac:dyDescent="0.3">
      <c r="A604" s="128" t="s">
        <v>1137</v>
      </c>
      <c r="B604" s="129">
        <v>46160</v>
      </c>
      <c r="C604" s="138">
        <v>579</v>
      </c>
      <c r="D604" s="128" t="s">
        <v>1268</v>
      </c>
      <c r="E604" s="130">
        <v>46164</v>
      </c>
      <c r="F604" s="128" t="s">
        <v>1144</v>
      </c>
      <c r="G604" s="128" t="s">
        <v>1145</v>
      </c>
      <c r="H604" s="128" t="s">
        <v>100</v>
      </c>
      <c r="I604" s="157"/>
      <c r="J604" s="128" t="s">
        <v>1146</v>
      </c>
      <c r="K604" s="163">
        <v>0</v>
      </c>
      <c r="L604" s="130">
        <v>46160</v>
      </c>
      <c r="M604" s="136"/>
      <c r="N604" s="128" t="s">
        <v>1308</v>
      </c>
      <c r="O604" s="130">
        <v>46164</v>
      </c>
      <c r="P604" s="128">
        <v>0</v>
      </c>
      <c r="Q604" s="128">
        <v>130</v>
      </c>
      <c r="R604" s="128">
        <v>20</v>
      </c>
      <c r="S604" s="128">
        <v>150</v>
      </c>
      <c r="T604" s="128">
        <v>150</v>
      </c>
      <c r="U604" s="163">
        <v>0</v>
      </c>
      <c r="V604" s="163"/>
      <c r="W604" s="169">
        <v>89</v>
      </c>
      <c r="X604" s="169">
        <v>88.8</v>
      </c>
      <c r="Y604" s="169">
        <v>694289</v>
      </c>
      <c r="Z604" s="262">
        <v>40.39</v>
      </c>
      <c r="AA604" s="128">
        <v>17357.23</v>
      </c>
      <c r="AB604" s="128">
        <v>17357.23</v>
      </c>
      <c r="AC604" s="128">
        <v>729003.45</v>
      </c>
      <c r="AD604" s="197">
        <f t="shared" si="387"/>
        <v>728274.44654999999</v>
      </c>
      <c r="AE604" s="147">
        <v>40.39</v>
      </c>
      <c r="AF604" s="169">
        <v>42</v>
      </c>
      <c r="AG604" s="147">
        <v>40.39</v>
      </c>
      <c r="AH604" s="170">
        <v>2.7000000000000001E-3</v>
      </c>
      <c r="AI604" s="170">
        <v>3.4000000000000002E-2</v>
      </c>
      <c r="AJ604" s="170">
        <v>4.8000000000000001E-2</v>
      </c>
      <c r="AK604" s="155">
        <f t="shared" si="413"/>
        <v>26614.411666666656</v>
      </c>
      <c r="AL604" s="157">
        <v>0</v>
      </c>
      <c r="AM604" s="157"/>
      <c r="AN604" s="199">
        <v>0</v>
      </c>
      <c r="AO604" s="156">
        <f t="shared" si="414"/>
        <v>171.62199999999996</v>
      </c>
      <c r="AP604" s="157"/>
      <c r="AQ604" s="155">
        <v>0</v>
      </c>
      <c r="AR604" s="155">
        <f t="shared" si="415"/>
        <v>26786.033666666655</v>
      </c>
      <c r="AS604" s="155">
        <f t="shared" si="416"/>
        <v>28125</v>
      </c>
      <c r="AT604" s="155">
        <f t="shared" si="431"/>
        <v>2.1999999999999993</v>
      </c>
      <c r="AU604" s="157"/>
      <c r="AV604" s="157"/>
      <c r="AW604" s="155">
        <f t="shared" si="417"/>
        <v>8900</v>
      </c>
      <c r="AX604" s="157"/>
      <c r="AY604" s="155">
        <f t="shared" si="418"/>
        <v>8900</v>
      </c>
      <c r="AZ604" s="155">
        <f t="shared" si="419"/>
        <v>8880</v>
      </c>
      <c r="BA604" s="242">
        <f t="shared" si="420"/>
        <v>20</v>
      </c>
      <c r="BB604" s="246">
        <f t="shared" si="421"/>
        <v>17.8</v>
      </c>
      <c r="BC604" s="155">
        <v>0</v>
      </c>
      <c r="BD604" s="157"/>
      <c r="BE604" s="169">
        <v>89</v>
      </c>
      <c r="BF604" s="197">
        <f t="shared" si="422"/>
        <v>0.13350000000000001</v>
      </c>
      <c r="BG604" s="197">
        <f t="shared" si="423"/>
        <v>88.866500000000002</v>
      </c>
      <c r="BH604" s="197">
        <f t="shared" si="424"/>
        <v>88.8</v>
      </c>
      <c r="BI604" s="243">
        <f t="shared" si="425"/>
        <v>20.000000000000284</v>
      </c>
      <c r="BJ604" s="243">
        <v>0</v>
      </c>
      <c r="BK604" s="155">
        <f t="shared" si="426"/>
        <v>20.000000000000284</v>
      </c>
      <c r="BL604" s="47"/>
      <c r="BM604" s="48" t="str">
        <f t="shared" si="427"/>
        <v>Unloading no. 579 Bill No 2026-27/70 ,Deduction For Oil Deduction= 26614.4116666667 ,Bardana= 0 ,F.M=  Brokerage/Rate Difference 0 ,Shortage = 171.622 ,Greenish=  ,Moisture= 0</v>
      </c>
      <c r="BN604" s="41"/>
      <c r="BO604" s="44" t="str">
        <f t="shared" si="428"/>
        <v xml:space="preserve"> Party Condition 42  ,F.M% 0.27 ,Greenish 3.4 ,Moisture 4.8 ,Shortage in KG= 2.2  ,Oil% 40.39</v>
      </c>
      <c r="BP604" s="45">
        <f t="shared" si="429"/>
        <v>7516.9252965465475</v>
      </c>
      <c r="BX604" s="27">
        <v>40.58</v>
      </c>
      <c r="BY604" s="27">
        <v>40.4</v>
      </c>
      <c r="CA604" s="57">
        <f t="shared" si="430"/>
        <v>0</v>
      </c>
    </row>
    <row r="605" spans="1:80" ht="14.1" hidden="1" customHeight="1" x14ac:dyDescent="0.3">
      <c r="A605" s="128" t="s">
        <v>1137</v>
      </c>
      <c r="B605" s="129">
        <v>46160</v>
      </c>
      <c r="C605" s="138">
        <v>580</v>
      </c>
      <c r="D605" s="128" t="s">
        <v>1269</v>
      </c>
      <c r="E605" s="130">
        <v>46164</v>
      </c>
      <c r="F605" s="128" t="s">
        <v>1144</v>
      </c>
      <c r="G605" s="128" t="s">
        <v>1145</v>
      </c>
      <c r="H605" s="128" t="s">
        <v>100</v>
      </c>
      <c r="I605" s="157"/>
      <c r="J605" s="128" t="s">
        <v>1146</v>
      </c>
      <c r="K605" s="163">
        <v>0</v>
      </c>
      <c r="L605" s="130">
        <v>46160</v>
      </c>
      <c r="M605" s="136"/>
      <c r="N605" s="128" t="s">
        <v>1309</v>
      </c>
      <c r="O605" s="130">
        <v>46164</v>
      </c>
      <c r="P605" s="128">
        <v>0</v>
      </c>
      <c r="Q605" s="128">
        <v>130</v>
      </c>
      <c r="R605" s="128">
        <v>20</v>
      </c>
      <c r="S605" s="128">
        <v>150</v>
      </c>
      <c r="T605" s="128">
        <v>150</v>
      </c>
      <c r="U605" s="163">
        <v>0</v>
      </c>
      <c r="V605" s="163"/>
      <c r="W605" s="169">
        <v>89.7</v>
      </c>
      <c r="X605" s="169">
        <v>89.5</v>
      </c>
      <c r="Y605" s="169">
        <v>699749.7</v>
      </c>
      <c r="Z605" s="262">
        <v>40.08</v>
      </c>
      <c r="AA605" s="128">
        <v>17493.740000000002</v>
      </c>
      <c r="AB605" s="128">
        <v>17493.740000000002</v>
      </c>
      <c r="AC605" s="128">
        <v>734737.19</v>
      </c>
      <c r="AD605" s="197">
        <f t="shared" si="387"/>
        <v>734002.45280999993</v>
      </c>
      <c r="AE605" s="147">
        <v>40.08</v>
      </c>
      <c r="AF605" s="169">
        <v>42</v>
      </c>
      <c r="AG605" s="147">
        <v>40.08</v>
      </c>
      <c r="AH605" s="170">
        <v>3.0000000000000001E-3</v>
      </c>
      <c r="AI605" s="170">
        <v>0.03</v>
      </c>
      <c r="AJ605" s="170">
        <v>4.7E-2</v>
      </c>
      <c r="AK605" s="155">
        <f t="shared" si="413"/>
        <v>31988.55771428574</v>
      </c>
      <c r="AL605" s="157">
        <v>0</v>
      </c>
      <c r="AM605" s="157"/>
      <c r="AN605" s="199">
        <v>0</v>
      </c>
      <c r="AO605" s="156">
        <f t="shared" si="414"/>
        <v>160.70059999999989</v>
      </c>
      <c r="AP605" s="157"/>
      <c r="AQ605" s="155">
        <v>0</v>
      </c>
      <c r="AR605" s="155">
        <f t="shared" si="415"/>
        <v>32149.25831428574</v>
      </c>
      <c r="AS605" s="155">
        <f t="shared" si="416"/>
        <v>33757</v>
      </c>
      <c r="AT605" s="155">
        <f t="shared" si="431"/>
        <v>2.0599999999999987</v>
      </c>
      <c r="AU605" s="157"/>
      <c r="AV605" s="157"/>
      <c r="AW605" s="155">
        <f t="shared" si="417"/>
        <v>8970</v>
      </c>
      <c r="AX605" s="157"/>
      <c r="AY605" s="155">
        <f t="shared" si="418"/>
        <v>8970</v>
      </c>
      <c r="AZ605" s="155">
        <f t="shared" si="419"/>
        <v>8950</v>
      </c>
      <c r="BA605" s="242">
        <f t="shared" si="420"/>
        <v>20</v>
      </c>
      <c r="BB605" s="246">
        <f t="shared" si="421"/>
        <v>17.940000000000001</v>
      </c>
      <c r="BC605" s="155">
        <v>0</v>
      </c>
      <c r="BD605" s="157"/>
      <c r="BE605" s="169">
        <v>89.7</v>
      </c>
      <c r="BF605" s="197">
        <f t="shared" si="422"/>
        <v>0.13455</v>
      </c>
      <c r="BG605" s="197">
        <f t="shared" si="423"/>
        <v>89.565449999999998</v>
      </c>
      <c r="BH605" s="197">
        <f t="shared" si="424"/>
        <v>89.5</v>
      </c>
      <c r="BI605" s="243">
        <f t="shared" si="425"/>
        <v>20.000000000000284</v>
      </c>
      <c r="BJ605" s="243">
        <v>0</v>
      </c>
      <c r="BK605" s="155">
        <f t="shared" si="426"/>
        <v>20.000000000000284</v>
      </c>
      <c r="BL605" s="47"/>
      <c r="BM605" s="48" t="str">
        <f t="shared" si="427"/>
        <v>Unloading no. 580 Bill No 2026-27/69 ,Deduction For Oil Deduction= 31988.5577142857 ,Bardana= 0 ,F.M=  Brokerage/Rate Difference 0 ,Shortage = 160.7006 ,Greenish=  ,Moisture= 0</v>
      </c>
      <c r="BN605" s="41"/>
      <c r="BO605" s="44" t="str">
        <f t="shared" si="428"/>
        <v xml:space="preserve"> Party Condition 42  ,F.M% 0.3 ,Greenish 3 ,Moisture 4.7 ,Shortage in KG= 2.06  ,Oil% 40.08</v>
      </c>
      <c r="BP605" s="45">
        <f t="shared" si="429"/>
        <v>7459.2228121308844</v>
      </c>
      <c r="BX605" s="27">
        <v>40.24</v>
      </c>
      <c r="BY605" s="27">
        <v>39.93</v>
      </c>
      <c r="CA605" s="57">
        <f t="shared" si="430"/>
        <v>0</v>
      </c>
    </row>
    <row r="606" spans="1:80" ht="14.1" hidden="1" customHeight="1" x14ac:dyDescent="0.3">
      <c r="A606" s="128" t="s">
        <v>1249</v>
      </c>
      <c r="B606" s="130">
        <v>46162</v>
      </c>
      <c r="C606" s="138">
        <v>581</v>
      </c>
      <c r="D606" s="128" t="s">
        <v>1270</v>
      </c>
      <c r="E606" s="130">
        <v>46164</v>
      </c>
      <c r="F606" s="128" t="s">
        <v>1080</v>
      </c>
      <c r="G606" s="128" t="s">
        <v>1081</v>
      </c>
      <c r="H606" s="128" t="s">
        <v>1082</v>
      </c>
      <c r="I606" s="157"/>
      <c r="J606" s="128" t="s">
        <v>1086</v>
      </c>
      <c r="K606" s="163">
        <v>0</v>
      </c>
      <c r="L606" s="130">
        <v>46162</v>
      </c>
      <c r="M606" s="136"/>
      <c r="N606" s="128">
        <v>95</v>
      </c>
      <c r="O606" s="130">
        <v>46163</v>
      </c>
      <c r="P606" s="128">
        <v>0</v>
      </c>
      <c r="Q606" s="128">
        <v>800</v>
      </c>
      <c r="R606" s="128">
        <v>101</v>
      </c>
      <c r="S606" s="128">
        <v>901</v>
      </c>
      <c r="T606" s="128">
        <v>901</v>
      </c>
      <c r="U606" s="163">
        <v>0</v>
      </c>
      <c r="V606" s="163"/>
      <c r="W606" s="169">
        <v>447.35</v>
      </c>
      <c r="X606" s="169">
        <v>447.2</v>
      </c>
      <c r="Y606" s="169">
        <v>3489330</v>
      </c>
      <c r="Z606" s="128"/>
      <c r="AA606" s="128">
        <v>87233.25</v>
      </c>
      <c r="AB606" s="128">
        <v>87233.25</v>
      </c>
      <c r="AC606" s="128">
        <v>3663796.5</v>
      </c>
      <c r="AD606" s="197">
        <f t="shared" si="387"/>
        <v>3660132.7034999998</v>
      </c>
      <c r="AE606" s="147">
        <v>41.03</v>
      </c>
      <c r="AF606" s="169">
        <v>42</v>
      </c>
      <c r="AG606" s="147">
        <v>40.72</v>
      </c>
      <c r="AH606" s="263">
        <v>4.1999999999999997E-3</v>
      </c>
      <c r="AI606" s="170">
        <v>0.04</v>
      </c>
      <c r="AJ606" s="170">
        <v>4.8000000000000001E-2</v>
      </c>
      <c r="AK606" s="155">
        <f t="shared" si="413"/>
        <v>106341.48571428581</v>
      </c>
      <c r="AL606" s="157">
        <f>800*10+101*15</f>
        <v>9515</v>
      </c>
      <c r="AM606" s="157">
        <f>Y606*AH606</f>
        <v>14655.186</v>
      </c>
      <c r="AN606" s="199">
        <f>W606*14</f>
        <v>6262.9000000000005</v>
      </c>
      <c r="AO606" s="156">
        <f t="shared" si="414"/>
        <v>1170</v>
      </c>
      <c r="AP606" s="157"/>
      <c r="AQ606" s="155">
        <v>0</v>
      </c>
      <c r="AR606" s="155">
        <f t="shared" si="415"/>
        <v>137944.57171428582</v>
      </c>
      <c r="AS606" s="155">
        <f t="shared" si="416"/>
        <v>144842</v>
      </c>
      <c r="AT606" s="155">
        <v>15</v>
      </c>
      <c r="AU606" s="157"/>
      <c r="AV606" s="157"/>
      <c r="AW606" s="155">
        <f t="shared" si="417"/>
        <v>44735</v>
      </c>
      <c r="AX606" s="157"/>
      <c r="AY606" s="155">
        <f t="shared" si="418"/>
        <v>44735</v>
      </c>
      <c r="AZ606" s="155">
        <f t="shared" si="419"/>
        <v>44720</v>
      </c>
      <c r="BA606" s="242">
        <f t="shared" si="420"/>
        <v>15</v>
      </c>
      <c r="BB606" s="246">
        <f t="shared" si="421"/>
        <v>89.47</v>
      </c>
      <c r="BC606" s="155">
        <v>0</v>
      </c>
      <c r="BD606" s="157"/>
      <c r="BE606" s="169">
        <v>447.35</v>
      </c>
      <c r="BF606" s="197">
        <f t="shared" si="422"/>
        <v>0.67102500000000009</v>
      </c>
      <c r="BG606" s="197">
        <f t="shared" si="423"/>
        <v>446.67897500000004</v>
      </c>
      <c r="BH606" s="197">
        <f t="shared" si="424"/>
        <v>447.2</v>
      </c>
      <c r="BI606" s="243">
        <f t="shared" si="425"/>
        <v>15.000000000003411</v>
      </c>
      <c r="BJ606" s="243">
        <v>0</v>
      </c>
      <c r="BK606" s="155">
        <f t="shared" si="426"/>
        <v>15.000000000003411</v>
      </c>
      <c r="BL606" s="47"/>
      <c r="BM606" s="48" t="str">
        <f t="shared" si="427"/>
        <v>Unloading no. 581 Bill No 95 ,Deduction For Oil Deduction= 106341.485714286 ,Bardana= 9515 ,F.M= 14655.186 Brokerage/Rate Difference 6262.9 ,Shortage = 1170 ,Greenish=  ,Moisture= 0</v>
      </c>
      <c r="BN606" s="41"/>
      <c r="BO606" s="44" t="str">
        <f t="shared" si="428"/>
        <v xml:space="preserve"> Party Condition 42  ,F.M% 0.42 ,Greenish 4 ,Moisture 4.8 ,Shortage in KG= 15  ,Oil% 40.72</v>
      </c>
      <c r="BP606" s="45">
        <f t="shared" si="429"/>
        <v>7494.1534621773581</v>
      </c>
      <c r="BX606" s="27">
        <v>41.03</v>
      </c>
      <c r="BY606" s="27">
        <v>40.72</v>
      </c>
      <c r="CA606" s="57">
        <f t="shared" si="430"/>
        <v>-41.03</v>
      </c>
    </row>
    <row r="607" spans="1:80" ht="14.1" hidden="1" customHeight="1" x14ac:dyDescent="0.3">
      <c r="A607" s="128" t="s">
        <v>1137</v>
      </c>
      <c r="B607" s="129">
        <v>46160</v>
      </c>
      <c r="C607" s="138">
        <v>582</v>
      </c>
      <c r="D607" s="128" t="s">
        <v>1271</v>
      </c>
      <c r="E607" s="130">
        <v>46164</v>
      </c>
      <c r="F607" s="128" t="s">
        <v>1144</v>
      </c>
      <c r="G607" s="128" t="s">
        <v>1145</v>
      </c>
      <c r="H607" s="128" t="s">
        <v>100</v>
      </c>
      <c r="I607" s="157"/>
      <c r="J607" s="128" t="s">
        <v>1146</v>
      </c>
      <c r="K607" s="163">
        <v>0</v>
      </c>
      <c r="L607" s="130">
        <v>46160</v>
      </c>
      <c r="M607" s="136"/>
      <c r="N607" s="128" t="s">
        <v>1310</v>
      </c>
      <c r="O607" s="130">
        <v>46164</v>
      </c>
      <c r="P607" s="128">
        <v>0</v>
      </c>
      <c r="Q607" s="128">
        <v>130</v>
      </c>
      <c r="R607" s="128">
        <v>30</v>
      </c>
      <c r="S607" s="128">
        <v>160</v>
      </c>
      <c r="T607" s="128">
        <v>160</v>
      </c>
      <c r="U607" s="163">
        <v>0</v>
      </c>
      <c r="V607" s="163"/>
      <c r="W607" s="169">
        <v>95.6</v>
      </c>
      <c r="X607" s="169">
        <v>95.4</v>
      </c>
      <c r="Y607" s="169">
        <v>745775.6</v>
      </c>
      <c r="Z607" s="262">
        <v>39.81</v>
      </c>
      <c r="AA607" s="128">
        <v>18644.39</v>
      </c>
      <c r="AB607" s="128">
        <v>18644.39</v>
      </c>
      <c r="AC607" s="128">
        <v>783064.38</v>
      </c>
      <c r="AD607" s="197">
        <f t="shared" si="387"/>
        <v>782281.31562000001</v>
      </c>
      <c r="AE607" s="147">
        <v>39.81</v>
      </c>
      <c r="AF607" s="169">
        <v>42</v>
      </c>
      <c r="AG607" s="147">
        <v>39.81</v>
      </c>
      <c r="AH607" s="170">
        <v>3.2000000000000002E-3</v>
      </c>
      <c r="AI607" s="170">
        <v>3.5000000000000003E-2</v>
      </c>
      <c r="AJ607" s="170">
        <v>4.9000000000000002E-2</v>
      </c>
      <c r="AK607" s="155">
        <f t="shared" si="413"/>
        <v>38886.870571428532</v>
      </c>
      <c r="AL607" s="157">
        <v>0</v>
      </c>
      <c r="AM607" s="157"/>
      <c r="AN607" s="199">
        <v>0</v>
      </c>
      <c r="AO607" s="156">
        <f t="shared" si="414"/>
        <v>68.648799999999923</v>
      </c>
      <c r="AP607" s="157"/>
      <c r="AQ607" s="155">
        <v>0</v>
      </c>
      <c r="AR607" s="155">
        <f t="shared" si="415"/>
        <v>38955.519371428534</v>
      </c>
      <c r="AS607" s="155">
        <f t="shared" si="416"/>
        <v>40903</v>
      </c>
      <c r="AT607" s="155">
        <f t="shared" ref="AT607:AT609" si="432">BA607-BB607</f>
        <v>0.87999999999999901</v>
      </c>
      <c r="AU607" s="157"/>
      <c r="AV607" s="157"/>
      <c r="AW607" s="155">
        <f t="shared" si="417"/>
        <v>9560</v>
      </c>
      <c r="AX607" s="157"/>
      <c r="AY607" s="155">
        <f t="shared" si="418"/>
        <v>9560</v>
      </c>
      <c r="AZ607" s="155">
        <f t="shared" si="419"/>
        <v>9540</v>
      </c>
      <c r="BA607" s="242">
        <f t="shared" si="420"/>
        <v>20</v>
      </c>
      <c r="BB607" s="246">
        <f t="shared" si="421"/>
        <v>19.12</v>
      </c>
      <c r="BC607" s="155">
        <v>0</v>
      </c>
      <c r="BD607" s="157"/>
      <c r="BE607" s="169">
        <v>95.6</v>
      </c>
      <c r="BF607" s="197">
        <f t="shared" si="422"/>
        <v>0.14339999999999997</v>
      </c>
      <c r="BG607" s="197">
        <f t="shared" si="423"/>
        <v>95.456599999999995</v>
      </c>
      <c r="BH607" s="197">
        <f t="shared" si="424"/>
        <v>95.4</v>
      </c>
      <c r="BI607" s="243">
        <f t="shared" si="425"/>
        <v>19.999999999998863</v>
      </c>
      <c r="BJ607" s="243">
        <v>0</v>
      </c>
      <c r="BK607" s="155">
        <f t="shared" si="426"/>
        <v>19.999999999998863</v>
      </c>
      <c r="BL607" s="47"/>
      <c r="BM607" s="48" t="str">
        <f t="shared" si="427"/>
        <v>Unloading no. 582 Bill No 2026-27/72 ,Deduction For Oil Deduction= 38886.8705714285 ,Bardana= 0 ,F.M=  Brokerage/Rate Difference 0 ,Shortage = 68.6487999999999 ,Greenish=  ,Moisture= 0</v>
      </c>
      <c r="BN607" s="41"/>
      <c r="BO607" s="44" t="str">
        <f t="shared" si="428"/>
        <v xml:space="preserve"> Party Condition 42  ,F.M% 0.32 ,Greenish 3.5 ,Moisture 4.9 ,Shortage in KG= 0.879999999999999  ,Oil% 39.81</v>
      </c>
      <c r="BP607" s="45">
        <f t="shared" si="429"/>
        <v>7409.0155202156329</v>
      </c>
      <c r="BX607" s="27">
        <v>39.42</v>
      </c>
      <c r="BY607" s="27">
        <v>39.369999999999997</v>
      </c>
      <c r="CA607" s="57">
        <f t="shared" si="430"/>
        <v>0</v>
      </c>
    </row>
    <row r="608" spans="1:80" ht="14.1" hidden="1" customHeight="1" x14ac:dyDescent="0.3">
      <c r="A608" s="128" t="s">
        <v>1137</v>
      </c>
      <c r="B608" s="129">
        <v>46160</v>
      </c>
      <c r="C608" s="138">
        <v>583</v>
      </c>
      <c r="D608" s="128" t="s">
        <v>1272</v>
      </c>
      <c r="E608" s="130">
        <v>46164</v>
      </c>
      <c r="F608" s="128" t="s">
        <v>1144</v>
      </c>
      <c r="G608" s="128" t="s">
        <v>1145</v>
      </c>
      <c r="H608" s="128" t="s">
        <v>100</v>
      </c>
      <c r="I608" s="157"/>
      <c r="J608" s="128" t="s">
        <v>1146</v>
      </c>
      <c r="K608" s="163">
        <v>0</v>
      </c>
      <c r="L608" s="130">
        <v>46160</v>
      </c>
      <c r="M608" s="136"/>
      <c r="N608" s="128" t="s">
        <v>1311</v>
      </c>
      <c r="O608" s="130">
        <v>46164</v>
      </c>
      <c r="P608" s="128">
        <v>0</v>
      </c>
      <c r="Q608" s="128">
        <v>130</v>
      </c>
      <c r="R608" s="128">
        <v>20</v>
      </c>
      <c r="S608" s="128">
        <v>150</v>
      </c>
      <c r="T608" s="128">
        <v>150</v>
      </c>
      <c r="U608" s="163">
        <v>0</v>
      </c>
      <c r="V608" s="163"/>
      <c r="W608" s="169">
        <v>89.7</v>
      </c>
      <c r="X608" s="169">
        <v>89.7</v>
      </c>
      <c r="Y608" s="169">
        <v>699749.7</v>
      </c>
      <c r="Z608" s="262">
        <v>39.92</v>
      </c>
      <c r="AA608" s="128">
        <v>17493.740000000002</v>
      </c>
      <c r="AB608" s="128">
        <v>17493.740000000002</v>
      </c>
      <c r="AC608" s="128">
        <v>734737.19</v>
      </c>
      <c r="AD608" s="197">
        <f t="shared" ref="AD608:AD671" si="433">SUM(AC608-AC608*0.1%)</f>
        <v>734002.45280999993</v>
      </c>
      <c r="AE608" s="147">
        <v>39.92</v>
      </c>
      <c r="AF608" s="169">
        <v>42</v>
      </c>
      <c r="AG608" s="147">
        <v>39.92</v>
      </c>
      <c r="AH608" s="170">
        <v>3.5000000000000001E-3</v>
      </c>
      <c r="AI608" s="170">
        <v>3.1399999999999997E-2</v>
      </c>
      <c r="AJ608" s="170">
        <v>5.3999999999999999E-2</v>
      </c>
      <c r="AK608" s="155">
        <f t="shared" si="413"/>
        <v>34654.27085714283</v>
      </c>
      <c r="AL608" s="157">
        <v>0</v>
      </c>
      <c r="AM608" s="157"/>
      <c r="AN608" s="199">
        <v>0</v>
      </c>
      <c r="AO608" s="156">
        <f t="shared" si="414"/>
        <v>0</v>
      </c>
      <c r="AP608" s="157"/>
      <c r="AQ608" s="155">
        <v>0</v>
      </c>
      <c r="AR608" s="155">
        <f t="shared" si="415"/>
        <v>34654.27085714283</v>
      </c>
      <c r="AS608" s="155">
        <f t="shared" si="416"/>
        <v>36387</v>
      </c>
      <c r="AT608" s="155">
        <v>0</v>
      </c>
      <c r="AU608" s="157"/>
      <c r="AV608" s="157"/>
      <c r="AW608" s="155">
        <f t="shared" si="417"/>
        <v>8970</v>
      </c>
      <c r="AX608" s="157"/>
      <c r="AY608" s="155">
        <f t="shared" si="418"/>
        <v>8970</v>
      </c>
      <c r="AZ608" s="155">
        <f t="shared" si="419"/>
        <v>8970</v>
      </c>
      <c r="BA608" s="242">
        <f t="shared" si="420"/>
        <v>0</v>
      </c>
      <c r="BB608" s="246">
        <f t="shared" si="421"/>
        <v>17.940000000000001</v>
      </c>
      <c r="BC608" s="155">
        <v>0</v>
      </c>
      <c r="BD608" s="157"/>
      <c r="BE608" s="169">
        <v>89.7</v>
      </c>
      <c r="BF608" s="197">
        <f t="shared" si="422"/>
        <v>0.13455</v>
      </c>
      <c r="BG608" s="197">
        <f t="shared" si="423"/>
        <v>89.565449999999998</v>
      </c>
      <c r="BH608" s="197">
        <f t="shared" si="424"/>
        <v>89.7</v>
      </c>
      <c r="BI608" s="243">
        <f t="shared" si="425"/>
        <v>0</v>
      </c>
      <c r="BJ608" s="243">
        <v>0</v>
      </c>
      <c r="BK608" s="155">
        <f t="shared" si="426"/>
        <v>0</v>
      </c>
      <c r="BL608" s="47"/>
      <c r="BM608" s="48" t="str">
        <f t="shared" si="427"/>
        <v>Unloading no. 583 Bill No 2026-27/74 ,Deduction For Oil Deduction= 34654.2708571428 ,Bardana= 0 ,F.M=  Brokerage/Rate Difference 0 ,Shortage = 0 ,Greenish=  ,Moisture= 0</v>
      </c>
      <c r="BN608" s="41"/>
      <c r="BO608" s="44" t="str">
        <f t="shared" si="428"/>
        <v xml:space="preserve"> Party Condition 42  ,F.M% 0.35 ,Greenish 3.14 ,Moisture 5.4 ,Shortage in KG= 0  ,Oil% 39.92</v>
      </c>
      <c r="BP608" s="45">
        <f t="shared" si="429"/>
        <v>7414.6647619047608</v>
      </c>
      <c r="BX608" s="27">
        <v>39.82</v>
      </c>
      <c r="BY608" s="27">
        <v>39.799999999999997</v>
      </c>
      <c r="CA608" s="57">
        <f t="shared" si="430"/>
        <v>0</v>
      </c>
    </row>
    <row r="609" spans="1:79" ht="14.1" hidden="1" customHeight="1" x14ac:dyDescent="0.3">
      <c r="A609" s="128" t="s">
        <v>1137</v>
      </c>
      <c r="B609" s="129">
        <v>46160</v>
      </c>
      <c r="C609" s="138">
        <v>584</v>
      </c>
      <c r="D609" s="128" t="s">
        <v>1273</v>
      </c>
      <c r="E609" s="130">
        <v>46164</v>
      </c>
      <c r="F609" s="128" t="s">
        <v>1144</v>
      </c>
      <c r="G609" s="128" t="s">
        <v>1145</v>
      </c>
      <c r="H609" s="128" t="s">
        <v>100</v>
      </c>
      <c r="I609" s="157"/>
      <c r="J609" s="128" t="s">
        <v>1146</v>
      </c>
      <c r="K609" s="163">
        <v>0</v>
      </c>
      <c r="L609" s="130">
        <v>46160</v>
      </c>
      <c r="M609" s="136"/>
      <c r="N609" s="128" t="s">
        <v>1312</v>
      </c>
      <c r="O609" s="130">
        <v>46164</v>
      </c>
      <c r="P609" s="128">
        <v>0</v>
      </c>
      <c r="Q609" s="128">
        <v>100</v>
      </c>
      <c r="R609" s="128">
        <v>60</v>
      </c>
      <c r="S609" s="128">
        <v>160</v>
      </c>
      <c r="T609" s="128">
        <v>160</v>
      </c>
      <c r="U609" s="163">
        <v>0</v>
      </c>
      <c r="V609" s="163"/>
      <c r="W609" s="169">
        <v>96.4</v>
      </c>
      <c r="X609" s="169">
        <v>96.2</v>
      </c>
      <c r="Y609" s="169">
        <v>752016.4</v>
      </c>
      <c r="Z609" s="262">
        <v>39.75</v>
      </c>
      <c r="AA609" s="128">
        <v>18800.41</v>
      </c>
      <c r="AB609" s="128">
        <v>18800.41</v>
      </c>
      <c r="AC609" s="128">
        <v>789617.22</v>
      </c>
      <c r="AD609" s="197">
        <f t="shared" si="433"/>
        <v>788827.60277999996</v>
      </c>
      <c r="AE609" s="147">
        <v>39.75</v>
      </c>
      <c r="AF609" s="169">
        <v>42</v>
      </c>
      <c r="AG609" s="147">
        <v>39.75</v>
      </c>
      <c r="AH609" s="170">
        <v>3.3999999999999998E-3</v>
      </c>
      <c r="AI609" s="170">
        <v>3.4000000000000002E-2</v>
      </c>
      <c r="AJ609" s="170">
        <v>5.5E-2</v>
      </c>
      <c r="AK609" s="155">
        <f t="shared" si="413"/>
        <v>40286.592857142859</v>
      </c>
      <c r="AL609" s="157">
        <v>0</v>
      </c>
      <c r="AM609" s="157"/>
      <c r="AN609" s="199">
        <v>0</v>
      </c>
      <c r="AO609" s="156">
        <f t="shared" si="414"/>
        <v>56.167199999999909</v>
      </c>
      <c r="AP609" s="157"/>
      <c r="AQ609" s="155">
        <v>0</v>
      </c>
      <c r="AR609" s="155">
        <f t="shared" si="415"/>
        <v>40342.760057142863</v>
      </c>
      <c r="AS609" s="155">
        <f t="shared" si="416"/>
        <v>42360</v>
      </c>
      <c r="AT609" s="155">
        <f t="shared" si="432"/>
        <v>0.71999999999999886</v>
      </c>
      <c r="AU609" s="157"/>
      <c r="AV609" s="157"/>
      <c r="AW609" s="155">
        <f t="shared" si="417"/>
        <v>9640</v>
      </c>
      <c r="AX609" s="157"/>
      <c r="AY609" s="155">
        <f t="shared" si="418"/>
        <v>9640</v>
      </c>
      <c r="AZ609" s="155">
        <f t="shared" si="419"/>
        <v>9620</v>
      </c>
      <c r="BA609" s="242">
        <f t="shared" si="420"/>
        <v>20</v>
      </c>
      <c r="BB609" s="246">
        <f t="shared" si="421"/>
        <v>19.28</v>
      </c>
      <c r="BC609" s="155">
        <v>0</v>
      </c>
      <c r="BD609" s="157"/>
      <c r="BE609" s="169">
        <v>96.4</v>
      </c>
      <c r="BF609" s="197">
        <f t="shared" si="422"/>
        <v>0.14460000000000001</v>
      </c>
      <c r="BG609" s="197">
        <f t="shared" si="423"/>
        <v>96.255400000000009</v>
      </c>
      <c r="BH609" s="197">
        <f t="shared" si="424"/>
        <v>96.2</v>
      </c>
      <c r="BI609" s="243">
        <f t="shared" si="425"/>
        <v>20.000000000000284</v>
      </c>
      <c r="BJ609" s="243">
        <v>0</v>
      </c>
      <c r="BK609" s="155">
        <f t="shared" si="426"/>
        <v>20.000000000000284</v>
      </c>
      <c r="BL609" s="47"/>
      <c r="BM609" s="48" t="str">
        <f t="shared" si="427"/>
        <v>Unloading no. 584 Bill No 2026-27/75 ,Deduction For Oil Deduction= 40286.5928571429 ,Bardana= 0 ,F.M=  Brokerage/Rate Difference 0 ,Shortage = 56.1671999999999 ,Greenish=  ,Moisture= 0</v>
      </c>
      <c r="BN609" s="41"/>
      <c r="BO609" s="44" t="str">
        <f t="shared" si="428"/>
        <v xml:space="preserve"> Party Condition 42  ,F.M% 0.34 ,Greenish 3.4 ,Moisture 5.5 ,Shortage in KG= 0.719999999999999  ,Oil% 39.75</v>
      </c>
      <c r="BP609" s="45">
        <f t="shared" si="429"/>
        <v>7397.8548850608859</v>
      </c>
      <c r="BX609" s="27">
        <v>39.79</v>
      </c>
      <c r="BY609" s="27">
        <v>39.78</v>
      </c>
      <c r="CA609" s="57">
        <f t="shared" si="430"/>
        <v>0</v>
      </c>
    </row>
    <row r="610" spans="1:79" ht="14.1" hidden="1" customHeight="1" x14ac:dyDescent="0.3">
      <c r="A610" s="128" t="s">
        <v>1137</v>
      </c>
      <c r="B610" s="129">
        <v>46160</v>
      </c>
      <c r="C610" s="138">
        <v>585</v>
      </c>
      <c r="D610" s="128" t="s">
        <v>1274</v>
      </c>
      <c r="E610" s="130">
        <v>46164</v>
      </c>
      <c r="F610" s="128" t="s">
        <v>1144</v>
      </c>
      <c r="G610" s="128" t="s">
        <v>1145</v>
      </c>
      <c r="H610" s="128" t="s">
        <v>100</v>
      </c>
      <c r="I610" s="157"/>
      <c r="J610" s="128" t="s">
        <v>1146</v>
      </c>
      <c r="K610" s="163">
        <v>0</v>
      </c>
      <c r="L610" s="130">
        <v>46160</v>
      </c>
      <c r="M610" s="136"/>
      <c r="N610" s="128" t="s">
        <v>1313</v>
      </c>
      <c r="O610" s="130">
        <v>46164</v>
      </c>
      <c r="P610" s="128">
        <v>0</v>
      </c>
      <c r="Q610" s="128">
        <v>120</v>
      </c>
      <c r="R610" s="128">
        <v>50</v>
      </c>
      <c r="S610" s="128">
        <v>170</v>
      </c>
      <c r="T610" s="128">
        <v>170</v>
      </c>
      <c r="U610" s="163">
        <v>0</v>
      </c>
      <c r="V610" s="163"/>
      <c r="W610" s="169">
        <v>101.8</v>
      </c>
      <c r="X610" s="169">
        <v>101.5</v>
      </c>
      <c r="Y610" s="169">
        <v>794141.8</v>
      </c>
      <c r="Z610" s="262">
        <v>39.54</v>
      </c>
      <c r="AA610" s="128">
        <v>19853.55</v>
      </c>
      <c r="AB610" s="128">
        <v>19853.55</v>
      </c>
      <c r="AC610" s="128">
        <v>833848.89</v>
      </c>
      <c r="AD610" s="197">
        <f t="shared" si="433"/>
        <v>833015.04110999999</v>
      </c>
      <c r="AE610" s="147">
        <v>39.54</v>
      </c>
      <c r="AF610" s="169">
        <v>42</v>
      </c>
      <c r="AG610" s="147">
        <v>39.54</v>
      </c>
      <c r="AH610" s="170">
        <v>3.0999999999999999E-3</v>
      </c>
      <c r="AI610" s="170">
        <v>0.03</v>
      </c>
      <c r="AJ610" s="170">
        <v>5.5E-2</v>
      </c>
      <c r="AK610" s="155">
        <f t="shared" si="413"/>
        <v>46514.019714285736</v>
      </c>
      <c r="AL610" s="157">
        <v>0</v>
      </c>
      <c r="AM610" s="157"/>
      <c r="AN610" s="199">
        <v>0</v>
      </c>
      <c r="AO610" s="156">
        <f t="shared" si="414"/>
        <v>780.1</v>
      </c>
      <c r="AP610" s="157"/>
      <c r="AQ610" s="155">
        <v>0</v>
      </c>
      <c r="AR610" s="155">
        <f t="shared" si="415"/>
        <v>47294.119714285735</v>
      </c>
      <c r="AS610" s="155">
        <f t="shared" si="416"/>
        <v>49659</v>
      </c>
      <c r="AT610" s="155">
        <v>10</v>
      </c>
      <c r="AU610" s="157"/>
      <c r="AV610" s="157"/>
      <c r="AW610" s="155">
        <f t="shared" si="417"/>
        <v>10180</v>
      </c>
      <c r="AX610" s="157"/>
      <c r="AY610" s="155">
        <f t="shared" si="418"/>
        <v>10180</v>
      </c>
      <c r="AZ610" s="155">
        <f t="shared" si="419"/>
        <v>10150</v>
      </c>
      <c r="BA610" s="242">
        <f t="shared" si="420"/>
        <v>30</v>
      </c>
      <c r="BB610" s="246">
        <f t="shared" si="421"/>
        <v>20.36</v>
      </c>
      <c r="BC610" s="155">
        <v>0</v>
      </c>
      <c r="BD610" s="157"/>
      <c r="BE610" s="169">
        <v>101.8</v>
      </c>
      <c r="BF610" s="197">
        <f t="shared" si="422"/>
        <v>0.1527</v>
      </c>
      <c r="BG610" s="197">
        <f t="shared" si="423"/>
        <v>101.6473</v>
      </c>
      <c r="BH610" s="197">
        <f t="shared" si="424"/>
        <v>101.5</v>
      </c>
      <c r="BI610" s="243">
        <f t="shared" si="425"/>
        <v>29.999999999999716</v>
      </c>
      <c r="BJ610" s="243">
        <v>0</v>
      </c>
      <c r="BK610" s="155">
        <f t="shared" si="426"/>
        <v>29.999999999999716</v>
      </c>
      <c r="BL610" s="47"/>
      <c r="BM610" s="48" t="str">
        <f t="shared" si="427"/>
        <v>Unloading no. 585 Bill No 2026-27/73 ,Deduction For Oil Deduction= 46514.0197142857 ,Bardana= 0 ,F.M=  Brokerage/Rate Difference 0 ,Shortage = 780.1 ,Greenish=  ,Moisture= 0</v>
      </c>
      <c r="BN610" s="41"/>
      <c r="BO610" s="44" t="str">
        <f t="shared" si="428"/>
        <v xml:space="preserve"> Party Condition 42  ,F.M% 0.31 ,Greenish 3 ,Moisture 5.5 ,Shortage in KG= 10  ,Oil% 39.54</v>
      </c>
      <c r="BP610" s="45">
        <f t="shared" si="429"/>
        <v>7358.1052244897965</v>
      </c>
      <c r="BX610" s="27">
        <v>39.25</v>
      </c>
      <c r="BY610" s="27">
        <v>39.14</v>
      </c>
      <c r="CA610" s="57">
        <f t="shared" si="430"/>
        <v>0</v>
      </c>
    </row>
    <row r="611" spans="1:79" ht="14.1" hidden="1" customHeight="1" x14ac:dyDescent="0.3">
      <c r="A611" s="128" t="s">
        <v>1247</v>
      </c>
      <c r="B611" s="130">
        <v>46162</v>
      </c>
      <c r="C611" s="138">
        <v>586</v>
      </c>
      <c r="D611" s="128" t="s">
        <v>1275</v>
      </c>
      <c r="E611" s="130">
        <v>46164</v>
      </c>
      <c r="F611" s="128" t="s">
        <v>95</v>
      </c>
      <c r="G611" s="128" t="s">
        <v>96</v>
      </c>
      <c r="H611" s="128" t="s">
        <v>97</v>
      </c>
      <c r="I611" s="157"/>
      <c r="J611" s="128" t="s">
        <v>113</v>
      </c>
      <c r="K611" s="163">
        <v>0</v>
      </c>
      <c r="L611" s="130">
        <v>46162</v>
      </c>
      <c r="M611" s="136"/>
      <c r="N611" s="128">
        <v>182</v>
      </c>
      <c r="O611" s="130">
        <v>46163</v>
      </c>
      <c r="P611" s="128">
        <v>0</v>
      </c>
      <c r="Q611" s="128">
        <v>515</v>
      </c>
      <c r="R611" s="128">
        <v>80</v>
      </c>
      <c r="S611" s="128">
        <v>595</v>
      </c>
      <c r="T611" s="128">
        <v>595</v>
      </c>
      <c r="U611" s="163">
        <v>0</v>
      </c>
      <c r="V611" s="163"/>
      <c r="W611" s="169">
        <v>357</v>
      </c>
      <c r="X611" s="169">
        <v>361.3</v>
      </c>
      <c r="Y611" s="169">
        <v>2798012.49</v>
      </c>
      <c r="Z611" s="128"/>
      <c r="AA611" s="128">
        <v>69414.81</v>
      </c>
      <c r="AB611" s="128">
        <v>69414.81</v>
      </c>
      <c r="AC611" s="128">
        <v>2937913.11</v>
      </c>
      <c r="AD611" s="210">
        <f t="shared" si="433"/>
        <v>2934975.1968899998</v>
      </c>
      <c r="AE611" s="178">
        <v>40.799999999999997</v>
      </c>
      <c r="AF611" s="179">
        <v>40.450000000000003</v>
      </c>
      <c r="AG611" s="178">
        <v>40.6</v>
      </c>
      <c r="AH611" s="180">
        <v>2.8999999999999998E-3</v>
      </c>
      <c r="AI611" s="170">
        <v>3.3500000000000002E-2</v>
      </c>
      <c r="AJ611" s="170">
        <v>4.4999999999999998E-2</v>
      </c>
      <c r="AK611" s="155">
        <f t="shared" si="413"/>
        <v>0</v>
      </c>
      <c r="AL611" s="157">
        <v>0</v>
      </c>
      <c r="AM611" s="157"/>
      <c r="AN611" s="199">
        <v>0</v>
      </c>
      <c r="AO611" s="156">
        <f t="shared" si="414"/>
        <v>0</v>
      </c>
      <c r="AP611" s="157"/>
      <c r="AQ611" s="155">
        <v>0</v>
      </c>
      <c r="AR611" s="155">
        <f t="shared" si="415"/>
        <v>0</v>
      </c>
      <c r="AS611" s="155">
        <f t="shared" si="416"/>
        <v>0</v>
      </c>
      <c r="AT611" s="155">
        <v>0</v>
      </c>
      <c r="AU611" s="157" t="s">
        <v>664</v>
      </c>
      <c r="AV611" s="157"/>
      <c r="AW611" s="155">
        <f t="shared" si="417"/>
        <v>35700</v>
      </c>
      <c r="AX611" s="157"/>
      <c r="AY611" s="155">
        <f t="shared" si="418"/>
        <v>35700</v>
      </c>
      <c r="AZ611" s="155">
        <f t="shared" si="419"/>
        <v>36130</v>
      </c>
      <c r="BA611" s="242">
        <f t="shared" si="420"/>
        <v>-430</v>
      </c>
      <c r="BB611" s="246">
        <f t="shared" si="421"/>
        <v>71.400000000000006</v>
      </c>
      <c r="BC611" s="155">
        <v>0</v>
      </c>
      <c r="BD611" s="157"/>
      <c r="BE611" s="169">
        <v>361.4</v>
      </c>
      <c r="BF611" s="197">
        <f t="shared" si="422"/>
        <v>0.54209999999999992</v>
      </c>
      <c r="BG611" s="197">
        <f t="shared" si="423"/>
        <v>360.85789999999997</v>
      </c>
      <c r="BH611" s="197">
        <f t="shared" si="424"/>
        <v>361.3</v>
      </c>
      <c r="BI611" s="243">
        <f t="shared" si="425"/>
        <v>9.9999999999965894</v>
      </c>
      <c r="BJ611" s="243">
        <v>0</v>
      </c>
      <c r="BK611" s="155">
        <f t="shared" si="426"/>
        <v>9.9999999999965894</v>
      </c>
      <c r="BL611" s="47"/>
      <c r="BM611" s="48" t="str">
        <f t="shared" si="427"/>
        <v>Unloading no. 586 Bill No 182 ,Deduction For Oil Deduction= 0 ,Bardana= 0 ,F.M=  Brokerage/Rate Difference 0 ,Shortage = 0 ,Greenish=  ,Moisture= 0</v>
      </c>
      <c r="BN611" s="41"/>
      <c r="BO611" s="44" t="str">
        <f t="shared" si="428"/>
        <v xml:space="preserve"> Party Condition 40.45  ,F.M% 0.29 ,Greenish 3.35 ,Moisture 4.5 ,Shortage in KG= 0  ,Oil% 40.6</v>
      </c>
      <c r="BP611" s="45">
        <f t="shared" si="429"/>
        <v>7744.2914198726821</v>
      </c>
      <c r="BX611" s="27">
        <v>40.799999999999997</v>
      </c>
      <c r="BY611" s="27">
        <v>40.6</v>
      </c>
      <c r="CA611" s="57">
        <f t="shared" si="430"/>
        <v>-40.799999999999997</v>
      </c>
    </row>
    <row r="612" spans="1:79" ht="14.1" hidden="1" customHeight="1" x14ac:dyDescent="0.3">
      <c r="A612" s="128" t="s">
        <v>1250</v>
      </c>
      <c r="B612" s="130">
        <v>46163</v>
      </c>
      <c r="C612" s="138">
        <v>587</v>
      </c>
      <c r="D612" s="128" t="s">
        <v>1276</v>
      </c>
      <c r="E612" s="130">
        <v>46165</v>
      </c>
      <c r="F612" s="128" t="s">
        <v>110</v>
      </c>
      <c r="G612" s="128" t="s">
        <v>111</v>
      </c>
      <c r="H612" s="128" t="s">
        <v>112</v>
      </c>
      <c r="I612" s="157"/>
      <c r="J612" s="128" t="s">
        <v>113</v>
      </c>
      <c r="K612" s="163">
        <v>0</v>
      </c>
      <c r="L612" s="130">
        <v>46163</v>
      </c>
      <c r="M612" s="136"/>
      <c r="N612" s="128" t="s">
        <v>1314</v>
      </c>
      <c r="O612" s="130">
        <v>46164</v>
      </c>
      <c r="P612" s="128">
        <v>0</v>
      </c>
      <c r="Q612" s="128">
        <v>260</v>
      </c>
      <c r="R612" s="128">
        <v>32</v>
      </c>
      <c r="S612" s="128">
        <v>292</v>
      </c>
      <c r="T612" s="128">
        <v>292</v>
      </c>
      <c r="U612" s="163">
        <v>0</v>
      </c>
      <c r="V612" s="163"/>
      <c r="W612" s="169">
        <v>175.2</v>
      </c>
      <c r="X612" s="169">
        <v>177.6</v>
      </c>
      <c r="Y612" s="169">
        <v>1348164</v>
      </c>
      <c r="Z612" s="128"/>
      <c r="AA612" s="128">
        <v>33704.1</v>
      </c>
      <c r="AB612" s="128">
        <v>33704.1</v>
      </c>
      <c r="AC612" s="128">
        <v>1415572.2</v>
      </c>
      <c r="AD612" s="197">
        <f t="shared" si="433"/>
        <v>1414156.6277999999</v>
      </c>
      <c r="AE612" s="169">
        <v>40.6</v>
      </c>
      <c r="AF612" s="169">
        <v>39.83</v>
      </c>
      <c r="AG612" s="169">
        <v>40.340000000000003</v>
      </c>
      <c r="AH612" s="170">
        <v>3.0999999999999999E-3</v>
      </c>
      <c r="AI612" s="170">
        <v>3.6499999999999998E-2</v>
      </c>
      <c r="AJ612" s="170">
        <v>4.8000000000000001E-2</v>
      </c>
      <c r="AK612" s="155">
        <f t="shared" si="413"/>
        <v>0</v>
      </c>
      <c r="AL612" s="157">
        <v>0</v>
      </c>
      <c r="AM612" s="157"/>
      <c r="AN612" s="199">
        <v>0</v>
      </c>
      <c r="AO612" s="156">
        <f t="shared" si="414"/>
        <v>0</v>
      </c>
      <c r="AP612" s="157"/>
      <c r="AQ612" s="155">
        <v>0</v>
      </c>
      <c r="AR612" s="155">
        <f t="shared" si="415"/>
        <v>0</v>
      </c>
      <c r="AS612" s="155">
        <f t="shared" si="416"/>
        <v>0</v>
      </c>
      <c r="AT612" s="155">
        <v>0</v>
      </c>
      <c r="AU612" s="157" t="s">
        <v>1246</v>
      </c>
      <c r="AV612" s="157"/>
      <c r="AW612" s="155">
        <f t="shared" si="417"/>
        <v>17520</v>
      </c>
      <c r="AX612" s="157"/>
      <c r="AY612" s="155">
        <f t="shared" si="418"/>
        <v>17520</v>
      </c>
      <c r="AZ612" s="155">
        <f t="shared" si="419"/>
        <v>17760</v>
      </c>
      <c r="BA612" s="242">
        <f t="shared" si="420"/>
        <v>-240</v>
      </c>
      <c r="BB612" s="246">
        <f t="shared" si="421"/>
        <v>35.04</v>
      </c>
      <c r="BC612" s="155">
        <v>0</v>
      </c>
      <c r="BD612" s="157"/>
      <c r="BE612" s="169">
        <v>177.4</v>
      </c>
      <c r="BF612" s="197">
        <f t="shared" si="422"/>
        <v>0.2661</v>
      </c>
      <c r="BG612" s="197">
        <f t="shared" si="423"/>
        <v>177.13390000000001</v>
      </c>
      <c r="BH612" s="197">
        <f t="shared" si="424"/>
        <v>177.6</v>
      </c>
      <c r="BI612" s="243">
        <f t="shared" si="425"/>
        <v>-19.999999999998863</v>
      </c>
      <c r="BJ612" s="243">
        <v>0</v>
      </c>
      <c r="BK612" s="155">
        <f t="shared" si="426"/>
        <v>-19.999999999998863</v>
      </c>
      <c r="BL612" s="47"/>
      <c r="BM612" s="48" t="str">
        <f t="shared" si="427"/>
        <v>Unloading no. 587 Bill No G1707 ,Deduction For Oil Deduction= 0 ,Bardana= 0 ,F.M=  Brokerage/Rate Difference 0 ,Shortage = 0 ,Greenish=  ,Moisture= 0</v>
      </c>
      <c r="BN612" s="41"/>
      <c r="BO612" s="44" t="str">
        <f t="shared" si="428"/>
        <v xml:space="preserve"> Party Condition 39.83  ,F.M% 0.31 ,Greenish 3.65 ,Moisture 4.8 ,Shortage in KG= 0  ,Oil% 40.34</v>
      </c>
      <c r="BP612" s="45">
        <f t="shared" si="429"/>
        <v>7591.0135135135133</v>
      </c>
      <c r="BX612" s="27">
        <v>40.6</v>
      </c>
      <c r="BY612" s="27">
        <v>40.340000000000003</v>
      </c>
      <c r="CA612" s="57">
        <f>Z612-AE612</f>
        <v>-40.6</v>
      </c>
    </row>
    <row r="613" spans="1:79" ht="14.1" hidden="1" customHeight="1" x14ac:dyDescent="0.3">
      <c r="A613" s="128" t="s">
        <v>1251</v>
      </c>
      <c r="B613" s="130">
        <v>46163</v>
      </c>
      <c r="C613" s="138">
        <v>588</v>
      </c>
      <c r="D613" s="128" t="s">
        <v>1277</v>
      </c>
      <c r="E613" s="130">
        <v>46165</v>
      </c>
      <c r="F613" s="128" t="s">
        <v>98</v>
      </c>
      <c r="G613" s="128" t="s">
        <v>99</v>
      </c>
      <c r="H613" s="128" t="s">
        <v>100</v>
      </c>
      <c r="I613" s="157"/>
      <c r="J613" s="128" t="s">
        <v>113</v>
      </c>
      <c r="K613" s="163">
        <v>0</v>
      </c>
      <c r="L613" s="130">
        <v>46163</v>
      </c>
      <c r="M613" s="136"/>
      <c r="N613" s="128">
        <v>121</v>
      </c>
      <c r="O613" s="130">
        <v>46164</v>
      </c>
      <c r="P613" s="128">
        <v>0</v>
      </c>
      <c r="Q613" s="128">
        <v>208</v>
      </c>
      <c r="R613" s="128">
        <v>20</v>
      </c>
      <c r="S613" s="128">
        <v>228</v>
      </c>
      <c r="T613" s="128">
        <v>228</v>
      </c>
      <c r="U613" s="163">
        <v>0</v>
      </c>
      <c r="V613" s="163"/>
      <c r="W613" s="169">
        <v>136.80000000000001</v>
      </c>
      <c r="X613" s="169">
        <v>138.5</v>
      </c>
      <c r="Y613" s="169">
        <v>1051075.44</v>
      </c>
      <c r="Z613" s="128"/>
      <c r="AA613" s="128">
        <v>26276.89</v>
      </c>
      <c r="AB613" s="128">
        <v>26276.89</v>
      </c>
      <c r="AC613" s="128">
        <v>1103629.21</v>
      </c>
      <c r="AD613" s="197">
        <f t="shared" si="433"/>
        <v>1102525.58079</v>
      </c>
      <c r="AE613" s="169">
        <v>39.619999999999997</v>
      </c>
      <c r="AF613" s="169">
        <v>39.68</v>
      </c>
      <c r="AG613" s="169">
        <v>39.58</v>
      </c>
      <c r="AH613" s="170">
        <v>2.8E-3</v>
      </c>
      <c r="AI613" s="170">
        <v>3.5000000000000003E-2</v>
      </c>
      <c r="AJ613" s="170">
        <v>4.9000000000000002E-2</v>
      </c>
      <c r="AK613" s="155">
        <v>0</v>
      </c>
      <c r="AL613" s="157">
        <v>0</v>
      </c>
      <c r="AM613" s="157"/>
      <c r="AN613" s="199">
        <v>0</v>
      </c>
      <c r="AO613" s="156">
        <f t="shared" si="414"/>
        <v>0</v>
      </c>
      <c r="AP613" s="157"/>
      <c r="AQ613" s="155">
        <v>0</v>
      </c>
      <c r="AR613" s="155">
        <f t="shared" si="415"/>
        <v>0</v>
      </c>
      <c r="AS613" s="155">
        <f t="shared" si="416"/>
        <v>0</v>
      </c>
      <c r="AT613" s="155">
        <v>0</v>
      </c>
      <c r="AU613" s="157" t="s">
        <v>664</v>
      </c>
      <c r="AV613" s="157"/>
      <c r="AW613" s="155">
        <f t="shared" si="417"/>
        <v>13680.000000000002</v>
      </c>
      <c r="AX613" s="157"/>
      <c r="AY613" s="155">
        <f t="shared" si="418"/>
        <v>13680.000000000002</v>
      </c>
      <c r="AZ613" s="155">
        <f t="shared" si="419"/>
        <v>13850</v>
      </c>
      <c r="BA613" s="242">
        <f t="shared" si="420"/>
        <v>-169.99999999999818</v>
      </c>
      <c r="BB613" s="246">
        <f t="shared" si="421"/>
        <v>27.360000000000003</v>
      </c>
      <c r="BC613" s="155">
        <v>0</v>
      </c>
      <c r="BD613" s="157"/>
      <c r="BE613" s="169">
        <v>138.5</v>
      </c>
      <c r="BF613" s="197">
        <f t="shared" si="422"/>
        <v>0.20774999999999999</v>
      </c>
      <c r="BG613" s="197">
        <f t="shared" si="423"/>
        <v>138.29225</v>
      </c>
      <c r="BH613" s="197">
        <f t="shared" si="424"/>
        <v>138.5</v>
      </c>
      <c r="BI613" s="243">
        <f t="shared" si="425"/>
        <v>0</v>
      </c>
      <c r="BJ613" s="243">
        <v>0</v>
      </c>
      <c r="BK613" s="155">
        <f t="shared" si="426"/>
        <v>0</v>
      </c>
      <c r="BL613" s="47"/>
      <c r="BM613" s="48" t="str">
        <f t="shared" si="427"/>
        <v>Unloading no. 588 Bill No 121 ,Deduction For Oil Deduction= 0 ,Bardana= 0 ,F.M=  Brokerage/Rate Difference 0 ,Shortage = 0 ,Greenish=  ,Moisture= 0</v>
      </c>
      <c r="BN613" s="41"/>
      <c r="BO613" s="44" t="str">
        <f t="shared" si="428"/>
        <v xml:space="preserve"> Party Condition 39.68  ,F.M% 0.28 ,Greenish 3.5 ,Moisture 4.9 ,Shortage in KG= 0  ,Oil% 39.58</v>
      </c>
      <c r="BP613" s="45">
        <f t="shared" si="429"/>
        <v>7588.9923465703969</v>
      </c>
      <c r="BX613" s="27">
        <v>39.619999999999997</v>
      </c>
      <c r="BY613" s="27">
        <v>39.58</v>
      </c>
      <c r="CA613" s="57">
        <f>Z613-AE613</f>
        <v>-39.619999999999997</v>
      </c>
    </row>
    <row r="614" spans="1:79" ht="14.1" hidden="1" customHeight="1" x14ac:dyDescent="0.3">
      <c r="A614" s="128" t="s">
        <v>1252</v>
      </c>
      <c r="B614" s="130">
        <v>46161</v>
      </c>
      <c r="C614" s="138">
        <v>589</v>
      </c>
      <c r="D614" s="128" t="s">
        <v>1278</v>
      </c>
      <c r="E614" s="130">
        <v>46165</v>
      </c>
      <c r="F614" s="128" t="s">
        <v>1144</v>
      </c>
      <c r="G614" s="128" t="s">
        <v>1145</v>
      </c>
      <c r="H614" s="128" t="s">
        <v>100</v>
      </c>
      <c r="I614" s="157"/>
      <c r="J614" s="128" t="s">
        <v>1146</v>
      </c>
      <c r="K614" s="163">
        <v>0</v>
      </c>
      <c r="L614" s="130">
        <v>46161</v>
      </c>
      <c r="M614" s="136"/>
      <c r="N614" s="128" t="s">
        <v>1315</v>
      </c>
      <c r="O614" s="130">
        <v>46165</v>
      </c>
      <c r="P614" s="128">
        <v>0</v>
      </c>
      <c r="Q614" s="128">
        <v>0</v>
      </c>
      <c r="R614" s="128">
        <v>182</v>
      </c>
      <c r="S614" s="128">
        <v>182</v>
      </c>
      <c r="T614" s="128">
        <v>182</v>
      </c>
      <c r="U614" s="163">
        <v>0</v>
      </c>
      <c r="V614" s="163"/>
      <c r="W614" s="169">
        <v>89.2</v>
      </c>
      <c r="X614" s="169">
        <v>89</v>
      </c>
      <c r="Y614" s="169">
        <v>700309.2</v>
      </c>
      <c r="Z614" s="262">
        <v>39.61</v>
      </c>
      <c r="AA614" s="128">
        <v>17507.73</v>
      </c>
      <c r="AB614" s="128">
        <v>17507.73</v>
      </c>
      <c r="AC614" s="128">
        <v>735324.66</v>
      </c>
      <c r="AD614" s="197">
        <f t="shared" si="433"/>
        <v>734589.33533999999</v>
      </c>
      <c r="AE614" s="169">
        <v>39.61</v>
      </c>
      <c r="AF614" s="169">
        <v>42</v>
      </c>
      <c r="AG614" s="169">
        <v>39.61</v>
      </c>
      <c r="AH614" s="170">
        <v>3.5000000000000001E-3</v>
      </c>
      <c r="AI614" s="170">
        <v>3.4500000000000003E-2</v>
      </c>
      <c r="AJ614" s="170">
        <v>4.7E-2</v>
      </c>
      <c r="AK614" s="155">
        <f t="shared" si="413"/>
        <v>39850.92828571429</v>
      </c>
      <c r="AL614" s="157">
        <v>0</v>
      </c>
      <c r="AM614" s="157"/>
      <c r="AN614" s="199">
        <v>0</v>
      </c>
      <c r="AO614" s="156">
        <f t="shared" si="414"/>
        <v>169.58160000000001</v>
      </c>
      <c r="AP614" s="157"/>
      <c r="AQ614" s="155">
        <v>0</v>
      </c>
      <c r="AR614" s="155">
        <f t="shared" si="415"/>
        <v>40020.509885714288</v>
      </c>
      <c r="AS614" s="155">
        <f t="shared" si="416"/>
        <v>42022</v>
      </c>
      <c r="AT614" s="155">
        <f>BA614-BB614</f>
        <v>2.16</v>
      </c>
      <c r="AU614" s="157"/>
      <c r="AV614" s="157"/>
      <c r="AW614" s="155">
        <f t="shared" si="417"/>
        <v>8920</v>
      </c>
      <c r="AX614" s="157"/>
      <c r="AY614" s="155">
        <f t="shared" si="418"/>
        <v>8920</v>
      </c>
      <c r="AZ614" s="155">
        <f t="shared" si="419"/>
        <v>8900</v>
      </c>
      <c r="BA614" s="242">
        <f t="shared" si="420"/>
        <v>20</v>
      </c>
      <c r="BB614" s="246">
        <f t="shared" si="421"/>
        <v>17.84</v>
      </c>
      <c r="BC614" s="155">
        <v>0</v>
      </c>
      <c r="BD614" s="157"/>
      <c r="BE614" s="169">
        <v>89.2</v>
      </c>
      <c r="BF614" s="197">
        <f t="shared" si="422"/>
        <v>0.1338</v>
      </c>
      <c r="BG614" s="197">
        <f t="shared" si="423"/>
        <v>89.066200000000009</v>
      </c>
      <c r="BH614" s="197">
        <f t="shared" si="424"/>
        <v>89</v>
      </c>
      <c r="BI614" s="243">
        <f t="shared" si="425"/>
        <v>20.000000000000284</v>
      </c>
      <c r="BJ614" s="243">
        <v>0</v>
      </c>
      <c r="BK614" s="155">
        <f t="shared" si="426"/>
        <v>20.000000000000284</v>
      </c>
      <c r="BL614" s="47"/>
      <c r="BM614" s="48" t="str">
        <f t="shared" si="427"/>
        <v>Unloading no. 589 Bill No 2026-27/76 ,Deduction For Oil Deduction= 39850.9282857143 ,Bardana= 0 ,F.M=  Brokerage/Rate Difference 0 ,Shortage = 169.5816 ,Greenish=  ,Moisture= 0</v>
      </c>
      <c r="BN614" s="41"/>
      <c r="BO614" s="44" t="str">
        <f t="shared" si="428"/>
        <v xml:space="preserve"> Party Condition 42  ,F.M% 0.35 ,Greenish 3.45 ,Moisture 4.7 ,Shortage in KG= 2.16  ,Oil% 39.61</v>
      </c>
      <c r="BP614" s="45">
        <f t="shared" si="429"/>
        <v>7418.9740462279287</v>
      </c>
      <c r="BX614" s="27">
        <v>39.24</v>
      </c>
      <c r="BY614" s="27">
        <v>39.42</v>
      </c>
      <c r="CA614" s="57">
        <f>Z614-AE614</f>
        <v>0</v>
      </c>
    </row>
    <row r="615" spans="1:79" ht="14.1" hidden="1" customHeight="1" x14ac:dyDescent="0.3">
      <c r="A615" s="128" t="s">
        <v>1252</v>
      </c>
      <c r="B615" s="130">
        <v>46161</v>
      </c>
      <c r="C615" s="138">
        <v>590</v>
      </c>
      <c r="D615" s="128" t="s">
        <v>1279</v>
      </c>
      <c r="E615" s="130">
        <v>46165</v>
      </c>
      <c r="F615" s="128" t="s">
        <v>1144</v>
      </c>
      <c r="G615" s="128" t="s">
        <v>1145</v>
      </c>
      <c r="H615" s="128" t="s">
        <v>100</v>
      </c>
      <c r="I615" s="157"/>
      <c r="J615" s="128" t="s">
        <v>1146</v>
      </c>
      <c r="K615" s="163">
        <v>0</v>
      </c>
      <c r="L615" s="130">
        <v>46161</v>
      </c>
      <c r="M615" s="136"/>
      <c r="N615" s="128" t="s">
        <v>1316</v>
      </c>
      <c r="O615" s="130">
        <v>46165</v>
      </c>
      <c r="P615" s="128">
        <v>0</v>
      </c>
      <c r="Q615" s="128">
        <v>0</v>
      </c>
      <c r="R615" s="128">
        <v>182</v>
      </c>
      <c r="S615" s="128">
        <v>182</v>
      </c>
      <c r="T615" s="128">
        <v>182</v>
      </c>
      <c r="U615" s="163">
        <v>0</v>
      </c>
      <c r="V615" s="163"/>
      <c r="W615" s="169">
        <v>88.9</v>
      </c>
      <c r="X615" s="169">
        <v>89.1</v>
      </c>
      <c r="Y615" s="169">
        <v>697953.9</v>
      </c>
      <c r="Z615" s="262">
        <v>39.65</v>
      </c>
      <c r="AA615" s="128">
        <v>17448.849999999999</v>
      </c>
      <c r="AB615" s="128">
        <v>17448.849999999999</v>
      </c>
      <c r="AC615" s="128">
        <v>732851.6</v>
      </c>
      <c r="AD615" s="197">
        <f t="shared" si="433"/>
        <v>732118.74839999992</v>
      </c>
      <c r="AE615" s="169">
        <v>39.65</v>
      </c>
      <c r="AF615" s="169">
        <v>42</v>
      </c>
      <c r="AG615" s="169">
        <v>39.65</v>
      </c>
      <c r="AH615" s="170">
        <v>3.0999999999999999E-3</v>
      </c>
      <c r="AI615" s="170">
        <v>3.7499999999999999E-2</v>
      </c>
      <c r="AJ615" s="170">
        <v>4.9000000000000002E-2</v>
      </c>
      <c r="AK615" s="155">
        <f t="shared" si="413"/>
        <v>39052.182500000024</v>
      </c>
      <c r="AL615" s="157">
        <v>0</v>
      </c>
      <c r="AM615" s="157"/>
      <c r="AN615" s="199">
        <v>0</v>
      </c>
      <c r="AO615" s="156">
        <f t="shared" si="414"/>
        <v>0</v>
      </c>
      <c r="AP615" s="157"/>
      <c r="AQ615" s="155">
        <v>0</v>
      </c>
      <c r="AR615" s="155">
        <f t="shared" si="415"/>
        <v>39052.182500000024</v>
      </c>
      <c r="AS615" s="155">
        <f t="shared" si="416"/>
        <v>41005</v>
      </c>
      <c r="AT615" s="155">
        <v>0</v>
      </c>
      <c r="AU615" s="157"/>
      <c r="AV615" s="157"/>
      <c r="AW615" s="155">
        <f t="shared" si="417"/>
        <v>8890</v>
      </c>
      <c r="AX615" s="157"/>
      <c r="AY615" s="155">
        <f t="shared" si="418"/>
        <v>8890</v>
      </c>
      <c r="AZ615" s="155">
        <f t="shared" si="419"/>
        <v>8910</v>
      </c>
      <c r="BA615" s="242">
        <f t="shared" si="420"/>
        <v>-20</v>
      </c>
      <c r="BB615" s="246">
        <f t="shared" si="421"/>
        <v>17.78</v>
      </c>
      <c r="BC615" s="155">
        <v>0</v>
      </c>
      <c r="BD615" s="157"/>
      <c r="BE615" s="169">
        <v>88.9</v>
      </c>
      <c r="BF615" s="197">
        <f t="shared" si="422"/>
        <v>0.13335</v>
      </c>
      <c r="BG615" s="197">
        <f t="shared" si="423"/>
        <v>88.766650000000013</v>
      </c>
      <c r="BH615" s="197">
        <f t="shared" si="424"/>
        <v>89.1</v>
      </c>
      <c r="BI615" s="243">
        <f t="shared" si="425"/>
        <v>-19.999999999998863</v>
      </c>
      <c r="BJ615" s="243">
        <v>0</v>
      </c>
      <c r="BK615" s="155">
        <f t="shared" si="426"/>
        <v>-19.999999999998863</v>
      </c>
      <c r="BL615" s="47"/>
      <c r="BM615" s="48" t="str">
        <f t="shared" si="427"/>
        <v>Unloading no. 590 Bill No 2026-27/79 ,Deduction For Oil Deduction= 39052.1825 ,Bardana= 0 ,F.M=  Brokerage/Rate Difference 0 ,Shortage = 0 ,Greenish=  ,Moisture= 0</v>
      </c>
      <c r="BN615" s="41"/>
      <c r="BO615" s="44" t="str">
        <f t="shared" si="428"/>
        <v xml:space="preserve"> Party Condition 42  ,F.M% 0.31 ,Greenish 3.75 ,Moisture 4.9 ,Shortage in KG= 0  ,Oil% 39.65</v>
      </c>
      <c r="BP615" s="45">
        <f t="shared" si="429"/>
        <v>7395.0810044893387</v>
      </c>
      <c r="BX615" s="27">
        <v>39.64</v>
      </c>
      <c r="BY615" s="27">
        <v>39.61</v>
      </c>
      <c r="CA615" s="57">
        <f t="shared" ref="CA615:CA630" si="434">Z615-AE615</f>
        <v>0</v>
      </c>
    </row>
    <row r="616" spans="1:79" ht="14.1" hidden="1" customHeight="1" x14ac:dyDescent="0.3">
      <c r="A616" s="128" t="s">
        <v>1253</v>
      </c>
      <c r="B616" s="130">
        <v>46161</v>
      </c>
      <c r="C616" s="138">
        <v>591</v>
      </c>
      <c r="D616" s="128" t="s">
        <v>1280</v>
      </c>
      <c r="E616" s="130">
        <v>46165</v>
      </c>
      <c r="F616" s="128" t="s">
        <v>1144</v>
      </c>
      <c r="G616" s="128" t="s">
        <v>1145</v>
      </c>
      <c r="H616" s="128" t="s">
        <v>100</v>
      </c>
      <c r="I616" s="157"/>
      <c r="J616" s="128" t="s">
        <v>1146</v>
      </c>
      <c r="K616" s="163">
        <v>0</v>
      </c>
      <c r="L616" s="130">
        <v>46161</v>
      </c>
      <c r="M616" s="136"/>
      <c r="N616" s="128" t="s">
        <v>1317</v>
      </c>
      <c r="O616" s="130">
        <v>46165</v>
      </c>
      <c r="P616" s="128">
        <v>0</v>
      </c>
      <c r="Q616" s="128">
        <v>140</v>
      </c>
      <c r="R616" s="128">
        <v>24</v>
      </c>
      <c r="S616" s="128">
        <v>164</v>
      </c>
      <c r="T616" s="128">
        <v>164</v>
      </c>
      <c r="U616" s="163">
        <v>0</v>
      </c>
      <c r="V616" s="163"/>
      <c r="W616" s="169">
        <v>98</v>
      </c>
      <c r="X616" s="169">
        <v>98</v>
      </c>
      <c r="Y616" s="169">
        <v>769398</v>
      </c>
      <c r="Z616" s="262">
        <v>39.590000000000003</v>
      </c>
      <c r="AA616" s="128">
        <v>19234.95</v>
      </c>
      <c r="AB616" s="128">
        <v>19234.95</v>
      </c>
      <c r="AC616" s="128">
        <v>807867.9</v>
      </c>
      <c r="AD616" s="197">
        <f t="shared" si="433"/>
        <v>807060.03210000007</v>
      </c>
      <c r="AE616" s="169">
        <v>39.590000000000003</v>
      </c>
      <c r="AF616" s="169">
        <v>42</v>
      </c>
      <c r="AG616" s="169">
        <v>39.590000000000003</v>
      </c>
      <c r="AH616" s="170">
        <v>3.3E-3</v>
      </c>
      <c r="AI616" s="170">
        <v>3.4000000000000002E-2</v>
      </c>
      <c r="AJ616" s="170">
        <v>0.05</v>
      </c>
      <c r="AK616" s="155">
        <f t="shared" si="413"/>
        <v>44148.789999999935</v>
      </c>
      <c r="AL616" s="157">
        <v>0</v>
      </c>
      <c r="AM616" s="157"/>
      <c r="AN616" s="199">
        <v>0</v>
      </c>
      <c r="AO616" s="156">
        <f t="shared" si="414"/>
        <v>0</v>
      </c>
      <c r="AP616" s="157"/>
      <c r="AQ616" s="155">
        <v>0</v>
      </c>
      <c r="AR616" s="155">
        <f t="shared" si="415"/>
        <v>44148.789999999935</v>
      </c>
      <c r="AS616" s="155">
        <f t="shared" si="416"/>
        <v>46356</v>
      </c>
      <c r="AT616" s="155">
        <v>0</v>
      </c>
      <c r="AU616" s="157"/>
      <c r="AV616" s="157"/>
      <c r="AW616" s="155">
        <f t="shared" si="417"/>
        <v>9800</v>
      </c>
      <c r="AX616" s="157"/>
      <c r="AY616" s="155">
        <f t="shared" si="418"/>
        <v>9800</v>
      </c>
      <c r="AZ616" s="155">
        <f t="shared" si="419"/>
        <v>9800</v>
      </c>
      <c r="BA616" s="242">
        <f t="shared" si="420"/>
        <v>0</v>
      </c>
      <c r="BB616" s="246">
        <f t="shared" si="421"/>
        <v>19.600000000000001</v>
      </c>
      <c r="BC616" s="155">
        <v>0</v>
      </c>
      <c r="BD616" s="157"/>
      <c r="BE616" s="169">
        <v>98</v>
      </c>
      <c r="BF616" s="197">
        <f t="shared" si="422"/>
        <v>0.14699999999999999</v>
      </c>
      <c r="BG616" s="197">
        <f t="shared" si="423"/>
        <v>97.852999999999994</v>
      </c>
      <c r="BH616" s="197">
        <f t="shared" si="424"/>
        <v>98</v>
      </c>
      <c r="BI616" s="243">
        <f t="shared" si="425"/>
        <v>0</v>
      </c>
      <c r="BJ616" s="243">
        <v>0</v>
      </c>
      <c r="BK616" s="155">
        <f t="shared" si="426"/>
        <v>0</v>
      </c>
      <c r="BL616" s="47"/>
      <c r="BM616" s="48" t="str">
        <f t="shared" si="427"/>
        <v>Unloading no. 591 Bill No 2026-27/78 ,Deduction For Oil Deduction= 44148.7899999999 ,Bardana= 0 ,F.M=  Brokerage/Rate Difference 0 ,Shortage = 0 ,Greenish=  ,Moisture= 0</v>
      </c>
      <c r="BN616" s="41"/>
      <c r="BO616" s="44" t="str">
        <f t="shared" si="428"/>
        <v xml:space="preserve"> Party Condition 42  ,F.M% 0.33 ,Greenish 3.4 ,Moisture 5 ,Shortage in KG= 0  ,Oil% 39.59</v>
      </c>
      <c r="BP616" s="45">
        <f t="shared" si="429"/>
        <v>7400.5021428571436</v>
      </c>
      <c r="BX616" s="27">
        <v>39.799999999999997</v>
      </c>
      <c r="BY616" s="27">
        <v>39.64</v>
      </c>
      <c r="CA616" s="57">
        <f t="shared" si="434"/>
        <v>0</v>
      </c>
    </row>
    <row r="617" spans="1:79" ht="14.1" hidden="1" customHeight="1" x14ac:dyDescent="0.3">
      <c r="A617" s="128" t="s">
        <v>1252</v>
      </c>
      <c r="B617" s="130">
        <v>46161</v>
      </c>
      <c r="C617" s="138">
        <v>592</v>
      </c>
      <c r="D617" s="128" t="s">
        <v>1281</v>
      </c>
      <c r="E617" s="130">
        <v>46165</v>
      </c>
      <c r="F617" s="128" t="s">
        <v>1144</v>
      </c>
      <c r="G617" s="128" t="s">
        <v>1145</v>
      </c>
      <c r="H617" s="128" t="s">
        <v>100</v>
      </c>
      <c r="I617" s="157"/>
      <c r="J617" s="128" t="s">
        <v>1146</v>
      </c>
      <c r="K617" s="163">
        <v>0</v>
      </c>
      <c r="L617" s="130">
        <v>46161</v>
      </c>
      <c r="M617" s="136"/>
      <c r="N617" s="128" t="s">
        <v>1318</v>
      </c>
      <c r="O617" s="130">
        <v>46165</v>
      </c>
      <c r="P617" s="128">
        <v>0</v>
      </c>
      <c r="Q617" s="128">
        <v>0</v>
      </c>
      <c r="R617" s="128">
        <v>182</v>
      </c>
      <c r="S617" s="128">
        <v>182</v>
      </c>
      <c r="T617" s="128">
        <v>182</v>
      </c>
      <c r="U617" s="163">
        <v>0</v>
      </c>
      <c r="V617" s="163"/>
      <c r="W617" s="169">
        <v>89.1</v>
      </c>
      <c r="X617" s="169">
        <v>88.8</v>
      </c>
      <c r="Y617" s="169">
        <v>699524.1</v>
      </c>
      <c r="Z617" s="262">
        <v>39.520000000000003</v>
      </c>
      <c r="AA617" s="128">
        <v>17488.099999999999</v>
      </c>
      <c r="AB617" s="128">
        <v>17488.099999999999</v>
      </c>
      <c r="AC617" s="128">
        <v>734500.31</v>
      </c>
      <c r="AD617" s="197">
        <f t="shared" si="433"/>
        <v>733765.80969000002</v>
      </c>
      <c r="AE617" s="169">
        <v>39.520000000000003</v>
      </c>
      <c r="AF617" s="169">
        <v>42</v>
      </c>
      <c r="AG617" s="169">
        <v>39.520000000000003</v>
      </c>
      <c r="AH617" s="170">
        <v>4.1999999999999997E-3</v>
      </c>
      <c r="AI617" s="170">
        <v>3.5000000000000003E-2</v>
      </c>
      <c r="AJ617" s="170">
        <v>3.9E-2</v>
      </c>
      <c r="AK617" s="155">
        <f t="shared" si="413"/>
        <v>41305.232571428518</v>
      </c>
      <c r="AL617" s="157">
        <v>0</v>
      </c>
      <c r="AM617" s="157"/>
      <c r="AN617" s="199">
        <v>0</v>
      </c>
      <c r="AO617" s="156">
        <f t="shared" si="414"/>
        <v>956.25179999999989</v>
      </c>
      <c r="AP617" s="157"/>
      <c r="AQ617" s="155">
        <v>0</v>
      </c>
      <c r="AR617" s="155">
        <f t="shared" si="415"/>
        <v>42261.484371428516</v>
      </c>
      <c r="AS617" s="155">
        <f t="shared" si="416"/>
        <v>44375</v>
      </c>
      <c r="AT617" s="155">
        <f t="shared" ref="AT617:AT620" si="435">BA617-BB617</f>
        <v>12.18</v>
      </c>
      <c r="AU617" s="157"/>
      <c r="AV617" s="157"/>
      <c r="AW617" s="155">
        <f t="shared" si="417"/>
        <v>8910</v>
      </c>
      <c r="AX617" s="157"/>
      <c r="AY617" s="155">
        <f t="shared" si="418"/>
        <v>8910</v>
      </c>
      <c r="AZ617" s="155">
        <f t="shared" si="419"/>
        <v>8880</v>
      </c>
      <c r="BA617" s="242">
        <f t="shared" si="420"/>
        <v>30</v>
      </c>
      <c r="BB617" s="246">
        <f t="shared" si="421"/>
        <v>17.82</v>
      </c>
      <c r="BC617" s="155">
        <v>0</v>
      </c>
      <c r="BD617" s="157"/>
      <c r="BE617" s="169">
        <v>89.1</v>
      </c>
      <c r="BF617" s="197">
        <f t="shared" si="422"/>
        <v>0.13364999999999999</v>
      </c>
      <c r="BG617" s="197">
        <f t="shared" si="423"/>
        <v>88.966349999999991</v>
      </c>
      <c r="BH617" s="197">
        <f t="shared" si="424"/>
        <v>88.8</v>
      </c>
      <c r="BI617" s="243">
        <f t="shared" si="425"/>
        <v>29.999999999999716</v>
      </c>
      <c r="BJ617" s="243">
        <v>0</v>
      </c>
      <c r="BK617" s="155">
        <f t="shared" si="426"/>
        <v>29.999999999999716</v>
      </c>
      <c r="BL617" s="47"/>
      <c r="BM617" s="48" t="str">
        <f t="shared" si="427"/>
        <v>Unloading no. 592 Bill No 2026-27/77 ,Deduction For Oil Deduction= 41305.2325714285 ,Bardana= 0 ,F.M=  Brokerage/Rate Difference 0 ,Shortage = 956.2518 ,Greenish=  ,Moisture= 0</v>
      </c>
      <c r="BN617" s="41"/>
      <c r="BO617" s="44" t="str">
        <f t="shared" si="428"/>
        <v xml:space="preserve"> Party Condition 42  ,F.M% 0.42 ,Greenish 3.5 ,Moisture 3.9 ,Shortage in KG= 12.18  ,Oil% 39.52</v>
      </c>
      <c r="BP617" s="45">
        <f t="shared" si="429"/>
        <v>7401.6060318532827</v>
      </c>
      <c r="BX617" s="27">
        <v>39.21</v>
      </c>
      <c r="BY617" s="27">
        <v>39.29</v>
      </c>
      <c r="CA617" s="57">
        <f t="shared" si="434"/>
        <v>0</v>
      </c>
    </row>
    <row r="618" spans="1:79" ht="14.1" hidden="1" customHeight="1" x14ac:dyDescent="0.3">
      <c r="A618" s="128" t="s">
        <v>1253</v>
      </c>
      <c r="B618" s="130">
        <v>46161</v>
      </c>
      <c r="C618" s="138">
        <v>593</v>
      </c>
      <c r="D618" s="128" t="s">
        <v>1282</v>
      </c>
      <c r="E618" s="130">
        <v>46165</v>
      </c>
      <c r="F618" s="128" t="s">
        <v>1144</v>
      </c>
      <c r="G618" s="128" t="s">
        <v>1145</v>
      </c>
      <c r="H618" s="128" t="s">
        <v>100</v>
      </c>
      <c r="I618" s="157"/>
      <c r="J618" s="128" t="s">
        <v>1146</v>
      </c>
      <c r="K618" s="163">
        <v>0</v>
      </c>
      <c r="L618" s="130">
        <v>46161</v>
      </c>
      <c r="M618" s="136"/>
      <c r="N618" s="128" t="s">
        <v>1319</v>
      </c>
      <c r="O618" s="130">
        <v>46165</v>
      </c>
      <c r="P618" s="128">
        <v>0</v>
      </c>
      <c r="Q618" s="128">
        <v>140</v>
      </c>
      <c r="R618" s="128">
        <v>24</v>
      </c>
      <c r="S618" s="128">
        <v>164</v>
      </c>
      <c r="T618" s="128">
        <v>164</v>
      </c>
      <c r="U618" s="163">
        <v>0</v>
      </c>
      <c r="V618" s="163"/>
      <c r="W618" s="169">
        <v>97.7</v>
      </c>
      <c r="X618" s="169">
        <v>97.9</v>
      </c>
      <c r="Y618" s="169">
        <v>767042.7</v>
      </c>
      <c r="Z618" s="262">
        <v>39.68</v>
      </c>
      <c r="AA618" s="128">
        <v>19176.07</v>
      </c>
      <c r="AB618" s="128">
        <v>19176.07</v>
      </c>
      <c r="AC618" s="128">
        <v>805394.84</v>
      </c>
      <c r="AD618" s="197">
        <f t="shared" si="433"/>
        <v>804589.44516</v>
      </c>
      <c r="AE618" s="169">
        <v>39.68</v>
      </c>
      <c r="AF618" s="169">
        <v>42</v>
      </c>
      <c r="AG618" s="169">
        <v>39.68</v>
      </c>
      <c r="AH618" s="170">
        <v>2.5999999999999999E-3</v>
      </c>
      <c r="AI618" s="170">
        <v>3.6999999999999998E-2</v>
      </c>
      <c r="AJ618" s="170">
        <v>4.8000000000000001E-2</v>
      </c>
      <c r="AK618" s="155">
        <f t="shared" si="413"/>
        <v>42369.97771428572</v>
      </c>
      <c r="AL618" s="157">
        <v>0</v>
      </c>
      <c r="AM618" s="157"/>
      <c r="AN618" s="199">
        <v>0</v>
      </c>
      <c r="AO618" s="156">
        <f t="shared" si="414"/>
        <v>0</v>
      </c>
      <c r="AP618" s="157"/>
      <c r="AQ618" s="155">
        <v>0</v>
      </c>
      <c r="AR618" s="155">
        <f t="shared" si="415"/>
        <v>42369.97771428572</v>
      </c>
      <c r="AS618" s="155">
        <f t="shared" si="416"/>
        <v>44488</v>
      </c>
      <c r="AT618" s="155">
        <v>0</v>
      </c>
      <c r="AU618" s="157"/>
      <c r="AV618" s="157"/>
      <c r="AW618" s="155">
        <f t="shared" si="417"/>
        <v>9770</v>
      </c>
      <c r="AX618" s="157"/>
      <c r="AY618" s="155">
        <f t="shared" si="418"/>
        <v>9770</v>
      </c>
      <c r="AZ618" s="155">
        <f t="shared" si="419"/>
        <v>9790</v>
      </c>
      <c r="BA618" s="242">
        <f t="shared" si="420"/>
        <v>-20</v>
      </c>
      <c r="BB618" s="246">
        <f t="shared" si="421"/>
        <v>19.54</v>
      </c>
      <c r="BC618" s="155">
        <v>0</v>
      </c>
      <c r="BD618" s="157"/>
      <c r="BE618" s="169">
        <v>97.7</v>
      </c>
      <c r="BF618" s="197">
        <f t="shared" si="422"/>
        <v>0.14654999999999999</v>
      </c>
      <c r="BG618" s="197">
        <f t="shared" si="423"/>
        <v>97.553449999999998</v>
      </c>
      <c r="BH618" s="197">
        <f t="shared" si="424"/>
        <v>97.9</v>
      </c>
      <c r="BI618" s="243">
        <f t="shared" si="425"/>
        <v>-20.000000000000284</v>
      </c>
      <c r="BJ618" s="243">
        <v>0</v>
      </c>
      <c r="BK618" s="155">
        <f t="shared" si="426"/>
        <v>-20.000000000000284</v>
      </c>
      <c r="BL618" s="47"/>
      <c r="BM618" s="48" t="str">
        <f t="shared" si="427"/>
        <v>Unloading no. 593 Bill No 2026-27/80 ,Deduction For Oil Deduction= 42369.9777142857 ,Bardana= 0 ,F.M=  Brokerage/Rate Difference 0 ,Shortage = 0 ,Greenish=  ,Moisture= 0</v>
      </c>
      <c r="BN618" s="41"/>
      <c r="BO618" s="44" t="str">
        <f t="shared" si="428"/>
        <v xml:space="preserve"> Party Condition 42  ,F.M% 0.26 ,Greenish 3.7 ,Moisture 4.8 ,Shortage in KG= 0  ,Oil% 39.68</v>
      </c>
      <c r="BP618" s="45">
        <f t="shared" si="429"/>
        <v>7402.1728527652112</v>
      </c>
      <c r="BX618" s="27">
        <v>39.78</v>
      </c>
      <c r="BY618" s="27">
        <v>39.71</v>
      </c>
      <c r="CA618" s="57">
        <f t="shared" si="434"/>
        <v>0</v>
      </c>
    </row>
    <row r="619" spans="1:79" ht="14.1" hidden="1" customHeight="1" x14ac:dyDescent="0.3">
      <c r="A619" s="128" t="s">
        <v>1252</v>
      </c>
      <c r="B619" s="130">
        <v>46161</v>
      </c>
      <c r="C619" s="138">
        <v>594</v>
      </c>
      <c r="D619" s="128" t="s">
        <v>1283</v>
      </c>
      <c r="E619" s="130">
        <v>46165</v>
      </c>
      <c r="F619" s="128" t="s">
        <v>1144</v>
      </c>
      <c r="G619" s="128" t="s">
        <v>1145</v>
      </c>
      <c r="H619" s="128" t="s">
        <v>100</v>
      </c>
      <c r="I619" s="157"/>
      <c r="J619" s="128" t="s">
        <v>1146</v>
      </c>
      <c r="K619" s="163">
        <v>0</v>
      </c>
      <c r="L619" s="130">
        <v>46161</v>
      </c>
      <c r="M619" s="136"/>
      <c r="N619" s="128" t="s">
        <v>1320</v>
      </c>
      <c r="O619" s="130">
        <v>46165</v>
      </c>
      <c r="P619" s="128">
        <v>0</v>
      </c>
      <c r="Q619" s="128">
        <v>0</v>
      </c>
      <c r="R619" s="128">
        <v>182</v>
      </c>
      <c r="S619" s="128">
        <v>182</v>
      </c>
      <c r="T619" s="128">
        <v>182</v>
      </c>
      <c r="U619" s="163">
        <v>0</v>
      </c>
      <c r="V619" s="163"/>
      <c r="W619" s="169">
        <v>89.8</v>
      </c>
      <c r="X619" s="169">
        <v>89.7</v>
      </c>
      <c r="Y619" s="169">
        <v>705019.8</v>
      </c>
      <c r="Z619" s="262">
        <v>39.869999999999997</v>
      </c>
      <c r="AA619" s="128">
        <v>17625.5</v>
      </c>
      <c r="AB619" s="128">
        <v>17625.5</v>
      </c>
      <c r="AC619" s="128">
        <v>740270.79</v>
      </c>
      <c r="AD619" s="197">
        <f t="shared" si="433"/>
        <v>739530.51921000006</v>
      </c>
      <c r="AE619" s="169">
        <v>39.869999999999997</v>
      </c>
      <c r="AF619" s="169">
        <v>42</v>
      </c>
      <c r="AG619" s="169">
        <v>39.869999999999997</v>
      </c>
      <c r="AH619" s="170">
        <v>2.8999999999999998E-3</v>
      </c>
      <c r="AI619" s="170">
        <v>3.6600000000000001E-2</v>
      </c>
      <c r="AJ619" s="170">
        <v>4.1000000000000002E-2</v>
      </c>
      <c r="AK619" s="155">
        <f t="shared" si="413"/>
        <v>35754.575571428613</v>
      </c>
      <c r="AL619" s="157">
        <v>0</v>
      </c>
      <c r="AM619" s="157"/>
      <c r="AN619" s="199">
        <v>0</v>
      </c>
      <c r="AO619" s="156">
        <f t="shared" si="414"/>
        <v>0</v>
      </c>
      <c r="AP619" s="157"/>
      <c r="AQ619" s="155">
        <v>0</v>
      </c>
      <c r="AR619" s="155">
        <f t="shared" si="415"/>
        <v>35754.575571428613</v>
      </c>
      <c r="AS619" s="155">
        <f t="shared" si="416"/>
        <v>37542</v>
      </c>
      <c r="AT619" s="155">
        <v>0</v>
      </c>
      <c r="AU619" s="157"/>
      <c r="AV619" s="157"/>
      <c r="AW619" s="155">
        <f t="shared" si="417"/>
        <v>8980</v>
      </c>
      <c r="AX619" s="157"/>
      <c r="AY619" s="155">
        <f t="shared" si="418"/>
        <v>8980</v>
      </c>
      <c r="AZ619" s="155">
        <f t="shared" si="419"/>
        <v>8970</v>
      </c>
      <c r="BA619" s="242">
        <f t="shared" si="420"/>
        <v>10</v>
      </c>
      <c r="BB619" s="246">
        <f t="shared" si="421"/>
        <v>17.96</v>
      </c>
      <c r="BC619" s="155">
        <v>0</v>
      </c>
      <c r="BD619" s="157"/>
      <c r="BE619" s="169">
        <v>89.8</v>
      </c>
      <c r="BF619" s="197">
        <f t="shared" si="422"/>
        <v>0.13469999999999999</v>
      </c>
      <c r="BG619" s="197">
        <f t="shared" si="423"/>
        <v>89.665300000000002</v>
      </c>
      <c r="BH619" s="197">
        <f t="shared" si="424"/>
        <v>89.7</v>
      </c>
      <c r="BI619" s="243">
        <f t="shared" si="425"/>
        <v>9.9999999999994316</v>
      </c>
      <c r="BJ619" s="243">
        <v>0</v>
      </c>
      <c r="BK619" s="155">
        <f t="shared" si="426"/>
        <v>9.9999999999994316</v>
      </c>
      <c r="BL619" s="47"/>
      <c r="BM619" s="48" t="str">
        <f t="shared" si="427"/>
        <v>Unloading no. 594 Bill No 2026-27/81 ,Deduction For Oil Deduction= 35754.5755714286 ,Bardana= 0 ,F.M=  Brokerage/Rate Difference 0 ,Shortage = 0 ,Greenish=  ,Moisture= 0</v>
      </c>
      <c r="BN619" s="41"/>
      <c r="BO619" s="44" t="str">
        <f t="shared" si="428"/>
        <v xml:space="preserve"> Party Condition 42  ,F.M% 0.29 ,Greenish 3.66 ,Moisture 4.1 ,Shortage in KG= 0  ,Oil% 39.87</v>
      </c>
      <c r="BP619" s="45">
        <f t="shared" si="429"/>
        <v>7461.1507740085999</v>
      </c>
      <c r="BX619" s="27">
        <v>39.770000000000003</v>
      </c>
      <c r="BY619" s="27">
        <v>39.659999999999997</v>
      </c>
      <c r="CA619" s="57">
        <f t="shared" si="434"/>
        <v>0</v>
      </c>
    </row>
    <row r="620" spans="1:79" ht="14.1" hidden="1" customHeight="1" x14ac:dyDescent="0.3">
      <c r="A620" s="128" t="s">
        <v>1253</v>
      </c>
      <c r="B620" s="130">
        <v>46161</v>
      </c>
      <c r="C620" s="138">
        <v>595</v>
      </c>
      <c r="D620" s="128" t="s">
        <v>1284</v>
      </c>
      <c r="E620" s="130">
        <v>46165</v>
      </c>
      <c r="F620" s="128" t="s">
        <v>1144</v>
      </c>
      <c r="G620" s="128" t="s">
        <v>1145</v>
      </c>
      <c r="H620" s="128" t="s">
        <v>100</v>
      </c>
      <c r="I620" s="157"/>
      <c r="J620" s="128" t="s">
        <v>1146</v>
      </c>
      <c r="K620" s="163">
        <v>0</v>
      </c>
      <c r="L620" s="130">
        <v>46161</v>
      </c>
      <c r="M620" s="136"/>
      <c r="N620" s="128" t="s">
        <v>1321</v>
      </c>
      <c r="O620" s="130">
        <v>46165</v>
      </c>
      <c r="P620" s="128">
        <v>0</v>
      </c>
      <c r="Q620" s="128">
        <v>150</v>
      </c>
      <c r="R620" s="128">
        <v>20</v>
      </c>
      <c r="S620" s="128">
        <v>170</v>
      </c>
      <c r="T620" s="128">
        <v>170</v>
      </c>
      <c r="U620" s="163">
        <v>0</v>
      </c>
      <c r="V620" s="163"/>
      <c r="W620" s="169">
        <v>102.2</v>
      </c>
      <c r="X620" s="169">
        <v>101.8</v>
      </c>
      <c r="Y620" s="169">
        <v>802372.2</v>
      </c>
      <c r="Z620" s="262">
        <v>39.909999999999997</v>
      </c>
      <c r="AA620" s="128">
        <v>20059.310000000001</v>
      </c>
      <c r="AB620" s="128">
        <v>20059.310000000001</v>
      </c>
      <c r="AC620" s="128">
        <v>842490.81</v>
      </c>
      <c r="AD620" s="197">
        <f t="shared" si="433"/>
        <v>841648.31919000007</v>
      </c>
      <c r="AE620" s="169">
        <v>39.909999999999997</v>
      </c>
      <c r="AF620" s="169">
        <v>42</v>
      </c>
      <c r="AG620" s="169">
        <v>39.909999999999997</v>
      </c>
      <c r="AH620" s="170">
        <v>3.0000000000000001E-3</v>
      </c>
      <c r="AI620" s="170">
        <v>3.3000000000000002E-2</v>
      </c>
      <c r="AJ620" s="170">
        <v>4.2000000000000003E-2</v>
      </c>
      <c r="AK620" s="155">
        <f t="shared" si="413"/>
        <v>39927.569000000061</v>
      </c>
      <c r="AL620" s="157">
        <v>0</v>
      </c>
      <c r="AM620" s="157"/>
      <c r="AN620" s="199">
        <v>0</v>
      </c>
      <c r="AO620" s="156">
        <f t="shared" si="414"/>
        <v>1535.6555999999998</v>
      </c>
      <c r="AP620" s="157"/>
      <c r="AQ620" s="155">
        <v>0</v>
      </c>
      <c r="AR620" s="155">
        <f t="shared" si="415"/>
        <v>41463.22460000006</v>
      </c>
      <c r="AS620" s="155">
        <f t="shared" si="416"/>
        <v>43536</v>
      </c>
      <c r="AT620" s="155">
        <f t="shared" si="435"/>
        <v>19.559999999999999</v>
      </c>
      <c r="AU620" s="157"/>
      <c r="AV620" s="157"/>
      <c r="AW620" s="155">
        <f t="shared" si="417"/>
        <v>10220</v>
      </c>
      <c r="AX620" s="157"/>
      <c r="AY620" s="155">
        <f t="shared" si="418"/>
        <v>10220</v>
      </c>
      <c r="AZ620" s="155">
        <f t="shared" si="419"/>
        <v>10180</v>
      </c>
      <c r="BA620" s="242">
        <f t="shared" si="420"/>
        <v>40</v>
      </c>
      <c r="BB620" s="246">
        <f t="shared" si="421"/>
        <v>20.440000000000001</v>
      </c>
      <c r="BC620" s="155">
        <v>0</v>
      </c>
      <c r="BD620" s="157"/>
      <c r="BE620" s="169">
        <v>102.2</v>
      </c>
      <c r="BF620" s="197">
        <f t="shared" si="422"/>
        <v>0.15329999999999999</v>
      </c>
      <c r="BG620" s="197">
        <f t="shared" si="423"/>
        <v>102.0467</v>
      </c>
      <c r="BH620" s="197">
        <f t="shared" si="424"/>
        <v>101.8</v>
      </c>
      <c r="BI620" s="243">
        <f t="shared" si="425"/>
        <v>40.000000000000568</v>
      </c>
      <c r="BJ620" s="243">
        <v>0</v>
      </c>
      <c r="BK620" s="155">
        <f t="shared" si="426"/>
        <v>40.000000000000568</v>
      </c>
      <c r="BL620" s="47"/>
      <c r="BM620" s="48" t="str">
        <f t="shared" si="427"/>
        <v>Unloading no. 595 Bill No 2026-27/82 ,Deduction For Oil Deduction= 39927.5690000001 ,Bardana= 0 ,F.M=  Brokerage/Rate Difference 0 ,Shortage = 1535.6556 ,Greenish=  ,Moisture= 0</v>
      </c>
      <c r="BN620" s="41"/>
      <c r="BO620" s="44" t="str">
        <f t="shared" si="428"/>
        <v xml:space="preserve"> Party Condition 42  ,F.M% 0.3 ,Greenish 3.3 ,Moisture 4.2 ,Shortage in KG= 19.56  ,Oil% 39.91</v>
      </c>
      <c r="BP620" s="45">
        <f t="shared" si="429"/>
        <v>7474.5478919449888</v>
      </c>
      <c r="BX620" s="27">
        <v>39.9</v>
      </c>
      <c r="BY620" s="27">
        <v>39.85</v>
      </c>
      <c r="CA620" s="57">
        <f t="shared" si="434"/>
        <v>0</v>
      </c>
    </row>
    <row r="621" spans="1:79" ht="14.1" hidden="1" customHeight="1" x14ac:dyDescent="0.3">
      <c r="A621" s="128" t="s">
        <v>1253</v>
      </c>
      <c r="B621" s="130">
        <v>46161</v>
      </c>
      <c r="C621" s="138">
        <v>596</v>
      </c>
      <c r="D621" s="128" t="s">
        <v>1285</v>
      </c>
      <c r="E621" s="130">
        <v>46165</v>
      </c>
      <c r="F621" s="128" t="s">
        <v>1144</v>
      </c>
      <c r="G621" s="128" t="s">
        <v>1145</v>
      </c>
      <c r="H621" s="128" t="s">
        <v>100</v>
      </c>
      <c r="I621" s="157"/>
      <c r="J621" s="128" t="s">
        <v>1146</v>
      </c>
      <c r="K621" s="163">
        <v>0</v>
      </c>
      <c r="L621" s="130">
        <v>46161</v>
      </c>
      <c r="M621" s="136"/>
      <c r="N621" s="128" t="s">
        <v>1322</v>
      </c>
      <c r="O621" s="130">
        <v>46165</v>
      </c>
      <c r="P621" s="128">
        <v>0</v>
      </c>
      <c r="Q621" s="128">
        <v>125</v>
      </c>
      <c r="R621" s="128">
        <v>35</v>
      </c>
      <c r="S621" s="128">
        <v>160</v>
      </c>
      <c r="T621" s="128">
        <v>160</v>
      </c>
      <c r="U621" s="163">
        <v>0</v>
      </c>
      <c r="V621" s="163"/>
      <c r="W621" s="169">
        <v>96.2</v>
      </c>
      <c r="X621" s="169">
        <v>96.2</v>
      </c>
      <c r="Y621" s="169">
        <v>755266.2</v>
      </c>
      <c r="Z621" s="262">
        <v>40.409999999999997</v>
      </c>
      <c r="AA621" s="128">
        <v>18881.66</v>
      </c>
      <c r="AB621" s="128">
        <v>18881.66</v>
      </c>
      <c r="AC621" s="128">
        <v>793029.51</v>
      </c>
      <c r="AD621" s="197">
        <f t="shared" si="433"/>
        <v>792236.48048999999</v>
      </c>
      <c r="AE621" s="169">
        <v>40.409999999999997</v>
      </c>
      <c r="AF621" s="169">
        <v>42</v>
      </c>
      <c r="AG621" s="169">
        <v>40.409999999999997</v>
      </c>
      <c r="AH621" s="170">
        <v>3.0000000000000001E-3</v>
      </c>
      <c r="AI621" s="170">
        <v>3.6999999999999998E-2</v>
      </c>
      <c r="AJ621" s="170">
        <v>4.8000000000000001E-2</v>
      </c>
      <c r="AK621" s="155">
        <f t="shared" si="413"/>
        <v>28592.220428571487</v>
      </c>
      <c r="AL621" s="157">
        <v>0</v>
      </c>
      <c r="AM621" s="157"/>
      <c r="AN621" s="199">
        <v>0</v>
      </c>
      <c r="AO621" s="156">
        <f t="shared" si="414"/>
        <v>0</v>
      </c>
      <c r="AP621" s="157"/>
      <c r="AQ621" s="155">
        <v>0</v>
      </c>
      <c r="AR621" s="155">
        <f t="shared" si="415"/>
        <v>28592.220428571487</v>
      </c>
      <c r="AS621" s="155">
        <f t="shared" si="416"/>
        <v>30022</v>
      </c>
      <c r="AT621" s="155">
        <v>0</v>
      </c>
      <c r="AU621" s="157"/>
      <c r="AV621" s="157"/>
      <c r="AW621" s="155">
        <f t="shared" si="417"/>
        <v>9620</v>
      </c>
      <c r="AX621" s="157"/>
      <c r="AY621" s="155">
        <f t="shared" si="418"/>
        <v>9620</v>
      </c>
      <c r="AZ621" s="155">
        <f t="shared" si="419"/>
        <v>9620</v>
      </c>
      <c r="BA621" s="242">
        <f t="shared" si="420"/>
        <v>0</v>
      </c>
      <c r="BB621" s="246">
        <f t="shared" si="421"/>
        <v>19.239999999999998</v>
      </c>
      <c r="BC621" s="155">
        <v>0</v>
      </c>
      <c r="BD621" s="157"/>
      <c r="BE621" s="169">
        <v>96.2</v>
      </c>
      <c r="BF621" s="197">
        <f t="shared" si="422"/>
        <v>0.14429999999999998</v>
      </c>
      <c r="BG621" s="197">
        <f t="shared" si="423"/>
        <v>96.055700000000002</v>
      </c>
      <c r="BH621" s="197">
        <f t="shared" si="424"/>
        <v>96.2</v>
      </c>
      <c r="BI621" s="243">
        <f t="shared" si="425"/>
        <v>0</v>
      </c>
      <c r="BJ621" s="243">
        <v>0</v>
      </c>
      <c r="BK621" s="155">
        <f t="shared" si="426"/>
        <v>0</v>
      </c>
      <c r="BL621" s="47"/>
      <c r="BM621" s="48" t="str">
        <f t="shared" si="427"/>
        <v>Unloading no. 596 Bill No 2026-27/83 ,Deduction For Oil Deduction= 28592.2204285715 ,Bardana= 0 ,F.M=  Brokerage/Rate Difference 0 ,Shortage = 0 ,Greenish=  ,Moisture= 0</v>
      </c>
      <c r="BN621" s="41"/>
      <c r="BO621" s="44" t="str">
        <f t="shared" si="428"/>
        <v xml:space="preserve"> Party Condition 42  ,F.M% 0.3 ,Greenish 3.7 ,Moisture 4.8 ,Shortage in KG= 0  ,Oil% 40.41</v>
      </c>
      <c r="BP621" s="45">
        <f t="shared" si="429"/>
        <v>7553.7835714285702</v>
      </c>
      <c r="BX621" s="27">
        <v>40.4</v>
      </c>
      <c r="BY621" s="27">
        <v>40.26</v>
      </c>
      <c r="CA621" s="57">
        <f t="shared" si="434"/>
        <v>0</v>
      </c>
    </row>
    <row r="622" spans="1:79" ht="14.1" hidden="1" customHeight="1" x14ac:dyDescent="0.3">
      <c r="A622" s="128" t="s">
        <v>1252</v>
      </c>
      <c r="B622" s="130">
        <v>46161</v>
      </c>
      <c r="C622" s="138">
        <v>597</v>
      </c>
      <c r="D622" s="128" t="s">
        <v>1286</v>
      </c>
      <c r="E622" s="130">
        <v>46165</v>
      </c>
      <c r="F622" s="128" t="s">
        <v>1144</v>
      </c>
      <c r="G622" s="128" t="s">
        <v>1145</v>
      </c>
      <c r="H622" s="128" t="s">
        <v>100</v>
      </c>
      <c r="I622" s="157"/>
      <c r="J622" s="128" t="s">
        <v>1146</v>
      </c>
      <c r="K622" s="163">
        <v>0</v>
      </c>
      <c r="L622" s="130">
        <v>46161</v>
      </c>
      <c r="M622" s="136"/>
      <c r="N622" s="128" t="s">
        <v>1323</v>
      </c>
      <c r="O622" s="130">
        <v>46165</v>
      </c>
      <c r="P622" s="128">
        <v>0</v>
      </c>
      <c r="Q622" s="128">
        <v>0</v>
      </c>
      <c r="R622" s="128">
        <v>185</v>
      </c>
      <c r="S622" s="128">
        <v>185</v>
      </c>
      <c r="T622" s="128">
        <v>185</v>
      </c>
      <c r="U622" s="163">
        <v>0</v>
      </c>
      <c r="V622" s="163"/>
      <c r="W622" s="169">
        <v>90.6</v>
      </c>
      <c r="X622" s="169">
        <v>91</v>
      </c>
      <c r="Y622" s="169">
        <v>711300.6</v>
      </c>
      <c r="Z622" s="262">
        <v>39.590000000000003</v>
      </c>
      <c r="AA622" s="128">
        <v>17782.52</v>
      </c>
      <c r="AB622" s="128">
        <v>17782.52</v>
      </c>
      <c r="AC622" s="128">
        <v>746865.63</v>
      </c>
      <c r="AD622" s="197">
        <f t="shared" si="433"/>
        <v>746118.76436999999</v>
      </c>
      <c r="AE622" s="169">
        <v>39.590000000000003</v>
      </c>
      <c r="AF622" s="169">
        <v>42</v>
      </c>
      <c r="AG622" s="169">
        <v>39.590000000000003</v>
      </c>
      <c r="AH622" s="170">
        <v>4.0000000000000001E-3</v>
      </c>
      <c r="AI622" s="170">
        <v>3.7999999999999999E-2</v>
      </c>
      <c r="AJ622" s="170">
        <v>0.04</v>
      </c>
      <c r="AK622" s="155">
        <f t="shared" si="413"/>
        <v>40815.105857142793</v>
      </c>
      <c r="AL622" s="157">
        <v>0</v>
      </c>
      <c r="AM622" s="157"/>
      <c r="AN622" s="199">
        <v>0</v>
      </c>
      <c r="AO622" s="156">
        <f t="shared" si="414"/>
        <v>0</v>
      </c>
      <c r="AP622" s="157"/>
      <c r="AQ622" s="155">
        <v>0</v>
      </c>
      <c r="AR622" s="155">
        <f t="shared" si="415"/>
        <v>40815.105857142793</v>
      </c>
      <c r="AS622" s="155">
        <f t="shared" si="416"/>
        <v>42856</v>
      </c>
      <c r="AT622" s="155">
        <v>0</v>
      </c>
      <c r="AU622" s="157"/>
      <c r="AV622" s="157"/>
      <c r="AW622" s="155">
        <f t="shared" si="417"/>
        <v>9060</v>
      </c>
      <c r="AX622" s="157"/>
      <c r="AY622" s="155">
        <f t="shared" si="418"/>
        <v>9060</v>
      </c>
      <c r="AZ622" s="155">
        <f t="shared" si="419"/>
        <v>9100</v>
      </c>
      <c r="BA622" s="242">
        <f t="shared" si="420"/>
        <v>-40</v>
      </c>
      <c r="BB622" s="246">
        <f t="shared" si="421"/>
        <v>18.12</v>
      </c>
      <c r="BC622" s="155">
        <v>0</v>
      </c>
      <c r="BD622" s="157"/>
      <c r="BE622" s="169">
        <v>90.6</v>
      </c>
      <c r="BF622" s="197">
        <f t="shared" si="422"/>
        <v>0.13589999999999999</v>
      </c>
      <c r="BG622" s="197">
        <f t="shared" si="423"/>
        <v>90.464099999999988</v>
      </c>
      <c r="BH622" s="197">
        <f t="shared" si="424"/>
        <v>91</v>
      </c>
      <c r="BI622" s="243">
        <f t="shared" si="425"/>
        <v>-40.000000000000568</v>
      </c>
      <c r="BJ622" s="243">
        <v>0</v>
      </c>
      <c r="BK622" s="155">
        <f t="shared" si="426"/>
        <v>-40.000000000000568</v>
      </c>
      <c r="BL622" s="47"/>
      <c r="BM622" s="48" t="str">
        <f t="shared" si="427"/>
        <v>Unloading no. 597 Bill No 2026-27/84 ,Deduction For Oil Deduction= 40815.1058571428 ,Bardana= 0 ,F.M=  Brokerage/Rate Difference 0 ,Shortage = 0 ,Greenish=  ,Moisture= 0</v>
      </c>
      <c r="BN622" s="41"/>
      <c r="BO622" s="44" t="str">
        <f t="shared" si="428"/>
        <v xml:space="preserve"> Party Condition 42  ,F.M% 0.4 ,Greenish 3.8 ,Moisture 4 ,Shortage in KG= 0  ,Oil% 39.59</v>
      </c>
      <c r="BP622" s="45">
        <f t="shared" si="429"/>
        <v>7367.97246310832</v>
      </c>
      <c r="BX622" s="27">
        <v>39.479999999999997</v>
      </c>
      <c r="BY622" s="27">
        <v>39.5</v>
      </c>
      <c r="CA622" s="57">
        <f t="shared" si="434"/>
        <v>0</v>
      </c>
    </row>
    <row r="623" spans="1:79" ht="14.1" hidden="1" customHeight="1" x14ac:dyDescent="0.3">
      <c r="A623" s="264" t="s">
        <v>1254</v>
      </c>
      <c r="B623" s="265">
        <v>46161</v>
      </c>
      <c r="C623" s="266">
        <v>598</v>
      </c>
      <c r="D623" s="264" t="s">
        <v>1333</v>
      </c>
      <c r="E623" s="265">
        <v>46165</v>
      </c>
      <c r="F623" s="264"/>
      <c r="G623" s="267" t="s">
        <v>1301</v>
      </c>
      <c r="H623" s="264"/>
      <c r="I623" s="268"/>
      <c r="J623" s="264"/>
      <c r="K623" s="264">
        <v>0</v>
      </c>
      <c r="L623" s="265">
        <v>46161</v>
      </c>
      <c r="M623" s="268"/>
      <c r="N623" s="264">
        <v>23</v>
      </c>
      <c r="O623" s="265">
        <v>46165</v>
      </c>
      <c r="P623" s="264">
        <v>0</v>
      </c>
      <c r="Q623" s="264">
        <v>419</v>
      </c>
      <c r="R623" s="264">
        <v>0</v>
      </c>
      <c r="S623" s="264">
        <v>419</v>
      </c>
      <c r="T623" s="264">
        <v>419</v>
      </c>
      <c r="U623" s="264">
        <v>0</v>
      </c>
      <c r="V623" s="264"/>
      <c r="W623" s="269">
        <v>249.1</v>
      </c>
      <c r="X623" s="269">
        <v>249.2</v>
      </c>
      <c r="Y623" s="269">
        <v>1938745.3</v>
      </c>
      <c r="Z623" s="264"/>
      <c r="AA623" s="264">
        <v>48468.63</v>
      </c>
      <c r="AB623" s="264">
        <v>48468.63</v>
      </c>
      <c r="AC623" s="264">
        <v>2035682.57</v>
      </c>
      <c r="AD623" s="270">
        <f t="shared" si="433"/>
        <v>2033646.8874300001</v>
      </c>
      <c r="AE623" s="269"/>
      <c r="AF623" s="269">
        <v>42</v>
      </c>
      <c r="AG623" s="269"/>
      <c r="AH623" s="271">
        <v>3.3E-3</v>
      </c>
      <c r="AI623" s="271">
        <v>9.1800000000000007E-2</v>
      </c>
      <c r="AJ623" s="271">
        <v>4.5999999999999999E-2</v>
      </c>
      <c r="AK623" s="272">
        <v>0</v>
      </c>
      <c r="AL623" s="268">
        <v>0</v>
      </c>
      <c r="AM623" s="268"/>
      <c r="AN623" s="273">
        <v>0</v>
      </c>
      <c r="AO623" s="274">
        <f t="shared" si="414"/>
        <v>0</v>
      </c>
      <c r="AP623" s="268"/>
      <c r="AQ623" s="272">
        <v>0</v>
      </c>
      <c r="AR623" s="272">
        <f t="shared" si="415"/>
        <v>0</v>
      </c>
      <c r="AS623" s="272">
        <f t="shared" si="416"/>
        <v>0</v>
      </c>
      <c r="AT623" s="155">
        <v>0</v>
      </c>
      <c r="AU623" s="157"/>
      <c r="AV623" s="157"/>
      <c r="AW623" s="155">
        <f t="shared" si="417"/>
        <v>24910</v>
      </c>
      <c r="AX623" s="157"/>
      <c r="AY623" s="155">
        <f t="shared" si="418"/>
        <v>24910</v>
      </c>
      <c r="AZ623" s="155">
        <f t="shared" si="419"/>
        <v>24920</v>
      </c>
      <c r="BA623" s="242">
        <f t="shared" si="420"/>
        <v>-10</v>
      </c>
      <c r="BB623" s="246">
        <f t="shared" si="421"/>
        <v>49.82</v>
      </c>
      <c r="BC623" s="155">
        <v>0</v>
      </c>
      <c r="BD623" s="157"/>
      <c r="BE623" s="169">
        <v>249.1</v>
      </c>
      <c r="BF623" s="197">
        <f t="shared" si="422"/>
        <v>0.37364999999999993</v>
      </c>
      <c r="BG623" s="197">
        <f t="shared" si="423"/>
        <v>248.72635</v>
      </c>
      <c r="BH623" s="197">
        <f t="shared" si="424"/>
        <v>249.2</v>
      </c>
      <c r="BI623" s="243">
        <f t="shared" si="425"/>
        <v>-9.9999999999994316</v>
      </c>
      <c r="BJ623" s="243">
        <v>0</v>
      </c>
      <c r="BK623" s="155">
        <f t="shared" si="426"/>
        <v>-9.9999999999994316</v>
      </c>
      <c r="BL623" s="47"/>
      <c r="BM623" s="48" t="str">
        <f t="shared" si="427"/>
        <v>Unloading no. 598 Bill No 23 ,Deduction For Oil Deduction= 0 ,Bardana= 0 ,F.M=  Brokerage/Rate Difference 0 ,Shortage = 0 ,Greenish=  ,Moisture= 0</v>
      </c>
      <c r="BN623" s="41"/>
      <c r="BO623" s="44" t="str">
        <f t="shared" si="428"/>
        <v xml:space="preserve"> Party Condition 42  ,F.M% 0.33 ,Greenish 9.18 ,Moisture 4.6 ,Shortage in KG= 0  ,Oil% </v>
      </c>
      <c r="BP623" s="45">
        <f t="shared" si="429"/>
        <v>7779.8768057784919</v>
      </c>
      <c r="BX623" s="98"/>
      <c r="BY623" s="98"/>
      <c r="CA623" s="57">
        <f t="shared" si="434"/>
        <v>0</v>
      </c>
    </row>
    <row r="624" spans="1:79" ht="14.1" hidden="1" customHeight="1" x14ac:dyDescent="0.3">
      <c r="A624" s="128" t="s">
        <v>1252</v>
      </c>
      <c r="B624" s="130">
        <v>46161</v>
      </c>
      <c r="C624" s="138">
        <v>599</v>
      </c>
      <c r="D624" s="128" t="s">
        <v>1287</v>
      </c>
      <c r="E624" s="130">
        <v>46165</v>
      </c>
      <c r="F624" s="128" t="s">
        <v>1144</v>
      </c>
      <c r="G624" s="128" t="s">
        <v>1145</v>
      </c>
      <c r="H624" s="128" t="s">
        <v>100</v>
      </c>
      <c r="I624" s="157"/>
      <c r="J624" s="128" t="s">
        <v>1146</v>
      </c>
      <c r="K624" s="163">
        <v>0</v>
      </c>
      <c r="L624" s="130">
        <v>46161</v>
      </c>
      <c r="M624" s="136"/>
      <c r="N624" s="128" t="s">
        <v>1324</v>
      </c>
      <c r="O624" s="130">
        <v>46165</v>
      </c>
      <c r="P624" s="128">
        <v>0</v>
      </c>
      <c r="Q624" s="128">
        <v>0</v>
      </c>
      <c r="R624" s="128">
        <v>190</v>
      </c>
      <c r="S624" s="128">
        <v>190</v>
      </c>
      <c r="T624" s="128">
        <v>190</v>
      </c>
      <c r="U624" s="163">
        <v>0</v>
      </c>
      <c r="V624" s="163"/>
      <c r="W624" s="169">
        <v>93.7</v>
      </c>
      <c r="X624" s="169">
        <v>94</v>
      </c>
      <c r="Y624" s="169">
        <v>735638.7</v>
      </c>
      <c r="Z624" s="262">
        <v>39.630000000000003</v>
      </c>
      <c r="AA624" s="128">
        <v>18390.97</v>
      </c>
      <c r="AB624" s="128">
        <v>18390.97</v>
      </c>
      <c r="AC624" s="128">
        <v>772420.64</v>
      </c>
      <c r="AD624" s="197">
        <f t="shared" si="433"/>
        <v>771648.21935999999</v>
      </c>
      <c r="AE624" s="169">
        <v>39.630000000000003</v>
      </c>
      <c r="AF624" s="169">
        <v>42</v>
      </c>
      <c r="AG624" s="169">
        <v>39.630000000000003</v>
      </c>
      <c r="AH624" s="170">
        <v>4.1000000000000003E-3</v>
      </c>
      <c r="AI624" s="170">
        <v>3.7499999999999999E-2</v>
      </c>
      <c r="AJ624" s="170">
        <v>4.2999999999999997E-2</v>
      </c>
      <c r="AK624" s="155">
        <f t="shared" si="413"/>
        <v>41511.040928571383</v>
      </c>
      <c r="AL624" s="157">
        <v>0</v>
      </c>
      <c r="AM624" s="157"/>
      <c r="AN624" s="199">
        <v>0</v>
      </c>
      <c r="AO624" s="156">
        <f t="shared" si="414"/>
        <v>0</v>
      </c>
      <c r="AP624" s="157"/>
      <c r="AQ624" s="155">
        <v>0</v>
      </c>
      <c r="AR624" s="155">
        <f t="shared" si="415"/>
        <v>41511.040928571383</v>
      </c>
      <c r="AS624" s="155">
        <f t="shared" si="416"/>
        <v>43587</v>
      </c>
      <c r="AT624" s="155">
        <v>0</v>
      </c>
      <c r="AU624" s="157"/>
      <c r="AV624" s="157"/>
      <c r="AW624" s="155">
        <f t="shared" si="417"/>
        <v>9370</v>
      </c>
      <c r="AX624" s="157"/>
      <c r="AY624" s="155">
        <f t="shared" si="418"/>
        <v>9370</v>
      </c>
      <c r="AZ624" s="155">
        <f t="shared" si="419"/>
        <v>9400</v>
      </c>
      <c r="BA624" s="242">
        <f t="shared" si="420"/>
        <v>-30</v>
      </c>
      <c r="BB624" s="246">
        <f t="shared" si="421"/>
        <v>18.739999999999998</v>
      </c>
      <c r="BC624" s="155">
        <v>0</v>
      </c>
      <c r="BD624" s="157"/>
      <c r="BE624" s="169">
        <v>93.7</v>
      </c>
      <c r="BF624" s="197">
        <f t="shared" si="422"/>
        <v>0.14055000000000001</v>
      </c>
      <c r="BG624" s="197">
        <f t="shared" si="423"/>
        <v>93.559449999999998</v>
      </c>
      <c r="BH624" s="197">
        <f t="shared" si="424"/>
        <v>94</v>
      </c>
      <c r="BI624" s="243">
        <f t="shared" si="425"/>
        <v>-29.999999999999716</v>
      </c>
      <c r="BJ624" s="243">
        <v>0</v>
      </c>
      <c r="BK624" s="155">
        <f t="shared" si="426"/>
        <v>-29.999999999999716</v>
      </c>
      <c r="BL624" s="47"/>
      <c r="BM624" s="48" t="str">
        <f t="shared" si="427"/>
        <v>Unloading no. 599 Bill No 2026-27/85 ,Deduction For Oil Deduction= 41511.0409285714 ,Bardana= 0 ,F.M=  Brokerage/Rate Difference 0 ,Shortage = 0 ,Greenish=  ,Moisture= 0</v>
      </c>
      <c r="BN624" s="41"/>
      <c r="BO624" s="44" t="str">
        <f t="shared" si="428"/>
        <v xml:space="preserve"> Party Condition 42  ,F.M% 0.41 ,Greenish 3.75 ,Moisture 4.3 ,Shortage in KG= 0  ,Oil% 39.63</v>
      </c>
      <c r="BP624" s="45">
        <f t="shared" si="429"/>
        <v>7384.3367986322191</v>
      </c>
      <c r="BX624" s="27">
        <v>39.58</v>
      </c>
      <c r="BY624" s="27">
        <v>39.5</v>
      </c>
      <c r="CA624" s="57">
        <f t="shared" si="434"/>
        <v>0</v>
      </c>
    </row>
    <row r="625" spans="1:79" ht="14.1" hidden="1" customHeight="1" x14ac:dyDescent="0.3">
      <c r="A625" s="128" t="s">
        <v>1253</v>
      </c>
      <c r="B625" s="130">
        <v>46161</v>
      </c>
      <c r="C625" s="138">
        <v>600</v>
      </c>
      <c r="D625" s="128" t="s">
        <v>1288</v>
      </c>
      <c r="E625" s="130">
        <v>46165</v>
      </c>
      <c r="F625" s="128" t="s">
        <v>1144</v>
      </c>
      <c r="G625" s="128" t="s">
        <v>1145</v>
      </c>
      <c r="H625" s="128" t="s">
        <v>100</v>
      </c>
      <c r="I625" s="157"/>
      <c r="J625" s="128" t="s">
        <v>1146</v>
      </c>
      <c r="K625" s="163">
        <v>0</v>
      </c>
      <c r="L625" s="130">
        <v>46161</v>
      </c>
      <c r="M625" s="136"/>
      <c r="N625" s="128" t="s">
        <v>1325</v>
      </c>
      <c r="O625" s="130">
        <v>46165</v>
      </c>
      <c r="P625" s="128">
        <v>0</v>
      </c>
      <c r="Q625" s="128">
        <v>150</v>
      </c>
      <c r="R625" s="128">
        <v>22</v>
      </c>
      <c r="S625" s="128">
        <v>172</v>
      </c>
      <c r="T625" s="128">
        <v>172</v>
      </c>
      <c r="U625" s="163">
        <v>0</v>
      </c>
      <c r="V625" s="163"/>
      <c r="W625" s="169">
        <v>103.7</v>
      </c>
      <c r="X625" s="169">
        <v>103.7</v>
      </c>
      <c r="Y625" s="169">
        <v>814148.7</v>
      </c>
      <c r="Z625" s="262">
        <v>40.32</v>
      </c>
      <c r="AA625" s="128">
        <v>20353.72</v>
      </c>
      <c r="AB625" s="128">
        <v>20353.72</v>
      </c>
      <c r="AC625" s="128">
        <v>854856.14</v>
      </c>
      <c r="AD625" s="197">
        <f t="shared" si="433"/>
        <v>854001.28385999997</v>
      </c>
      <c r="AE625" s="169">
        <v>40.32</v>
      </c>
      <c r="AF625" s="169">
        <v>42</v>
      </c>
      <c r="AG625" s="169">
        <v>40.32</v>
      </c>
      <c r="AH625" s="170">
        <v>3.3999999999999998E-3</v>
      </c>
      <c r="AI625" s="170">
        <v>0.03</v>
      </c>
      <c r="AJ625" s="170">
        <v>5.3999999999999999E-2</v>
      </c>
      <c r="AK625" s="155">
        <f t="shared" si="413"/>
        <v>32565.947999999993</v>
      </c>
      <c r="AL625" s="157">
        <v>0</v>
      </c>
      <c r="AM625" s="157"/>
      <c r="AN625" s="199">
        <v>0</v>
      </c>
      <c r="AO625" s="156">
        <f t="shared" si="414"/>
        <v>0</v>
      </c>
      <c r="AP625" s="157"/>
      <c r="AQ625" s="155">
        <v>0</v>
      </c>
      <c r="AR625" s="155">
        <f t="shared" si="415"/>
        <v>32565.947999999993</v>
      </c>
      <c r="AS625" s="155">
        <f t="shared" si="416"/>
        <v>34194</v>
      </c>
      <c r="AT625" s="155">
        <v>0</v>
      </c>
      <c r="AU625" s="157"/>
      <c r="AV625" s="157"/>
      <c r="AW625" s="155">
        <f t="shared" si="417"/>
        <v>10370</v>
      </c>
      <c r="AX625" s="157"/>
      <c r="AY625" s="155">
        <f t="shared" si="418"/>
        <v>10370</v>
      </c>
      <c r="AZ625" s="155">
        <f t="shared" si="419"/>
        <v>10370</v>
      </c>
      <c r="BA625" s="242">
        <f t="shared" si="420"/>
        <v>0</v>
      </c>
      <c r="BB625" s="246">
        <f t="shared" si="421"/>
        <v>20.74</v>
      </c>
      <c r="BC625" s="155">
        <v>0</v>
      </c>
      <c r="BD625" s="157"/>
      <c r="BE625" s="169">
        <v>103.7</v>
      </c>
      <c r="BF625" s="197">
        <f t="shared" si="422"/>
        <v>0.15554999999999999</v>
      </c>
      <c r="BG625" s="197">
        <f t="shared" si="423"/>
        <v>103.54445</v>
      </c>
      <c r="BH625" s="197">
        <f t="shared" si="424"/>
        <v>103.7</v>
      </c>
      <c r="BI625" s="243">
        <f t="shared" si="425"/>
        <v>0</v>
      </c>
      <c r="BJ625" s="243">
        <v>0</v>
      </c>
      <c r="BK625" s="155">
        <f t="shared" si="426"/>
        <v>0</v>
      </c>
      <c r="BL625" s="47"/>
      <c r="BM625" s="48" t="str">
        <f t="shared" si="427"/>
        <v>Unloading no. 600 Bill No 2026-27/86 ,Deduction For Oil Deduction= 32565.948 ,Bardana= 0 ,F.M=  Brokerage/Rate Difference 0 ,Shortage = 0 ,Greenish=  ,Moisture= 0</v>
      </c>
      <c r="BN625" s="41"/>
      <c r="BO625" s="44" t="str">
        <f t="shared" si="428"/>
        <v xml:space="preserve"> Party Condition 42  ,F.M% 0.34 ,Greenish 3 ,Moisture 5.4 ,Shortage in KG= 0  ,Oil% 40.32</v>
      </c>
      <c r="BP625" s="45">
        <f t="shared" si="429"/>
        <v>7536.96</v>
      </c>
      <c r="BX625" s="27">
        <v>40.4</v>
      </c>
      <c r="BY625" s="27">
        <v>40.19</v>
      </c>
      <c r="CA625" s="57">
        <f t="shared" si="434"/>
        <v>0</v>
      </c>
    </row>
    <row r="626" spans="1:79" ht="14.1" hidden="1" customHeight="1" x14ac:dyDescent="0.3">
      <c r="A626" s="128" t="s">
        <v>1252</v>
      </c>
      <c r="B626" s="130">
        <v>46161</v>
      </c>
      <c r="C626" s="138">
        <v>601</v>
      </c>
      <c r="D626" s="128" t="s">
        <v>1289</v>
      </c>
      <c r="E626" s="130">
        <v>46165</v>
      </c>
      <c r="F626" s="128" t="s">
        <v>1144</v>
      </c>
      <c r="G626" s="128" t="s">
        <v>1145</v>
      </c>
      <c r="H626" s="128" t="s">
        <v>100</v>
      </c>
      <c r="I626" s="157"/>
      <c r="J626" s="128" t="s">
        <v>1146</v>
      </c>
      <c r="K626" s="163">
        <v>0</v>
      </c>
      <c r="L626" s="130">
        <v>46161</v>
      </c>
      <c r="M626" s="136"/>
      <c r="N626" s="128" t="s">
        <v>1326</v>
      </c>
      <c r="O626" s="130">
        <v>46165</v>
      </c>
      <c r="P626" s="128">
        <v>0</v>
      </c>
      <c r="Q626" s="128">
        <v>0</v>
      </c>
      <c r="R626" s="128">
        <v>190</v>
      </c>
      <c r="S626" s="128">
        <v>190</v>
      </c>
      <c r="T626" s="128">
        <v>190</v>
      </c>
      <c r="U626" s="163">
        <v>0</v>
      </c>
      <c r="V626" s="163"/>
      <c r="W626" s="169">
        <v>93.5</v>
      </c>
      <c r="X626" s="169">
        <v>93.2</v>
      </c>
      <c r="Y626" s="169">
        <v>734068.5</v>
      </c>
      <c r="Z626" s="262">
        <v>39.619999999999997</v>
      </c>
      <c r="AA626" s="128">
        <v>18351.71</v>
      </c>
      <c r="AB626" s="128">
        <v>18351.71</v>
      </c>
      <c r="AC626" s="128">
        <v>770771.93</v>
      </c>
      <c r="AD626" s="197">
        <f t="shared" si="433"/>
        <v>770001.15807</v>
      </c>
      <c r="AE626" s="169">
        <v>39.619999999999997</v>
      </c>
      <c r="AF626" s="169">
        <v>42</v>
      </c>
      <c r="AG626" s="169">
        <v>39.619999999999997</v>
      </c>
      <c r="AH626" s="170">
        <v>3.0000000000000001E-3</v>
      </c>
      <c r="AI626" s="170">
        <v>3.4000000000000002E-2</v>
      </c>
      <c r="AJ626" s="170">
        <v>4.2000000000000003E-2</v>
      </c>
      <c r="AK626" s="155">
        <f t="shared" si="413"/>
        <v>41597.21500000004</v>
      </c>
      <c r="AL626" s="157">
        <v>0</v>
      </c>
      <c r="AM626" s="157"/>
      <c r="AN626" s="199">
        <v>0</v>
      </c>
      <c r="AO626" s="156">
        <f t="shared" si="414"/>
        <v>887.16300000000012</v>
      </c>
      <c r="AP626" s="157"/>
      <c r="AQ626" s="155">
        <v>0</v>
      </c>
      <c r="AR626" s="155">
        <f t="shared" si="415"/>
        <v>42484.378000000041</v>
      </c>
      <c r="AS626" s="155">
        <f t="shared" si="416"/>
        <v>44609</v>
      </c>
      <c r="AT626" s="155">
        <f t="shared" ref="AT626" si="436">BA626-BB626</f>
        <v>11.3</v>
      </c>
      <c r="AU626" s="157"/>
      <c r="AV626" s="157"/>
      <c r="AW626" s="155">
        <f t="shared" si="417"/>
        <v>9350</v>
      </c>
      <c r="AX626" s="157"/>
      <c r="AY626" s="155">
        <f t="shared" si="418"/>
        <v>9350</v>
      </c>
      <c r="AZ626" s="155">
        <f t="shared" si="419"/>
        <v>9320</v>
      </c>
      <c r="BA626" s="242">
        <f t="shared" si="420"/>
        <v>30</v>
      </c>
      <c r="BB626" s="246">
        <f t="shared" si="421"/>
        <v>18.7</v>
      </c>
      <c r="BC626" s="155">
        <v>0</v>
      </c>
      <c r="BD626" s="157"/>
      <c r="BE626" s="169">
        <v>93.5</v>
      </c>
      <c r="BF626" s="197">
        <f t="shared" si="422"/>
        <v>0.14025000000000001</v>
      </c>
      <c r="BG626" s="197">
        <f t="shared" si="423"/>
        <v>93.359750000000005</v>
      </c>
      <c r="BH626" s="197">
        <f t="shared" si="424"/>
        <v>93.2</v>
      </c>
      <c r="BI626" s="243">
        <f t="shared" si="425"/>
        <v>29.999999999999716</v>
      </c>
      <c r="BJ626" s="243">
        <v>0</v>
      </c>
      <c r="BK626" s="155">
        <f t="shared" si="426"/>
        <v>29.999999999999716</v>
      </c>
      <c r="BL626" s="47"/>
      <c r="BM626" s="48" t="str">
        <f t="shared" si="427"/>
        <v>Unloading no. 601 Bill No 2026-27/87 ,Deduction For Oil Deduction= 41597.215 ,Bardana= 0 ,F.M=  Brokerage/Rate Difference 0 ,Shortage = 887.163 ,Greenish=  ,Moisture= 0</v>
      </c>
      <c r="BN626" s="41"/>
      <c r="BO626" s="44" t="str">
        <f t="shared" si="428"/>
        <v xml:space="preserve"> Party Condition 42  ,F.M% 0.3 ,Greenish 3.4 ,Moisture 4.2 ,Shortage in KG= 11.3  ,Oil% 39.62</v>
      </c>
      <c r="BP626" s="45">
        <f t="shared" si="429"/>
        <v>7420.4304935622313</v>
      </c>
      <c r="BX626" s="27">
        <v>39.57</v>
      </c>
      <c r="BY626" s="27">
        <v>39.47</v>
      </c>
      <c r="CA626" s="57">
        <f t="shared" si="434"/>
        <v>0</v>
      </c>
    </row>
    <row r="627" spans="1:79" ht="14.1" hidden="1" customHeight="1" x14ac:dyDescent="0.3">
      <c r="A627" s="128" t="s">
        <v>1252</v>
      </c>
      <c r="B627" s="130">
        <v>46161</v>
      </c>
      <c r="C627" s="138">
        <v>602</v>
      </c>
      <c r="D627" s="128" t="s">
        <v>1290</v>
      </c>
      <c r="E627" s="130">
        <v>46165</v>
      </c>
      <c r="F627" s="128" t="s">
        <v>1144</v>
      </c>
      <c r="G627" s="128" t="s">
        <v>1145</v>
      </c>
      <c r="H627" s="128" t="s">
        <v>100</v>
      </c>
      <c r="I627" s="157"/>
      <c r="J627" s="128" t="s">
        <v>1146</v>
      </c>
      <c r="K627" s="163">
        <v>0</v>
      </c>
      <c r="L627" s="130">
        <v>46161</v>
      </c>
      <c r="M627" s="136"/>
      <c r="N627" s="128" t="s">
        <v>1327</v>
      </c>
      <c r="O627" s="130">
        <v>46165</v>
      </c>
      <c r="P627" s="128">
        <v>0</v>
      </c>
      <c r="Q627" s="128">
        <v>0</v>
      </c>
      <c r="R627" s="128">
        <v>190</v>
      </c>
      <c r="S627" s="128">
        <v>190</v>
      </c>
      <c r="T627" s="128">
        <v>190</v>
      </c>
      <c r="U627" s="163">
        <v>0</v>
      </c>
      <c r="V627" s="163"/>
      <c r="W627" s="169">
        <v>92.8</v>
      </c>
      <c r="X627" s="169">
        <v>93</v>
      </c>
      <c r="Y627" s="169">
        <v>728572.8</v>
      </c>
      <c r="Z627" s="262">
        <v>38.96</v>
      </c>
      <c r="AA627" s="128">
        <v>18214.32</v>
      </c>
      <c r="AB627" s="128">
        <v>18214.32</v>
      </c>
      <c r="AC627" s="128">
        <v>765001.44</v>
      </c>
      <c r="AD627" s="197">
        <f t="shared" si="433"/>
        <v>764236.43855999992</v>
      </c>
      <c r="AE627" s="169">
        <v>38.96</v>
      </c>
      <c r="AF627" s="169">
        <v>42</v>
      </c>
      <c r="AG627" s="169">
        <v>38.96</v>
      </c>
      <c r="AH627" s="170">
        <v>3.0000000000000001E-3</v>
      </c>
      <c r="AI627" s="170">
        <v>3.2399999999999998E-2</v>
      </c>
      <c r="AJ627" s="170">
        <v>4.3999999999999997E-2</v>
      </c>
      <c r="AK627" s="155">
        <f t="shared" si="413"/>
        <v>52734.793142857132</v>
      </c>
      <c r="AL627" s="157">
        <v>0</v>
      </c>
      <c r="AM627" s="157"/>
      <c r="AN627" s="199">
        <v>0</v>
      </c>
      <c r="AO627" s="156">
        <f t="shared" si="414"/>
        <v>0</v>
      </c>
      <c r="AP627" s="157"/>
      <c r="AQ627" s="155">
        <v>0</v>
      </c>
      <c r="AR627" s="155">
        <f t="shared" si="415"/>
        <v>52734.793142857132</v>
      </c>
      <c r="AS627" s="155">
        <f t="shared" si="416"/>
        <v>55372</v>
      </c>
      <c r="AT627" s="155">
        <v>0</v>
      </c>
      <c r="AU627" s="157"/>
      <c r="AV627" s="157"/>
      <c r="AW627" s="155">
        <f t="shared" si="417"/>
        <v>9280</v>
      </c>
      <c r="AX627" s="157"/>
      <c r="AY627" s="155">
        <f t="shared" si="418"/>
        <v>9280</v>
      </c>
      <c r="AZ627" s="155">
        <f t="shared" si="419"/>
        <v>9300</v>
      </c>
      <c r="BA627" s="242">
        <f t="shared" si="420"/>
        <v>-20</v>
      </c>
      <c r="BB627" s="246">
        <f t="shared" si="421"/>
        <v>18.559999999999999</v>
      </c>
      <c r="BC627" s="155">
        <v>0</v>
      </c>
      <c r="BD627" s="157"/>
      <c r="BE627" s="169">
        <v>92.8</v>
      </c>
      <c r="BF627" s="197">
        <f t="shared" si="422"/>
        <v>0.13919999999999999</v>
      </c>
      <c r="BG627" s="197">
        <f t="shared" si="423"/>
        <v>92.660799999999995</v>
      </c>
      <c r="BH627" s="197">
        <f t="shared" si="424"/>
        <v>93</v>
      </c>
      <c r="BI627" s="243">
        <f t="shared" si="425"/>
        <v>-20.000000000000284</v>
      </c>
      <c r="BJ627" s="243">
        <v>0</v>
      </c>
      <c r="BK627" s="155">
        <f t="shared" si="426"/>
        <v>-20.000000000000284</v>
      </c>
      <c r="BL627" s="47"/>
      <c r="BM627" s="48" t="str">
        <f t="shared" si="427"/>
        <v>Unloading no. 602 Bill No 2026-27/88 ,Deduction For Oil Deduction= 52734.7931428571 ,Bardana= 0 ,F.M=  Brokerage/Rate Difference 0 ,Shortage = 0 ,Greenish=  ,Moisture= 0</v>
      </c>
      <c r="BN627" s="41"/>
      <c r="BO627" s="44" t="str">
        <f t="shared" si="428"/>
        <v xml:space="preserve"> Party Condition 42  ,F.M% 0.3 ,Greenish 3.24 ,Moisture 4.4 ,Shortage in KG= 0  ,Oil% 38.96</v>
      </c>
      <c r="BP627" s="45">
        <f t="shared" si="429"/>
        <v>7267.0753425499233</v>
      </c>
      <c r="BX627" s="27">
        <v>38.770000000000003</v>
      </c>
      <c r="BY627" s="27">
        <v>38.770000000000003</v>
      </c>
      <c r="CA627" s="57">
        <f t="shared" si="434"/>
        <v>0</v>
      </c>
    </row>
    <row r="628" spans="1:79" ht="14.1" hidden="1" customHeight="1" x14ac:dyDescent="0.3">
      <c r="A628" s="128" t="s">
        <v>1252</v>
      </c>
      <c r="B628" s="130">
        <v>46161</v>
      </c>
      <c r="C628" s="138">
        <v>603</v>
      </c>
      <c r="D628" s="128" t="s">
        <v>1291</v>
      </c>
      <c r="E628" s="130">
        <v>46165</v>
      </c>
      <c r="F628" s="128" t="s">
        <v>1144</v>
      </c>
      <c r="G628" s="128" t="s">
        <v>1145</v>
      </c>
      <c r="H628" s="128" t="s">
        <v>100</v>
      </c>
      <c r="I628" s="157"/>
      <c r="J628" s="128" t="s">
        <v>1146</v>
      </c>
      <c r="K628" s="163">
        <v>0</v>
      </c>
      <c r="L628" s="130">
        <v>46161</v>
      </c>
      <c r="M628" s="136"/>
      <c r="N628" s="128" t="s">
        <v>1328</v>
      </c>
      <c r="O628" s="130">
        <v>46165</v>
      </c>
      <c r="P628" s="128">
        <v>0</v>
      </c>
      <c r="Q628" s="128">
        <v>0</v>
      </c>
      <c r="R628" s="128">
        <v>185</v>
      </c>
      <c r="S628" s="128">
        <v>185</v>
      </c>
      <c r="T628" s="128">
        <v>185</v>
      </c>
      <c r="U628" s="163">
        <v>0</v>
      </c>
      <c r="V628" s="163"/>
      <c r="W628" s="169">
        <v>91.8</v>
      </c>
      <c r="X628" s="169">
        <v>91.7</v>
      </c>
      <c r="Y628" s="169">
        <v>720721.8</v>
      </c>
      <c r="Z628" s="262">
        <v>39.33</v>
      </c>
      <c r="AA628" s="128">
        <v>18018.05</v>
      </c>
      <c r="AB628" s="128">
        <v>18018.05</v>
      </c>
      <c r="AC628" s="128">
        <v>756757.89</v>
      </c>
      <c r="AD628" s="197">
        <f t="shared" si="433"/>
        <v>756001.13211000001</v>
      </c>
      <c r="AE628" s="169">
        <v>39.33</v>
      </c>
      <c r="AF628" s="169">
        <v>42</v>
      </c>
      <c r="AG628" s="169">
        <v>39.33</v>
      </c>
      <c r="AH628" s="170">
        <v>2.7000000000000001E-3</v>
      </c>
      <c r="AI628" s="170">
        <v>3.3599999999999998E-2</v>
      </c>
      <c r="AJ628" s="170">
        <v>4.4999999999999998E-2</v>
      </c>
      <c r="AK628" s="155">
        <f t="shared" si="413"/>
        <v>45817.314428571459</v>
      </c>
      <c r="AL628" s="157">
        <v>0</v>
      </c>
      <c r="AM628" s="157"/>
      <c r="AN628" s="199">
        <v>0</v>
      </c>
      <c r="AO628" s="156">
        <f t="shared" si="414"/>
        <v>0</v>
      </c>
      <c r="AP628" s="157"/>
      <c r="AQ628" s="155">
        <v>0</v>
      </c>
      <c r="AR628" s="155">
        <f t="shared" si="415"/>
        <v>45817.314428571459</v>
      </c>
      <c r="AS628" s="155">
        <f t="shared" si="416"/>
        <v>48108</v>
      </c>
      <c r="AT628" s="155">
        <v>0</v>
      </c>
      <c r="AU628" s="157"/>
      <c r="AV628" s="157"/>
      <c r="AW628" s="155">
        <f t="shared" si="417"/>
        <v>9180</v>
      </c>
      <c r="AX628" s="157"/>
      <c r="AY628" s="155">
        <f t="shared" si="418"/>
        <v>9180</v>
      </c>
      <c r="AZ628" s="155">
        <f t="shared" si="419"/>
        <v>9170</v>
      </c>
      <c r="BA628" s="242">
        <f t="shared" si="420"/>
        <v>10</v>
      </c>
      <c r="BB628" s="246">
        <f t="shared" si="421"/>
        <v>18.36</v>
      </c>
      <c r="BC628" s="155">
        <v>0</v>
      </c>
      <c r="BD628" s="157"/>
      <c r="BE628" s="169">
        <v>91.8</v>
      </c>
      <c r="BF628" s="197">
        <f t="shared" si="422"/>
        <v>0.13769999999999999</v>
      </c>
      <c r="BG628" s="197">
        <f t="shared" si="423"/>
        <v>91.662300000000002</v>
      </c>
      <c r="BH628" s="197">
        <f t="shared" si="424"/>
        <v>91.7</v>
      </c>
      <c r="BI628" s="243">
        <f t="shared" si="425"/>
        <v>9.9999999999994316</v>
      </c>
      <c r="BJ628" s="243">
        <v>0</v>
      </c>
      <c r="BK628" s="155">
        <f t="shared" si="426"/>
        <v>9.9999999999994316</v>
      </c>
      <c r="BL628" s="47"/>
      <c r="BM628" s="48" t="str">
        <f t="shared" si="427"/>
        <v>Unloading no. 603 Bill No 2026-27/89 ,Deduction For Oil Deduction= 45817.3144285715 ,Bardana= 0 ,F.M=  Brokerage/Rate Difference 0 ,Shortage = 0 ,Greenish=  ,Moisture= 0</v>
      </c>
      <c r="BN628" s="41"/>
      <c r="BO628" s="44" t="str">
        <f t="shared" si="428"/>
        <v xml:space="preserve"> Party Condition 42  ,F.M% 0.27 ,Greenish 3.36 ,Moisture 4.5 ,Shortage in KG= 0  ,Oil% 39.33</v>
      </c>
      <c r="BP628" s="45">
        <f t="shared" si="429"/>
        <v>7359.9180542140512</v>
      </c>
      <c r="BX628" s="27">
        <v>39.200000000000003</v>
      </c>
      <c r="BY628" s="27">
        <v>39.36</v>
      </c>
      <c r="CA628" s="57">
        <f t="shared" si="434"/>
        <v>0</v>
      </c>
    </row>
    <row r="629" spans="1:79" ht="14.1" hidden="1" customHeight="1" x14ac:dyDescent="0.3">
      <c r="A629" s="128" t="s">
        <v>1252</v>
      </c>
      <c r="B629" s="130">
        <v>46161</v>
      </c>
      <c r="C629" s="138">
        <v>604</v>
      </c>
      <c r="D629" s="128" t="s">
        <v>1292</v>
      </c>
      <c r="E629" s="130">
        <v>46165</v>
      </c>
      <c r="F629" s="128" t="s">
        <v>1144</v>
      </c>
      <c r="G629" s="128" t="s">
        <v>1145</v>
      </c>
      <c r="H629" s="128" t="s">
        <v>100</v>
      </c>
      <c r="I629" s="157"/>
      <c r="J629" s="128" t="s">
        <v>1146</v>
      </c>
      <c r="K629" s="163">
        <v>0</v>
      </c>
      <c r="L629" s="130">
        <v>46161</v>
      </c>
      <c r="M629" s="136"/>
      <c r="N629" s="128" t="s">
        <v>1329</v>
      </c>
      <c r="O629" s="130">
        <v>46165</v>
      </c>
      <c r="P629" s="128">
        <v>0</v>
      </c>
      <c r="Q629" s="128">
        <v>0</v>
      </c>
      <c r="R629" s="128">
        <v>186</v>
      </c>
      <c r="S629" s="128">
        <v>186</v>
      </c>
      <c r="T629" s="128">
        <v>186</v>
      </c>
      <c r="U629" s="163">
        <v>0</v>
      </c>
      <c r="V629" s="163"/>
      <c r="W629" s="169">
        <v>91.7</v>
      </c>
      <c r="X629" s="169">
        <v>91.8</v>
      </c>
      <c r="Y629" s="169">
        <v>719936.7</v>
      </c>
      <c r="Z629" s="262">
        <v>39.29</v>
      </c>
      <c r="AA629" s="128">
        <v>17998.419999999998</v>
      </c>
      <c r="AB629" s="128">
        <v>17998.419999999998</v>
      </c>
      <c r="AC629" s="128">
        <v>755933.54</v>
      </c>
      <c r="AD629" s="197">
        <f t="shared" si="433"/>
        <v>755177.60646000004</v>
      </c>
      <c r="AE629" s="169">
        <v>39.29</v>
      </c>
      <c r="AF629" s="169">
        <v>42</v>
      </c>
      <c r="AG629" s="169">
        <v>39.29</v>
      </c>
      <c r="AH629" s="170">
        <v>3.0000000000000001E-3</v>
      </c>
      <c r="AI629" s="170">
        <v>3.2000000000000001E-2</v>
      </c>
      <c r="AJ629" s="170">
        <v>4.4999999999999998E-2</v>
      </c>
      <c r="AK629" s="155">
        <f t="shared" si="413"/>
        <v>46453.058500000006</v>
      </c>
      <c r="AL629" s="157">
        <v>0</v>
      </c>
      <c r="AM629" s="157"/>
      <c r="AN629" s="199">
        <v>0</v>
      </c>
      <c r="AO629" s="156">
        <f t="shared" si="414"/>
        <v>0</v>
      </c>
      <c r="AP629" s="157"/>
      <c r="AQ629" s="155">
        <v>0</v>
      </c>
      <c r="AR629" s="155">
        <f t="shared" si="415"/>
        <v>46453.058500000006</v>
      </c>
      <c r="AS629" s="155">
        <f t="shared" si="416"/>
        <v>48776</v>
      </c>
      <c r="AT629" s="155">
        <v>0</v>
      </c>
      <c r="AU629" s="157"/>
      <c r="AV629" s="157"/>
      <c r="AW629" s="155">
        <f t="shared" si="417"/>
        <v>9170</v>
      </c>
      <c r="AX629" s="157"/>
      <c r="AY629" s="155">
        <f t="shared" si="418"/>
        <v>9170</v>
      </c>
      <c r="AZ629" s="155">
        <f t="shared" si="419"/>
        <v>9180</v>
      </c>
      <c r="BA629" s="242">
        <f t="shared" si="420"/>
        <v>-10</v>
      </c>
      <c r="BB629" s="246">
        <f t="shared" si="421"/>
        <v>18.34</v>
      </c>
      <c r="BC629" s="155">
        <v>0</v>
      </c>
      <c r="BD629" s="157"/>
      <c r="BE629" s="169">
        <v>91.7</v>
      </c>
      <c r="BF629" s="197">
        <f t="shared" si="422"/>
        <v>0.13755000000000001</v>
      </c>
      <c r="BG629" s="197">
        <f t="shared" si="423"/>
        <v>91.562449999999998</v>
      </c>
      <c r="BH629" s="197">
        <f t="shared" si="424"/>
        <v>91.8</v>
      </c>
      <c r="BI629" s="243">
        <f t="shared" si="425"/>
        <v>-9.9999999999994316</v>
      </c>
      <c r="BJ629" s="243">
        <v>0</v>
      </c>
      <c r="BK629" s="155">
        <f t="shared" si="426"/>
        <v>-9.9999999999994316</v>
      </c>
      <c r="BL629" s="47"/>
      <c r="BM629" s="48" t="str">
        <f t="shared" si="427"/>
        <v>Unloading no. 604 Bill No 2026-27/90 ,Deduction For Oil Deduction= 46453.0585 ,Bardana= 0 ,F.M=  Brokerage/Rate Difference 0 ,Shortage = 0 ,Greenish=  ,Moisture= 0</v>
      </c>
      <c r="BN629" s="41"/>
      <c r="BO629" s="44" t="str">
        <f t="shared" si="428"/>
        <v xml:space="preserve"> Party Condition 42  ,F.M% 0.3 ,Greenish 3.2 ,Moisture 4.5 ,Shortage in KG= 0  ,Oil% 39.29</v>
      </c>
      <c r="BP629" s="45">
        <f t="shared" si="429"/>
        <v>7336.4231100217858</v>
      </c>
      <c r="BX629" s="27">
        <v>39.14</v>
      </c>
      <c r="BY629" s="27">
        <v>39.380000000000003</v>
      </c>
      <c r="CA629" s="57">
        <f t="shared" si="434"/>
        <v>0</v>
      </c>
    </row>
    <row r="630" spans="1:79" ht="14.1" hidden="1" customHeight="1" x14ac:dyDescent="0.3">
      <c r="A630" s="128" t="s">
        <v>1252</v>
      </c>
      <c r="B630" s="130">
        <v>46161</v>
      </c>
      <c r="C630" s="138">
        <v>605</v>
      </c>
      <c r="D630" s="128" t="s">
        <v>1293</v>
      </c>
      <c r="E630" s="130">
        <v>46165</v>
      </c>
      <c r="F630" s="128" t="s">
        <v>1144</v>
      </c>
      <c r="G630" s="128" t="s">
        <v>1145</v>
      </c>
      <c r="H630" s="128" t="s">
        <v>100</v>
      </c>
      <c r="I630" s="157"/>
      <c r="J630" s="128" t="s">
        <v>1146</v>
      </c>
      <c r="K630" s="163">
        <v>0</v>
      </c>
      <c r="L630" s="130">
        <v>46161</v>
      </c>
      <c r="M630" s="136"/>
      <c r="N630" s="128" t="s">
        <v>1330</v>
      </c>
      <c r="O630" s="130">
        <v>46165</v>
      </c>
      <c r="P630" s="128">
        <v>0</v>
      </c>
      <c r="Q630" s="128">
        <v>0</v>
      </c>
      <c r="R630" s="128">
        <v>186</v>
      </c>
      <c r="S630" s="128">
        <v>186</v>
      </c>
      <c r="T630" s="128">
        <v>186</v>
      </c>
      <c r="U630" s="163">
        <v>0</v>
      </c>
      <c r="V630" s="163"/>
      <c r="W630" s="169">
        <v>92.2</v>
      </c>
      <c r="X630" s="169">
        <v>92.1</v>
      </c>
      <c r="Y630" s="169">
        <v>723862.2</v>
      </c>
      <c r="Z630" s="262">
        <v>39.380000000000003</v>
      </c>
      <c r="AA630" s="128">
        <v>18096.560000000001</v>
      </c>
      <c r="AB630" s="128">
        <v>18096.560000000001</v>
      </c>
      <c r="AC630" s="128">
        <v>760055.31</v>
      </c>
      <c r="AD630" s="197">
        <f t="shared" si="433"/>
        <v>759295.25469000009</v>
      </c>
      <c r="AE630" s="169">
        <v>39.380000000000003</v>
      </c>
      <c r="AF630" s="169">
        <v>42</v>
      </c>
      <c r="AG630" s="169">
        <v>39.380000000000003</v>
      </c>
      <c r="AH630" s="170">
        <v>3.2000000000000002E-3</v>
      </c>
      <c r="AI630" s="170">
        <v>3.5999999999999997E-2</v>
      </c>
      <c r="AJ630" s="170">
        <v>4.5999999999999999E-2</v>
      </c>
      <c r="AK630" s="155">
        <f t="shared" si="413"/>
        <v>45155.213428571384</v>
      </c>
      <c r="AL630" s="157">
        <v>0</v>
      </c>
      <c r="AM630" s="157"/>
      <c r="AN630" s="199">
        <v>0</v>
      </c>
      <c r="AO630" s="156">
        <f t="shared" si="414"/>
        <v>0</v>
      </c>
      <c r="AP630" s="157"/>
      <c r="AQ630" s="155">
        <v>0</v>
      </c>
      <c r="AR630" s="155">
        <f t="shared" si="415"/>
        <v>45155.213428571384</v>
      </c>
      <c r="AS630" s="155">
        <f t="shared" si="416"/>
        <v>47413</v>
      </c>
      <c r="AT630" s="155">
        <v>0</v>
      </c>
      <c r="AU630" s="157"/>
      <c r="AV630" s="157"/>
      <c r="AW630" s="155">
        <f t="shared" si="417"/>
        <v>9220</v>
      </c>
      <c r="AX630" s="157"/>
      <c r="AY630" s="155">
        <f t="shared" si="418"/>
        <v>9220</v>
      </c>
      <c r="AZ630" s="155">
        <f t="shared" si="419"/>
        <v>9210</v>
      </c>
      <c r="BA630" s="242">
        <f t="shared" si="420"/>
        <v>10</v>
      </c>
      <c r="BB630" s="246">
        <f t="shared" si="421"/>
        <v>18.440000000000001</v>
      </c>
      <c r="BC630" s="155">
        <v>0</v>
      </c>
      <c r="BD630" s="157"/>
      <c r="BE630" s="169">
        <v>92.2</v>
      </c>
      <c r="BF630" s="197">
        <f t="shared" si="422"/>
        <v>0.13830000000000001</v>
      </c>
      <c r="BG630" s="197">
        <f t="shared" si="423"/>
        <v>92.061700000000002</v>
      </c>
      <c r="BH630" s="197">
        <f t="shared" si="424"/>
        <v>92.1</v>
      </c>
      <c r="BI630" s="243">
        <f t="shared" si="425"/>
        <v>10.000000000000853</v>
      </c>
      <c r="BJ630" s="243">
        <v>0</v>
      </c>
      <c r="BK630" s="155">
        <f t="shared" si="426"/>
        <v>10.000000000000853</v>
      </c>
      <c r="BL630" s="47"/>
      <c r="BM630" s="48" t="str">
        <f t="shared" si="427"/>
        <v>Unloading no. 605 Bill No 2026-27/91 ,Deduction For Oil Deduction= 45155.2134285714 ,Bardana= 0 ,F.M=  Brokerage/Rate Difference 0 ,Shortage = 0 ,Greenish=  ,Moisture= 0</v>
      </c>
      <c r="BN630" s="41"/>
      <c r="BO630" s="44" t="str">
        <f t="shared" si="428"/>
        <v xml:space="preserve"> Party Condition 42  ,F.M% 0.32 ,Greenish 3.6 ,Moisture 4.6 ,Shortage in KG= 0  ,Oil% 39.38</v>
      </c>
      <c r="BP630" s="45">
        <f t="shared" si="429"/>
        <v>7369.2398107646977</v>
      </c>
      <c r="BX630" s="27">
        <v>39.520000000000003</v>
      </c>
      <c r="BY630" s="27">
        <v>39.36</v>
      </c>
      <c r="CA630" s="57">
        <f t="shared" si="434"/>
        <v>0</v>
      </c>
    </row>
    <row r="631" spans="1:79" ht="14.1" hidden="1" customHeight="1" x14ac:dyDescent="0.3">
      <c r="A631" s="128" t="s">
        <v>1255</v>
      </c>
      <c r="B631" s="130">
        <v>46164</v>
      </c>
      <c r="C631" s="138">
        <v>606</v>
      </c>
      <c r="D631" s="128" t="s">
        <v>1294</v>
      </c>
      <c r="E631" s="130">
        <v>46166</v>
      </c>
      <c r="F631" s="128" t="s">
        <v>95</v>
      </c>
      <c r="G631" s="128" t="s">
        <v>96</v>
      </c>
      <c r="H631" s="128" t="s">
        <v>97</v>
      </c>
      <c r="I631" s="157"/>
      <c r="J631" s="128" t="s">
        <v>113</v>
      </c>
      <c r="K631" s="163">
        <v>0</v>
      </c>
      <c r="L631" s="130">
        <v>46164</v>
      </c>
      <c r="M631" s="136"/>
      <c r="N631" s="128">
        <v>184</v>
      </c>
      <c r="O631" s="130">
        <v>46165</v>
      </c>
      <c r="P631" s="128">
        <v>0</v>
      </c>
      <c r="Q631" s="128">
        <v>450</v>
      </c>
      <c r="R631" s="128">
        <v>183</v>
      </c>
      <c r="S631" s="128">
        <v>633</v>
      </c>
      <c r="T631" s="128">
        <v>633</v>
      </c>
      <c r="U631" s="163">
        <v>0</v>
      </c>
      <c r="V631" s="163"/>
      <c r="W631" s="169">
        <v>379.8</v>
      </c>
      <c r="X631" s="169">
        <v>382.3</v>
      </c>
      <c r="Y631" s="169">
        <v>2935793.23</v>
      </c>
      <c r="Z631" s="128">
        <v>0</v>
      </c>
      <c r="AA631" s="128">
        <v>73394.83</v>
      </c>
      <c r="AB631" s="128">
        <v>73394.83</v>
      </c>
      <c r="AC631" s="128">
        <v>3082582.89</v>
      </c>
      <c r="AD631" s="197">
        <f t="shared" si="433"/>
        <v>3079500.3071099999</v>
      </c>
      <c r="AE631" s="147">
        <v>40.1</v>
      </c>
      <c r="AF631" s="147">
        <v>40.06</v>
      </c>
      <c r="AG631" s="147">
        <v>40.15</v>
      </c>
      <c r="AH631" s="170">
        <v>3.3E-3</v>
      </c>
      <c r="AI631" s="170">
        <v>3.5999999999999997E-2</v>
      </c>
      <c r="AJ631" s="170">
        <v>4.9000000000000002E-2</v>
      </c>
      <c r="AK631" s="155">
        <f t="shared" si="413"/>
        <v>0</v>
      </c>
      <c r="AL631" s="157">
        <v>0</v>
      </c>
      <c r="AM631" s="157"/>
      <c r="AN631" s="199">
        <v>0</v>
      </c>
      <c r="AO631" s="156">
        <f t="shared" si="414"/>
        <v>12754.235991311216</v>
      </c>
      <c r="AP631" s="157"/>
      <c r="AQ631" s="155">
        <v>0</v>
      </c>
      <c r="AR631" s="155">
        <f t="shared" si="415"/>
        <v>12754.235991311216</v>
      </c>
      <c r="AS631" s="155">
        <f t="shared" si="416"/>
        <v>13392</v>
      </c>
      <c r="AT631" s="155">
        <v>165</v>
      </c>
      <c r="AU631" s="157"/>
      <c r="AV631" s="157"/>
      <c r="AW631" s="155">
        <f t="shared" si="417"/>
        <v>37980</v>
      </c>
      <c r="AX631" s="157"/>
      <c r="AY631" s="155">
        <f t="shared" si="418"/>
        <v>37980</v>
      </c>
      <c r="AZ631" s="155">
        <f t="shared" si="419"/>
        <v>38230</v>
      </c>
      <c r="BA631" s="242">
        <f t="shared" si="420"/>
        <v>-250</v>
      </c>
      <c r="BB631" s="246">
        <f t="shared" si="421"/>
        <v>75.959999999999994</v>
      </c>
      <c r="BC631" s="155">
        <v>0</v>
      </c>
      <c r="BD631" s="157"/>
      <c r="BE631" s="169">
        <v>383.3</v>
      </c>
      <c r="BF631" s="197">
        <f t="shared" si="422"/>
        <v>0.57494999999999996</v>
      </c>
      <c r="BG631" s="197">
        <f t="shared" si="423"/>
        <v>382.72505000000001</v>
      </c>
      <c r="BH631" s="197">
        <f t="shared" si="424"/>
        <v>382.3</v>
      </c>
      <c r="BI631" s="243">
        <f t="shared" si="425"/>
        <v>100</v>
      </c>
      <c r="BJ631" s="243">
        <v>0</v>
      </c>
      <c r="BK631" s="155">
        <f t="shared" si="426"/>
        <v>100</v>
      </c>
      <c r="BL631" s="47"/>
      <c r="BM631" s="48" t="str">
        <f t="shared" si="427"/>
        <v>Unloading no. 606 Bill No 184 ,Deduction For Oil Deduction= 0 ,Bardana= 0 ,F.M=  Brokerage/Rate Difference 0 ,Shortage = 12754.2359913112 ,Greenish=  ,Moisture= 0</v>
      </c>
      <c r="BN631" s="41"/>
      <c r="BO631" s="44" t="str">
        <f t="shared" si="428"/>
        <v xml:space="preserve"> Party Condition 40.06  ,F.M% 0.33 ,Greenish 3.6 ,Moisture 4.9 ,Shortage in KG= 165  ,Oil% 40.1</v>
      </c>
      <c r="BP631" s="45">
        <f t="shared" si="429"/>
        <v>7645.9298823141216</v>
      </c>
      <c r="BX631" s="27">
        <v>40.1</v>
      </c>
      <c r="BY631" s="27">
        <v>40.15</v>
      </c>
    </row>
    <row r="632" spans="1:79" ht="14.1" hidden="1" customHeight="1" x14ac:dyDescent="0.3">
      <c r="A632" s="128" t="s">
        <v>1256</v>
      </c>
      <c r="B632" s="130">
        <v>46164</v>
      </c>
      <c r="C632" s="138">
        <v>607</v>
      </c>
      <c r="D632" s="128" t="s">
        <v>1295</v>
      </c>
      <c r="E632" s="130">
        <v>46166</v>
      </c>
      <c r="F632" s="128" t="s">
        <v>110</v>
      </c>
      <c r="G632" s="128" t="s">
        <v>111</v>
      </c>
      <c r="H632" s="128" t="s">
        <v>112</v>
      </c>
      <c r="I632" s="157"/>
      <c r="J632" s="128" t="s">
        <v>113</v>
      </c>
      <c r="K632" s="163">
        <v>0</v>
      </c>
      <c r="L632" s="130">
        <v>46164</v>
      </c>
      <c r="M632" s="136"/>
      <c r="N632" s="128" t="s">
        <v>1331</v>
      </c>
      <c r="O632" s="130">
        <v>46165</v>
      </c>
      <c r="P632" s="128">
        <v>0</v>
      </c>
      <c r="Q632" s="128">
        <v>120</v>
      </c>
      <c r="R632" s="128">
        <v>195</v>
      </c>
      <c r="S632" s="128">
        <v>315</v>
      </c>
      <c r="T632" s="128">
        <v>315</v>
      </c>
      <c r="U632" s="163">
        <v>0</v>
      </c>
      <c r="V632" s="163"/>
      <c r="W632" s="169">
        <v>189</v>
      </c>
      <c r="X632" s="169">
        <v>191.7</v>
      </c>
      <c r="Y632" s="169">
        <v>1463994</v>
      </c>
      <c r="Z632" s="128">
        <v>0</v>
      </c>
      <c r="AA632" s="128">
        <v>36599.85</v>
      </c>
      <c r="AB632" s="128">
        <v>36599.85</v>
      </c>
      <c r="AC632" s="128">
        <v>1537193.7</v>
      </c>
      <c r="AD632" s="197">
        <f t="shared" si="433"/>
        <v>1535656.5063</v>
      </c>
      <c r="AE632" s="147">
        <v>40.520000000000003</v>
      </c>
      <c r="AF632" s="147">
        <v>40.01</v>
      </c>
      <c r="AG632" s="147">
        <v>40.54</v>
      </c>
      <c r="AH632" s="170">
        <v>3.0999999999999999E-3</v>
      </c>
      <c r="AI632" s="170">
        <v>3.5000000000000003E-2</v>
      </c>
      <c r="AJ632" s="170">
        <v>4.8000000000000001E-2</v>
      </c>
      <c r="AK632" s="155">
        <f t="shared" si="413"/>
        <v>0</v>
      </c>
      <c r="AL632" s="157">
        <v>0</v>
      </c>
      <c r="AM632" s="157"/>
      <c r="AN632" s="199">
        <v>0</v>
      </c>
      <c r="AO632" s="156">
        <f t="shared" si="414"/>
        <v>0</v>
      </c>
      <c r="AP632" s="157"/>
      <c r="AQ632" s="155">
        <v>0</v>
      </c>
      <c r="AR632" s="155">
        <f t="shared" si="415"/>
        <v>0</v>
      </c>
      <c r="AS632" s="155">
        <f t="shared" si="416"/>
        <v>0</v>
      </c>
      <c r="AT632" s="155">
        <v>0</v>
      </c>
      <c r="AU632" s="157"/>
      <c r="AV632" s="157"/>
      <c r="AW632" s="155">
        <f t="shared" si="417"/>
        <v>18900</v>
      </c>
      <c r="AX632" s="157"/>
      <c r="AY632" s="155">
        <f t="shared" si="418"/>
        <v>18900</v>
      </c>
      <c r="AZ632" s="155">
        <f t="shared" si="419"/>
        <v>19170</v>
      </c>
      <c r="BA632" s="242">
        <f t="shared" si="420"/>
        <v>-270</v>
      </c>
      <c r="BB632" s="246">
        <f t="shared" si="421"/>
        <v>37.799999999999997</v>
      </c>
      <c r="BC632" s="155">
        <v>0</v>
      </c>
      <c r="BD632" s="157"/>
      <c r="BE632" s="169">
        <v>191.55</v>
      </c>
      <c r="BF632" s="197">
        <f t="shared" si="422"/>
        <v>0.287325</v>
      </c>
      <c r="BG632" s="197">
        <f t="shared" si="423"/>
        <v>191.262675</v>
      </c>
      <c r="BH632" s="197">
        <f t="shared" si="424"/>
        <v>191.7</v>
      </c>
      <c r="BI632" s="243">
        <f t="shared" si="425"/>
        <v>-14.999999999997726</v>
      </c>
      <c r="BJ632" s="243">
        <v>0</v>
      </c>
      <c r="BK632" s="155">
        <f t="shared" si="426"/>
        <v>-14.999999999997726</v>
      </c>
      <c r="BL632" s="47"/>
      <c r="BM632" s="48" t="str">
        <f t="shared" si="427"/>
        <v>Unloading no. 607 Bill No G1708 ,Deduction For Oil Deduction= 0 ,Bardana= 0 ,F.M=  Brokerage/Rate Difference 0 ,Shortage = 0 ,Greenish=  ,Moisture= 0</v>
      </c>
      <c r="BN632" s="41"/>
      <c r="BO632" s="44" t="str">
        <f t="shared" si="428"/>
        <v xml:space="preserve"> Party Condition 40.01  ,F.M% 0.31 ,Greenish 3.5 ,Moisture 4.8 ,Shortage in KG= 0  ,Oil% 40.52</v>
      </c>
      <c r="BP632" s="45">
        <f t="shared" si="429"/>
        <v>7636.9014084507044</v>
      </c>
      <c r="BX632" s="27">
        <v>40.520000000000003</v>
      </c>
      <c r="BY632" s="27">
        <v>40.54</v>
      </c>
    </row>
    <row r="633" spans="1:79" ht="14.1" hidden="1" customHeight="1" x14ac:dyDescent="0.3">
      <c r="A633" s="128" t="s">
        <v>1257</v>
      </c>
      <c r="B633" s="130">
        <v>46165</v>
      </c>
      <c r="C633" s="138">
        <v>608</v>
      </c>
      <c r="D633" s="128" t="s">
        <v>1296</v>
      </c>
      <c r="E633" s="130">
        <v>46166</v>
      </c>
      <c r="F633" s="128" t="s">
        <v>95</v>
      </c>
      <c r="G633" s="128" t="s">
        <v>96</v>
      </c>
      <c r="H633" s="128" t="s">
        <v>97</v>
      </c>
      <c r="I633" s="157"/>
      <c r="J633" s="128" t="s">
        <v>113</v>
      </c>
      <c r="K633" s="163">
        <v>0</v>
      </c>
      <c r="L633" s="130">
        <v>46165</v>
      </c>
      <c r="M633" s="136"/>
      <c r="N633" s="128">
        <v>186</v>
      </c>
      <c r="O633" s="130">
        <v>46165</v>
      </c>
      <c r="P633" s="128">
        <v>0</v>
      </c>
      <c r="Q633" s="128">
        <v>80</v>
      </c>
      <c r="R633" s="128">
        <v>320</v>
      </c>
      <c r="S633" s="128">
        <v>400</v>
      </c>
      <c r="T633" s="128">
        <v>400</v>
      </c>
      <c r="U633" s="163">
        <v>0</v>
      </c>
      <c r="V633" s="163"/>
      <c r="W633" s="169">
        <v>240</v>
      </c>
      <c r="X633" s="169">
        <v>242.6</v>
      </c>
      <c r="Y633" s="169">
        <v>1865440.8</v>
      </c>
      <c r="Z633" s="128">
        <v>0</v>
      </c>
      <c r="AA633" s="128">
        <v>46636.02</v>
      </c>
      <c r="AB633" s="128">
        <v>46636.02</v>
      </c>
      <c r="AC633" s="128">
        <v>1958712.84</v>
      </c>
      <c r="AD633" s="197">
        <f t="shared" si="433"/>
        <v>1956754.1271600001</v>
      </c>
      <c r="AE633" s="147">
        <v>40.35</v>
      </c>
      <c r="AF633" s="147">
        <v>40.1</v>
      </c>
      <c r="AG633" s="147">
        <v>40.25</v>
      </c>
      <c r="AH633" s="170">
        <v>3.2000000000000002E-3</v>
      </c>
      <c r="AI633" s="170">
        <v>3.2899999999999999E-2</v>
      </c>
      <c r="AJ633" s="170">
        <v>5.2999999999999999E-2</v>
      </c>
      <c r="AK633" s="155">
        <f t="shared" si="413"/>
        <v>0</v>
      </c>
      <c r="AL633" s="157">
        <v>0</v>
      </c>
      <c r="AM633" s="157"/>
      <c r="AN633" s="199">
        <v>0</v>
      </c>
      <c r="AO633" s="156">
        <f t="shared" si="414"/>
        <v>155.45340000000002</v>
      </c>
      <c r="AP633" s="157"/>
      <c r="AQ633" s="155">
        <v>0</v>
      </c>
      <c r="AR633" s="155">
        <f t="shared" si="415"/>
        <v>155.45340000000002</v>
      </c>
      <c r="AS633" s="155">
        <f t="shared" si="416"/>
        <v>163</v>
      </c>
      <c r="AT633" s="155">
        <v>2</v>
      </c>
      <c r="AU633" s="157"/>
      <c r="AV633" s="157"/>
      <c r="AW633" s="155">
        <f t="shared" si="417"/>
        <v>24000</v>
      </c>
      <c r="AX633" s="157"/>
      <c r="AY633" s="155">
        <f t="shared" si="418"/>
        <v>24000</v>
      </c>
      <c r="AZ633" s="155">
        <f t="shared" si="419"/>
        <v>24260</v>
      </c>
      <c r="BA633" s="242">
        <f t="shared" si="420"/>
        <v>-260</v>
      </c>
      <c r="BB633" s="246">
        <f t="shared" si="421"/>
        <v>48</v>
      </c>
      <c r="BC633" s="155">
        <v>0</v>
      </c>
      <c r="BD633" s="157"/>
      <c r="BE633" s="169">
        <v>242.9</v>
      </c>
      <c r="BF633" s="197">
        <f t="shared" si="422"/>
        <v>0.36435000000000001</v>
      </c>
      <c r="BG633" s="197">
        <f t="shared" si="423"/>
        <v>242.53565</v>
      </c>
      <c r="BH633" s="197">
        <f t="shared" si="424"/>
        <v>242.6</v>
      </c>
      <c r="BI633" s="243">
        <f t="shared" si="425"/>
        <v>30.000000000001137</v>
      </c>
      <c r="BJ633" s="243">
        <v>0</v>
      </c>
      <c r="BK633" s="155">
        <f t="shared" si="426"/>
        <v>30.000000000001137</v>
      </c>
      <c r="BL633" s="47"/>
      <c r="BM633" s="48" t="str">
        <f t="shared" si="427"/>
        <v>Unloading no. 608 Bill No 186 ,Deduction For Oil Deduction= 0 ,Bardana= 0 ,F.M=  Brokerage/Rate Difference 0 ,Shortage = 155.4534 ,Greenish=  ,Moisture= 0</v>
      </c>
      <c r="BN633" s="41"/>
      <c r="BO633" s="44" t="str">
        <f t="shared" si="428"/>
        <v xml:space="preserve"> Party Condition 40.1  ,F.M% 0.32 ,Greenish 3.29 ,Moisture 5.3 ,Shortage in KG= 2  ,Oil% 40.25</v>
      </c>
      <c r="BP633" s="45">
        <f t="shared" si="429"/>
        <v>7688.7277271228368</v>
      </c>
      <c r="BX633" s="27">
        <v>40.35</v>
      </c>
      <c r="BY633" s="27">
        <v>40.25</v>
      </c>
    </row>
    <row r="634" spans="1:79" ht="14.1" hidden="1" customHeight="1" x14ac:dyDescent="0.3">
      <c r="A634" s="174" t="s">
        <v>1258</v>
      </c>
      <c r="B634" s="175">
        <v>46165</v>
      </c>
      <c r="C634" s="275">
        <v>609</v>
      </c>
      <c r="D634" s="174" t="s">
        <v>1297</v>
      </c>
      <c r="E634" s="175">
        <v>46166</v>
      </c>
      <c r="F634" s="174" t="s">
        <v>98</v>
      </c>
      <c r="G634" s="174" t="s">
        <v>99</v>
      </c>
      <c r="H634" s="174" t="s">
        <v>100</v>
      </c>
      <c r="I634" s="208"/>
      <c r="J634" s="174" t="s">
        <v>113</v>
      </c>
      <c r="K634" s="209">
        <v>0</v>
      </c>
      <c r="L634" s="175">
        <v>46165</v>
      </c>
      <c r="M634" s="176"/>
      <c r="N634" s="174">
        <v>123</v>
      </c>
      <c r="O634" s="175">
        <v>46165</v>
      </c>
      <c r="P634" s="174">
        <v>0</v>
      </c>
      <c r="Q634" s="174">
        <v>350</v>
      </c>
      <c r="R634" s="174">
        <v>112</v>
      </c>
      <c r="S634" s="174">
        <v>462</v>
      </c>
      <c r="T634" s="174">
        <v>462</v>
      </c>
      <c r="U634" s="209">
        <v>0</v>
      </c>
      <c r="V634" s="209"/>
      <c r="W634" s="179">
        <v>277.2</v>
      </c>
      <c r="X634" s="179">
        <v>280.8</v>
      </c>
      <c r="Y634" s="179">
        <v>2170694.9900000002</v>
      </c>
      <c r="Z634" s="174">
        <v>0</v>
      </c>
      <c r="AA634" s="174">
        <v>54267.37</v>
      </c>
      <c r="AB634" s="174">
        <v>54267.37</v>
      </c>
      <c r="AC634" s="174">
        <v>2279229.7400000002</v>
      </c>
      <c r="AD634" s="210">
        <f t="shared" si="433"/>
        <v>2276950.5102600004</v>
      </c>
      <c r="AE634" s="178">
        <v>40</v>
      </c>
      <c r="AF634" s="178">
        <v>40.22</v>
      </c>
      <c r="AG634" s="178">
        <v>40.090000000000003</v>
      </c>
      <c r="AH634" s="180">
        <v>3.0999999999999999E-3</v>
      </c>
      <c r="AI634" s="180">
        <v>3.15E-2</v>
      </c>
      <c r="AJ634" s="180">
        <v>4.1000000000000002E-2</v>
      </c>
      <c r="AK634" s="155">
        <v>0</v>
      </c>
      <c r="AL634" s="208">
        <v>0</v>
      </c>
      <c r="AM634" s="208"/>
      <c r="AN634" s="257">
        <v>0</v>
      </c>
      <c r="AO634" s="258">
        <f t="shared" si="414"/>
        <v>0</v>
      </c>
      <c r="AP634" s="208"/>
      <c r="AQ634" s="184">
        <v>0</v>
      </c>
      <c r="AR634" s="184">
        <f t="shared" si="415"/>
        <v>0</v>
      </c>
      <c r="AS634" s="184">
        <f t="shared" si="416"/>
        <v>0</v>
      </c>
      <c r="AT634" s="184">
        <v>0</v>
      </c>
      <c r="AU634" s="208"/>
      <c r="AV634" s="208"/>
      <c r="AW634" s="184">
        <f t="shared" si="417"/>
        <v>27720</v>
      </c>
      <c r="AX634" s="208"/>
      <c r="AY634" s="184">
        <f t="shared" si="418"/>
        <v>27720</v>
      </c>
      <c r="AZ634" s="184">
        <f t="shared" si="419"/>
        <v>28080</v>
      </c>
      <c r="BA634" s="259">
        <f t="shared" si="420"/>
        <v>-360</v>
      </c>
      <c r="BB634" s="260">
        <f t="shared" si="421"/>
        <v>55.44</v>
      </c>
      <c r="BC634" s="184">
        <v>0</v>
      </c>
      <c r="BD634" s="208"/>
      <c r="BE634" s="179">
        <v>280.75</v>
      </c>
      <c r="BF634" s="210">
        <f t="shared" si="422"/>
        <v>0.42112499999999997</v>
      </c>
      <c r="BG634" s="210">
        <f t="shared" si="423"/>
        <v>280.32887499999998</v>
      </c>
      <c r="BH634" s="210">
        <f t="shared" si="424"/>
        <v>280.8</v>
      </c>
      <c r="BI634" s="261">
        <f t="shared" si="425"/>
        <v>-5.0000000000011369</v>
      </c>
      <c r="BJ634" s="261">
        <v>0</v>
      </c>
      <c r="BK634" s="184">
        <f t="shared" si="426"/>
        <v>-5.0000000000011369</v>
      </c>
      <c r="BL634" s="61"/>
      <c r="BM634" s="62" t="str">
        <f t="shared" si="427"/>
        <v>Unloading no. 609 Bill No 123 ,Deduction For Oil Deduction= 0 ,Bardana= 0 ,F.M=  Brokerage/Rate Difference 0 ,Shortage = 0 ,Greenish=  ,Moisture= 0</v>
      </c>
      <c r="BN634" s="52"/>
      <c r="BO634" s="53" t="str">
        <f t="shared" si="428"/>
        <v xml:space="preserve"> Party Condition 40.22  ,F.M% 0.31 ,Greenish 3.15 ,Moisture 4.1 ,Shortage in KG= 0  ,Oil% 40</v>
      </c>
      <c r="BP634" s="54">
        <f t="shared" si="429"/>
        <v>7730.3952635327641</v>
      </c>
      <c r="BX634" s="27">
        <v>40</v>
      </c>
      <c r="BY634" s="27">
        <v>40.090000000000003</v>
      </c>
    </row>
    <row r="635" spans="1:79" ht="14.1" hidden="1" customHeight="1" x14ac:dyDescent="0.3">
      <c r="A635" s="128" t="s">
        <v>1257</v>
      </c>
      <c r="B635" s="130">
        <v>46165</v>
      </c>
      <c r="C635" s="138">
        <v>610</v>
      </c>
      <c r="D635" s="128" t="s">
        <v>1298</v>
      </c>
      <c r="E635" s="130">
        <v>46166</v>
      </c>
      <c r="F635" s="128" t="s">
        <v>95</v>
      </c>
      <c r="G635" s="128" t="s">
        <v>96</v>
      </c>
      <c r="H635" s="128" t="s">
        <v>97</v>
      </c>
      <c r="I635" s="157"/>
      <c r="J635" s="128" t="s">
        <v>113</v>
      </c>
      <c r="K635" s="163">
        <v>0</v>
      </c>
      <c r="L635" s="130">
        <v>46165</v>
      </c>
      <c r="M635" s="136"/>
      <c r="N635" s="128">
        <v>185</v>
      </c>
      <c r="O635" s="130">
        <v>46165</v>
      </c>
      <c r="P635" s="128">
        <v>0</v>
      </c>
      <c r="Q635" s="128">
        <v>70</v>
      </c>
      <c r="R635" s="128">
        <v>337</v>
      </c>
      <c r="S635" s="128">
        <v>407</v>
      </c>
      <c r="T635" s="128">
        <v>407</v>
      </c>
      <c r="U635" s="163">
        <v>0</v>
      </c>
      <c r="V635" s="163"/>
      <c r="W635" s="169">
        <v>244.2</v>
      </c>
      <c r="X635" s="169">
        <v>246.7</v>
      </c>
      <c r="Y635" s="169">
        <v>1898086.01</v>
      </c>
      <c r="Z635" s="128">
        <v>0</v>
      </c>
      <c r="AA635" s="128">
        <v>47452.15</v>
      </c>
      <c r="AB635" s="128">
        <v>47452.15</v>
      </c>
      <c r="AC635" s="128">
        <v>1992990.31</v>
      </c>
      <c r="AD635" s="197">
        <f t="shared" si="433"/>
        <v>1990997.31969</v>
      </c>
      <c r="AE635" s="147">
        <v>39.950000000000003</v>
      </c>
      <c r="AF635" s="147">
        <v>40.1</v>
      </c>
      <c r="AG635" s="147">
        <v>40</v>
      </c>
      <c r="AH635" s="170">
        <v>3.3999999999999998E-3</v>
      </c>
      <c r="AI635" s="170">
        <v>3.6499999999999998E-2</v>
      </c>
      <c r="AJ635" s="170">
        <v>4.5999999999999999E-2</v>
      </c>
      <c r="AK635" s="155">
        <v>0</v>
      </c>
      <c r="AL635" s="157">
        <v>0</v>
      </c>
      <c r="AM635" s="157"/>
      <c r="AN635" s="199">
        <v>0</v>
      </c>
      <c r="AO635" s="156">
        <f t="shared" si="414"/>
        <v>1243.6271973791975</v>
      </c>
      <c r="AP635" s="157"/>
      <c r="AQ635" s="155">
        <v>0</v>
      </c>
      <c r="AR635" s="155">
        <f t="shared" si="415"/>
        <v>1243.6271973791975</v>
      </c>
      <c r="AS635" s="155">
        <f t="shared" si="416"/>
        <v>1306</v>
      </c>
      <c r="AT635" s="155">
        <v>16</v>
      </c>
      <c r="AU635" s="157"/>
      <c r="AV635" s="157"/>
      <c r="AW635" s="155">
        <f t="shared" si="417"/>
        <v>24420</v>
      </c>
      <c r="AX635" s="157"/>
      <c r="AY635" s="155">
        <f t="shared" si="418"/>
        <v>24420</v>
      </c>
      <c r="AZ635" s="155">
        <f t="shared" si="419"/>
        <v>24670</v>
      </c>
      <c r="BA635" s="242">
        <f t="shared" si="420"/>
        <v>-250</v>
      </c>
      <c r="BB635" s="246">
        <f t="shared" si="421"/>
        <v>48.84</v>
      </c>
      <c r="BC635" s="155">
        <v>0</v>
      </c>
      <c r="BD635" s="157"/>
      <c r="BE635" s="169">
        <v>246.9</v>
      </c>
      <c r="BF635" s="197">
        <f t="shared" si="422"/>
        <v>0.37034999999999996</v>
      </c>
      <c r="BG635" s="197">
        <f t="shared" si="423"/>
        <v>246.52965</v>
      </c>
      <c r="BH635" s="197">
        <f t="shared" si="424"/>
        <v>246.7</v>
      </c>
      <c r="BI635" s="243">
        <f t="shared" si="425"/>
        <v>20.000000000001705</v>
      </c>
      <c r="BJ635" s="243">
        <v>0</v>
      </c>
      <c r="BK635" s="155">
        <f t="shared" si="426"/>
        <v>20.000000000001705</v>
      </c>
      <c r="BL635" s="47"/>
      <c r="BM635" s="48" t="str">
        <f t="shared" si="427"/>
        <v>Unloading no. 610 Bill No 185 ,Deduction For Oil Deduction= 0 ,Bardana= 0 ,F.M=  Brokerage/Rate Difference 0 ,Shortage = 1243.6271973792 ,Greenish=  ,Moisture= 0</v>
      </c>
      <c r="BN635" s="41"/>
      <c r="BO635" s="44" t="str">
        <f t="shared" si="428"/>
        <v xml:space="preserve"> Party Condition 40.1  ,F.M% 0.34 ,Greenish 3.65 ,Moisture 4.6 ,Shortage in KG= 16  ,Oil% 39.95</v>
      </c>
      <c r="BP635" s="45">
        <f t="shared" si="429"/>
        <v>7688.8625164273244</v>
      </c>
      <c r="BQ635" s="41"/>
      <c r="BR635" s="41"/>
      <c r="BS635" s="41"/>
      <c r="BT635" s="41"/>
      <c r="BU635" s="41"/>
      <c r="BV635" s="41"/>
      <c r="BW635" s="85"/>
      <c r="BX635" s="27">
        <v>39.950000000000003</v>
      </c>
      <c r="BY635" s="27">
        <v>40</v>
      </c>
    </row>
    <row r="636" spans="1:79" ht="14.1" hidden="1" customHeight="1" x14ac:dyDescent="0.3">
      <c r="A636" s="128" t="s">
        <v>1259</v>
      </c>
      <c r="B636" s="130">
        <v>46165</v>
      </c>
      <c r="C636" s="138">
        <v>611</v>
      </c>
      <c r="D636" s="128" t="s">
        <v>1299</v>
      </c>
      <c r="E636" s="130">
        <v>46166</v>
      </c>
      <c r="F636" s="128" t="s">
        <v>104</v>
      </c>
      <c r="G636" s="128" t="s">
        <v>105</v>
      </c>
      <c r="H636" s="128" t="s">
        <v>106</v>
      </c>
      <c r="I636" s="157"/>
      <c r="J636" s="128" t="s">
        <v>113</v>
      </c>
      <c r="K636" s="163">
        <v>0</v>
      </c>
      <c r="L636" s="130">
        <v>46165</v>
      </c>
      <c r="M636" s="136"/>
      <c r="N636" s="128" t="s">
        <v>1332</v>
      </c>
      <c r="O636" s="130">
        <v>46165</v>
      </c>
      <c r="P636" s="128">
        <v>0</v>
      </c>
      <c r="Q636" s="128">
        <v>550</v>
      </c>
      <c r="R636" s="128">
        <v>61</v>
      </c>
      <c r="S636" s="128">
        <v>611</v>
      </c>
      <c r="T636" s="128">
        <v>611</v>
      </c>
      <c r="U636" s="163">
        <v>0</v>
      </c>
      <c r="V636" s="163"/>
      <c r="W636" s="169">
        <v>305.5</v>
      </c>
      <c r="X636" s="169">
        <v>311.3</v>
      </c>
      <c r="Y636" s="169">
        <v>2384742.17</v>
      </c>
      <c r="Z636" s="128">
        <v>0</v>
      </c>
      <c r="AA636" s="128">
        <v>59618.55</v>
      </c>
      <c r="AB636" s="128">
        <v>59618.55</v>
      </c>
      <c r="AC636" s="128">
        <v>2503979.2799999998</v>
      </c>
      <c r="AD636" s="197">
        <f t="shared" si="433"/>
        <v>2501475.3007199997</v>
      </c>
      <c r="AE636" s="147">
        <v>40.450000000000003</v>
      </c>
      <c r="AF636" s="147">
        <v>40</v>
      </c>
      <c r="AG636" s="147">
        <v>40.32</v>
      </c>
      <c r="AH636" s="170">
        <v>2.5000000000000001E-3</v>
      </c>
      <c r="AI636" s="170">
        <v>3.5499999999999997E-2</v>
      </c>
      <c r="AJ636" s="170">
        <v>4.4999999999999998E-2</v>
      </c>
      <c r="AK636" s="155">
        <f t="shared" si="413"/>
        <v>0</v>
      </c>
      <c r="AL636" s="157">
        <v>0</v>
      </c>
      <c r="AM636" s="157"/>
      <c r="AN636" s="199">
        <v>0</v>
      </c>
      <c r="AO636" s="156">
        <f t="shared" si="414"/>
        <v>0</v>
      </c>
      <c r="AP636" s="157"/>
      <c r="AQ636" s="155">
        <v>0</v>
      </c>
      <c r="AR636" s="155">
        <f t="shared" si="415"/>
        <v>0</v>
      </c>
      <c r="AS636" s="155">
        <f t="shared" si="416"/>
        <v>0</v>
      </c>
      <c r="AT636" s="155">
        <v>0</v>
      </c>
      <c r="AU636" s="157"/>
      <c r="AV636" s="157"/>
      <c r="AW636" s="155">
        <f t="shared" si="417"/>
        <v>30550</v>
      </c>
      <c r="AX636" s="157"/>
      <c r="AY636" s="155">
        <f t="shared" si="418"/>
        <v>30550</v>
      </c>
      <c r="AZ636" s="155">
        <f t="shared" si="419"/>
        <v>31130</v>
      </c>
      <c r="BA636" s="242">
        <f t="shared" si="420"/>
        <v>-580</v>
      </c>
      <c r="BB636" s="246">
        <f t="shared" si="421"/>
        <v>61.1</v>
      </c>
      <c r="BC636" s="155">
        <v>0</v>
      </c>
      <c r="BD636" s="157"/>
      <c r="BE636" s="169">
        <v>310.60000000000002</v>
      </c>
      <c r="BF636" s="197">
        <f t="shared" ref="BF636:BF637" si="437">+BE636*0.15/100</f>
        <v>0.46590000000000004</v>
      </c>
      <c r="BG636" s="197">
        <f t="shared" ref="BG636:BG637" si="438">BE636-BF636</f>
        <v>310.13410000000005</v>
      </c>
      <c r="BH636" s="197">
        <f t="shared" ref="BH636:BH637" si="439">X636</f>
        <v>311.3</v>
      </c>
      <c r="BI636" s="243">
        <f t="shared" ref="BI636:BI637" si="440">(BE636-BH636)*100</f>
        <v>-69.999999999998863</v>
      </c>
      <c r="BJ636" s="243">
        <v>0</v>
      </c>
      <c r="BK636" s="155">
        <f t="shared" ref="BK636:BK637" si="441">BI636</f>
        <v>-69.999999999998863</v>
      </c>
      <c r="BL636" s="47"/>
      <c r="BM636" s="48" t="str">
        <f t="shared" ref="BM636:BM637" si="442">+$C$1&amp;" "&amp;C636 &amp;" "&amp;$N$1&amp;" "&amp;N636&amp;" "&amp;$BM$1&amp;" "&amp;$AK$1&amp;" "&amp;AK636&amp;" "&amp;$AL$1&amp;" "&amp;AL636&amp;" "&amp;$AM$1&amp;" "&amp;AM636&amp;" "&amp;$AN$1&amp;" "&amp;AN636&amp;" "&amp;$AO$1&amp;" "&amp;AO636&amp;" "&amp;$AP$1&amp;" "&amp;AP636&amp;" "&amp;$AQ$1&amp;" "&amp;AQ636</f>
        <v>Unloading no. 611 Bill No MTC/2026-27/0197 ,Deduction For Oil Deduction= 0 ,Bardana= 0 ,F.M=  Brokerage/Rate Difference 0 ,Shortage = 0 ,Greenish=  ,Moisture= 0</v>
      </c>
      <c r="BN636" s="41"/>
      <c r="BO636" s="44" t="str">
        <f t="shared" ref="BO636:BO637" si="443">+" "&amp;$AF$1&amp;" "&amp;AF636&amp;" "&amp;" "&amp;$AH$1&amp;" "&amp;AH636*100&amp;" "&amp;$AI$1&amp;" "&amp;AI636*100&amp;" "&amp;$AJ$1&amp;" "&amp;AJ636*100&amp;" ,"&amp;$AT$1&amp;" "&amp;AT636&amp;" "&amp;IF(AE636&gt;AG636," ,Oil%"&amp;" "&amp;AG636," ,Oil%"&amp;" "&amp;AE636)</f>
        <v xml:space="preserve"> Party Condition 40  ,F.M% 0.25 ,Greenish 3.55 ,Moisture 4.5 ,Shortage in KG= 0  ,Oil% 40.32</v>
      </c>
      <c r="BP636" s="45">
        <f t="shared" ref="BP636:BP637" si="444">(Y636-AR636)/X636</f>
        <v>7660.5916158046894</v>
      </c>
      <c r="BQ636" s="41"/>
      <c r="BR636" s="41"/>
      <c r="BS636" s="41"/>
      <c r="BT636" s="41"/>
      <c r="BU636" s="41"/>
      <c r="BV636" s="41"/>
      <c r="BW636" s="85"/>
      <c r="BX636" s="27">
        <v>40.450000000000003</v>
      </c>
      <c r="BY636" s="27">
        <v>40.32</v>
      </c>
    </row>
    <row r="637" spans="1:79" ht="14.1" hidden="1" customHeight="1" x14ac:dyDescent="0.3">
      <c r="A637" s="128" t="s">
        <v>1260</v>
      </c>
      <c r="B637" s="130">
        <v>46165</v>
      </c>
      <c r="C637" s="138">
        <v>612</v>
      </c>
      <c r="D637" s="128" t="s">
        <v>1300</v>
      </c>
      <c r="E637" s="130">
        <v>46166</v>
      </c>
      <c r="F637" s="128" t="s">
        <v>98</v>
      </c>
      <c r="G637" s="128" t="s">
        <v>1302</v>
      </c>
      <c r="H637" s="128" t="s">
        <v>199</v>
      </c>
      <c r="I637" s="157"/>
      <c r="J637" s="128" t="s">
        <v>113</v>
      </c>
      <c r="K637" s="163">
        <v>0</v>
      </c>
      <c r="L637" s="130">
        <v>46165</v>
      </c>
      <c r="M637" s="136"/>
      <c r="N637" s="128">
        <v>122</v>
      </c>
      <c r="O637" s="130">
        <v>46165</v>
      </c>
      <c r="P637" s="128">
        <v>0</v>
      </c>
      <c r="Q637" s="128">
        <v>180</v>
      </c>
      <c r="R637" s="128">
        <v>75</v>
      </c>
      <c r="S637" s="128">
        <v>255</v>
      </c>
      <c r="T637" s="128">
        <v>255</v>
      </c>
      <c r="U637" s="163">
        <v>0</v>
      </c>
      <c r="V637" s="163"/>
      <c r="W637" s="169">
        <v>153</v>
      </c>
      <c r="X637" s="169">
        <v>154.4</v>
      </c>
      <c r="Y637" s="169">
        <v>1181787.3</v>
      </c>
      <c r="Z637" s="128">
        <v>0</v>
      </c>
      <c r="AA637" s="128">
        <v>29544.68</v>
      </c>
      <c r="AB637" s="128">
        <v>29544.68</v>
      </c>
      <c r="AC637" s="128">
        <v>1240876.67</v>
      </c>
      <c r="AD637" s="197">
        <f t="shared" si="433"/>
        <v>1239635.79333</v>
      </c>
      <c r="AE637" s="147">
        <v>39.549999999999997</v>
      </c>
      <c r="AF637" s="147">
        <v>39.6</v>
      </c>
      <c r="AG637" s="147">
        <v>39.81</v>
      </c>
      <c r="AH637" s="170">
        <v>4.0000000000000001E-3</v>
      </c>
      <c r="AI637" s="170">
        <v>3.6400000000000002E-2</v>
      </c>
      <c r="AJ637" s="170">
        <v>4.7E-2</v>
      </c>
      <c r="AK637" s="155">
        <v>0</v>
      </c>
      <c r="AL637" s="157">
        <v>0</v>
      </c>
      <c r="AM637" s="157"/>
      <c r="AN637" s="199">
        <v>0</v>
      </c>
      <c r="AO637" s="156">
        <f t="shared" si="414"/>
        <v>2085.5070000000001</v>
      </c>
      <c r="AP637" s="157"/>
      <c r="AQ637" s="155">
        <v>0</v>
      </c>
      <c r="AR637" s="155">
        <f t="shared" si="415"/>
        <v>2085.5070000000001</v>
      </c>
      <c r="AS637" s="155">
        <f t="shared" si="416"/>
        <v>2190</v>
      </c>
      <c r="AT637" s="155">
        <v>27</v>
      </c>
      <c r="AU637" s="157"/>
      <c r="AV637" s="157"/>
      <c r="AW637" s="155">
        <f t="shared" si="417"/>
        <v>15300</v>
      </c>
      <c r="AX637" s="157"/>
      <c r="AY637" s="155">
        <f t="shared" si="418"/>
        <v>15300</v>
      </c>
      <c r="AZ637" s="155">
        <f t="shared" si="419"/>
        <v>15440</v>
      </c>
      <c r="BA637" s="242">
        <f t="shared" si="420"/>
        <v>-140</v>
      </c>
      <c r="BB637" s="246">
        <f t="shared" si="421"/>
        <v>30.6</v>
      </c>
      <c r="BC637" s="155">
        <v>0</v>
      </c>
      <c r="BD637" s="157"/>
      <c r="BE637" s="169">
        <v>154.75</v>
      </c>
      <c r="BF637" s="197">
        <f t="shared" si="437"/>
        <v>0.232125</v>
      </c>
      <c r="BG637" s="197">
        <f t="shared" si="438"/>
        <v>154.517875</v>
      </c>
      <c r="BH637" s="197">
        <f t="shared" si="439"/>
        <v>154.4</v>
      </c>
      <c r="BI637" s="243">
        <f t="shared" si="440"/>
        <v>34.999999999999432</v>
      </c>
      <c r="BJ637" s="243">
        <v>0</v>
      </c>
      <c r="BK637" s="155">
        <f t="shared" si="441"/>
        <v>34.999999999999432</v>
      </c>
      <c r="BL637" s="47"/>
      <c r="BM637" s="48" t="str">
        <f t="shared" si="442"/>
        <v>Unloading no. 612 Bill No 122 ,Deduction For Oil Deduction= 0 ,Bardana= 0 ,F.M=  Brokerage/Rate Difference 0 ,Shortage = 2085.507 ,Greenish=  ,Moisture= 0</v>
      </c>
      <c r="BN637" s="41"/>
      <c r="BO637" s="44" t="str">
        <f t="shared" si="443"/>
        <v xml:space="preserve"> Party Condition 39.6  ,F.M% 0.4 ,Greenish 3.64 ,Moisture 4.7 ,Shortage in KG= 27  ,Oil% 39.55</v>
      </c>
      <c r="BP637" s="45">
        <f t="shared" si="444"/>
        <v>7640.5556541450778</v>
      </c>
      <c r="BQ637" s="41"/>
      <c r="BR637" s="41"/>
      <c r="BS637" s="41"/>
      <c r="BT637" s="41"/>
      <c r="BU637" s="41"/>
      <c r="BV637" s="41"/>
      <c r="BW637" s="85"/>
      <c r="BX637" s="30">
        <v>39.549999999999997</v>
      </c>
      <c r="BY637" s="30">
        <v>39.81</v>
      </c>
    </row>
    <row r="638" spans="1:79" ht="14.1" hidden="1" customHeight="1" x14ac:dyDescent="0.3">
      <c r="A638" s="128" t="s">
        <v>1334</v>
      </c>
      <c r="B638" s="130">
        <v>46165</v>
      </c>
      <c r="C638" s="138">
        <v>613</v>
      </c>
      <c r="D638" s="128" t="s">
        <v>1339</v>
      </c>
      <c r="E638" s="130">
        <v>46167</v>
      </c>
      <c r="F638" s="128" t="s">
        <v>101</v>
      </c>
      <c r="G638" s="128" t="s">
        <v>102</v>
      </c>
      <c r="H638" s="128" t="s">
        <v>97</v>
      </c>
      <c r="I638" s="136"/>
      <c r="J638" s="128" t="s">
        <v>113</v>
      </c>
      <c r="K638" s="163">
        <v>0</v>
      </c>
      <c r="L638" s="130">
        <v>46165</v>
      </c>
      <c r="M638" s="136"/>
      <c r="N638" s="128" t="s">
        <v>1388</v>
      </c>
      <c r="O638" s="130">
        <v>46166</v>
      </c>
      <c r="P638" s="128">
        <v>0</v>
      </c>
      <c r="Q638" s="128">
        <v>70</v>
      </c>
      <c r="R638" s="128">
        <v>357</v>
      </c>
      <c r="S638" s="128">
        <v>427</v>
      </c>
      <c r="T638" s="128">
        <v>427</v>
      </c>
      <c r="U638" s="163">
        <v>0</v>
      </c>
      <c r="V638" s="136"/>
      <c r="W638" s="169">
        <v>256.2</v>
      </c>
      <c r="X638" s="169">
        <v>259</v>
      </c>
      <c r="Y638" s="169">
        <v>1988614.15</v>
      </c>
      <c r="Z638" s="128"/>
      <c r="AA638" s="128">
        <v>49715.35</v>
      </c>
      <c r="AB638" s="128">
        <v>49715.35</v>
      </c>
      <c r="AC638" s="128">
        <v>2088044.86</v>
      </c>
      <c r="AD638" s="197">
        <f t="shared" si="433"/>
        <v>2085956.8151400001</v>
      </c>
      <c r="AE638" s="147">
        <v>40.090000000000003</v>
      </c>
      <c r="AF638" s="147">
        <v>39.950000000000003</v>
      </c>
      <c r="AG638" s="147">
        <v>40.14</v>
      </c>
      <c r="AH638" s="170">
        <v>4.1999999999999997E-3</v>
      </c>
      <c r="AI638" s="170">
        <v>3.5999999999999997E-2</v>
      </c>
      <c r="AJ638" s="170">
        <v>4.2999999999999997E-2</v>
      </c>
      <c r="AK638" s="155">
        <f t="shared" si="413"/>
        <v>0</v>
      </c>
      <c r="AL638" s="157">
        <v>0</v>
      </c>
      <c r="AM638" s="157"/>
      <c r="AN638" s="199">
        <v>0</v>
      </c>
      <c r="AO638" s="156">
        <f t="shared" ref="AO638:AO648" si="445">AT638*Y638/AW638</f>
        <v>0</v>
      </c>
      <c r="AP638" s="157"/>
      <c r="AQ638" s="155">
        <v>0</v>
      </c>
      <c r="AR638" s="155">
        <f t="shared" ref="AR638:AR648" si="446">SUM(AK638:AQ638)</f>
        <v>0</v>
      </c>
      <c r="AS638" s="155">
        <f t="shared" ref="AS638:AS648" si="447">ROUND(AR638*1.05,0)</f>
        <v>0</v>
      </c>
      <c r="AT638" s="155">
        <v>0</v>
      </c>
      <c r="AU638" s="157"/>
      <c r="AV638" s="157"/>
      <c r="AW638" s="155">
        <f t="shared" ref="AW638:AW680" si="448">W638*100</f>
        <v>25620</v>
      </c>
      <c r="AX638" s="157"/>
      <c r="AY638" s="155">
        <f t="shared" ref="AY638:AY680" si="449">+AW638+AX638</f>
        <v>25620</v>
      </c>
      <c r="AZ638" s="155">
        <f t="shared" ref="AZ638:AZ680" si="450">X638*100</f>
        <v>25900</v>
      </c>
      <c r="BA638" s="242">
        <f t="shared" ref="BA638:BA680" si="451">AY638-AZ638</f>
        <v>-280</v>
      </c>
      <c r="BB638" s="246">
        <f t="shared" ref="BB638:BB680" si="452">AW638*2/1000</f>
        <v>51.24</v>
      </c>
      <c r="BC638" s="155">
        <v>0</v>
      </c>
      <c r="BD638" s="157"/>
      <c r="BE638" s="169">
        <v>259.10000000000002</v>
      </c>
      <c r="BF638" s="197">
        <f t="shared" ref="BF638:BF680" si="453">+BE638*0.15/100</f>
        <v>0.38865</v>
      </c>
      <c r="BG638" s="197">
        <f t="shared" ref="BG638:BG680" si="454">BE638-BF638</f>
        <v>258.71135000000004</v>
      </c>
      <c r="BH638" s="197">
        <f t="shared" ref="BH638:BH680" si="455">X638</f>
        <v>259</v>
      </c>
      <c r="BI638" s="243">
        <f t="shared" ref="BI638:BI680" si="456">(BE638-BH638)*100</f>
        <v>10.000000000002274</v>
      </c>
      <c r="BJ638" s="243">
        <v>0</v>
      </c>
      <c r="BK638" s="155">
        <f t="shared" ref="BK638:BK680" si="457">BI638</f>
        <v>10.000000000002274</v>
      </c>
      <c r="BL638" s="47"/>
      <c r="BM638" s="48" t="str">
        <f t="shared" ref="BM638:BM680" si="458">+$C$1&amp;" "&amp;C638 &amp;" "&amp;$N$1&amp;" "&amp;N638&amp;" "&amp;$BM$1&amp;" "&amp;$AK$1&amp;" "&amp;AK638&amp;" "&amp;$AL$1&amp;" "&amp;AL638&amp;" "&amp;$AM$1&amp;" "&amp;AM638&amp;" "&amp;$AN$1&amp;" "&amp;AN638&amp;" "&amp;$AO$1&amp;" "&amp;AO638&amp;" "&amp;$AP$1&amp;" "&amp;AP638&amp;" "&amp;$AQ$1&amp;" "&amp;AQ638</f>
        <v>Unloading no. 613 Bill No L/PB/26-27/95 ,Deduction For Oil Deduction= 0 ,Bardana= 0 ,F.M=  Brokerage/Rate Difference 0 ,Shortage = 0 ,Greenish=  ,Moisture= 0</v>
      </c>
      <c r="BN638" s="41"/>
      <c r="BO638" s="44" t="str">
        <f t="shared" ref="BO638:BO680" si="459">+" "&amp;$AF$1&amp;" "&amp;AF638&amp;" "&amp;" "&amp;$AH$1&amp;" "&amp;AH638*100&amp;" "&amp;$AI$1&amp;" "&amp;AI638*100&amp;" "&amp;$AJ$1&amp;" "&amp;AJ638*100&amp;" ,"&amp;$AT$1&amp;" "&amp;AT638&amp;" "&amp;IF(AE638&gt;AG638," ,Oil%"&amp;" "&amp;AG638," ,Oil%"&amp;" "&amp;AE638)</f>
        <v xml:space="preserve"> Party Condition 39.95  ,F.M% 0.42 ,Greenish 3.6 ,Moisture 4.3 ,Shortage in KG= 0  ,Oil% 40.09</v>
      </c>
      <c r="BP638" s="45">
        <f t="shared" ref="BP638:BP680" si="460">(Y638-AR638)/X638</f>
        <v>7678.0469111969105</v>
      </c>
      <c r="BQ638" s="41"/>
      <c r="BR638" s="41"/>
      <c r="BS638" s="41"/>
      <c r="BT638" s="41"/>
      <c r="BU638" s="41"/>
      <c r="BV638" s="41"/>
      <c r="BW638" s="85"/>
      <c r="BX638" s="27">
        <v>40.090000000000003</v>
      </c>
      <c r="BY638" s="27">
        <v>40.14</v>
      </c>
    </row>
    <row r="639" spans="1:79" ht="14.1" hidden="1" customHeight="1" x14ac:dyDescent="0.3">
      <c r="A639" s="128" t="s">
        <v>1334</v>
      </c>
      <c r="B639" s="130">
        <v>46165</v>
      </c>
      <c r="C639" s="138">
        <v>614</v>
      </c>
      <c r="D639" s="128" t="s">
        <v>1340</v>
      </c>
      <c r="E639" s="130">
        <v>46167</v>
      </c>
      <c r="F639" s="128" t="s">
        <v>101</v>
      </c>
      <c r="G639" s="128" t="s">
        <v>102</v>
      </c>
      <c r="H639" s="128" t="s">
        <v>97</v>
      </c>
      <c r="I639" s="136"/>
      <c r="J639" s="128" t="s">
        <v>113</v>
      </c>
      <c r="K639" s="163">
        <v>0</v>
      </c>
      <c r="L639" s="130">
        <v>46165</v>
      </c>
      <c r="M639" s="136"/>
      <c r="N639" s="128" t="s">
        <v>1389</v>
      </c>
      <c r="O639" s="130">
        <v>46166</v>
      </c>
      <c r="P639" s="128">
        <v>0</v>
      </c>
      <c r="Q639" s="128">
        <v>400</v>
      </c>
      <c r="R639" s="128">
        <v>25</v>
      </c>
      <c r="S639" s="128">
        <v>425</v>
      </c>
      <c r="T639" s="128">
        <v>425</v>
      </c>
      <c r="U639" s="163">
        <v>0</v>
      </c>
      <c r="V639" s="136"/>
      <c r="W639" s="169">
        <v>255</v>
      </c>
      <c r="X639" s="169">
        <v>258.2</v>
      </c>
      <c r="Y639" s="169">
        <v>1979299.8</v>
      </c>
      <c r="Z639" s="128"/>
      <c r="AA639" s="169">
        <v>49482.5</v>
      </c>
      <c r="AB639" s="169">
        <v>49482.5</v>
      </c>
      <c r="AC639" s="169">
        <v>2078264.79</v>
      </c>
      <c r="AD639" s="197">
        <f t="shared" si="433"/>
        <v>2076186.5252100001</v>
      </c>
      <c r="AE639" s="147">
        <v>40.25</v>
      </c>
      <c r="AF639" s="147">
        <v>39.950000000000003</v>
      </c>
      <c r="AG639" s="147">
        <v>40.03</v>
      </c>
      <c r="AH639" s="170">
        <v>3.8999999999999998E-3</v>
      </c>
      <c r="AI639" s="170">
        <v>3.4500000000000003E-2</v>
      </c>
      <c r="AJ639" s="170">
        <v>4.3999999999999997E-2</v>
      </c>
      <c r="AK639" s="155">
        <f t="shared" si="413"/>
        <v>0</v>
      </c>
      <c r="AL639" s="157">
        <v>0</v>
      </c>
      <c r="AM639" s="157"/>
      <c r="AN639" s="199">
        <v>0</v>
      </c>
      <c r="AO639" s="156">
        <f t="shared" si="445"/>
        <v>0</v>
      </c>
      <c r="AP639" s="157"/>
      <c r="AQ639" s="155">
        <v>0</v>
      </c>
      <c r="AR639" s="155">
        <f t="shared" si="446"/>
        <v>0</v>
      </c>
      <c r="AS639" s="155">
        <f t="shared" si="447"/>
        <v>0</v>
      </c>
      <c r="AT639" s="155">
        <v>0</v>
      </c>
      <c r="AU639" s="157"/>
      <c r="AV639" s="157"/>
      <c r="AW639" s="155">
        <f t="shared" si="448"/>
        <v>25500</v>
      </c>
      <c r="AX639" s="157"/>
      <c r="AY639" s="155">
        <f t="shared" si="449"/>
        <v>25500</v>
      </c>
      <c r="AZ639" s="155">
        <f t="shared" si="450"/>
        <v>25820</v>
      </c>
      <c r="BA639" s="242">
        <f t="shared" si="451"/>
        <v>-320</v>
      </c>
      <c r="BB639" s="246">
        <f t="shared" si="452"/>
        <v>51</v>
      </c>
      <c r="BC639" s="155">
        <v>0</v>
      </c>
      <c r="BD639" s="157"/>
      <c r="BE639" s="169">
        <v>258.3</v>
      </c>
      <c r="BF639" s="197">
        <f t="shared" si="453"/>
        <v>0.38744999999999996</v>
      </c>
      <c r="BG639" s="197">
        <f t="shared" si="454"/>
        <v>257.91255000000001</v>
      </c>
      <c r="BH639" s="197">
        <f t="shared" si="455"/>
        <v>258.2</v>
      </c>
      <c r="BI639" s="243">
        <f t="shared" si="456"/>
        <v>10.000000000002274</v>
      </c>
      <c r="BJ639" s="243">
        <v>0</v>
      </c>
      <c r="BK639" s="155">
        <f t="shared" si="457"/>
        <v>10.000000000002274</v>
      </c>
      <c r="BL639" s="47"/>
      <c r="BM639" s="48" t="str">
        <f t="shared" si="458"/>
        <v>Unloading no. 614 Bill No L/PB/26-27/94 ,Deduction For Oil Deduction= 0 ,Bardana= 0 ,F.M=  Brokerage/Rate Difference 0 ,Shortage = 0 ,Greenish=  ,Moisture= 0</v>
      </c>
      <c r="BN639" s="41"/>
      <c r="BO639" s="44" t="str">
        <f t="shared" si="459"/>
        <v xml:space="preserve"> Party Condition 39.95  ,F.M% 0.39 ,Greenish 3.45 ,Moisture 4.4 ,Shortage in KG= 0  ,Oil% 40.03</v>
      </c>
      <c r="BP639" s="45">
        <f t="shared" si="460"/>
        <v>7665.7621998450823</v>
      </c>
      <c r="BQ639" s="41"/>
      <c r="BR639" s="41"/>
      <c r="BS639" s="41"/>
      <c r="BT639" s="41"/>
      <c r="BU639" s="41"/>
      <c r="BV639" s="41"/>
      <c r="BW639" s="85"/>
      <c r="BX639" s="27">
        <v>40.25</v>
      </c>
      <c r="BY639" s="27">
        <v>40.03</v>
      </c>
    </row>
    <row r="640" spans="1:79" ht="14.1" hidden="1" customHeight="1" x14ac:dyDescent="0.3">
      <c r="A640" s="128" t="s">
        <v>1335</v>
      </c>
      <c r="B640" s="130">
        <v>46165</v>
      </c>
      <c r="C640" s="138">
        <v>615</v>
      </c>
      <c r="D640" s="128" t="s">
        <v>1341</v>
      </c>
      <c r="E640" s="130">
        <v>46167</v>
      </c>
      <c r="F640" s="128" t="s">
        <v>110</v>
      </c>
      <c r="G640" s="128" t="s">
        <v>111</v>
      </c>
      <c r="H640" s="128" t="s">
        <v>112</v>
      </c>
      <c r="I640" s="136"/>
      <c r="J640" s="128" t="s">
        <v>113</v>
      </c>
      <c r="K640" s="163">
        <v>0</v>
      </c>
      <c r="L640" s="130">
        <v>46165</v>
      </c>
      <c r="M640" s="136"/>
      <c r="N640" s="128" t="s">
        <v>1390</v>
      </c>
      <c r="O640" s="130">
        <v>46166</v>
      </c>
      <c r="P640" s="128">
        <v>0</v>
      </c>
      <c r="Q640" s="128">
        <v>70</v>
      </c>
      <c r="R640" s="128">
        <v>232</v>
      </c>
      <c r="S640" s="128">
        <v>302</v>
      </c>
      <c r="T640" s="128">
        <v>302</v>
      </c>
      <c r="U640" s="163">
        <v>0</v>
      </c>
      <c r="V640" s="136"/>
      <c r="W640" s="169">
        <v>181.2</v>
      </c>
      <c r="X640" s="169">
        <v>183.1</v>
      </c>
      <c r="Y640" s="169">
        <v>1422963.6</v>
      </c>
      <c r="Z640" s="128"/>
      <c r="AA640" s="169">
        <v>35574.089999999997</v>
      </c>
      <c r="AB640" s="169">
        <v>35574.089999999997</v>
      </c>
      <c r="AC640" s="169">
        <v>1494111.78</v>
      </c>
      <c r="AD640" s="197">
        <f t="shared" si="433"/>
        <v>1492617.6682200001</v>
      </c>
      <c r="AE640" s="147">
        <v>40.82</v>
      </c>
      <c r="AF640" s="147">
        <v>40.130000000000003</v>
      </c>
      <c r="AG640" s="147">
        <v>40.61</v>
      </c>
      <c r="AH640" s="170">
        <v>4.3E-3</v>
      </c>
      <c r="AI640" s="170">
        <v>3.6200000000000003E-2</v>
      </c>
      <c r="AJ640" s="170">
        <v>4.4999999999999998E-2</v>
      </c>
      <c r="AK640" s="155">
        <f t="shared" si="413"/>
        <v>0</v>
      </c>
      <c r="AL640" s="157">
        <v>0</v>
      </c>
      <c r="AM640" s="157"/>
      <c r="AN640" s="199">
        <v>0</v>
      </c>
      <c r="AO640" s="156">
        <f t="shared" si="445"/>
        <v>2434.4300000000003</v>
      </c>
      <c r="AP640" s="157"/>
      <c r="AQ640" s="155">
        <v>0</v>
      </c>
      <c r="AR640" s="155">
        <f t="shared" si="446"/>
        <v>2434.4300000000003</v>
      </c>
      <c r="AS640" s="155">
        <f t="shared" si="447"/>
        <v>2556</v>
      </c>
      <c r="AT640" s="155">
        <v>31</v>
      </c>
      <c r="AU640" s="157"/>
      <c r="AV640" s="157"/>
      <c r="AW640" s="155">
        <f t="shared" si="448"/>
        <v>18120</v>
      </c>
      <c r="AX640" s="157"/>
      <c r="AY640" s="155">
        <f t="shared" si="449"/>
        <v>18120</v>
      </c>
      <c r="AZ640" s="155">
        <f t="shared" si="450"/>
        <v>18310</v>
      </c>
      <c r="BA640" s="242">
        <f t="shared" si="451"/>
        <v>-190</v>
      </c>
      <c r="BB640" s="246">
        <f t="shared" si="452"/>
        <v>36.24</v>
      </c>
      <c r="BC640" s="155">
        <v>0</v>
      </c>
      <c r="BD640" s="157"/>
      <c r="BE640" s="169">
        <v>183.65</v>
      </c>
      <c r="BF640" s="197">
        <f t="shared" si="453"/>
        <v>0.27547499999999997</v>
      </c>
      <c r="BG640" s="197">
        <f t="shared" si="454"/>
        <v>183.37452500000001</v>
      </c>
      <c r="BH640" s="197">
        <f t="shared" si="455"/>
        <v>183.1</v>
      </c>
      <c r="BI640" s="243">
        <f t="shared" si="456"/>
        <v>55.000000000001137</v>
      </c>
      <c r="BJ640" s="243">
        <v>0</v>
      </c>
      <c r="BK640" s="155">
        <f t="shared" si="457"/>
        <v>55.000000000001137</v>
      </c>
      <c r="BL640" s="47"/>
      <c r="BM640" s="48" t="str">
        <f t="shared" si="458"/>
        <v>Unloading no. 615 Bill No G1709 ,Deduction For Oil Deduction= 0 ,Bardana= 0 ,F.M=  Brokerage/Rate Difference 0 ,Shortage = 2434.43 ,Greenish=  ,Moisture= 0</v>
      </c>
      <c r="BN640" s="41"/>
      <c r="BO640" s="44" t="str">
        <f t="shared" si="459"/>
        <v xml:space="preserve"> Party Condition 40.13  ,F.M% 0.43 ,Greenish 3.62 ,Moisture 4.5 ,Shortage in KG= 31  ,Oil% 40.61</v>
      </c>
      <c r="BP640" s="45">
        <f t="shared" si="460"/>
        <v>7758.2150191152386</v>
      </c>
      <c r="BQ640" s="41"/>
      <c r="BR640" s="41"/>
      <c r="BS640" s="41"/>
      <c r="BT640" s="41"/>
      <c r="BU640" s="41"/>
      <c r="BV640" s="41"/>
      <c r="BW640" s="85"/>
      <c r="BX640" s="27">
        <v>40.82</v>
      </c>
      <c r="BY640" s="27">
        <v>40.61</v>
      </c>
    </row>
    <row r="641" spans="1:77" ht="14.1" hidden="1" customHeight="1" x14ac:dyDescent="0.3">
      <c r="A641" s="128" t="s">
        <v>1253</v>
      </c>
      <c r="B641" s="130">
        <v>46161</v>
      </c>
      <c r="C641" s="138">
        <v>616</v>
      </c>
      <c r="D641" s="128" t="s">
        <v>1342</v>
      </c>
      <c r="E641" s="130">
        <v>46167</v>
      </c>
      <c r="F641" s="128" t="s">
        <v>1144</v>
      </c>
      <c r="G641" s="128" t="s">
        <v>1145</v>
      </c>
      <c r="H641" s="128" t="s">
        <v>100</v>
      </c>
      <c r="I641" s="136"/>
      <c r="J641" s="128" t="s">
        <v>1146</v>
      </c>
      <c r="K641" s="163">
        <v>0</v>
      </c>
      <c r="L641" s="130">
        <v>46161</v>
      </c>
      <c r="M641" s="136"/>
      <c r="N641" s="128" t="s">
        <v>1391</v>
      </c>
      <c r="O641" s="130">
        <v>46167</v>
      </c>
      <c r="P641" s="128">
        <v>0</v>
      </c>
      <c r="Q641" s="128">
        <v>150</v>
      </c>
      <c r="R641" s="128">
        <v>0</v>
      </c>
      <c r="S641" s="128">
        <v>150</v>
      </c>
      <c r="T641" s="128">
        <v>150</v>
      </c>
      <c r="U641" s="163">
        <v>0</v>
      </c>
      <c r="V641" s="136"/>
      <c r="W641" s="169">
        <v>88.7</v>
      </c>
      <c r="X641" s="169">
        <v>88.7</v>
      </c>
      <c r="Y641" s="169">
        <v>696383.7</v>
      </c>
      <c r="Z641" s="169">
        <v>40.450000000000003</v>
      </c>
      <c r="AA641" s="169">
        <v>17409.59</v>
      </c>
      <c r="AB641" s="169">
        <v>17409.59</v>
      </c>
      <c r="AC641" s="169">
        <v>731202.89</v>
      </c>
      <c r="AD641" s="197">
        <f t="shared" si="433"/>
        <v>730471.68711000006</v>
      </c>
      <c r="AE641" s="147">
        <v>40.450000000000003</v>
      </c>
      <c r="AF641" s="169">
        <v>42</v>
      </c>
      <c r="AG641" s="147">
        <v>40.450000000000003</v>
      </c>
      <c r="AH641" s="170">
        <v>3.0999999999999999E-3</v>
      </c>
      <c r="AI641" s="170">
        <v>3.5000000000000003E-2</v>
      </c>
      <c r="AJ641" s="170">
        <v>4.4999999999999998E-2</v>
      </c>
      <c r="AK641" s="155">
        <f t="shared" si="413"/>
        <v>25699.874642857092</v>
      </c>
      <c r="AL641" s="157">
        <v>0</v>
      </c>
      <c r="AM641" s="157"/>
      <c r="AN641" s="199">
        <v>0</v>
      </c>
      <c r="AO641" s="156">
        <f t="shared" si="445"/>
        <v>0</v>
      </c>
      <c r="AP641" s="157"/>
      <c r="AQ641" s="155">
        <v>0</v>
      </c>
      <c r="AR641" s="155">
        <f t="shared" si="446"/>
        <v>25699.874642857092</v>
      </c>
      <c r="AS641" s="155">
        <f t="shared" si="447"/>
        <v>26985</v>
      </c>
      <c r="AT641" s="155">
        <v>0</v>
      </c>
      <c r="AU641" s="157"/>
      <c r="AV641" s="157"/>
      <c r="AW641" s="155">
        <f t="shared" si="448"/>
        <v>8870</v>
      </c>
      <c r="AX641" s="157"/>
      <c r="AY641" s="155">
        <f t="shared" si="449"/>
        <v>8870</v>
      </c>
      <c r="AZ641" s="155">
        <f t="shared" si="450"/>
        <v>8870</v>
      </c>
      <c r="BA641" s="242">
        <f t="shared" si="451"/>
        <v>0</v>
      </c>
      <c r="BB641" s="246">
        <f t="shared" si="452"/>
        <v>17.739999999999998</v>
      </c>
      <c r="BC641" s="155">
        <v>0</v>
      </c>
      <c r="BD641" s="157"/>
      <c r="BE641" s="169">
        <v>88.7</v>
      </c>
      <c r="BF641" s="197">
        <f t="shared" si="453"/>
        <v>0.13305</v>
      </c>
      <c r="BG641" s="197">
        <f t="shared" si="454"/>
        <v>88.566950000000006</v>
      </c>
      <c r="BH641" s="197">
        <f t="shared" si="455"/>
        <v>88.7</v>
      </c>
      <c r="BI641" s="243">
        <f t="shared" si="456"/>
        <v>0</v>
      </c>
      <c r="BJ641" s="243">
        <v>0</v>
      </c>
      <c r="BK641" s="155">
        <f t="shared" si="457"/>
        <v>0</v>
      </c>
      <c r="BL641" s="47"/>
      <c r="BM641" s="48" t="str">
        <f t="shared" si="458"/>
        <v>Unloading no. 616 Bill No 2026-27/92 ,Deduction For Oil Deduction= 25699.8746428571 ,Bardana= 0 ,F.M=  Brokerage/Rate Difference 0 ,Shortage = 0 ,Greenish=  ,Moisture= 0</v>
      </c>
      <c r="BN641" s="41"/>
      <c r="BO641" s="44" t="str">
        <f t="shared" si="459"/>
        <v xml:space="preserve"> Party Condition 42  ,F.M% 0.31 ,Greenish 3.5 ,Moisture 4.5 ,Shortage in KG= 0  ,Oil% 40.45</v>
      </c>
      <c r="BP641" s="45">
        <f t="shared" si="460"/>
        <v>7561.2607142857141</v>
      </c>
      <c r="BQ641" s="41"/>
      <c r="BR641" s="41"/>
      <c r="BS641" s="41"/>
      <c r="BT641" s="41"/>
      <c r="BU641" s="41"/>
      <c r="BV641" s="41"/>
      <c r="BW641" s="85"/>
      <c r="BX641" s="27">
        <v>40.72</v>
      </c>
      <c r="BY641" s="27">
        <v>40.54</v>
      </c>
    </row>
    <row r="642" spans="1:77" ht="14.1" hidden="1" customHeight="1" x14ac:dyDescent="0.3">
      <c r="A642" s="128" t="s">
        <v>1253</v>
      </c>
      <c r="B642" s="130">
        <v>46161</v>
      </c>
      <c r="C642" s="138">
        <v>617</v>
      </c>
      <c r="D642" s="128" t="s">
        <v>1343</v>
      </c>
      <c r="E642" s="130">
        <v>46167</v>
      </c>
      <c r="F642" s="128" t="s">
        <v>1144</v>
      </c>
      <c r="G642" s="128" t="s">
        <v>1145</v>
      </c>
      <c r="H642" s="128" t="s">
        <v>100</v>
      </c>
      <c r="I642" s="136"/>
      <c r="J642" s="128" t="s">
        <v>1146</v>
      </c>
      <c r="K642" s="163">
        <v>0</v>
      </c>
      <c r="L642" s="130">
        <v>46161</v>
      </c>
      <c r="M642" s="136"/>
      <c r="N642" s="128" t="s">
        <v>1392</v>
      </c>
      <c r="O642" s="130">
        <v>46167</v>
      </c>
      <c r="P642" s="128">
        <v>0</v>
      </c>
      <c r="Q642" s="128">
        <v>110</v>
      </c>
      <c r="R642" s="128">
        <v>40</v>
      </c>
      <c r="S642" s="128">
        <v>150</v>
      </c>
      <c r="T642" s="128">
        <v>150</v>
      </c>
      <c r="U642" s="163">
        <v>0</v>
      </c>
      <c r="V642" s="136"/>
      <c r="W642" s="169">
        <v>88.1</v>
      </c>
      <c r="X642" s="169">
        <v>88</v>
      </c>
      <c r="Y642" s="169">
        <v>691673.1</v>
      </c>
      <c r="Z642" s="169">
        <v>41.05</v>
      </c>
      <c r="AA642" s="169">
        <v>17291.830000000002</v>
      </c>
      <c r="AB642" s="169">
        <v>17291.830000000002</v>
      </c>
      <c r="AC642" s="169">
        <v>726256.76</v>
      </c>
      <c r="AD642" s="197">
        <f t="shared" si="433"/>
        <v>725530.50323999999</v>
      </c>
      <c r="AE642" s="147">
        <v>41.05</v>
      </c>
      <c r="AF642" s="169">
        <v>42</v>
      </c>
      <c r="AG642" s="147">
        <v>41.05</v>
      </c>
      <c r="AH642" s="170">
        <v>3.3999999999999998E-3</v>
      </c>
      <c r="AI642" s="170">
        <v>3.4000000000000002E-2</v>
      </c>
      <c r="AJ642" s="170">
        <v>4.3999999999999997E-2</v>
      </c>
      <c r="AK642" s="155">
        <f t="shared" si="413"/>
        <v>15644.986785714333</v>
      </c>
      <c r="AL642" s="157">
        <v>0</v>
      </c>
      <c r="AM642" s="157"/>
      <c r="AN642" s="199">
        <v>0</v>
      </c>
      <c r="AO642" s="156">
        <f t="shared" si="445"/>
        <v>0</v>
      </c>
      <c r="AP642" s="157"/>
      <c r="AQ642" s="155">
        <v>0</v>
      </c>
      <c r="AR642" s="155">
        <f t="shared" si="446"/>
        <v>15644.986785714333</v>
      </c>
      <c r="AS642" s="155">
        <f t="shared" si="447"/>
        <v>16427</v>
      </c>
      <c r="AT642" s="155">
        <v>0</v>
      </c>
      <c r="AU642" s="157"/>
      <c r="AV642" s="157"/>
      <c r="AW642" s="155">
        <f t="shared" si="448"/>
        <v>8810</v>
      </c>
      <c r="AX642" s="157"/>
      <c r="AY642" s="155">
        <f t="shared" si="449"/>
        <v>8810</v>
      </c>
      <c r="AZ642" s="155">
        <f t="shared" si="450"/>
        <v>8800</v>
      </c>
      <c r="BA642" s="242">
        <f t="shared" si="451"/>
        <v>10</v>
      </c>
      <c r="BB642" s="246">
        <f t="shared" si="452"/>
        <v>17.62</v>
      </c>
      <c r="BC642" s="155">
        <v>0</v>
      </c>
      <c r="BD642" s="157"/>
      <c r="BE642" s="169">
        <v>88.1</v>
      </c>
      <c r="BF642" s="197">
        <f t="shared" si="453"/>
        <v>0.13214999999999999</v>
      </c>
      <c r="BG642" s="197">
        <f t="shared" si="454"/>
        <v>87.967849999999999</v>
      </c>
      <c r="BH642" s="197">
        <f t="shared" si="455"/>
        <v>88</v>
      </c>
      <c r="BI642" s="243">
        <f t="shared" si="456"/>
        <v>9.9999999999994316</v>
      </c>
      <c r="BJ642" s="243">
        <v>0</v>
      </c>
      <c r="BK642" s="155">
        <f t="shared" si="457"/>
        <v>9.9999999999994316</v>
      </c>
      <c r="BL642" s="47"/>
      <c r="BM642" s="48" t="str">
        <f t="shared" si="458"/>
        <v>Unloading no. 617 Bill No 2026-27/93 ,Deduction For Oil Deduction= 15644.9867857143 ,Bardana= 0 ,F.M=  Brokerage/Rate Difference 0 ,Shortage = 0 ,Greenish=  ,Moisture= 0</v>
      </c>
      <c r="BN642" s="41"/>
      <c r="BO642" s="44" t="str">
        <f t="shared" si="459"/>
        <v xml:space="preserve"> Party Condition 42  ,F.M% 0.34 ,Greenish 3.4 ,Moisture 4.4 ,Shortage in KG= 0  ,Oil% 41.05</v>
      </c>
      <c r="BP642" s="45">
        <f t="shared" si="460"/>
        <v>7682.1376501623372</v>
      </c>
      <c r="BQ642" s="41"/>
      <c r="BR642" s="41"/>
      <c r="BS642" s="41"/>
      <c r="BT642" s="41"/>
      <c r="BU642" s="41"/>
      <c r="BV642" s="41"/>
      <c r="BW642" s="85"/>
      <c r="BX642" s="27">
        <v>41.02</v>
      </c>
      <c r="BY642" s="27">
        <v>40.81</v>
      </c>
    </row>
    <row r="643" spans="1:77" ht="14.1" hidden="1" customHeight="1" x14ac:dyDescent="0.3">
      <c r="A643" s="128" t="s">
        <v>1253</v>
      </c>
      <c r="B643" s="130">
        <v>46161</v>
      </c>
      <c r="C643" s="138">
        <v>618</v>
      </c>
      <c r="D643" s="128" t="s">
        <v>1344</v>
      </c>
      <c r="E643" s="130">
        <v>46167</v>
      </c>
      <c r="F643" s="128" t="s">
        <v>1144</v>
      </c>
      <c r="G643" s="128" t="s">
        <v>1145</v>
      </c>
      <c r="H643" s="128" t="s">
        <v>100</v>
      </c>
      <c r="I643" s="136"/>
      <c r="J643" s="128" t="s">
        <v>1146</v>
      </c>
      <c r="K643" s="163">
        <v>0</v>
      </c>
      <c r="L643" s="130">
        <v>46161</v>
      </c>
      <c r="M643" s="136"/>
      <c r="N643" s="128" t="s">
        <v>1393</v>
      </c>
      <c r="O643" s="130">
        <v>46167</v>
      </c>
      <c r="P643" s="128">
        <v>0</v>
      </c>
      <c r="Q643" s="128">
        <v>145</v>
      </c>
      <c r="R643" s="128">
        <v>5</v>
      </c>
      <c r="S643" s="128">
        <v>150</v>
      </c>
      <c r="T643" s="128">
        <v>150</v>
      </c>
      <c r="U643" s="163">
        <v>0</v>
      </c>
      <c r="V643" s="136"/>
      <c r="W643" s="169">
        <v>89.4</v>
      </c>
      <c r="X643" s="169">
        <v>89.3</v>
      </c>
      <c r="Y643" s="169">
        <v>701879.4</v>
      </c>
      <c r="Z643" s="169">
        <v>40.53</v>
      </c>
      <c r="AA643" s="169">
        <v>17546.990000000002</v>
      </c>
      <c r="AB643" s="169">
        <v>17546.990000000002</v>
      </c>
      <c r="AC643" s="169">
        <v>736973.37</v>
      </c>
      <c r="AD643" s="197">
        <f t="shared" si="433"/>
        <v>736236.39662999997</v>
      </c>
      <c r="AE643" s="147">
        <v>40.53</v>
      </c>
      <c r="AF643" s="169">
        <v>42</v>
      </c>
      <c r="AG643" s="147">
        <v>40.53</v>
      </c>
      <c r="AH643" s="170">
        <v>3.5000000000000001E-3</v>
      </c>
      <c r="AI643" s="170">
        <v>3.7999999999999999E-2</v>
      </c>
      <c r="AJ643" s="170">
        <v>4.9000000000000002E-2</v>
      </c>
      <c r="AK643" s="155">
        <f t="shared" si="413"/>
        <v>24565.778999999984</v>
      </c>
      <c r="AL643" s="157">
        <v>0</v>
      </c>
      <c r="AM643" s="157"/>
      <c r="AN643" s="199">
        <v>0</v>
      </c>
      <c r="AO643" s="156">
        <f t="shared" si="445"/>
        <v>0</v>
      </c>
      <c r="AP643" s="157"/>
      <c r="AQ643" s="155">
        <v>0</v>
      </c>
      <c r="AR643" s="155">
        <f t="shared" si="446"/>
        <v>24565.778999999984</v>
      </c>
      <c r="AS643" s="155">
        <f t="shared" si="447"/>
        <v>25794</v>
      </c>
      <c r="AT643" s="155">
        <v>0</v>
      </c>
      <c r="AU643" s="157"/>
      <c r="AV643" s="157"/>
      <c r="AW643" s="155">
        <f t="shared" si="448"/>
        <v>8940</v>
      </c>
      <c r="AX643" s="157"/>
      <c r="AY643" s="155">
        <f t="shared" si="449"/>
        <v>8940</v>
      </c>
      <c r="AZ643" s="155">
        <f t="shared" si="450"/>
        <v>8930</v>
      </c>
      <c r="BA643" s="242">
        <f t="shared" si="451"/>
        <v>10</v>
      </c>
      <c r="BB643" s="246">
        <f t="shared" si="452"/>
        <v>17.88</v>
      </c>
      <c r="BC643" s="155">
        <v>0</v>
      </c>
      <c r="BD643" s="157"/>
      <c r="BE643" s="169">
        <v>89.4</v>
      </c>
      <c r="BF643" s="197">
        <f t="shared" si="453"/>
        <v>0.1341</v>
      </c>
      <c r="BG643" s="197">
        <f t="shared" si="454"/>
        <v>89.265900000000002</v>
      </c>
      <c r="BH643" s="197">
        <f t="shared" si="455"/>
        <v>89.3</v>
      </c>
      <c r="BI643" s="243">
        <f t="shared" si="456"/>
        <v>10.000000000000853</v>
      </c>
      <c r="BJ643" s="243">
        <v>0</v>
      </c>
      <c r="BK643" s="155">
        <f t="shared" si="457"/>
        <v>10.000000000000853</v>
      </c>
      <c r="BL643" s="47"/>
      <c r="BM643" s="48" t="str">
        <f t="shared" si="458"/>
        <v>Unloading no. 618 Bill No 2026-27/94 ,Deduction For Oil Deduction= 24565.779 ,Bardana= 0 ,F.M=  Brokerage/Rate Difference 0 ,Shortage = 0 ,Greenish=  ,Moisture= 0</v>
      </c>
      <c r="BN643" s="41"/>
      <c r="BO643" s="44" t="str">
        <f t="shared" si="459"/>
        <v xml:space="preserve"> Party Condition 42  ,F.M% 0.35 ,Greenish 3.8 ,Moisture 4.9 ,Shortage in KG= 0  ,Oil% 40.53</v>
      </c>
      <c r="BP643" s="45">
        <f t="shared" si="460"/>
        <v>7584.6990033594629</v>
      </c>
      <c r="BQ643" s="41"/>
      <c r="BR643" s="41"/>
      <c r="BS643" s="41"/>
      <c r="BT643" s="41"/>
      <c r="BU643" s="41"/>
      <c r="BV643" s="41"/>
      <c r="BW643" s="85"/>
      <c r="BX643" s="27">
        <v>40.76</v>
      </c>
      <c r="BY643" s="27">
        <v>40.47</v>
      </c>
    </row>
    <row r="644" spans="1:77" ht="14.1" hidden="1" customHeight="1" x14ac:dyDescent="0.3">
      <c r="A644" s="128" t="s">
        <v>1253</v>
      </c>
      <c r="B644" s="130">
        <v>46161</v>
      </c>
      <c r="C644" s="138">
        <v>619</v>
      </c>
      <c r="D644" s="128" t="s">
        <v>1345</v>
      </c>
      <c r="E644" s="130">
        <v>46167</v>
      </c>
      <c r="F644" s="128" t="s">
        <v>1144</v>
      </c>
      <c r="G644" s="128" t="s">
        <v>1145</v>
      </c>
      <c r="H644" s="128" t="s">
        <v>100</v>
      </c>
      <c r="I644" s="136"/>
      <c r="J644" s="128" t="s">
        <v>1146</v>
      </c>
      <c r="K644" s="163">
        <v>0</v>
      </c>
      <c r="L644" s="130">
        <v>46161</v>
      </c>
      <c r="M644" s="136"/>
      <c r="N644" s="128" t="s">
        <v>1394</v>
      </c>
      <c r="O644" s="130">
        <v>46167</v>
      </c>
      <c r="P644" s="128">
        <v>0</v>
      </c>
      <c r="Q644" s="128">
        <v>155</v>
      </c>
      <c r="R644" s="128">
        <v>5</v>
      </c>
      <c r="S644" s="128">
        <v>160</v>
      </c>
      <c r="T644" s="128">
        <v>160</v>
      </c>
      <c r="U644" s="163">
        <v>0</v>
      </c>
      <c r="V644" s="136"/>
      <c r="W644" s="169">
        <v>96</v>
      </c>
      <c r="X644" s="169">
        <v>96.5</v>
      </c>
      <c r="Y644" s="169">
        <v>758406.6</v>
      </c>
      <c r="Z644" s="169">
        <v>39.950000000000003</v>
      </c>
      <c r="AA644" s="169">
        <v>18960.169999999998</v>
      </c>
      <c r="AB644" s="169">
        <v>18960.169999999998</v>
      </c>
      <c r="AC644" s="169">
        <v>796326.93</v>
      </c>
      <c r="AD644" s="197">
        <f t="shared" si="433"/>
        <v>795530.60307000007</v>
      </c>
      <c r="AE644" s="147">
        <v>39.950000000000003</v>
      </c>
      <c r="AF644" s="169">
        <v>42</v>
      </c>
      <c r="AG644" s="147">
        <v>39.950000000000003</v>
      </c>
      <c r="AH644" s="170">
        <v>3.0000000000000001E-3</v>
      </c>
      <c r="AI644" s="170">
        <v>3.5000000000000003E-2</v>
      </c>
      <c r="AJ644" s="170">
        <v>4.5999999999999999E-2</v>
      </c>
      <c r="AK644" s="155">
        <f t="shared" si="413"/>
        <v>37017.464999999946</v>
      </c>
      <c r="AL644" s="157">
        <v>0</v>
      </c>
      <c r="AM644" s="157"/>
      <c r="AN644" s="199">
        <v>0</v>
      </c>
      <c r="AO644" s="156">
        <f t="shared" si="445"/>
        <v>0</v>
      </c>
      <c r="AP644" s="157"/>
      <c r="AQ644" s="155">
        <v>0</v>
      </c>
      <c r="AR644" s="155">
        <f t="shared" si="446"/>
        <v>37017.464999999946</v>
      </c>
      <c r="AS644" s="155">
        <f t="shared" si="447"/>
        <v>38868</v>
      </c>
      <c r="AT644" s="155">
        <v>0</v>
      </c>
      <c r="AU644" s="157"/>
      <c r="AV644" s="157"/>
      <c r="AW644" s="155">
        <f t="shared" si="448"/>
        <v>9600</v>
      </c>
      <c r="AX644" s="157"/>
      <c r="AY644" s="155">
        <f t="shared" si="449"/>
        <v>9600</v>
      </c>
      <c r="AZ644" s="155">
        <f t="shared" si="450"/>
        <v>9650</v>
      </c>
      <c r="BA644" s="242">
        <f t="shared" si="451"/>
        <v>-50</v>
      </c>
      <c r="BB644" s="246">
        <f t="shared" si="452"/>
        <v>19.2</v>
      </c>
      <c r="BC644" s="155">
        <v>0</v>
      </c>
      <c r="BD644" s="157"/>
      <c r="BE644" s="169">
        <v>96.6</v>
      </c>
      <c r="BF644" s="197">
        <f t="shared" si="453"/>
        <v>0.14489999999999997</v>
      </c>
      <c r="BG644" s="197">
        <f t="shared" si="454"/>
        <v>96.455099999999987</v>
      </c>
      <c r="BH644" s="197">
        <f t="shared" si="455"/>
        <v>96.5</v>
      </c>
      <c r="BI644" s="243">
        <f t="shared" si="456"/>
        <v>9.9999999999994316</v>
      </c>
      <c r="BJ644" s="243">
        <v>0</v>
      </c>
      <c r="BK644" s="155">
        <f t="shared" si="457"/>
        <v>9.9999999999994316</v>
      </c>
      <c r="BL644" s="47"/>
      <c r="BM644" s="48" t="str">
        <f t="shared" si="458"/>
        <v>Unloading no. 619 Bill No 2026-27/96 ,Deduction For Oil Deduction= 37017.4649999999 ,Bardana= 0 ,F.M=  Brokerage/Rate Difference 0 ,Shortage = 0 ,Greenish=  ,Moisture= 0</v>
      </c>
      <c r="BN644" s="41"/>
      <c r="BO644" s="44" t="str">
        <f t="shared" si="459"/>
        <v xml:space="preserve"> Party Condition 42  ,F.M% 0.3 ,Greenish 3.5 ,Moisture 4.6 ,Shortage in KG= 0  ,Oil% 39.95</v>
      </c>
      <c r="BP644" s="45">
        <f t="shared" si="460"/>
        <v>7475.5350777202075</v>
      </c>
      <c r="BQ644" s="41"/>
      <c r="BR644" s="41"/>
      <c r="BS644" s="41"/>
      <c r="BT644" s="41"/>
      <c r="BU644" s="41"/>
      <c r="BV644" s="41"/>
      <c r="BW644" s="85"/>
      <c r="BX644" s="27">
        <v>39.85</v>
      </c>
      <c r="BY644" s="27">
        <v>39.869999999999997</v>
      </c>
    </row>
    <row r="645" spans="1:77" ht="14.1" hidden="1" customHeight="1" x14ac:dyDescent="0.3">
      <c r="A645" s="128" t="s">
        <v>1253</v>
      </c>
      <c r="B645" s="130">
        <v>46161</v>
      </c>
      <c r="C645" s="138">
        <v>620</v>
      </c>
      <c r="D645" s="128" t="s">
        <v>1346</v>
      </c>
      <c r="E645" s="130">
        <v>46167</v>
      </c>
      <c r="F645" s="128" t="s">
        <v>1144</v>
      </c>
      <c r="G645" s="128" t="s">
        <v>1145</v>
      </c>
      <c r="H645" s="128" t="s">
        <v>100</v>
      </c>
      <c r="I645" s="136"/>
      <c r="J645" s="128" t="s">
        <v>1146</v>
      </c>
      <c r="K645" s="163">
        <v>0</v>
      </c>
      <c r="L645" s="130">
        <v>46161</v>
      </c>
      <c r="M645" s="136"/>
      <c r="N645" s="128" t="s">
        <v>1395</v>
      </c>
      <c r="O645" s="130">
        <v>46167</v>
      </c>
      <c r="P645" s="128">
        <v>0</v>
      </c>
      <c r="Q645" s="128">
        <v>100</v>
      </c>
      <c r="R645" s="128">
        <v>50</v>
      </c>
      <c r="S645" s="128">
        <v>150</v>
      </c>
      <c r="T645" s="128">
        <v>150</v>
      </c>
      <c r="U645" s="163">
        <v>0</v>
      </c>
      <c r="V645" s="136"/>
      <c r="W645" s="169">
        <v>89.4</v>
      </c>
      <c r="X645" s="169">
        <v>89.2</v>
      </c>
      <c r="Y645" s="169">
        <v>701879.4</v>
      </c>
      <c r="Z645" s="169">
        <v>40.340000000000003</v>
      </c>
      <c r="AA645" s="169">
        <v>17546.990000000002</v>
      </c>
      <c r="AB645" s="169">
        <v>17546.990000000002</v>
      </c>
      <c r="AC645" s="169">
        <v>736973.37</v>
      </c>
      <c r="AD645" s="197">
        <f t="shared" si="433"/>
        <v>736236.39662999997</v>
      </c>
      <c r="AE645" s="147">
        <v>40.340000000000003</v>
      </c>
      <c r="AF645" s="169">
        <v>42</v>
      </c>
      <c r="AG645" s="147">
        <v>40.340000000000003</v>
      </c>
      <c r="AH645" s="170">
        <v>3.8E-3</v>
      </c>
      <c r="AI645" s="170">
        <v>3.4000000000000002E-2</v>
      </c>
      <c r="AJ645" s="170">
        <v>4.8000000000000001E-2</v>
      </c>
      <c r="AK645" s="155">
        <f t="shared" si="413"/>
        <v>27740.947714285656</v>
      </c>
      <c r="AL645" s="157">
        <v>0</v>
      </c>
      <c r="AM645" s="157"/>
      <c r="AN645" s="199">
        <v>0</v>
      </c>
      <c r="AO645" s="156">
        <f t="shared" si="445"/>
        <v>166.44120000000007</v>
      </c>
      <c r="AP645" s="157"/>
      <c r="AQ645" s="155">
        <v>0</v>
      </c>
      <c r="AR645" s="155">
        <f t="shared" si="446"/>
        <v>27907.388914285657</v>
      </c>
      <c r="AS645" s="155">
        <f t="shared" si="447"/>
        <v>29303</v>
      </c>
      <c r="AT645" s="155">
        <f t="shared" ref="AT645:AT654" si="461">BA645-BB645</f>
        <v>2.120000000000001</v>
      </c>
      <c r="AU645" s="157"/>
      <c r="AV645" s="157"/>
      <c r="AW645" s="155">
        <f t="shared" si="448"/>
        <v>8940</v>
      </c>
      <c r="AX645" s="157"/>
      <c r="AY645" s="155">
        <f t="shared" si="449"/>
        <v>8940</v>
      </c>
      <c r="AZ645" s="155">
        <f t="shared" si="450"/>
        <v>8920</v>
      </c>
      <c r="BA645" s="242">
        <f t="shared" si="451"/>
        <v>20</v>
      </c>
      <c r="BB645" s="246">
        <f t="shared" si="452"/>
        <v>17.88</v>
      </c>
      <c r="BC645" s="155">
        <v>0</v>
      </c>
      <c r="BD645" s="157"/>
      <c r="BE645" s="169">
        <v>89.4</v>
      </c>
      <c r="BF645" s="197">
        <f t="shared" si="453"/>
        <v>0.1341</v>
      </c>
      <c r="BG645" s="197">
        <f t="shared" si="454"/>
        <v>89.265900000000002</v>
      </c>
      <c r="BH645" s="197">
        <f t="shared" si="455"/>
        <v>89.2</v>
      </c>
      <c r="BI645" s="243">
        <f t="shared" si="456"/>
        <v>20.000000000000284</v>
      </c>
      <c r="BJ645" s="243">
        <v>0</v>
      </c>
      <c r="BK645" s="155">
        <f t="shared" si="457"/>
        <v>20.000000000000284</v>
      </c>
      <c r="BL645" s="47"/>
      <c r="BM645" s="48" t="str">
        <f t="shared" si="458"/>
        <v>Unloading no. 620 Bill No 2026-27/95 ,Deduction For Oil Deduction= 27740.9477142857 ,Bardana= 0 ,F.M=  Brokerage/Rate Difference 0 ,Shortage = 166.4412 ,Greenish=  ,Moisture= 0</v>
      </c>
      <c r="BN645" s="41"/>
      <c r="BO645" s="44" t="str">
        <f t="shared" si="459"/>
        <v xml:space="preserve"> Party Condition 42  ,F.M% 0.38 ,Greenish 3.4 ,Moisture 4.8 ,Shortage in KG= 2.12  ,Oil% 40.34</v>
      </c>
      <c r="BP645" s="45">
        <f t="shared" si="460"/>
        <v>7555.7400345932101</v>
      </c>
      <c r="BQ645" s="41"/>
      <c r="BR645" s="41"/>
      <c r="BS645" s="41"/>
      <c r="BT645" s="41"/>
      <c r="BU645" s="41"/>
      <c r="BV645" s="41"/>
      <c r="BW645" s="85"/>
      <c r="BX645" s="27">
        <v>40.6</v>
      </c>
      <c r="BY645" s="27">
        <v>40.299999999999997</v>
      </c>
    </row>
    <row r="646" spans="1:77" ht="14.1" hidden="1" customHeight="1" x14ac:dyDescent="0.3">
      <c r="A646" s="163" t="s">
        <v>1253</v>
      </c>
      <c r="B646" s="166">
        <v>46161</v>
      </c>
      <c r="C646" s="187">
        <v>621</v>
      </c>
      <c r="D646" s="163" t="s">
        <v>1347</v>
      </c>
      <c r="E646" s="166">
        <v>46167</v>
      </c>
      <c r="F646" s="163" t="s">
        <v>1144</v>
      </c>
      <c r="G646" s="163" t="s">
        <v>1145</v>
      </c>
      <c r="H646" s="163" t="s">
        <v>100</v>
      </c>
      <c r="I646" s="157"/>
      <c r="J646" s="163" t="s">
        <v>1146</v>
      </c>
      <c r="K646" s="163">
        <v>0</v>
      </c>
      <c r="L646" s="166">
        <v>46161</v>
      </c>
      <c r="M646" s="157"/>
      <c r="N646" s="163" t="s">
        <v>1396</v>
      </c>
      <c r="O646" s="166">
        <v>46167</v>
      </c>
      <c r="P646" s="163">
        <v>0</v>
      </c>
      <c r="Q646" s="163">
        <v>85</v>
      </c>
      <c r="R646" s="163">
        <v>65</v>
      </c>
      <c r="S646" s="163">
        <v>150</v>
      </c>
      <c r="T646" s="163">
        <v>150</v>
      </c>
      <c r="U646" s="163">
        <v>0</v>
      </c>
      <c r="V646" s="136"/>
      <c r="W646" s="169">
        <v>89.2</v>
      </c>
      <c r="X646" s="169">
        <v>89.1</v>
      </c>
      <c r="Y646" s="169">
        <v>700309.2</v>
      </c>
      <c r="Z646" s="169">
        <v>40.020000000000003</v>
      </c>
      <c r="AA646" s="169">
        <v>17507.73</v>
      </c>
      <c r="AB646" s="169">
        <v>17507.73</v>
      </c>
      <c r="AC646" s="169">
        <v>735324.66</v>
      </c>
      <c r="AD646" s="197">
        <f t="shared" si="433"/>
        <v>734589.33533999999</v>
      </c>
      <c r="AE646" s="147">
        <v>40.020000000000003</v>
      </c>
      <c r="AF646" s="169">
        <v>42</v>
      </c>
      <c r="AG646" s="147">
        <v>40.020000000000003</v>
      </c>
      <c r="AH646" s="170">
        <v>4.0000000000000001E-3</v>
      </c>
      <c r="AI646" s="170">
        <v>0.03</v>
      </c>
      <c r="AJ646" s="170">
        <v>4.2999999999999997E-2</v>
      </c>
      <c r="AK646" s="155">
        <f t="shared" si="413"/>
        <v>33014.576571428515</v>
      </c>
      <c r="AL646" s="157">
        <v>0</v>
      </c>
      <c r="AM646" s="157"/>
      <c r="AN646" s="199">
        <v>0</v>
      </c>
      <c r="AO646" s="156">
        <f t="shared" si="445"/>
        <v>0</v>
      </c>
      <c r="AP646" s="157"/>
      <c r="AQ646" s="155">
        <v>0</v>
      </c>
      <c r="AR646" s="155">
        <f t="shared" si="446"/>
        <v>33014.576571428515</v>
      </c>
      <c r="AS646" s="155">
        <f t="shared" si="447"/>
        <v>34665</v>
      </c>
      <c r="AT646" s="155">
        <v>0</v>
      </c>
      <c r="AU646" s="157"/>
      <c r="AV646" s="157"/>
      <c r="AW646" s="155">
        <f t="shared" si="448"/>
        <v>8920</v>
      </c>
      <c r="AX646" s="157"/>
      <c r="AY646" s="155">
        <f t="shared" si="449"/>
        <v>8920</v>
      </c>
      <c r="AZ646" s="155">
        <f t="shared" si="450"/>
        <v>8910</v>
      </c>
      <c r="BA646" s="242">
        <f t="shared" si="451"/>
        <v>10</v>
      </c>
      <c r="BB646" s="246">
        <f t="shared" si="452"/>
        <v>17.84</v>
      </c>
      <c r="BC646" s="155">
        <v>0</v>
      </c>
      <c r="BD646" s="157"/>
      <c r="BE646" s="169">
        <v>89.2</v>
      </c>
      <c r="BF646" s="197">
        <f t="shared" si="453"/>
        <v>0.1338</v>
      </c>
      <c r="BG646" s="197">
        <f t="shared" si="454"/>
        <v>89.066200000000009</v>
      </c>
      <c r="BH646" s="197">
        <f t="shared" si="455"/>
        <v>89.1</v>
      </c>
      <c r="BI646" s="243">
        <f t="shared" si="456"/>
        <v>10.000000000000853</v>
      </c>
      <c r="BJ646" s="243">
        <v>0</v>
      </c>
      <c r="BK646" s="155">
        <f t="shared" si="457"/>
        <v>10.000000000000853</v>
      </c>
      <c r="BL646" s="47"/>
      <c r="BM646" s="48" t="str">
        <f t="shared" si="458"/>
        <v>Unloading no. 621 Bill No 2026-27/98 ,Deduction For Oil Deduction= 33014.5765714285 ,Bardana= 0 ,F.M=  Brokerage/Rate Difference 0 ,Shortage = 0 ,Greenish=  ,Moisture= 0</v>
      </c>
      <c r="BN646" s="41"/>
      <c r="BO646" s="44" t="str">
        <f t="shared" si="459"/>
        <v xml:space="preserve"> Party Condition 42  ,F.M% 0.4 ,Greenish 3 ,Moisture 4.3 ,Shortage in KG= 0  ,Oil% 40.02</v>
      </c>
      <c r="BP646" s="45">
        <f t="shared" si="460"/>
        <v>7489.2774795574796</v>
      </c>
      <c r="BQ646" s="41"/>
      <c r="BR646" s="41"/>
      <c r="BS646" s="41"/>
      <c r="BT646" s="41"/>
      <c r="BU646" s="41"/>
      <c r="BV646" s="41"/>
      <c r="BW646" s="85"/>
      <c r="BX646" s="27">
        <v>39.82</v>
      </c>
      <c r="BY646" s="27">
        <v>39.74</v>
      </c>
    </row>
    <row r="647" spans="1:77" ht="14.1" hidden="1" customHeight="1" x14ac:dyDescent="0.3">
      <c r="A647" s="128" t="s">
        <v>1253</v>
      </c>
      <c r="B647" s="130">
        <v>46161</v>
      </c>
      <c r="C647" s="138">
        <v>622</v>
      </c>
      <c r="D647" s="128" t="s">
        <v>1348</v>
      </c>
      <c r="E647" s="130">
        <v>46167</v>
      </c>
      <c r="F647" s="128" t="s">
        <v>1144</v>
      </c>
      <c r="G647" s="128" t="s">
        <v>1145</v>
      </c>
      <c r="H647" s="128" t="s">
        <v>100</v>
      </c>
      <c r="I647" s="136"/>
      <c r="J647" s="128" t="s">
        <v>1146</v>
      </c>
      <c r="K647" s="163">
        <v>0</v>
      </c>
      <c r="L647" s="130">
        <v>46161</v>
      </c>
      <c r="M647" s="136"/>
      <c r="N647" s="128" t="s">
        <v>1397</v>
      </c>
      <c r="O647" s="130">
        <v>46167</v>
      </c>
      <c r="P647" s="128">
        <v>0</v>
      </c>
      <c r="Q647" s="128">
        <v>150</v>
      </c>
      <c r="R647" s="128">
        <v>0</v>
      </c>
      <c r="S647" s="128">
        <v>150</v>
      </c>
      <c r="T647" s="128">
        <v>150</v>
      </c>
      <c r="U647" s="163">
        <v>0</v>
      </c>
      <c r="V647" s="136"/>
      <c r="W647" s="169">
        <v>89.8</v>
      </c>
      <c r="X647" s="169">
        <v>89.8</v>
      </c>
      <c r="Y647" s="169">
        <v>705019.8</v>
      </c>
      <c r="Z647" s="169">
        <v>39.75</v>
      </c>
      <c r="AA647" s="169">
        <v>17625.5</v>
      </c>
      <c r="AB647" s="169">
        <v>17625.5</v>
      </c>
      <c r="AC647" s="169">
        <v>740270.79</v>
      </c>
      <c r="AD647" s="197">
        <f t="shared" si="433"/>
        <v>739530.51921000006</v>
      </c>
      <c r="AE647" s="147">
        <v>39.75</v>
      </c>
      <c r="AF647" s="169">
        <v>42</v>
      </c>
      <c r="AG647" s="147">
        <v>39.75</v>
      </c>
      <c r="AH647" s="170">
        <v>3.3999999999999998E-3</v>
      </c>
      <c r="AI647" s="170">
        <v>0.03</v>
      </c>
      <c r="AJ647" s="170">
        <v>4.9000000000000002E-2</v>
      </c>
      <c r="AK647" s="155">
        <f t="shared" si="413"/>
        <v>37768.917857142857</v>
      </c>
      <c r="AL647" s="157">
        <v>0</v>
      </c>
      <c r="AM647" s="157"/>
      <c r="AN647" s="199">
        <v>0</v>
      </c>
      <c r="AO647" s="156">
        <f t="shared" si="445"/>
        <v>0</v>
      </c>
      <c r="AP647" s="157"/>
      <c r="AQ647" s="155">
        <v>0</v>
      </c>
      <c r="AR647" s="155">
        <f t="shared" si="446"/>
        <v>37768.917857142857</v>
      </c>
      <c r="AS647" s="155">
        <f t="shared" si="447"/>
        <v>39657</v>
      </c>
      <c r="AT647" s="155">
        <v>0</v>
      </c>
      <c r="AU647" s="157"/>
      <c r="AV647" s="157"/>
      <c r="AW647" s="155">
        <f t="shared" si="448"/>
        <v>8980</v>
      </c>
      <c r="AX647" s="157"/>
      <c r="AY647" s="155">
        <f t="shared" si="449"/>
        <v>8980</v>
      </c>
      <c r="AZ647" s="155">
        <f t="shared" si="450"/>
        <v>8980</v>
      </c>
      <c r="BA647" s="242">
        <f t="shared" si="451"/>
        <v>0</v>
      </c>
      <c r="BB647" s="246">
        <f t="shared" si="452"/>
        <v>17.96</v>
      </c>
      <c r="BC647" s="155">
        <v>0</v>
      </c>
      <c r="BD647" s="157"/>
      <c r="BE647" s="169">
        <v>89.8</v>
      </c>
      <c r="BF647" s="197">
        <f t="shared" si="453"/>
        <v>0.13469999999999999</v>
      </c>
      <c r="BG647" s="197">
        <f t="shared" si="454"/>
        <v>89.665300000000002</v>
      </c>
      <c r="BH647" s="197">
        <f t="shared" si="455"/>
        <v>89.8</v>
      </c>
      <c r="BI647" s="243">
        <f t="shared" si="456"/>
        <v>0</v>
      </c>
      <c r="BJ647" s="243">
        <v>0</v>
      </c>
      <c r="BK647" s="155">
        <f t="shared" si="457"/>
        <v>0</v>
      </c>
      <c r="BL647" s="47"/>
      <c r="BM647" s="48" t="str">
        <f t="shared" si="458"/>
        <v>Unloading no. 622 Bill No 2026-27/97 ,Deduction For Oil Deduction= 37768.9178571429 ,Bardana= 0 ,F.M=  Brokerage/Rate Difference 0 ,Shortage = 0 ,Greenish=  ,Moisture= 0</v>
      </c>
      <c r="BN647" s="41"/>
      <c r="BO647" s="44" t="str">
        <f t="shared" si="459"/>
        <v xml:space="preserve"> Party Condition 42  ,F.M% 0.34 ,Greenish 3 ,Moisture 4.9 ,Shortage in KG= 0  ,Oil% 39.75</v>
      </c>
      <c r="BP647" s="45">
        <f t="shared" si="460"/>
        <v>7430.4107142857147</v>
      </c>
      <c r="BQ647" s="41"/>
      <c r="BR647" s="41"/>
      <c r="BS647" s="41"/>
      <c r="BT647" s="41"/>
      <c r="BU647" s="41"/>
      <c r="BV647" s="41"/>
      <c r="BW647" s="85"/>
      <c r="BX647" s="27">
        <v>39.799999999999997</v>
      </c>
      <c r="BY647" s="27">
        <v>39.619999999999997</v>
      </c>
    </row>
    <row r="648" spans="1:77" ht="14.1" hidden="1" customHeight="1" x14ac:dyDescent="0.3">
      <c r="A648" s="128" t="s">
        <v>1253</v>
      </c>
      <c r="B648" s="130">
        <v>46161</v>
      </c>
      <c r="C648" s="138">
        <v>623</v>
      </c>
      <c r="D648" s="128" t="s">
        <v>1349</v>
      </c>
      <c r="E648" s="130">
        <v>46167</v>
      </c>
      <c r="F648" s="128" t="s">
        <v>1144</v>
      </c>
      <c r="G648" s="128" t="s">
        <v>1145</v>
      </c>
      <c r="H648" s="128" t="s">
        <v>100</v>
      </c>
      <c r="I648" s="136"/>
      <c r="J648" s="128" t="s">
        <v>1146</v>
      </c>
      <c r="K648" s="163">
        <v>0</v>
      </c>
      <c r="L648" s="130">
        <v>46161</v>
      </c>
      <c r="M648" s="136"/>
      <c r="N648" s="128" t="s">
        <v>1398</v>
      </c>
      <c r="O648" s="130">
        <v>46167</v>
      </c>
      <c r="P648" s="128">
        <v>0</v>
      </c>
      <c r="Q648" s="128">
        <v>100</v>
      </c>
      <c r="R648" s="128">
        <v>50</v>
      </c>
      <c r="S648" s="128">
        <v>150</v>
      </c>
      <c r="T648" s="128">
        <v>150</v>
      </c>
      <c r="U648" s="163">
        <v>0</v>
      </c>
      <c r="V648" s="136"/>
      <c r="W648" s="169">
        <v>90.2</v>
      </c>
      <c r="X648" s="169">
        <v>90</v>
      </c>
      <c r="Y648" s="169">
        <v>708160.2</v>
      </c>
      <c r="Z648" s="169">
        <v>40.020000000000003</v>
      </c>
      <c r="AA648" s="169">
        <v>17704.009999999998</v>
      </c>
      <c r="AB648" s="169">
        <v>17704.009999999998</v>
      </c>
      <c r="AC648" s="169">
        <v>743568.21</v>
      </c>
      <c r="AD648" s="197">
        <f t="shared" si="433"/>
        <v>742824.64178999991</v>
      </c>
      <c r="AE648" s="147">
        <v>40.020000000000003</v>
      </c>
      <c r="AF648" s="169">
        <v>42</v>
      </c>
      <c r="AG648" s="147">
        <v>40.020000000000003</v>
      </c>
      <c r="AH648" s="170">
        <v>3.5999999999999999E-3</v>
      </c>
      <c r="AI648" s="170">
        <v>3.2000000000000001E-2</v>
      </c>
      <c r="AJ648" s="170">
        <v>4.8000000000000001E-2</v>
      </c>
      <c r="AK648" s="155">
        <f t="shared" si="413"/>
        <v>33384.69514285709</v>
      </c>
      <c r="AL648" s="157">
        <v>0</v>
      </c>
      <c r="AM648" s="157"/>
      <c r="AN648" s="199">
        <v>0</v>
      </c>
      <c r="AO648" s="156">
        <f t="shared" si="445"/>
        <v>153.87960000000007</v>
      </c>
      <c r="AP648" s="157"/>
      <c r="AQ648" s="155">
        <v>0</v>
      </c>
      <c r="AR648" s="155">
        <f t="shared" si="446"/>
        <v>33538.57474285709</v>
      </c>
      <c r="AS648" s="155">
        <f t="shared" si="447"/>
        <v>35216</v>
      </c>
      <c r="AT648" s="155">
        <f t="shared" si="461"/>
        <v>1.9600000000000009</v>
      </c>
      <c r="AU648" s="157"/>
      <c r="AV648" s="157"/>
      <c r="AW648" s="155">
        <f t="shared" si="448"/>
        <v>9020</v>
      </c>
      <c r="AX648" s="157"/>
      <c r="AY648" s="155">
        <f t="shared" si="449"/>
        <v>9020</v>
      </c>
      <c r="AZ648" s="155">
        <f t="shared" si="450"/>
        <v>9000</v>
      </c>
      <c r="BA648" s="242">
        <f t="shared" si="451"/>
        <v>20</v>
      </c>
      <c r="BB648" s="246">
        <f t="shared" si="452"/>
        <v>18.04</v>
      </c>
      <c r="BC648" s="155">
        <v>0</v>
      </c>
      <c r="BD648" s="157"/>
      <c r="BE648" s="169">
        <v>90.2</v>
      </c>
      <c r="BF648" s="197">
        <f t="shared" si="453"/>
        <v>0.1353</v>
      </c>
      <c r="BG648" s="197">
        <f t="shared" si="454"/>
        <v>90.064700000000002</v>
      </c>
      <c r="BH648" s="197">
        <f t="shared" si="455"/>
        <v>90</v>
      </c>
      <c r="BI648" s="243">
        <f t="shared" si="456"/>
        <v>20.000000000000284</v>
      </c>
      <c r="BJ648" s="243">
        <v>0</v>
      </c>
      <c r="BK648" s="155">
        <f t="shared" si="457"/>
        <v>20.000000000000284</v>
      </c>
      <c r="BL648" s="47"/>
      <c r="BM648" s="48" t="str">
        <f t="shared" si="458"/>
        <v>Unloading no. 623 Bill No 2026-27/99 ,Deduction For Oil Deduction= 33384.6951428571 ,Bardana= 0 ,F.M=  Brokerage/Rate Difference 0 ,Shortage = 153.8796 ,Greenish=  ,Moisture= 0</v>
      </c>
      <c r="BN648" s="41"/>
      <c r="BO648" s="44" t="str">
        <f t="shared" si="459"/>
        <v xml:space="preserve"> Party Condition 42  ,F.M% 0.36 ,Greenish 3.2 ,Moisture 4.8 ,Shortage in KG= 1.96  ,Oil% 40.02</v>
      </c>
      <c r="BP648" s="45">
        <f t="shared" si="460"/>
        <v>7495.7958361904757</v>
      </c>
      <c r="BQ648" s="41"/>
      <c r="BR648" s="41"/>
      <c r="BS648" s="41"/>
      <c r="BT648" s="41"/>
      <c r="BU648" s="41"/>
      <c r="BV648" s="41"/>
      <c r="BW648" s="85"/>
      <c r="BX648" s="27">
        <v>40.049999999999997</v>
      </c>
      <c r="BY648" s="27">
        <v>39.869999999999997</v>
      </c>
    </row>
    <row r="649" spans="1:77" ht="14.1" hidden="1" customHeight="1" x14ac:dyDescent="0.3">
      <c r="A649" s="128" t="s">
        <v>1253</v>
      </c>
      <c r="B649" s="130">
        <v>46161</v>
      </c>
      <c r="C649" s="138">
        <v>624</v>
      </c>
      <c r="D649" s="128" t="s">
        <v>1350</v>
      </c>
      <c r="E649" s="130">
        <v>46167</v>
      </c>
      <c r="F649" s="128" t="s">
        <v>1144</v>
      </c>
      <c r="G649" s="128" t="s">
        <v>1145</v>
      </c>
      <c r="H649" s="128" t="s">
        <v>100</v>
      </c>
      <c r="I649" s="136"/>
      <c r="J649" s="128" t="s">
        <v>1146</v>
      </c>
      <c r="K649" s="163">
        <v>0</v>
      </c>
      <c r="L649" s="130">
        <v>46161</v>
      </c>
      <c r="M649" s="136"/>
      <c r="N649" s="128" t="s">
        <v>1399</v>
      </c>
      <c r="O649" s="130">
        <v>46167</v>
      </c>
      <c r="P649" s="128">
        <v>0</v>
      </c>
      <c r="Q649" s="128">
        <v>145</v>
      </c>
      <c r="R649" s="128">
        <v>5</v>
      </c>
      <c r="S649" s="128">
        <v>150</v>
      </c>
      <c r="T649" s="128">
        <v>150</v>
      </c>
      <c r="U649" s="163">
        <v>0</v>
      </c>
      <c r="V649" s="136"/>
      <c r="W649" s="169">
        <v>89.4</v>
      </c>
      <c r="X649" s="169">
        <v>89.4</v>
      </c>
      <c r="Y649" s="169">
        <v>701879.4</v>
      </c>
      <c r="Z649" s="169">
        <v>40.39</v>
      </c>
      <c r="AA649" s="169">
        <v>17546.990000000002</v>
      </c>
      <c r="AB649" s="169">
        <v>17546.990000000002</v>
      </c>
      <c r="AC649" s="169">
        <v>736973.37</v>
      </c>
      <c r="AD649" s="197">
        <f t="shared" si="433"/>
        <v>736236.39662999997</v>
      </c>
      <c r="AE649" s="147">
        <v>40.39</v>
      </c>
      <c r="AF649" s="169">
        <v>42</v>
      </c>
      <c r="AG649" s="147">
        <v>40.39</v>
      </c>
      <c r="AH649" s="170">
        <v>4.1000000000000003E-3</v>
      </c>
      <c r="AI649" s="170">
        <v>3.4500000000000003E-2</v>
      </c>
      <c r="AJ649" s="170">
        <v>4.2999999999999997E-2</v>
      </c>
      <c r="AK649" s="155">
        <f t="shared" si="413"/>
        <v>26905.376999999989</v>
      </c>
      <c r="AL649" s="157">
        <v>0</v>
      </c>
      <c r="AM649" s="157"/>
      <c r="AN649" s="199">
        <v>0</v>
      </c>
      <c r="AO649" s="156">
        <f t="shared" ref="AO649:AO680" si="462">AT649*Y649/AW649</f>
        <v>0</v>
      </c>
      <c r="AP649" s="157"/>
      <c r="AQ649" s="155">
        <v>0</v>
      </c>
      <c r="AR649" s="155">
        <f t="shared" ref="AR649:AR680" si="463">SUM(AK649:AQ649)</f>
        <v>26905.376999999989</v>
      </c>
      <c r="AS649" s="155">
        <f t="shared" ref="AS649:AS680" si="464">ROUND(AR649*1.05,0)</f>
        <v>28251</v>
      </c>
      <c r="AT649" s="155">
        <v>0</v>
      </c>
      <c r="AU649" s="157"/>
      <c r="AV649" s="157"/>
      <c r="AW649" s="155">
        <f t="shared" si="448"/>
        <v>8940</v>
      </c>
      <c r="AX649" s="157"/>
      <c r="AY649" s="155">
        <f t="shared" si="449"/>
        <v>8940</v>
      </c>
      <c r="AZ649" s="155">
        <f t="shared" si="450"/>
        <v>8940</v>
      </c>
      <c r="BA649" s="242">
        <f t="shared" si="451"/>
        <v>0</v>
      </c>
      <c r="BB649" s="246">
        <f t="shared" si="452"/>
        <v>17.88</v>
      </c>
      <c r="BC649" s="155">
        <v>0</v>
      </c>
      <c r="BD649" s="157"/>
      <c r="BE649" s="169">
        <v>89.4</v>
      </c>
      <c r="BF649" s="197">
        <f t="shared" si="453"/>
        <v>0.1341</v>
      </c>
      <c r="BG649" s="197">
        <f t="shared" si="454"/>
        <v>89.265900000000002</v>
      </c>
      <c r="BH649" s="197">
        <f t="shared" si="455"/>
        <v>89.4</v>
      </c>
      <c r="BI649" s="243">
        <f t="shared" si="456"/>
        <v>0</v>
      </c>
      <c r="BJ649" s="243">
        <v>0</v>
      </c>
      <c r="BK649" s="155">
        <f t="shared" si="457"/>
        <v>0</v>
      </c>
      <c r="BL649" s="47"/>
      <c r="BM649" s="48" t="str">
        <f t="shared" si="458"/>
        <v>Unloading no. 624 Bill No 2026-27/100 ,Deduction For Oil Deduction= 26905.377 ,Bardana= 0 ,F.M=  Brokerage/Rate Difference 0 ,Shortage = 0 ,Greenish=  ,Moisture= 0</v>
      </c>
      <c r="BN649" s="41"/>
      <c r="BO649" s="44" t="str">
        <f t="shared" si="459"/>
        <v xml:space="preserve"> Party Condition 42  ,F.M% 0.41 ,Greenish 3.45 ,Moisture 4.3 ,Shortage in KG= 0  ,Oil% 40.39</v>
      </c>
      <c r="BP649" s="45">
        <f t="shared" si="460"/>
        <v>7550.0450000000001</v>
      </c>
      <c r="BQ649" s="41"/>
      <c r="BR649" s="41"/>
      <c r="BS649" s="41"/>
      <c r="BT649" s="41"/>
      <c r="BU649" s="41"/>
      <c r="BV649" s="41"/>
      <c r="BW649" s="85"/>
      <c r="BX649" s="27">
        <v>40.020000000000003</v>
      </c>
      <c r="BY649" s="27">
        <v>40.04</v>
      </c>
    </row>
    <row r="650" spans="1:77" ht="14.1" hidden="1" customHeight="1" x14ac:dyDescent="0.3">
      <c r="A650" s="128" t="s">
        <v>1253</v>
      </c>
      <c r="B650" s="130">
        <v>46161</v>
      </c>
      <c r="C650" s="138">
        <v>625</v>
      </c>
      <c r="D650" s="128" t="s">
        <v>1351</v>
      </c>
      <c r="E650" s="130">
        <v>46167</v>
      </c>
      <c r="F650" s="128" t="s">
        <v>1144</v>
      </c>
      <c r="G650" s="128" t="s">
        <v>1145</v>
      </c>
      <c r="H650" s="128" t="s">
        <v>100</v>
      </c>
      <c r="I650" s="136"/>
      <c r="J650" s="128" t="s">
        <v>1146</v>
      </c>
      <c r="K650" s="163">
        <v>0</v>
      </c>
      <c r="L650" s="130">
        <v>46161</v>
      </c>
      <c r="M650" s="136"/>
      <c r="N650" s="128" t="s">
        <v>1400</v>
      </c>
      <c r="O650" s="130">
        <v>46167</v>
      </c>
      <c r="P650" s="128">
        <v>0</v>
      </c>
      <c r="Q650" s="128">
        <v>120</v>
      </c>
      <c r="R650" s="128">
        <v>30</v>
      </c>
      <c r="S650" s="128">
        <v>150</v>
      </c>
      <c r="T650" s="128">
        <v>150</v>
      </c>
      <c r="U650" s="163">
        <v>0</v>
      </c>
      <c r="V650" s="136"/>
      <c r="W650" s="169">
        <v>89</v>
      </c>
      <c r="X650" s="169">
        <v>88.9</v>
      </c>
      <c r="Y650" s="169">
        <v>698739</v>
      </c>
      <c r="Z650" s="169">
        <v>40.299999999999997</v>
      </c>
      <c r="AA650" s="169">
        <v>17468.48</v>
      </c>
      <c r="AB650" s="169">
        <v>17468.48</v>
      </c>
      <c r="AC650" s="169">
        <v>733675.95</v>
      </c>
      <c r="AD650" s="197">
        <f t="shared" si="433"/>
        <v>732942.27405000001</v>
      </c>
      <c r="AE650" s="147">
        <v>40.299999999999997</v>
      </c>
      <c r="AF650" s="169">
        <v>42</v>
      </c>
      <c r="AG650" s="147">
        <v>40.299999999999997</v>
      </c>
      <c r="AH650" s="170">
        <v>4.3E-3</v>
      </c>
      <c r="AI650" s="170">
        <v>3.5999999999999997E-2</v>
      </c>
      <c r="AJ650" s="170">
        <v>4.3999999999999997E-2</v>
      </c>
      <c r="AK650" s="155">
        <f t="shared" si="413"/>
        <v>28282.292857142904</v>
      </c>
      <c r="AL650" s="157">
        <v>0</v>
      </c>
      <c r="AM650" s="157"/>
      <c r="AN650" s="199">
        <v>0</v>
      </c>
      <c r="AO650" s="156">
        <f t="shared" si="462"/>
        <v>0</v>
      </c>
      <c r="AP650" s="157"/>
      <c r="AQ650" s="155">
        <v>0</v>
      </c>
      <c r="AR650" s="155">
        <f t="shared" si="463"/>
        <v>28282.292857142904</v>
      </c>
      <c r="AS650" s="155">
        <f t="shared" si="464"/>
        <v>29696</v>
      </c>
      <c r="AT650" s="155">
        <v>0</v>
      </c>
      <c r="AU650" s="157"/>
      <c r="AV650" s="157"/>
      <c r="AW650" s="155">
        <f t="shared" si="448"/>
        <v>8900</v>
      </c>
      <c r="AX650" s="157"/>
      <c r="AY650" s="155">
        <f t="shared" si="449"/>
        <v>8900</v>
      </c>
      <c r="AZ650" s="155">
        <f t="shared" si="450"/>
        <v>8890</v>
      </c>
      <c r="BA650" s="242">
        <f t="shared" si="451"/>
        <v>10</v>
      </c>
      <c r="BB650" s="246">
        <f t="shared" si="452"/>
        <v>17.8</v>
      </c>
      <c r="BC650" s="155">
        <v>0</v>
      </c>
      <c r="BD650" s="157"/>
      <c r="BE650" s="169">
        <v>89</v>
      </c>
      <c r="BF650" s="197">
        <f t="shared" si="453"/>
        <v>0.13350000000000001</v>
      </c>
      <c r="BG650" s="197">
        <f t="shared" si="454"/>
        <v>88.866500000000002</v>
      </c>
      <c r="BH650" s="197">
        <f t="shared" si="455"/>
        <v>88.9</v>
      </c>
      <c r="BI650" s="243">
        <f t="shared" si="456"/>
        <v>9.9999999999994316</v>
      </c>
      <c r="BJ650" s="243">
        <v>0</v>
      </c>
      <c r="BK650" s="155">
        <f t="shared" si="457"/>
        <v>9.9999999999994316</v>
      </c>
      <c r="BL650" s="47"/>
      <c r="BM650" s="48" t="str">
        <f t="shared" si="458"/>
        <v>Unloading no. 625 Bill No 2026-27/101 ,Deduction For Oil Deduction= 28282.2928571429 ,Bardana= 0 ,F.M=  Brokerage/Rate Difference 0 ,Shortage = 0 ,Greenish=  ,Moisture= 0</v>
      </c>
      <c r="BN650" s="41"/>
      <c r="BO650" s="44" t="str">
        <f t="shared" si="459"/>
        <v xml:space="preserve"> Party Condition 42  ,F.M% 0.43 ,Greenish 3.6 ,Moisture 4.4 ,Shortage in KG= 0  ,Oil% 40.3</v>
      </c>
      <c r="BP650" s="45">
        <f t="shared" si="460"/>
        <v>7541.6952434517107</v>
      </c>
      <c r="BQ650" s="41"/>
      <c r="BR650" s="41"/>
      <c r="BS650" s="41"/>
      <c r="BT650" s="41"/>
      <c r="BU650" s="41"/>
      <c r="BV650" s="41"/>
      <c r="BW650" s="85"/>
      <c r="BX650" s="27">
        <v>40.049999999999997</v>
      </c>
      <c r="BY650" s="27">
        <v>39.869999999999997</v>
      </c>
    </row>
    <row r="651" spans="1:77" ht="14.1" hidden="1" customHeight="1" x14ac:dyDescent="0.3">
      <c r="A651" s="128" t="s">
        <v>1253</v>
      </c>
      <c r="B651" s="130">
        <v>46161</v>
      </c>
      <c r="C651" s="138">
        <v>626</v>
      </c>
      <c r="D651" s="128" t="s">
        <v>1352</v>
      </c>
      <c r="E651" s="130">
        <v>46167</v>
      </c>
      <c r="F651" s="128" t="s">
        <v>1144</v>
      </c>
      <c r="G651" s="128" t="s">
        <v>1145</v>
      </c>
      <c r="H651" s="128" t="s">
        <v>100</v>
      </c>
      <c r="I651" s="136"/>
      <c r="J651" s="128" t="s">
        <v>1146</v>
      </c>
      <c r="K651" s="163">
        <v>0</v>
      </c>
      <c r="L651" s="130">
        <v>46161</v>
      </c>
      <c r="M651" s="136"/>
      <c r="N651" s="128" t="s">
        <v>1401</v>
      </c>
      <c r="O651" s="130">
        <v>46167</v>
      </c>
      <c r="P651" s="128">
        <v>0</v>
      </c>
      <c r="Q651" s="128">
        <v>150</v>
      </c>
      <c r="R651" s="128">
        <v>0</v>
      </c>
      <c r="S651" s="128">
        <v>150</v>
      </c>
      <c r="T651" s="128">
        <v>150</v>
      </c>
      <c r="U651" s="163">
        <v>0</v>
      </c>
      <c r="V651" s="136"/>
      <c r="W651" s="169">
        <v>86.9</v>
      </c>
      <c r="X651" s="169">
        <v>86.8</v>
      </c>
      <c r="Y651" s="169">
        <v>682251.9</v>
      </c>
      <c r="Z651" s="169">
        <v>40.29</v>
      </c>
      <c r="AA651" s="169">
        <v>17056.3</v>
      </c>
      <c r="AB651" s="169">
        <v>17056.3</v>
      </c>
      <c r="AC651" s="169">
        <v>716364.5</v>
      </c>
      <c r="AD651" s="197">
        <f t="shared" si="433"/>
        <v>715648.13549999997</v>
      </c>
      <c r="AE651" s="147">
        <v>40.29</v>
      </c>
      <c r="AF651" s="169">
        <v>42</v>
      </c>
      <c r="AG651" s="147">
        <v>40.29</v>
      </c>
      <c r="AH651" s="170">
        <v>4.4999999999999997E-3</v>
      </c>
      <c r="AI651" s="170">
        <v>3.5000000000000003E-2</v>
      </c>
      <c r="AJ651" s="170">
        <v>4.3999999999999997E-2</v>
      </c>
      <c r="AK651" s="155">
        <f t="shared" si="413"/>
        <v>27777.398785714304</v>
      </c>
      <c r="AL651" s="157">
        <v>0</v>
      </c>
      <c r="AM651" s="157"/>
      <c r="AN651" s="199">
        <v>0</v>
      </c>
      <c r="AO651" s="156">
        <f t="shared" si="462"/>
        <v>0</v>
      </c>
      <c r="AP651" s="157"/>
      <c r="AQ651" s="155">
        <v>0</v>
      </c>
      <c r="AR651" s="155">
        <f t="shared" si="463"/>
        <v>27777.398785714304</v>
      </c>
      <c r="AS651" s="155">
        <f t="shared" si="464"/>
        <v>29166</v>
      </c>
      <c r="AT651" s="155">
        <v>0</v>
      </c>
      <c r="AU651" s="157"/>
      <c r="AV651" s="157"/>
      <c r="AW651" s="155">
        <f t="shared" si="448"/>
        <v>8690</v>
      </c>
      <c r="AX651" s="157"/>
      <c r="AY651" s="155">
        <f t="shared" si="449"/>
        <v>8690</v>
      </c>
      <c r="AZ651" s="155">
        <f t="shared" si="450"/>
        <v>8680</v>
      </c>
      <c r="BA651" s="242">
        <f t="shared" si="451"/>
        <v>10</v>
      </c>
      <c r="BB651" s="246">
        <f t="shared" si="452"/>
        <v>17.38</v>
      </c>
      <c r="BC651" s="155">
        <v>0</v>
      </c>
      <c r="BD651" s="157"/>
      <c r="BE651" s="169">
        <v>86.9</v>
      </c>
      <c r="BF651" s="197">
        <f t="shared" si="453"/>
        <v>0.13034999999999999</v>
      </c>
      <c r="BG651" s="197">
        <f t="shared" si="454"/>
        <v>86.769649999999999</v>
      </c>
      <c r="BH651" s="197">
        <f t="shared" si="455"/>
        <v>86.8</v>
      </c>
      <c r="BI651" s="243">
        <f t="shared" si="456"/>
        <v>10.000000000000853</v>
      </c>
      <c r="BJ651" s="243">
        <v>0</v>
      </c>
      <c r="BK651" s="155">
        <f t="shared" si="457"/>
        <v>10.000000000000853</v>
      </c>
      <c r="BL651" s="47"/>
      <c r="BM651" s="48" t="str">
        <f t="shared" si="458"/>
        <v>Unloading no. 626 Bill No 2026-27/102 ,Deduction For Oil Deduction= 27777.3987857143 ,Bardana= 0 ,F.M=  Brokerage/Rate Difference 0 ,Shortage = 0 ,Greenish=  ,Moisture= 0</v>
      </c>
      <c r="BN651" s="41"/>
      <c r="BO651" s="44" t="str">
        <f t="shared" si="459"/>
        <v xml:space="preserve"> Party Condition 42  ,F.M% 0.45 ,Greenish 3.5 ,Moisture 4.4 ,Shortage in KG= 0  ,Oil% 40.29</v>
      </c>
      <c r="BP651" s="45">
        <f t="shared" si="460"/>
        <v>7540.0288158327849</v>
      </c>
      <c r="BQ651" s="41"/>
      <c r="BR651" s="41"/>
      <c r="BS651" s="41"/>
      <c r="BT651" s="41"/>
      <c r="BU651" s="41"/>
      <c r="BV651" s="41"/>
      <c r="BW651" s="85"/>
      <c r="BX651" s="27">
        <v>40.4</v>
      </c>
      <c r="BY651" s="27">
        <v>40.25</v>
      </c>
    </row>
    <row r="652" spans="1:77" ht="14.1" hidden="1" customHeight="1" x14ac:dyDescent="0.3">
      <c r="A652" s="128" t="s">
        <v>1253</v>
      </c>
      <c r="B652" s="130">
        <v>46161</v>
      </c>
      <c r="C652" s="138">
        <v>627</v>
      </c>
      <c r="D652" s="128" t="s">
        <v>1353</v>
      </c>
      <c r="E652" s="130">
        <v>46167</v>
      </c>
      <c r="F652" s="128" t="s">
        <v>1144</v>
      </c>
      <c r="G652" s="128" t="s">
        <v>1145</v>
      </c>
      <c r="H652" s="128" t="s">
        <v>100</v>
      </c>
      <c r="I652" s="136"/>
      <c r="J652" s="128" t="s">
        <v>1146</v>
      </c>
      <c r="K652" s="163">
        <v>0</v>
      </c>
      <c r="L652" s="130">
        <v>46161</v>
      </c>
      <c r="M652" s="136"/>
      <c r="N652" s="128" t="s">
        <v>1402</v>
      </c>
      <c r="O652" s="130">
        <v>46167</v>
      </c>
      <c r="P652" s="128">
        <v>0</v>
      </c>
      <c r="Q652" s="128">
        <v>120</v>
      </c>
      <c r="R652" s="128">
        <v>30</v>
      </c>
      <c r="S652" s="128">
        <v>150</v>
      </c>
      <c r="T652" s="128">
        <v>150</v>
      </c>
      <c r="U652" s="163">
        <v>0</v>
      </c>
      <c r="V652" s="136"/>
      <c r="W652" s="169">
        <v>86.9</v>
      </c>
      <c r="X652" s="169">
        <v>86.8</v>
      </c>
      <c r="Y652" s="169">
        <v>682251.9</v>
      </c>
      <c r="Z652" s="169">
        <v>40.24</v>
      </c>
      <c r="AA652" s="169">
        <v>17056.3</v>
      </c>
      <c r="AB652" s="169">
        <v>17056.3</v>
      </c>
      <c r="AC652" s="169">
        <v>716364.5</v>
      </c>
      <c r="AD652" s="197">
        <f t="shared" si="433"/>
        <v>715648.13549999997</v>
      </c>
      <c r="AE652" s="147">
        <v>40.24</v>
      </c>
      <c r="AF652" s="169">
        <v>42</v>
      </c>
      <c r="AG652" s="147">
        <v>40.24</v>
      </c>
      <c r="AH652" s="170">
        <v>4.1999999999999997E-3</v>
      </c>
      <c r="AI652" s="170">
        <v>3.2399999999999998E-2</v>
      </c>
      <c r="AJ652" s="170">
        <v>4.8000000000000001E-2</v>
      </c>
      <c r="AK652" s="155">
        <f t="shared" si="413"/>
        <v>28589.603428571394</v>
      </c>
      <c r="AL652" s="157">
        <v>0</v>
      </c>
      <c r="AM652" s="157"/>
      <c r="AN652" s="199">
        <v>0</v>
      </c>
      <c r="AO652" s="156">
        <f t="shared" si="462"/>
        <v>0</v>
      </c>
      <c r="AP652" s="157"/>
      <c r="AQ652" s="155">
        <v>0</v>
      </c>
      <c r="AR652" s="155">
        <f t="shared" si="463"/>
        <v>28589.603428571394</v>
      </c>
      <c r="AS652" s="155">
        <f t="shared" si="464"/>
        <v>30019</v>
      </c>
      <c r="AT652" s="155">
        <v>0</v>
      </c>
      <c r="AU652" s="157"/>
      <c r="AV652" s="157"/>
      <c r="AW652" s="155">
        <f t="shared" si="448"/>
        <v>8690</v>
      </c>
      <c r="AX652" s="157"/>
      <c r="AY652" s="155">
        <f t="shared" si="449"/>
        <v>8690</v>
      </c>
      <c r="AZ652" s="155">
        <f t="shared" si="450"/>
        <v>8680</v>
      </c>
      <c r="BA652" s="242">
        <f t="shared" si="451"/>
        <v>10</v>
      </c>
      <c r="BB652" s="246">
        <f t="shared" si="452"/>
        <v>17.38</v>
      </c>
      <c r="BC652" s="155">
        <v>0</v>
      </c>
      <c r="BD652" s="157"/>
      <c r="BE652" s="169">
        <v>86.9</v>
      </c>
      <c r="BF652" s="197">
        <f t="shared" si="453"/>
        <v>0.13034999999999999</v>
      </c>
      <c r="BG652" s="197">
        <f t="shared" si="454"/>
        <v>86.769649999999999</v>
      </c>
      <c r="BH652" s="197">
        <f t="shared" si="455"/>
        <v>86.8</v>
      </c>
      <c r="BI652" s="243">
        <f t="shared" si="456"/>
        <v>10.000000000000853</v>
      </c>
      <c r="BJ652" s="243">
        <v>0</v>
      </c>
      <c r="BK652" s="155">
        <f t="shared" si="457"/>
        <v>10.000000000000853</v>
      </c>
      <c r="BL652" s="47"/>
      <c r="BM652" s="48" t="str">
        <f t="shared" si="458"/>
        <v>Unloading no. 627 Bill No 2026-27/103 ,Deduction For Oil Deduction= 28589.6034285714 ,Bardana= 0 ,F.M=  Brokerage/Rate Difference 0 ,Shortage = 0 ,Greenish=  ,Moisture= 0</v>
      </c>
      <c r="BN652" s="41"/>
      <c r="BO652" s="44" t="str">
        <f t="shared" si="459"/>
        <v xml:space="preserve"> Party Condition 42  ,F.M% 0.42 ,Greenish 3.24 ,Moisture 4.8 ,Shortage in KG= 0  ,Oil% 40.24</v>
      </c>
      <c r="BP652" s="45">
        <f t="shared" si="460"/>
        <v>7530.6716194865057</v>
      </c>
      <c r="BQ652" s="41"/>
      <c r="BR652" s="41"/>
      <c r="BS652" s="41"/>
      <c r="BT652" s="41"/>
      <c r="BU652" s="41"/>
      <c r="BV652" s="41"/>
      <c r="BW652" s="85"/>
      <c r="BX652" s="27">
        <v>40.22</v>
      </c>
      <c r="BY652" s="27">
        <v>40.06</v>
      </c>
    </row>
    <row r="653" spans="1:77" ht="14.1" hidden="1" customHeight="1" x14ac:dyDescent="0.3">
      <c r="A653" s="128" t="s">
        <v>1253</v>
      </c>
      <c r="B653" s="130">
        <v>46161</v>
      </c>
      <c r="C653" s="138">
        <v>628</v>
      </c>
      <c r="D653" s="128" t="s">
        <v>1354</v>
      </c>
      <c r="E653" s="130">
        <v>46167</v>
      </c>
      <c r="F653" s="128" t="s">
        <v>1144</v>
      </c>
      <c r="G653" s="128" t="s">
        <v>1145</v>
      </c>
      <c r="H653" s="128" t="s">
        <v>100</v>
      </c>
      <c r="I653" s="136"/>
      <c r="J653" s="128" t="s">
        <v>1146</v>
      </c>
      <c r="K653" s="163">
        <v>0</v>
      </c>
      <c r="L653" s="130">
        <v>46161</v>
      </c>
      <c r="M653" s="136"/>
      <c r="N653" s="128" t="s">
        <v>1403</v>
      </c>
      <c r="O653" s="130">
        <v>46167</v>
      </c>
      <c r="P653" s="128">
        <v>0</v>
      </c>
      <c r="Q653" s="128">
        <v>150</v>
      </c>
      <c r="R653" s="128">
        <v>0</v>
      </c>
      <c r="S653" s="128">
        <v>150</v>
      </c>
      <c r="T653" s="128">
        <v>150</v>
      </c>
      <c r="U653" s="163">
        <v>0</v>
      </c>
      <c r="V653" s="136"/>
      <c r="W653" s="169">
        <v>86.7</v>
      </c>
      <c r="X653" s="169">
        <v>86.7</v>
      </c>
      <c r="Y653" s="169">
        <v>680681.7</v>
      </c>
      <c r="Z653" s="169">
        <v>40.81</v>
      </c>
      <c r="AA653" s="169">
        <v>17017.04</v>
      </c>
      <c r="AB653" s="169">
        <v>17017.04</v>
      </c>
      <c r="AC653" s="169">
        <v>714715.79</v>
      </c>
      <c r="AD653" s="197">
        <f t="shared" si="433"/>
        <v>714001.07420999999</v>
      </c>
      <c r="AE653" s="147">
        <v>40.81</v>
      </c>
      <c r="AF653" s="169">
        <v>42</v>
      </c>
      <c r="AG653" s="147">
        <v>40.81</v>
      </c>
      <c r="AH653" s="170">
        <v>4.4000000000000003E-3</v>
      </c>
      <c r="AI653" s="170">
        <v>0.04</v>
      </c>
      <c r="AJ653" s="170">
        <v>5.5E-2</v>
      </c>
      <c r="AK653" s="155">
        <f t="shared" si="413"/>
        <v>19285.981499999962</v>
      </c>
      <c r="AL653" s="157">
        <v>0</v>
      </c>
      <c r="AM653" s="157"/>
      <c r="AN653" s="199">
        <v>0</v>
      </c>
      <c r="AO653" s="156">
        <f t="shared" si="462"/>
        <v>0</v>
      </c>
      <c r="AP653" s="157"/>
      <c r="AQ653" s="155">
        <v>0</v>
      </c>
      <c r="AR653" s="155">
        <f t="shared" si="463"/>
        <v>19285.981499999962</v>
      </c>
      <c r="AS653" s="155">
        <f t="shared" si="464"/>
        <v>20250</v>
      </c>
      <c r="AT653" s="155">
        <v>0</v>
      </c>
      <c r="AU653" s="157"/>
      <c r="AV653" s="157"/>
      <c r="AW653" s="155">
        <f t="shared" si="448"/>
        <v>8670</v>
      </c>
      <c r="AX653" s="157"/>
      <c r="AY653" s="155">
        <f t="shared" si="449"/>
        <v>8670</v>
      </c>
      <c r="AZ653" s="155">
        <f t="shared" si="450"/>
        <v>8670</v>
      </c>
      <c r="BA653" s="242">
        <f t="shared" si="451"/>
        <v>0</v>
      </c>
      <c r="BB653" s="246">
        <f t="shared" si="452"/>
        <v>17.34</v>
      </c>
      <c r="BC653" s="155">
        <v>0</v>
      </c>
      <c r="BD653" s="157"/>
      <c r="BE653" s="169">
        <v>86.7</v>
      </c>
      <c r="BF653" s="197">
        <f t="shared" si="453"/>
        <v>0.13005</v>
      </c>
      <c r="BG653" s="197">
        <f t="shared" si="454"/>
        <v>86.569950000000006</v>
      </c>
      <c r="BH653" s="197">
        <f t="shared" si="455"/>
        <v>86.7</v>
      </c>
      <c r="BI653" s="243">
        <f t="shared" si="456"/>
        <v>0</v>
      </c>
      <c r="BJ653" s="243">
        <v>0</v>
      </c>
      <c r="BK653" s="155">
        <f t="shared" si="457"/>
        <v>0</v>
      </c>
      <c r="BL653" s="47"/>
      <c r="BM653" s="48" t="str">
        <f t="shared" si="458"/>
        <v>Unloading no. 628 Bill No 2026-27/105 ,Deduction For Oil Deduction= 19285.9815 ,Bardana= 0 ,F.M=  Brokerage/Rate Difference 0 ,Shortage = 0 ,Greenish=  ,Moisture= 0</v>
      </c>
      <c r="BN653" s="41"/>
      <c r="BO653" s="44" t="str">
        <f t="shared" si="459"/>
        <v xml:space="preserve"> Party Condition 42  ,F.M% 0.44 ,Greenish 4 ,Moisture 5.5 ,Shortage in KG= 0  ,Oil% 40.81</v>
      </c>
      <c r="BP653" s="45">
        <f t="shared" si="460"/>
        <v>7628.5549999999994</v>
      </c>
      <c r="BQ653" s="41"/>
      <c r="BR653" s="41"/>
      <c r="BS653" s="41"/>
      <c r="BT653" s="41"/>
      <c r="BU653" s="41"/>
      <c r="BV653" s="41"/>
      <c r="BW653" s="85"/>
      <c r="BX653" s="27">
        <v>40.75</v>
      </c>
      <c r="BY653" s="27">
        <v>40.44</v>
      </c>
    </row>
    <row r="654" spans="1:77" ht="14.1" hidden="1" customHeight="1" x14ac:dyDescent="0.3">
      <c r="A654" s="128" t="s">
        <v>1253</v>
      </c>
      <c r="B654" s="130">
        <v>46161</v>
      </c>
      <c r="C654" s="138">
        <v>629</v>
      </c>
      <c r="D654" s="128" t="s">
        <v>1355</v>
      </c>
      <c r="E654" s="130">
        <v>46167</v>
      </c>
      <c r="F654" s="128" t="s">
        <v>1144</v>
      </c>
      <c r="G654" s="128" t="s">
        <v>1145</v>
      </c>
      <c r="H654" s="128" t="s">
        <v>100</v>
      </c>
      <c r="I654" s="136"/>
      <c r="J654" s="128" t="s">
        <v>1146</v>
      </c>
      <c r="K654" s="163">
        <v>0</v>
      </c>
      <c r="L654" s="130">
        <v>46161</v>
      </c>
      <c r="M654" s="136"/>
      <c r="N654" s="128" t="s">
        <v>1404</v>
      </c>
      <c r="O654" s="130">
        <v>46167</v>
      </c>
      <c r="P654" s="128">
        <v>0</v>
      </c>
      <c r="Q654" s="128">
        <v>150</v>
      </c>
      <c r="R654" s="128">
        <v>0</v>
      </c>
      <c r="S654" s="128">
        <v>150</v>
      </c>
      <c r="T654" s="128">
        <v>150</v>
      </c>
      <c r="U654" s="163">
        <v>0</v>
      </c>
      <c r="V654" s="136"/>
      <c r="W654" s="169">
        <v>86</v>
      </c>
      <c r="X654" s="169">
        <v>85.8</v>
      </c>
      <c r="Y654" s="169">
        <v>675186</v>
      </c>
      <c r="Z654" s="169">
        <v>40.9</v>
      </c>
      <c r="AA654" s="169">
        <v>16879.650000000001</v>
      </c>
      <c r="AB654" s="169">
        <v>16879.650000000001</v>
      </c>
      <c r="AC654" s="169">
        <v>708945.3</v>
      </c>
      <c r="AD654" s="197">
        <f t="shared" si="433"/>
        <v>708236.35470000003</v>
      </c>
      <c r="AE654" s="147">
        <v>40.9</v>
      </c>
      <c r="AF654" s="169">
        <v>42</v>
      </c>
      <c r="AG654" s="147">
        <v>40.9</v>
      </c>
      <c r="AH654" s="170">
        <v>4.0000000000000001E-3</v>
      </c>
      <c r="AI654" s="170">
        <v>3.7999999999999999E-2</v>
      </c>
      <c r="AJ654" s="170">
        <v>5.0999999999999997E-2</v>
      </c>
      <c r="AK654" s="155">
        <f t="shared" si="413"/>
        <v>17683.44285714288</v>
      </c>
      <c r="AL654" s="157">
        <v>0</v>
      </c>
      <c r="AM654" s="157"/>
      <c r="AN654" s="199">
        <v>0</v>
      </c>
      <c r="AO654" s="156">
        <f t="shared" si="462"/>
        <v>219.82800000000006</v>
      </c>
      <c r="AP654" s="157"/>
      <c r="AQ654" s="155">
        <v>0</v>
      </c>
      <c r="AR654" s="155">
        <f t="shared" si="463"/>
        <v>17903.270857142881</v>
      </c>
      <c r="AS654" s="155">
        <f t="shared" si="464"/>
        <v>18798</v>
      </c>
      <c r="AT654" s="155">
        <f t="shared" si="461"/>
        <v>2.8000000000000007</v>
      </c>
      <c r="AU654" s="157"/>
      <c r="AV654" s="157"/>
      <c r="AW654" s="155">
        <f t="shared" si="448"/>
        <v>8600</v>
      </c>
      <c r="AX654" s="157"/>
      <c r="AY654" s="155">
        <f t="shared" si="449"/>
        <v>8600</v>
      </c>
      <c r="AZ654" s="155">
        <f t="shared" si="450"/>
        <v>8580</v>
      </c>
      <c r="BA654" s="242">
        <f t="shared" si="451"/>
        <v>20</v>
      </c>
      <c r="BB654" s="246">
        <f t="shared" si="452"/>
        <v>17.2</v>
      </c>
      <c r="BC654" s="155">
        <v>0</v>
      </c>
      <c r="BD654" s="157"/>
      <c r="BE654" s="169">
        <v>86</v>
      </c>
      <c r="BF654" s="197">
        <f t="shared" si="453"/>
        <v>0.129</v>
      </c>
      <c r="BG654" s="197">
        <f t="shared" si="454"/>
        <v>85.870999999999995</v>
      </c>
      <c r="BH654" s="197">
        <f t="shared" si="455"/>
        <v>85.8</v>
      </c>
      <c r="BI654" s="243">
        <f t="shared" si="456"/>
        <v>20.000000000000284</v>
      </c>
      <c r="BJ654" s="243">
        <v>0</v>
      </c>
      <c r="BK654" s="155">
        <f t="shared" si="457"/>
        <v>20.000000000000284</v>
      </c>
      <c r="BL654" s="47"/>
      <c r="BM654" s="48" t="str">
        <f t="shared" si="458"/>
        <v>Unloading no. 629 Bill No 2026-27/104 ,Deduction For Oil Deduction= 17683.4428571429 ,Bardana= 0 ,F.M=  Brokerage/Rate Difference 0 ,Shortage = 219.828 ,Greenish=  ,Moisture= 0</v>
      </c>
      <c r="BN654" s="41"/>
      <c r="BO654" s="44" t="str">
        <f t="shared" si="459"/>
        <v xml:space="preserve"> Party Condition 42  ,F.M% 0.4 ,Greenish 3.8 ,Moisture 5.1 ,Shortage in KG= 2.8  ,Oil% 40.9</v>
      </c>
      <c r="BP654" s="45">
        <f t="shared" si="460"/>
        <v>7660.6378687978686</v>
      </c>
      <c r="BQ654" s="41"/>
      <c r="BR654" s="41"/>
      <c r="BS654" s="41"/>
      <c r="BT654" s="41"/>
      <c r="BU654" s="41"/>
      <c r="BV654" s="41"/>
      <c r="BW654" s="85"/>
      <c r="BX654" s="27">
        <v>40.9</v>
      </c>
      <c r="BY654" s="27">
        <v>40.619999999999997</v>
      </c>
    </row>
    <row r="655" spans="1:77" ht="14.1" hidden="1" customHeight="1" x14ac:dyDescent="0.3">
      <c r="A655" s="128" t="s">
        <v>1336</v>
      </c>
      <c r="B655" s="129">
        <v>46167</v>
      </c>
      <c r="C655" s="138">
        <v>630</v>
      </c>
      <c r="D655" s="128" t="s">
        <v>1356</v>
      </c>
      <c r="E655" s="130">
        <v>46168</v>
      </c>
      <c r="F655" s="128" t="s">
        <v>1382</v>
      </c>
      <c r="G655" s="128" t="s">
        <v>1383</v>
      </c>
      <c r="H655" s="128" t="s">
        <v>1384</v>
      </c>
      <c r="I655" s="136"/>
      <c r="J655" s="128" t="s">
        <v>1387</v>
      </c>
      <c r="K655" s="163">
        <v>0</v>
      </c>
      <c r="L655" s="129">
        <v>46167</v>
      </c>
      <c r="M655" s="136"/>
      <c r="N655" s="128">
        <v>7</v>
      </c>
      <c r="O655" s="130">
        <v>46168</v>
      </c>
      <c r="P655" s="128">
        <v>0</v>
      </c>
      <c r="Q655" s="128">
        <v>300</v>
      </c>
      <c r="R655" s="128">
        <v>200</v>
      </c>
      <c r="S655" s="128">
        <v>500</v>
      </c>
      <c r="T655" s="128">
        <v>500</v>
      </c>
      <c r="U655" s="163">
        <v>0</v>
      </c>
      <c r="V655" s="136"/>
      <c r="W655" s="169">
        <v>300.5</v>
      </c>
      <c r="X655" s="169">
        <v>300.39999999999998</v>
      </c>
      <c r="Y655" s="169">
        <v>2313850</v>
      </c>
      <c r="Z655" s="169"/>
      <c r="AA655" s="169">
        <v>57846.25</v>
      </c>
      <c r="AB655" s="169">
        <v>57846.25</v>
      </c>
      <c r="AC655" s="169">
        <v>2429542.5</v>
      </c>
      <c r="AD655" s="197">
        <f t="shared" si="433"/>
        <v>2427112.9575</v>
      </c>
      <c r="AE655" s="147">
        <v>39.799999999999997</v>
      </c>
      <c r="AF655" s="169">
        <v>42</v>
      </c>
      <c r="AG655" s="147">
        <v>39.770000000000003</v>
      </c>
      <c r="AH655" s="170">
        <v>3.8E-3</v>
      </c>
      <c r="AI655" s="170">
        <v>3.78E-2</v>
      </c>
      <c r="AJ655" s="170">
        <v>4.7E-2</v>
      </c>
      <c r="AK655" s="155">
        <f t="shared" si="413"/>
        <v>122854.4166666665</v>
      </c>
      <c r="AL655" s="157">
        <f>300*10+200*15</f>
        <v>6000</v>
      </c>
      <c r="AM655" s="157">
        <f>AH655*Y655</f>
        <v>8792.6299999999992</v>
      </c>
      <c r="AN655" s="199">
        <v>0</v>
      </c>
      <c r="AO655" s="156">
        <f t="shared" si="462"/>
        <v>770</v>
      </c>
      <c r="AP655" s="157"/>
      <c r="AQ655" s="155">
        <v>0</v>
      </c>
      <c r="AR655" s="155">
        <f t="shared" si="463"/>
        <v>138417.04666666649</v>
      </c>
      <c r="AS655" s="155">
        <f t="shared" si="464"/>
        <v>145338</v>
      </c>
      <c r="AT655" s="155">
        <v>10</v>
      </c>
      <c r="AU655" s="199"/>
      <c r="AV655" s="157"/>
      <c r="AW655" s="155">
        <f t="shared" si="448"/>
        <v>30050</v>
      </c>
      <c r="AX655" s="157"/>
      <c r="AY655" s="155">
        <f t="shared" si="449"/>
        <v>30050</v>
      </c>
      <c r="AZ655" s="155">
        <f t="shared" si="450"/>
        <v>30039.999999999996</v>
      </c>
      <c r="BA655" s="242">
        <f t="shared" si="451"/>
        <v>10.000000000003638</v>
      </c>
      <c r="BB655" s="246">
        <f t="shared" si="452"/>
        <v>60.1</v>
      </c>
      <c r="BC655" s="155">
        <v>0</v>
      </c>
      <c r="BD655" s="157"/>
      <c r="BE655" s="128">
        <v>300.5</v>
      </c>
      <c r="BF655" s="197">
        <f t="shared" si="453"/>
        <v>0.45074999999999998</v>
      </c>
      <c r="BG655" s="197">
        <f t="shared" si="454"/>
        <v>300.04924999999997</v>
      </c>
      <c r="BH655" s="197">
        <f t="shared" si="455"/>
        <v>300.39999999999998</v>
      </c>
      <c r="BI655" s="243">
        <f t="shared" si="456"/>
        <v>10.000000000002274</v>
      </c>
      <c r="BJ655" s="243">
        <v>0</v>
      </c>
      <c r="BK655" s="155">
        <f t="shared" si="457"/>
        <v>10.000000000002274</v>
      </c>
      <c r="BL655" s="47"/>
      <c r="BM655" s="48" t="str">
        <f t="shared" si="458"/>
        <v>Unloading no. 630 Bill No 7 ,Deduction For Oil Deduction= 122854.416666666 ,Bardana= 6000 ,F.M= 8792.63 Brokerage/Rate Difference 0 ,Shortage = 770 ,Greenish=  ,Moisture= 0</v>
      </c>
      <c r="BN655" s="41"/>
      <c r="BO655" s="44" t="str">
        <f t="shared" si="459"/>
        <v xml:space="preserve"> Party Condition 42  ,F.M% 0.38 ,Greenish 3.78 ,Moisture 4.7 ,Shortage in KG= 10  ,Oil% 39.77</v>
      </c>
      <c r="BP655" s="45">
        <f t="shared" si="460"/>
        <v>7241.7874611628949</v>
      </c>
      <c r="BQ655" s="41"/>
      <c r="BR655" s="41"/>
      <c r="BS655" s="41"/>
      <c r="BT655" s="41"/>
      <c r="BU655" s="41"/>
      <c r="BV655" s="41"/>
      <c r="BW655" s="85"/>
      <c r="BX655" s="27">
        <v>39.799999999999997</v>
      </c>
      <c r="BY655" s="27">
        <v>39.770000000000003</v>
      </c>
    </row>
    <row r="656" spans="1:77" ht="14.1" hidden="1" customHeight="1" x14ac:dyDescent="0.3">
      <c r="A656" s="128" t="s">
        <v>1253</v>
      </c>
      <c r="B656" s="130">
        <v>46161</v>
      </c>
      <c r="C656" s="138">
        <v>631</v>
      </c>
      <c r="D656" s="128" t="s">
        <v>1357</v>
      </c>
      <c r="E656" s="130">
        <v>46168</v>
      </c>
      <c r="F656" s="128" t="s">
        <v>1144</v>
      </c>
      <c r="G656" s="128" t="s">
        <v>1145</v>
      </c>
      <c r="H656" s="128" t="s">
        <v>100</v>
      </c>
      <c r="I656" s="136"/>
      <c r="J656" s="128" t="s">
        <v>1146</v>
      </c>
      <c r="K656" s="163">
        <v>0</v>
      </c>
      <c r="L656" s="130">
        <v>46892</v>
      </c>
      <c r="M656" s="136"/>
      <c r="N656" s="128" t="s">
        <v>1405</v>
      </c>
      <c r="O656" s="130">
        <v>46168</v>
      </c>
      <c r="P656" s="128">
        <v>0</v>
      </c>
      <c r="Q656" s="128">
        <v>120</v>
      </c>
      <c r="R656" s="128">
        <v>30</v>
      </c>
      <c r="S656" s="128">
        <v>150</v>
      </c>
      <c r="T656" s="128">
        <v>150</v>
      </c>
      <c r="U656" s="163">
        <v>0</v>
      </c>
      <c r="V656" s="136"/>
      <c r="W656" s="169">
        <v>88.6</v>
      </c>
      <c r="X656" s="169">
        <v>88.5</v>
      </c>
      <c r="Y656" s="169">
        <v>695598.6</v>
      </c>
      <c r="Z656" s="235">
        <v>39.82</v>
      </c>
      <c r="AA656" s="169">
        <v>17389.97</v>
      </c>
      <c r="AB656" s="169">
        <v>17389.97</v>
      </c>
      <c r="AC656" s="169">
        <v>730378.53</v>
      </c>
      <c r="AD656" s="197">
        <f t="shared" si="433"/>
        <v>729648.15147000004</v>
      </c>
      <c r="AE656" s="236">
        <v>39.82</v>
      </c>
      <c r="AF656" s="147">
        <v>42</v>
      </c>
      <c r="AG656" s="236">
        <v>39.82</v>
      </c>
      <c r="AH656" s="170">
        <v>3.8999999999999998E-3</v>
      </c>
      <c r="AI656" s="170">
        <v>3.9E-2</v>
      </c>
      <c r="AJ656" s="170">
        <v>4.7E-2</v>
      </c>
      <c r="AK656" s="155">
        <f t="shared" si="413"/>
        <v>36104.879714285707</v>
      </c>
      <c r="AL656" s="157">
        <v>0</v>
      </c>
      <c r="AM656" s="157"/>
      <c r="AN656" s="199">
        <v>0</v>
      </c>
      <c r="AO656" s="156">
        <f t="shared" si="462"/>
        <v>0</v>
      </c>
      <c r="AP656" s="157"/>
      <c r="AQ656" s="155">
        <v>0</v>
      </c>
      <c r="AR656" s="155">
        <f t="shared" si="463"/>
        <v>36104.879714285707</v>
      </c>
      <c r="AS656" s="155">
        <f t="shared" si="464"/>
        <v>37910</v>
      </c>
      <c r="AT656" s="155">
        <v>0</v>
      </c>
      <c r="AU656" s="199"/>
      <c r="AV656" s="157"/>
      <c r="AW656" s="155">
        <f t="shared" si="448"/>
        <v>8860</v>
      </c>
      <c r="AX656" s="157"/>
      <c r="AY656" s="155">
        <f t="shared" si="449"/>
        <v>8860</v>
      </c>
      <c r="AZ656" s="155">
        <f t="shared" si="450"/>
        <v>8850</v>
      </c>
      <c r="BA656" s="242">
        <f t="shared" si="451"/>
        <v>10</v>
      </c>
      <c r="BB656" s="246">
        <f t="shared" si="452"/>
        <v>17.72</v>
      </c>
      <c r="BC656" s="155">
        <v>0</v>
      </c>
      <c r="BD656" s="157"/>
      <c r="BE656" s="128">
        <v>88.6</v>
      </c>
      <c r="BF656" s="197">
        <f t="shared" si="453"/>
        <v>0.13289999999999999</v>
      </c>
      <c r="BG656" s="197">
        <f t="shared" si="454"/>
        <v>88.467099999999988</v>
      </c>
      <c r="BH656" s="197">
        <f t="shared" si="455"/>
        <v>88.5</v>
      </c>
      <c r="BI656" s="243">
        <f t="shared" si="456"/>
        <v>9.9999999999994316</v>
      </c>
      <c r="BJ656" s="243">
        <v>0</v>
      </c>
      <c r="BK656" s="155">
        <f t="shared" si="457"/>
        <v>9.9999999999994316</v>
      </c>
      <c r="BL656" s="47"/>
      <c r="BM656" s="48" t="str">
        <f t="shared" si="458"/>
        <v>Unloading no. 631 Bill No 2026-27/106 ,Deduction For Oil Deduction= 36104.8797142857 ,Bardana= 0 ,F.M=  Brokerage/Rate Difference 0 ,Shortage = 0 ,Greenish=  ,Moisture= 0</v>
      </c>
      <c r="BN656" s="41"/>
      <c r="BO656" s="44" t="str">
        <f t="shared" si="459"/>
        <v xml:space="preserve"> Party Condition 42  ,F.M% 0.39 ,Greenish 3.9 ,Moisture 4.7 ,Shortage in KG= 0  ,Oil% 39.82</v>
      </c>
      <c r="BP656" s="45">
        <f t="shared" si="460"/>
        <v>7451.9064439063759</v>
      </c>
      <c r="BQ656" s="41"/>
      <c r="BR656" s="41"/>
      <c r="BS656" s="41"/>
      <c r="BT656" s="41"/>
      <c r="BU656" s="41"/>
      <c r="BV656" s="41"/>
      <c r="BW656" s="85"/>
      <c r="BX656" s="27">
        <v>39.85</v>
      </c>
      <c r="BY656" s="27">
        <v>39.69</v>
      </c>
    </row>
    <row r="657" spans="1:77" ht="14.1" hidden="1" customHeight="1" x14ac:dyDescent="0.3">
      <c r="A657" s="128" t="s">
        <v>1253</v>
      </c>
      <c r="B657" s="130">
        <v>46161</v>
      </c>
      <c r="C657" s="138">
        <v>632</v>
      </c>
      <c r="D657" s="128" t="s">
        <v>1358</v>
      </c>
      <c r="E657" s="130">
        <v>46168</v>
      </c>
      <c r="F657" s="128" t="s">
        <v>1144</v>
      </c>
      <c r="G657" s="128" t="s">
        <v>1145</v>
      </c>
      <c r="H657" s="128" t="s">
        <v>100</v>
      </c>
      <c r="I657" s="136"/>
      <c r="J657" s="128" t="s">
        <v>1146</v>
      </c>
      <c r="K657" s="163">
        <v>0</v>
      </c>
      <c r="L657" s="130">
        <v>47257</v>
      </c>
      <c r="M657" s="136"/>
      <c r="N657" s="128" t="s">
        <v>1406</v>
      </c>
      <c r="O657" s="130">
        <v>46168</v>
      </c>
      <c r="P657" s="128">
        <v>0</v>
      </c>
      <c r="Q657" s="128">
        <v>100</v>
      </c>
      <c r="R657" s="128">
        <v>50</v>
      </c>
      <c r="S657" s="128">
        <v>150</v>
      </c>
      <c r="T657" s="128">
        <v>150</v>
      </c>
      <c r="U657" s="163">
        <v>0</v>
      </c>
      <c r="V657" s="136"/>
      <c r="W657" s="169">
        <v>90.3</v>
      </c>
      <c r="X657" s="169">
        <v>90.2</v>
      </c>
      <c r="Y657" s="169">
        <v>708945.3</v>
      </c>
      <c r="Z657" s="235">
        <v>39.630000000000003</v>
      </c>
      <c r="AA657" s="169">
        <v>17723.63</v>
      </c>
      <c r="AB657" s="169">
        <v>17723.63</v>
      </c>
      <c r="AC657" s="169">
        <v>744392.57</v>
      </c>
      <c r="AD657" s="197">
        <f t="shared" si="433"/>
        <v>743648.17742999992</v>
      </c>
      <c r="AE657" s="236">
        <v>39.630000000000003</v>
      </c>
      <c r="AF657" s="147">
        <v>42</v>
      </c>
      <c r="AG657" s="236">
        <v>39.630000000000003</v>
      </c>
      <c r="AH657" s="170">
        <v>3.5999999999999999E-3</v>
      </c>
      <c r="AI657" s="170">
        <v>3.8100000000000002E-2</v>
      </c>
      <c r="AJ657" s="170">
        <v>4.9000000000000002E-2</v>
      </c>
      <c r="AK657" s="155">
        <f t="shared" si="413"/>
        <v>40004.770499999962</v>
      </c>
      <c r="AL657" s="157">
        <v>0</v>
      </c>
      <c r="AM657" s="157"/>
      <c r="AN657" s="199">
        <v>0</v>
      </c>
      <c r="AO657" s="156">
        <f t="shared" si="462"/>
        <v>0</v>
      </c>
      <c r="AP657" s="157"/>
      <c r="AQ657" s="155">
        <v>0</v>
      </c>
      <c r="AR657" s="155">
        <f t="shared" si="463"/>
        <v>40004.770499999962</v>
      </c>
      <c r="AS657" s="155">
        <f t="shared" si="464"/>
        <v>42005</v>
      </c>
      <c r="AT657" s="155">
        <v>0</v>
      </c>
      <c r="AU657" s="199"/>
      <c r="AV657" s="157"/>
      <c r="AW657" s="155">
        <f t="shared" si="448"/>
        <v>9030</v>
      </c>
      <c r="AX657" s="157"/>
      <c r="AY657" s="155">
        <f t="shared" si="449"/>
        <v>9030</v>
      </c>
      <c r="AZ657" s="155">
        <f t="shared" si="450"/>
        <v>9020</v>
      </c>
      <c r="BA657" s="242">
        <f t="shared" si="451"/>
        <v>10</v>
      </c>
      <c r="BB657" s="246">
        <f t="shared" si="452"/>
        <v>18.059999999999999</v>
      </c>
      <c r="BC657" s="155">
        <v>0</v>
      </c>
      <c r="BD657" s="157"/>
      <c r="BE657" s="128">
        <v>90.3</v>
      </c>
      <c r="BF657" s="197">
        <f t="shared" si="453"/>
        <v>0.13544999999999999</v>
      </c>
      <c r="BG657" s="197">
        <f t="shared" si="454"/>
        <v>90.164549999999991</v>
      </c>
      <c r="BH657" s="197">
        <f t="shared" si="455"/>
        <v>90.2</v>
      </c>
      <c r="BI657" s="243">
        <f t="shared" si="456"/>
        <v>9.9999999999994316</v>
      </c>
      <c r="BJ657" s="243">
        <v>0</v>
      </c>
      <c r="BK657" s="155">
        <f t="shared" si="457"/>
        <v>9.9999999999994316</v>
      </c>
      <c r="BL657" s="47"/>
      <c r="BM657" s="48" t="str">
        <f t="shared" si="458"/>
        <v>Unloading no. 632 Bill No 2026-27/107 ,Deduction For Oil Deduction= 40004.7705 ,Bardana= 0 ,F.M=  Brokerage/Rate Difference 0 ,Shortage = 0 ,Greenish=  ,Moisture= 0</v>
      </c>
      <c r="BN657" s="41"/>
      <c r="BO657" s="44" t="str">
        <f t="shared" si="459"/>
        <v xml:space="preserve"> Party Condition 42  ,F.M% 0.36 ,Greenish 3.81 ,Moisture 4.9 ,Shortage in KG= 0  ,Oil% 39.63</v>
      </c>
      <c r="BP657" s="45">
        <f t="shared" si="460"/>
        <v>7416.1921230598673</v>
      </c>
      <c r="BQ657" s="41"/>
      <c r="BR657" s="41"/>
      <c r="BS657" s="41"/>
      <c r="BT657" s="41"/>
      <c r="BU657" s="41"/>
      <c r="BV657" s="41"/>
      <c r="BW657" s="85"/>
      <c r="BX657" s="27">
        <v>39.58</v>
      </c>
      <c r="BY657" s="27">
        <v>39.5</v>
      </c>
    </row>
    <row r="658" spans="1:77" ht="14.1" hidden="1" customHeight="1" x14ac:dyDescent="0.3">
      <c r="A658" s="128" t="s">
        <v>1337</v>
      </c>
      <c r="B658" s="130">
        <v>46161</v>
      </c>
      <c r="C658" s="138">
        <v>633</v>
      </c>
      <c r="D658" s="128" t="s">
        <v>1359</v>
      </c>
      <c r="E658" s="130">
        <v>46168</v>
      </c>
      <c r="F658" s="128" t="s">
        <v>1144</v>
      </c>
      <c r="G658" s="128" t="s">
        <v>1145</v>
      </c>
      <c r="H658" s="128" t="s">
        <v>100</v>
      </c>
      <c r="I658" s="136"/>
      <c r="J658" s="128" t="s">
        <v>1146</v>
      </c>
      <c r="K658" s="163">
        <v>0</v>
      </c>
      <c r="L658" s="130">
        <v>47622</v>
      </c>
      <c r="M658" s="136"/>
      <c r="N658" s="128" t="s">
        <v>1407</v>
      </c>
      <c r="O658" s="130">
        <v>46168</v>
      </c>
      <c r="P658" s="128">
        <v>0</v>
      </c>
      <c r="Q658" s="128">
        <v>100</v>
      </c>
      <c r="R658" s="128">
        <v>50</v>
      </c>
      <c r="S658" s="128">
        <v>150</v>
      </c>
      <c r="T658" s="128">
        <v>150</v>
      </c>
      <c r="U658" s="163">
        <v>0</v>
      </c>
      <c r="V658" s="136"/>
      <c r="W658" s="169">
        <v>88</v>
      </c>
      <c r="X658" s="169">
        <v>87.9</v>
      </c>
      <c r="Y658" s="169">
        <v>688248</v>
      </c>
      <c r="Z658" s="262">
        <v>40.04</v>
      </c>
      <c r="AA658" s="169">
        <v>17206.2</v>
      </c>
      <c r="AB658" s="169">
        <v>17206.2</v>
      </c>
      <c r="AC658" s="169">
        <v>722660.4</v>
      </c>
      <c r="AD658" s="197">
        <f t="shared" si="433"/>
        <v>721937.73959999997</v>
      </c>
      <c r="AE658" s="276">
        <v>40.04</v>
      </c>
      <c r="AF658" s="147">
        <v>42</v>
      </c>
      <c r="AG658" s="276">
        <v>40.04</v>
      </c>
      <c r="AH658" s="170">
        <v>3.5000000000000001E-3</v>
      </c>
      <c r="AI658" s="170">
        <v>0.04</v>
      </c>
      <c r="AJ658" s="170">
        <v>4.8000000000000001E-2</v>
      </c>
      <c r="AK658" s="155">
        <f t="shared" si="413"/>
        <v>32118.240000000016</v>
      </c>
      <c r="AL658" s="157">
        <v>0</v>
      </c>
      <c r="AM658" s="157"/>
      <c r="AN658" s="199">
        <v>0</v>
      </c>
      <c r="AO658" s="156">
        <f t="shared" si="462"/>
        <v>0</v>
      </c>
      <c r="AP658" s="157"/>
      <c r="AQ658" s="155">
        <v>0</v>
      </c>
      <c r="AR658" s="155">
        <f t="shared" si="463"/>
        <v>32118.240000000016</v>
      </c>
      <c r="AS658" s="155">
        <f t="shared" si="464"/>
        <v>33724</v>
      </c>
      <c r="AT658" s="155">
        <v>0</v>
      </c>
      <c r="AU658" s="199"/>
      <c r="AV658" s="157"/>
      <c r="AW658" s="155">
        <f t="shared" si="448"/>
        <v>8800</v>
      </c>
      <c r="AX658" s="157"/>
      <c r="AY658" s="155">
        <f t="shared" si="449"/>
        <v>8800</v>
      </c>
      <c r="AZ658" s="155">
        <f t="shared" si="450"/>
        <v>8790</v>
      </c>
      <c r="BA658" s="242">
        <f t="shared" si="451"/>
        <v>10</v>
      </c>
      <c r="BB658" s="246">
        <f t="shared" si="452"/>
        <v>17.600000000000001</v>
      </c>
      <c r="BC658" s="155">
        <v>0</v>
      </c>
      <c r="BD658" s="157"/>
      <c r="BE658" s="128">
        <v>88</v>
      </c>
      <c r="BF658" s="197">
        <f t="shared" si="453"/>
        <v>0.13200000000000001</v>
      </c>
      <c r="BG658" s="197">
        <f t="shared" si="454"/>
        <v>87.867999999999995</v>
      </c>
      <c r="BH658" s="197">
        <f t="shared" si="455"/>
        <v>87.9</v>
      </c>
      <c r="BI658" s="243">
        <f t="shared" si="456"/>
        <v>9.9999999999994316</v>
      </c>
      <c r="BJ658" s="243">
        <v>0</v>
      </c>
      <c r="BK658" s="155">
        <f t="shared" si="457"/>
        <v>9.9999999999994316</v>
      </c>
      <c r="BL658" s="47"/>
      <c r="BM658" s="48" t="str">
        <f t="shared" si="458"/>
        <v>Unloading no. 633 Bill No 2026-27/109 ,Deduction For Oil Deduction= 32118.24 ,Bardana= 0 ,F.M=  Brokerage/Rate Difference 0 ,Shortage = 0 ,Greenish=  ,Moisture= 0</v>
      </c>
      <c r="BN658" s="41"/>
      <c r="BO658" s="44" t="str">
        <f t="shared" si="459"/>
        <v xml:space="preserve"> Party Condition 42  ,F.M% 0.35 ,Greenish 4 ,Moisture 4.8 ,Shortage in KG= 0  ,Oil% 40.04</v>
      </c>
      <c r="BP658" s="45">
        <f t="shared" si="460"/>
        <v>7464.5023890784978</v>
      </c>
      <c r="BQ658" s="41"/>
      <c r="BR658" s="41"/>
      <c r="BS658" s="41"/>
      <c r="BT658" s="41"/>
      <c r="BU658" s="41"/>
      <c r="BV658" s="41"/>
      <c r="BW658" s="85"/>
      <c r="BX658" s="27">
        <v>40.200000000000003</v>
      </c>
      <c r="BY658" s="27">
        <v>40.22</v>
      </c>
    </row>
    <row r="659" spans="1:77" ht="14.1" hidden="1" customHeight="1" x14ac:dyDescent="0.3">
      <c r="A659" s="128" t="s">
        <v>1337</v>
      </c>
      <c r="B659" s="130">
        <v>46161</v>
      </c>
      <c r="C659" s="138">
        <v>634</v>
      </c>
      <c r="D659" s="128" t="s">
        <v>1360</v>
      </c>
      <c r="E659" s="130">
        <v>46168</v>
      </c>
      <c r="F659" s="128" t="s">
        <v>1144</v>
      </c>
      <c r="G659" s="128" t="s">
        <v>1145</v>
      </c>
      <c r="H659" s="128" t="s">
        <v>100</v>
      </c>
      <c r="I659" s="136"/>
      <c r="J659" s="128" t="s">
        <v>1146</v>
      </c>
      <c r="K659" s="163">
        <v>0</v>
      </c>
      <c r="L659" s="130">
        <v>47987</v>
      </c>
      <c r="M659" s="136"/>
      <c r="N659" s="128" t="s">
        <v>1408</v>
      </c>
      <c r="O659" s="130">
        <v>46168</v>
      </c>
      <c r="P659" s="128">
        <v>0</v>
      </c>
      <c r="Q659" s="128">
        <v>110</v>
      </c>
      <c r="R659" s="128">
        <v>40</v>
      </c>
      <c r="S659" s="128">
        <v>150</v>
      </c>
      <c r="T659" s="128">
        <v>150</v>
      </c>
      <c r="U659" s="163">
        <v>0</v>
      </c>
      <c r="V659" s="136"/>
      <c r="W659" s="169">
        <v>89</v>
      </c>
      <c r="X659" s="169">
        <v>88.9</v>
      </c>
      <c r="Y659" s="169">
        <v>696069</v>
      </c>
      <c r="Z659" s="262">
        <v>39.880000000000003</v>
      </c>
      <c r="AA659" s="169">
        <v>17401.73</v>
      </c>
      <c r="AB659" s="169">
        <v>17401.73</v>
      </c>
      <c r="AC659" s="169">
        <v>730872.45</v>
      </c>
      <c r="AD659" s="197">
        <f t="shared" si="433"/>
        <v>730141.57754999993</v>
      </c>
      <c r="AE659" s="276">
        <v>39.880000000000003</v>
      </c>
      <c r="AF659" s="147">
        <v>42</v>
      </c>
      <c r="AG659" s="276">
        <v>39.880000000000003</v>
      </c>
      <c r="AH659" s="170">
        <v>3.5999999999999999E-3</v>
      </c>
      <c r="AI659" s="170">
        <v>0.03</v>
      </c>
      <c r="AJ659" s="170">
        <v>4.7E-2</v>
      </c>
      <c r="AK659" s="155">
        <f t="shared" si="413"/>
        <v>35134.911428571388</v>
      </c>
      <c r="AL659" s="157">
        <v>0</v>
      </c>
      <c r="AM659" s="157"/>
      <c r="AN659" s="199">
        <v>0</v>
      </c>
      <c r="AO659" s="156">
        <f t="shared" si="462"/>
        <v>0</v>
      </c>
      <c r="AP659" s="157"/>
      <c r="AQ659" s="155">
        <v>0</v>
      </c>
      <c r="AR659" s="155">
        <f t="shared" si="463"/>
        <v>35134.911428571388</v>
      </c>
      <c r="AS659" s="155">
        <f t="shared" si="464"/>
        <v>36892</v>
      </c>
      <c r="AT659" s="155">
        <v>0</v>
      </c>
      <c r="AU659" s="199"/>
      <c r="AV659" s="157"/>
      <c r="AW659" s="155">
        <f t="shared" si="448"/>
        <v>8900</v>
      </c>
      <c r="AX659" s="157"/>
      <c r="AY659" s="155">
        <f t="shared" si="449"/>
        <v>8900</v>
      </c>
      <c r="AZ659" s="155">
        <f t="shared" si="450"/>
        <v>8890</v>
      </c>
      <c r="BA659" s="242">
        <f t="shared" si="451"/>
        <v>10</v>
      </c>
      <c r="BB659" s="246">
        <f t="shared" si="452"/>
        <v>17.8</v>
      </c>
      <c r="BC659" s="155">
        <v>0</v>
      </c>
      <c r="BD659" s="157"/>
      <c r="BE659" s="128">
        <v>89</v>
      </c>
      <c r="BF659" s="197">
        <f t="shared" si="453"/>
        <v>0.13350000000000001</v>
      </c>
      <c r="BG659" s="197">
        <f t="shared" si="454"/>
        <v>88.866500000000002</v>
      </c>
      <c r="BH659" s="197">
        <f t="shared" si="455"/>
        <v>88.9</v>
      </c>
      <c r="BI659" s="243">
        <f t="shared" si="456"/>
        <v>9.9999999999994316</v>
      </c>
      <c r="BJ659" s="243">
        <v>0</v>
      </c>
      <c r="BK659" s="155">
        <f t="shared" si="457"/>
        <v>9.9999999999994316</v>
      </c>
      <c r="BL659" s="47"/>
      <c r="BM659" s="48" t="str">
        <f t="shared" si="458"/>
        <v>Unloading no. 634 Bill No 2026-27/112 ,Deduction For Oil Deduction= 35134.9114285714 ,Bardana= 0 ,F.M=  Brokerage/Rate Difference 0 ,Shortage = 0 ,Greenish=  ,Moisture= 0</v>
      </c>
      <c r="BN659" s="41"/>
      <c r="BO659" s="44" t="str">
        <f t="shared" si="459"/>
        <v xml:space="preserve"> Party Condition 42  ,F.M% 0.36 ,Greenish 3 ,Moisture 4.7 ,Shortage in KG= 0  ,Oil% 39.88</v>
      </c>
      <c r="BP659" s="45">
        <f t="shared" si="460"/>
        <v>7434.5791740318164</v>
      </c>
      <c r="BQ659" s="41"/>
      <c r="BR659" s="41"/>
      <c r="BS659" s="41"/>
      <c r="BT659" s="41"/>
      <c r="BU659" s="41"/>
      <c r="BV659" s="41"/>
      <c r="BW659" s="85"/>
      <c r="BX659" s="27">
        <v>39.69</v>
      </c>
      <c r="BY659" s="27">
        <v>39.64</v>
      </c>
    </row>
    <row r="660" spans="1:77" ht="14.1" hidden="1" customHeight="1" x14ac:dyDescent="0.3">
      <c r="A660" s="128" t="s">
        <v>1337</v>
      </c>
      <c r="B660" s="130">
        <v>46161</v>
      </c>
      <c r="C660" s="138">
        <v>635</v>
      </c>
      <c r="D660" s="128" t="s">
        <v>1361</v>
      </c>
      <c r="E660" s="130">
        <v>46168</v>
      </c>
      <c r="F660" s="128" t="s">
        <v>1144</v>
      </c>
      <c r="G660" s="128" t="s">
        <v>1145</v>
      </c>
      <c r="H660" s="128" t="s">
        <v>100</v>
      </c>
      <c r="I660" s="136"/>
      <c r="J660" s="128" t="s">
        <v>1146</v>
      </c>
      <c r="K660" s="163">
        <v>0</v>
      </c>
      <c r="L660" s="130">
        <v>48353</v>
      </c>
      <c r="M660" s="136"/>
      <c r="N660" s="128" t="s">
        <v>1409</v>
      </c>
      <c r="O660" s="130">
        <v>46168</v>
      </c>
      <c r="P660" s="128">
        <v>0</v>
      </c>
      <c r="Q660" s="128">
        <v>110</v>
      </c>
      <c r="R660" s="128">
        <v>40</v>
      </c>
      <c r="S660" s="128">
        <v>150</v>
      </c>
      <c r="T660" s="128">
        <v>150</v>
      </c>
      <c r="U660" s="163">
        <v>0</v>
      </c>
      <c r="V660" s="136"/>
      <c r="W660" s="169">
        <v>88.3</v>
      </c>
      <c r="X660" s="169">
        <v>88.2</v>
      </c>
      <c r="Y660" s="169">
        <v>690594.3</v>
      </c>
      <c r="Z660" s="262">
        <v>39.75</v>
      </c>
      <c r="AA660" s="169">
        <v>17264.86</v>
      </c>
      <c r="AB660" s="169">
        <v>17264.86</v>
      </c>
      <c r="AC660" s="169">
        <v>725124.02</v>
      </c>
      <c r="AD660" s="197">
        <f t="shared" si="433"/>
        <v>724398.89598000003</v>
      </c>
      <c r="AE660" s="276">
        <v>39.75</v>
      </c>
      <c r="AF660" s="147">
        <v>42</v>
      </c>
      <c r="AG660" s="276">
        <v>39.75</v>
      </c>
      <c r="AH660" s="170">
        <v>3.0000000000000001E-3</v>
      </c>
      <c r="AI660" s="170">
        <v>3.4000000000000002E-2</v>
      </c>
      <c r="AJ660" s="170">
        <v>4.4999999999999998E-2</v>
      </c>
      <c r="AK660" s="155">
        <f t="shared" si="413"/>
        <v>36996.123214285712</v>
      </c>
      <c r="AL660" s="157">
        <v>0</v>
      </c>
      <c r="AM660" s="157"/>
      <c r="AN660" s="199">
        <v>0</v>
      </c>
      <c r="AO660" s="156">
        <f t="shared" si="462"/>
        <v>0</v>
      </c>
      <c r="AP660" s="157"/>
      <c r="AQ660" s="155">
        <v>0</v>
      </c>
      <c r="AR660" s="155">
        <f t="shared" si="463"/>
        <v>36996.123214285712</v>
      </c>
      <c r="AS660" s="155">
        <f t="shared" si="464"/>
        <v>38846</v>
      </c>
      <c r="AT660" s="155">
        <v>0</v>
      </c>
      <c r="AU660" s="199"/>
      <c r="AV660" s="157"/>
      <c r="AW660" s="155">
        <f t="shared" si="448"/>
        <v>8830</v>
      </c>
      <c r="AX660" s="157"/>
      <c r="AY660" s="155">
        <f t="shared" si="449"/>
        <v>8830</v>
      </c>
      <c r="AZ660" s="155">
        <f t="shared" si="450"/>
        <v>8820</v>
      </c>
      <c r="BA660" s="242">
        <f t="shared" si="451"/>
        <v>10</v>
      </c>
      <c r="BB660" s="246">
        <f t="shared" si="452"/>
        <v>17.66</v>
      </c>
      <c r="BC660" s="155">
        <v>0</v>
      </c>
      <c r="BD660" s="157"/>
      <c r="BE660" s="128">
        <v>88.3</v>
      </c>
      <c r="BF660" s="197">
        <f t="shared" si="453"/>
        <v>0.13244999999999998</v>
      </c>
      <c r="BG660" s="197">
        <f t="shared" si="454"/>
        <v>88.167549999999991</v>
      </c>
      <c r="BH660" s="197">
        <f t="shared" si="455"/>
        <v>88.2</v>
      </c>
      <c r="BI660" s="243">
        <f t="shared" si="456"/>
        <v>9.9999999999994316</v>
      </c>
      <c r="BJ660" s="243">
        <v>0</v>
      </c>
      <c r="BK660" s="155">
        <f t="shared" si="457"/>
        <v>9.9999999999994316</v>
      </c>
      <c r="BL660" s="47"/>
      <c r="BM660" s="48" t="str">
        <f t="shared" si="458"/>
        <v>Unloading no. 635 Bill No 2026-27/111 ,Deduction For Oil Deduction= 36996.1232142857 ,Bardana= 0 ,F.M=  Brokerage/Rate Difference 0 ,Shortage = 0 ,Greenish=  ,Moisture= 0</v>
      </c>
      <c r="BN660" s="41"/>
      <c r="BO660" s="44" t="str">
        <f t="shared" si="459"/>
        <v xml:space="preserve"> Party Condition 42  ,F.M% 0.3 ,Greenish 3.4 ,Moisture 4.5 ,Shortage in KG= 0  ,Oil% 39.75</v>
      </c>
      <c r="BP660" s="45">
        <f t="shared" si="460"/>
        <v>7410.4101676384844</v>
      </c>
      <c r="BQ660" s="41"/>
      <c r="BR660" s="41"/>
      <c r="BS660" s="41"/>
      <c r="BT660" s="41"/>
      <c r="BU660" s="41"/>
      <c r="BV660" s="41"/>
      <c r="BW660" s="85"/>
      <c r="BX660" s="27">
        <v>39.97</v>
      </c>
      <c r="BY660" s="27">
        <v>39.82</v>
      </c>
    </row>
    <row r="661" spans="1:77" ht="14.1" hidden="1" customHeight="1" x14ac:dyDescent="0.3">
      <c r="A661" s="128" t="s">
        <v>1337</v>
      </c>
      <c r="B661" s="130">
        <v>46161</v>
      </c>
      <c r="C661" s="138">
        <v>636</v>
      </c>
      <c r="D661" s="128" t="s">
        <v>1362</v>
      </c>
      <c r="E661" s="130">
        <v>46168</v>
      </c>
      <c r="F661" s="128" t="s">
        <v>1144</v>
      </c>
      <c r="G661" s="128" t="s">
        <v>1145</v>
      </c>
      <c r="H661" s="128" t="s">
        <v>100</v>
      </c>
      <c r="I661" s="136"/>
      <c r="J661" s="128" t="s">
        <v>1146</v>
      </c>
      <c r="K661" s="163">
        <v>0</v>
      </c>
      <c r="L661" s="130">
        <v>48718</v>
      </c>
      <c r="M661" s="136"/>
      <c r="N661" s="128" t="s">
        <v>1410</v>
      </c>
      <c r="O661" s="130">
        <v>46168</v>
      </c>
      <c r="P661" s="128">
        <v>0</v>
      </c>
      <c r="Q661" s="128">
        <v>100</v>
      </c>
      <c r="R661" s="128">
        <v>50</v>
      </c>
      <c r="S661" s="128">
        <v>150</v>
      </c>
      <c r="T661" s="128">
        <v>150</v>
      </c>
      <c r="U661" s="163">
        <v>0</v>
      </c>
      <c r="V661" s="136"/>
      <c r="W661" s="169">
        <v>86.6</v>
      </c>
      <c r="X661" s="169">
        <v>86.6</v>
      </c>
      <c r="Y661" s="169">
        <v>677298.6</v>
      </c>
      <c r="Z661" s="262">
        <v>40.61</v>
      </c>
      <c r="AA661" s="169">
        <v>16932.47</v>
      </c>
      <c r="AB661" s="169">
        <v>16932.47</v>
      </c>
      <c r="AC661" s="169">
        <v>711163.53</v>
      </c>
      <c r="AD661" s="197">
        <f t="shared" si="433"/>
        <v>710452.36647000001</v>
      </c>
      <c r="AE661" s="276">
        <v>40.61</v>
      </c>
      <c r="AF661" s="147">
        <v>42</v>
      </c>
      <c r="AG661" s="276">
        <v>40.61</v>
      </c>
      <c r="AH661" s="170">
        <v>3.2000000000000002E-3</v>
      </c>
      <c r="AI661" s="170">
        <v>3.3000000000000002E-2</v>
      </c>
      <c r="AJ661" s="170">
        <v>4.3999999999999997E-2</v>
      </c>
      <c r="AK661" s="155">
        <f t="shared" ref="AK661:AK680" si="465">+IF(AF661=42,IF(MIN(AE661,AG661)&lt;AF661,Y661*((AF661-MIN(AE661,AG661))/AF661)),IF(MIN(AE661,AG661)&lt;AF661,Y661*((AF661-MIN(AE661,AG661))/AF661),0))</f>
        <v>22415.358428571435</v>
      </c>
      <c r="AL661" s="157">
        <v>0</v>
      </c>
      <c r="AM661" s="157"/>
      <c r="AN661" s="199">
        <v>0</v>
      </c>
      <c r="AO661" s="156">
        <f t="shared" si="462"/>
        <v>0</v>
      </c>
      <c r="AP661" s="157"/>
      <c r="AQ661" s="155">
        <v>0</v>
      </c>
      <c r="AR661" s="155">
        <f t="shared" si="463"/>
        <v>22415.358428571435</v>
      </c>
      <c r="AS661" s="155">
        <f t="shared" si="464"/>
        <v>23536</v>
      </c>
      <c r="AT661" s="155">
        <v>0</v>
      </c>
      <c r="AU661" s="199"/>
      <c r="AV661" s="157"/>
      <c r="AW661" s="155">
        <f t="shared" si="448"/>
        <v>8660</v>
      </c>
      <c r="AX661" s="157"/>
      <c r="AY661" s="155">
        <f t="shared" si="449"/>
        <v>8660</v>
      </c>
      <c r="AZ661" s="155">
        <f t="shared" si="450"/>
        <v>8660</v>
      </c>
      <c r="BA661" s="242">
        <f t="shared" si="451"/>
        <v>0</v>
      </c>
      <c r="BB661" s="246">
        <f t="shared" si="452"/>
        <v>17.32</v>
      </c>
      <c r="BC661" s="155">
        <v>0</v>
      </c>
      <c r="BD661" s="157"/>
      <c r="BE661" s="128">
        <v>86.6</v>
      </c>
      <c r="BF661" s="197">
        <f t="shared" si="453"/>
        <v>0.12989999999999999</v>
      </c>
      <c r="BG661" s="197">
        <f t="shared" si="454"/>
        <v>86.470099999999988</v>
      </c>
      <c r="BH661" s="197">
        <f t="shared" si="455"/>
        <v>86.6</v>
      </c>
      <c r="BI661" s="243">
        <f t="shared" si="456"/>
        <v>0</v>
      </c>
      <c r="BJ661" s="243">
        <v>0</v>
      </c>
      <c r="BK661" s="155">
        <f t="shared" si="457"/>
        <v>0</v>
      </c>
      <c r="BL661" s="47"/>
      <c r="BM661" s="48" t="str">
        <f t="shared" si="458"/>
        <v>Unloading no. 636 Bill No 2026-27/110 ,Deduction For Oil Deduction= 22415.3584285714 ,Bardana= 0 ,F.M=  Brokerage/Rate Difference 0 ,Shortage = 0 ,Greenish=  ,Moisture= 0</v>
      </c>
      <c r="BN661" s="41"/>
      <c r="BO661" s="44" t="str">
        <f t="shared" si="459"/>
        <v xml:space="preserve"> Party Condition 42  ,F.M% 0.32 ,Greenish 3.3 ,Moisture 4.4 ,Shortage in KG= 0  ,Oil% 40.61</v>
      </c>
      <c r="BP661" s="45">
        <f t="shared" si="460"/>
        <v>7562.1621428571425</v>
      </c>
      <c r="BQ661" s="41"/>
      <c r="BR661" s="41"/>
      <c r="BS661" s="41"/>
      <c r="BT661" s="41"/>
      <c r="BU661" s="41"/>
      <c r="BV661" s="41"/>
      <c r="BW661" s="85"/>
      <c r="BX661" s="27">
        <v>40.799999999999997</v>
      </c>
      <c r="BY661" s="27">
        <v>40.520000000000003</v>
      </c>
    </row>
    <row r="662" spans="1:77" ht="14.1" hidden="1" customHeight="1" x14ac:dyDescent="0.3">
      <c r="A662" s="128" t="s">
        <v>1253</v>
      </c>
      <c r="B662" s="130">
        <v>46161</v>
      </c>
      <c r="C662" s="138">
        <v>637</v>
      </c>
      <c r="D662" s="128" t="s">
        <v>1363</v>
      </c>
      <c r="E662" s="130">
        <v>46168</v>
      </c>
      <c r="F662" s="128" t="s">
        <v>1144</v>
      </c>
      <c r="G662" s="128" t="s">
        <v>1145</v>
      </c>
      <c r="H662" s="128" t="s">
        <v>100</v>
      </c>
      <c r="I662" s="136"/>
      <c r="J662" s="128" t="s">
        <v>1146</v>
      </c>
      <c r="K662" s="163">
        <v>0</v>
      </c>
      <c r="L662" s="130">
        <v>49083</v>
      </c>
      <c r="M662" s="136"/>
      <c r="N662" s="128" t="s">
        <v>1411</v>
      </c>
      <c r="O662" s="130">
        <v>46168</v>
      </c>
      <c r="P662" s="128">
        <v>0</v>
      </c>
      <c r="Q662" s="128">
        <v>120</v>
      </c>
      <c r="R662" s="128">
        <v>30</v>
      </c>
      <c r="S662" s="128">
        <v>150</v>
      </c>
      <c r="T662" s="128">
        <v>150</v>
      </c>
      <c r="U662" s="163">
        <v>0</v>
      </c>
      <c r="V662" s="136"/>
      <c r="W662" s="169">
        <v>88.4</v>
      </c>
      <c r="X662" s="169">
        <v>88.3</v>
      </c>
      <c r="Y662" s="169">
        <v>694028.4</v>
      </c>
      <c r="Z662" s="262">
        <v>40.72</v>
      </c>
      <c r="AA662" s="169">
        <v>17350.71</v>
      </c>
      <c r="AB662" s="169">
        <v>17350.71</v>
      </c>
      <c r="AC662" s="169">
        <v>728729.82</v>
      </c>
      <c r="AD662" s="197">
        <f t="shared" si="433"/>
        <v>728001.09017999994</v>
      </c>
      <c r="AE662" s="276">
        <v>40.72</v>
      </c>
      <c r="AF662" s="147">
        <v>42</v>
      </c>
      <c r="AG662" s="276">
        <v>40.72</v>
      </c>
      <c r="AH662" s="170">
        <v>3.5999999999999999E-3</v>
      </c>
      <c r="AI662" s="170">
        <v>3.6999999999999998E-2</v>
      </c>
      <c r="AJ662" s="170">
        <v>4.3999999999999997E-2</v>
      </c>
      <c r="AK662" s="155">
        <f t="shared" si="465"/>
        <v>21151.341714285732</v>
      </c>
      <c r="AL662" s="157">
        <v>0</v>
      </c>
      <c r="AM662" s="157"/>
      <c r="AN662" s="199">
        <v>0</v>
      </c>
      <c r="AO662" s="156">
        <f t="shared" si="462"/>
        <v>0</v>
      </c>
      <c r="AP662" s="157"/>
      <c r="AQ662" s="155">
        <v>0</v>
      </c>
      <c r="AR662" s="155">
        <f t="shared" si="463"/>
        <v>21151.341714285732</v>
      </c>
      <c r="AS662" s="155">
        <f t="shared" si="464"/>
        <v>22209</v>
      </c>
      <c r="AT662" s="155">
        <v>0</v>
      </c>
      <c r="AU662" s="199"/>
      <c r="AV662" s="157"/>
      <c r="AW662" s="155">
        <f t="shared" si="448"/>
        <v>8840</v>
      </c>
      <c r="AX662" s="157"/>
      <c r="AY662" s="155">
        <f t="shared" si="449"/>
        <v>8840</v>
      </c>
      <c r="AZ662" s="155">
        <f t="shared" si="450"/>
        <v>8830</v>
      </c>
      <c r="BA662" s="242">
        <f t="shared" si="451"/>
        <v>10</v>
      </c>
      <c r="BB662" s="246">
        <f t="shared" si="452"/>
        <v>17.68</v>
      </c>
      <c r="BC662" s="155">
        <v>0</v>
      </c>
      <c r="BD662" s="157"/>
      <c r="BE662" s="128">
        <v>88.4</v>
      </c>
      <c r="BF662" s="197">
        <f t="shared" si="453"/>
        <v>0.1326</v>
      </c>
      <c r="BG662" s="197">
        <f t="shared" si="454"/>
        <v>88.267400000000009</v>
      </c>
      <c r="BH662" s="197">
        <f t="shared" si="455"/>
        <v>88.3</v>
      </c>
      <c r="BI662" s="243">
        <f t="shared" si="456"/>
        <v>10.000000000000853</v>
      </c>
      <c r="BJ662" s="243">
        <v>0</v>
      </c>
      <c r="BK662" s="155">
        <f t="shared" si="457"/>
        <v>10.000000000000853</v>
      </c>
      <c r="BL662" s="47"/>
      <c r="BM662" s="48" t="str">
        <f t="shared" si="458"/>
        <v>Unloading no. 637 Bill No 2026-27/108 ,Deduction For Oil Deduction= 21151.3417142857 ,Bardana= 0 ,F.M=  Brokerage/Rate Difference 0 ,Shortage = 0 ,Greenish=  ,Moisture= 0</v>
      </c>
      <c r="BN662" s="41"/>
      <c r="BO662" s="44" t="str">
        <f t="shared" si="459"/>
        <v xml:space="preserve"> Party Condition 42  ,F.M% 0.36 ,Greenish 3.7 ,Moisture 4.4 ,Shortage in KG= 0  ,Oil% 40.72</v>
      </c>
      <c r="BP662" s="45">
        <f t="shared" si="460"/>
        <v>7620.3517359650541</v>
      </c>
      <c r="BQ662" s="41"/>
      <c r="BR662" s="41"/>
      <c r="BS662" s="41"/>
      <c r="BT662" s="41"/>
      <c r="BU662" s="41"/>
      <c r="BV662" s="41"/>
      <c r="BW662" s="85"/>
      <c r="BX662" s="27">
        <v>40.78</v>
      </c>
      <c r="BY662" s="27">
        <v>40.56</v>
      </c>
    </row>
    <row r="663" spans="1:77" ht="14.1" hidden="1" customHeight="1" x14ac:dyDescent="0.3">
      <c r="A663" s="128" t="s">
        <v>1337</v>
      </c>
      <c r="B663" s="130">
        <v>46161</v>
      </c>
      <c r="C663" s="138">
        <v>638</v>
      </c>
      <c r="D663" s="128" t="s">
        <v>1364</v>
      </c>
      <c r="E663" s="130">
        <v>46168</v>
      </c>
      <c r="F663" s="128" t="s">
        <v>1144</v>
      </c>
      <c r="G663" s="128" t="s">
        <v>1145</v>
      </c>
      <c r="H663" s="128" t="s">
        <v>100</v>
      </c>
      <c r="I663" s="136"/>
      <c r="J663" s="128" t="s">
        <v>1146</v>
      </c>
      <c r="K663" s="163">
        <v>0</v>
      </c>
      <c r="L663" s="130">
        <v>49448</v>
      </c>
      <c r="M663" s="136"/>
      <c r="N663" s="128" t="s">
        <v>1412</v>
      </c>
      <c r="O663" s="130">
        <v>46168</v>
      </c>
      <c r="P663" s="128">
        <v>0</v>
      </c>
      <c r="Q663" s="128">
        <v>110</v>
      </c>
      <c r="R663" s="128">
        <v>40</v>
      </c>
      <c r="S663" s="128">
        <v>150</v>
      </c>
      <c r="T663" s="128">
        <v>150</v>
      </c>
      <c r="U663" s="163">
        <v>0</v>
      </c>
      <c r="V663" s="136"/>
      <c r="W663" s="169">
        <v>88.1</v>
      </c>
      <c r="X663" s="169">
        <v>88.1</v>
      </c>
      <c r="Y663" s="169">
        <v>689030.1</v>
      </c>
      <c r="Z663" s="262">
        <v>39.31</v>
      </c>
      <c r="AA663" s="169">
        <v>17225.75</v>
      </c>
      <c r="AB663" s="169">
        <v>17225.75</v>
      </c>
      <c r="AC663" s="169">
        <v>723481.61</v>
      </c>
      <c r="AD663" s="197">
        <f t="shared" si="433"/>
        <v>722758.12838999997</v>
      </c>
      <c r="AE663" s="276">
        <v>39.31</v>
      </c>
      <c r="AF663" s="147">
        <v>42</v>
      </c>
      <c r="AG663" s="276">
        <v>39.31</v>
      </c>
      <c r="AH663" s="170">
        <v>3.3999999999999998E-3</v>
      </c>
      <c r="AI663" s="170">
        <v>3.1E-2</v>
      </c>
      <c r="AJ663" s="170">
        <v>4.3999999999999997E-2</v>
      </c>
      <c r="AK663" s="155">
        <f t="shared" si="465"/>
        <v>44130.737357142818</v>
      </c>
      <c r="AL663" s="157">
        <v>0</v>
      </c>
      <c r="AM663" s="157"/>
      <c r="AN663" s="199">
        <v>0</v>
      </c>
      <c r="AO663" s="156">
        <f t="shared" si="462"/>
        <v>0</v>
      </c>
      <c r="AP663" s="157"/>
      <c r="AQ663" s="155">
        <v>0</v>
      </c>
      <c r="AR663" s="155">
        <f t="shared" si="463"/>
        <v>44130.737357142818</v>
      </c>
      <c r="AS663" s="155">
        <f t="shared" si="464"/>
        <v>46337</v>
      </c>
      <c r="AT663" s="155">
        <v>0</v>
      </c>
      <c r="AU663" s="199"/>
      <c r="AV663" s="157"/>
      <c r="AW663" s="155">
        <f t="shared" si="448"/>
        <v>8810</v>
      </c>
      <c r="AX663" s="157"/>
      <c r="AY663" s="155">
        <f t="shared" si="449"/>
        <v>8810</v>
      </c>
      <c r="AZ663" s="155">
        <f t="shared" si="450"/>
        <v>8810</v>
      </c>
      <c r="BA663" s="242">
        <f t="shared" si="451"/>
        <v>0</v>
      </c>
      <c r="BB663" s="246">
        <f t="shared" si="452"/>
        <v>17.62</v>
      </c>
      <c r="BC663" s="155">
        <v>0</v>
      </c>
      <c r="BD663" s="157"/>
      <c r="BE663" s="128">
        <v>88.1</v>
      </c>
      <c r="BF663" s="197">
        <f t="shared" si="453"/>
        <v>0.13214999999999999</v>
      </c>
      <c r="BG663" s="197">
        <f t="shared" si="454"/>
        <v>87.967849999999999</v>
      </c>
      <c r="BH663" s="197">
        <f t="shared" si="455"/>
        <v>88.1</v>
      </c>
      <c r="BI663" s="243">
        <f t="shared" si="456"/>
        <v>0</v>
      </c>
      <c r="BJ663" s="243">
        <v>0</v>
      </c>
      <c r="BK663" s="155">
        <f t="shared" si="457"/>
        <v>0</v>
      </c>
      <c r="BL663" s="47"/>
      <c r="BM663" s="48" t="str">
        <f t="shared" si="458"/>
        <v>Unloading no. 638 Bill No 2026-27/113 ,Deduction For Oil Deduction= 44130.7373571428 ,Bardana= 0 ,F.M=  Brokerage/Rate Difference 0 ,Shortage = 0 ,Greenish=  ,Moisture= 0</v>
      </c>
      <c r="BN663" s="41"/>
      <c r="BO663" s="44" t="str">
        <f t="shared" si="459"/>
        <v xml:space="preserve"> Party Condition 42  ,F.M% 0.34 ,Greenish 3.1 ,Moisture 4.4 ,Shortage in KG= 0  ,Oil% 39.31</v>
      </c>
      <c r="BP663" s="45">
        <f t="shared" si="460"/>
        <v>7320.0835714285713</v>
      </c>
      <c r="BQ663" s="41"/>
      <c r="BR663" s="41"/>
      <c r="BS663" s="41"/>
      <c r="BT663" s="41"/>
      <c r="BU663" s="41"/>
      <c r="BV663" s="41"/>
      <c r="BW663" s="85"/>
      <c r="BX663" s="27">
        <v>39.200000000000003</v>
      </c>
      <c r="BY663" s="27">
        <v>39</v>
      </c>
    </row>
    <row r="664" spans="1:77" ht="14.1" hidden="1" customHeight="1" x14ac:dyDescent="0.3">
      <c r="A664" s="128" t="s">
        <v>1337</v>
      </c>
      <c r="B664" s="130">
        <v>46161</v>
      </c>
      <c r="C664" s="138">
        <v>639</v>
      </c>
      <c r="D664" s="128" t="s">
        <v>1365</v>
      </c>
      <c r="E664" s="130">
        <v>46168</v>
      </c>
      <c r="F664" s="128" t="s">
        <v>1144</v>
      </c>
      <c r="G664" s="128" t="s">
        <v>1145</v>
      </c>
      <c r="H664" s="128" t="s">
        <v>100</v>
      </c>
      <c r="I664" s="136"/>
      <c r="J664" s="128" t="s">
        <v>1146</v>
      </c>
      <c r="K664" s="163">
        <v>0</v>
      </c>
      <c r="L664" s="130">
        <v>49814</v>
      </c>
      <c r="M664" s="136"/>
      <c r="N664" s="128" t="s">
        <v>1413</v>
      </c>
      <c r="O664" s="130">
        <v>46168</v>
      </c>
      <c r="P664" s="128">
        <v>0</v>
      </c>
      <c r="Q664" s="128">
        <v>75</v>
      </c>
      <c r="R664" s="128">
        <v>75</v>
      </c>
      <c r="S664" s="128">
        <v>150</v>
      </c>
      <c r="T664" s="128">
        <v>150</v>
      </c>
      <c r="U664" s="163">
        <v>0</v>
      </c>
      <c r="V664" s="136"/>
      <c r="W664" s="169">
        <v>88.6</v>
      </c>
      <c r="X664" s="169">
        <v>88.6</v>
      </c>
      <c r="Y664" s="169">
        <v>692940.6</v>
      </c>
      <c r="Z664" s="262">
        <v>39.159999999999997</v>
      </c>
      <c r="AA664" s="169">
        <v>17323.52</v>
      </c>
      <c r="AB664" s="169">
        <v>17323.52</v>
      </c>
      <c r="AC664" s="169">
        <v>727587.63</v>
      </c>
      <c r="AD664" s="197">
        <f t="shared" si="433"/>
        <v>726860.04237000004</v>
      </c>
      <c r="AE664" s="276">
        <v>39.159999999999997</v>
      </c>
      <c r="AF664" s="147">
        <v>42</v>
      </c>
      <c r="AG664" s="276">
        <v>39.159999999999997</v>
      </c>
      <c r="AH664" s="170">
        <v>3.8E-3</v>
      </c>
      <c r="AI664" s="170">
        <v>3.2000000000000001E-2</v>
      </c>
      <c r="AJ664" s="170">
        <v>4.5999999999999999E-2</v>
      </c>
      <c r="AK664" s="155">
        <f t="shared" si="465"/>
        <v>46855.983428571482</v>
      </c>
      <c r="AL664" s="157">
        <v>0</v>
      </c>
      <c r="AM664" s="157"/>
      <c r="AN664" s="199">
        <v>0</v>
      </c>
      <c r="AO664" s="156">
        <f t="shared" si="462"/>
        <v>0</v>
      </c>
      <c r="AP664" s="157"/>
      <c r="AQ664" s="155">
        <v>0</v>
      </c>
      <c r="AR664" s="155">
        <f t="shared" si="463"/>
        <v>46855.983428571482</v>
      </c>
      <c r="AS664" s="155">
        <f t="shared" si="464"/>
        <v>49199</v>
      </c>
      <c r="AT664" s="155">
        <v>0</v>
      </c>
      <c r="AU664" s="199"/>
      <c r="AV664" s="157"/>
      <c r="AW664" s="155">
        <f t="shared" si="448"/>
        <v>8860</v>
      </c>
      <c r="AX664" s="157"/>
      <c r="AY664" s="155">
        <f t="shared" si="449"/>
        <v>8860</v>
      </c>
      <c r="AZ664" s="155">
        <f t="shared" si="450"/>
        <v>8860</v>
      </c>
      <c r="BA664" s="242">
        <f t="shared" si="451"/>
        <v>0</v>
      </c>
      <c r="BB664" s="246">
        <f t="shared" si="452"/>
        <v>17.72</v>
      </c>
      <c r="BC664" s="155">
        <v>0</v>
      </c>
      <c r="BD664" s="157"/>
      <c r="BE664" s="169">
        <v>88.6</v>
      </c>
      <c r="BF664" s="197">
        <f t="shared" si="453"/>
        <v>0.13289999999999999</v>
      </c>
      <c r="BG664" s="197">
        <f t="shared" si="454"/>
        <v>88.467099999999988</v>
      </c>
      <c r="BH664" s="197">
        <f t="shared" si="455"/>
        <v>88.6</v>
      </c>
      <c r="BI664" s="243">
        <f t="shared" si="456"/>
        <v>0</v>
      </c>
      <c r="BJ664" s="243">
        <v>0</v>
      </c>
      <c r="BK664" s="155">
        <f t="shared" si="457"/>
        <v>0</v>
      </c>
      <c r="BL664" s="47"/>
      <c r="BM664" s="48" t="str">
        <f t="shared" si="458"/>
        <v>Unloading no. 639 Bill No 2026-27/114 ,Deduction For Oil Deduction= 46855.9834285715 ,Bardana= 0 ,F.M=  Brokerage/Rate Difference 0 ,Shortage = 0 ,Greenish=  ,Moisture= 0</v>
      </c>
      <c r="BN664" s="41"/>
      <c r="BO664" s="44" t="str">
        <f t="shared" si="459"/>
        <v xml:space="preserve"> Party Condition 42  ,F.M% 0.38 ,Greenish 3.2 ,Moisture 4.6 ,Shortage in KG= 0  ,Oil% 39.16</v>
      </c>
      <c r="BP664" s="45">
        <f t="shared" si="460"/>
        <v>7292.1514285714284</v>
      </c>
      <c r="BQ664" s="41"/>
      <c r="BR664" s="41"/>
      <c r="BS664" s="41"/>
      <c r="BT664" s="41"/>
      <c r="BU664" s="41"/>
      <c r="BV664" s="41"/>
      <c r="BW664" s="85"/>
      <c r="BX664" s="27">
        <v>39.25</v>
      </c>
      <c r="BY664" s="27">
        <v>39.21</v>
      </c>
    </row>
    <row r="665" spans="1:77" ht="14.1" hidden="1" customHeight="1" x14ac:dyDescent="0.3">
      <c r="A665" s="128" t="s">
        <v>1337</v>
      </c>
      <c r="B665" s="130">
        <v>46161</v>
      </c>
      <c r="C665" s="138">
        <v>640</v>
      </c>
      <c r="D665" s="128" t="s">
        <v>1366</v>
      </c>
      <c r="E665" s="130">
        <v>46168</v>
      </c>
      <c r="F665" s="128" t="s">
        <v>1144</v>
      </c>
      <c r="G665" s="128" t="s">
        <v>1145</v>
      </c>
      <c r="H665" s="128" t="s">
        <v>100</v>
      </c>
      <c r="I665" s="136"/>
      <c r="J665" s="128" t="s">
        <v>1146</v>
      </c>
      <c r="K665" s="163">
        <v>0</v>
      </c>
      <c r="L665" s="130">
        <v>50179</v>
      </c>
      <c r="M665" s="136"/>
      <c r="N665" s="128" t="s">
        <v>1414</v>
      </c>
      <c r="O665" s="130">
        <v>46168</v>
      </c>
      <c r="P665" s="128">
        <v>0</v>
      </c>
      <c r="Q665" s="128">
        <v>120</v>
      </c>
      <c r="R665" s="128">
        <v>35</v>
      </c>
      <c r="S665" s="128">
        <v>155</v>
      </c>
      <c r="T665" s="128">
        <v>155</v>
      </c>
      <c r="U665" s="163">
        <v>0</v>
      </c>
      <c r="V665" s="136"/>
      <c r="W665" s="169">
        <v>93</v>
      </c>
      <c r="X665" s="169">
        <v>92.9</v>
      </c>
      <c r="Y665" s="169">
        <v>727353</v>
      </c>
      <c r="Z665" s="262">
        <v>39.58</v>
      </c>
      <c r="AA665" s="169">
        <v>18183.830000000002</v>
      </c>
      <c r="AB665" s="169">
        <v>18183.830000000002</v>
      </c>
      <c r="AC665" s="169">
        <v>763720.65</v>
      </c>
      <c r="AD665" s="197">
        <f t="shared" si="433"/>
        <v>762956.92934999999</v>
      </c>
      <c r="AE665" s="276">
        <v>39.58</v>
      </c>
      <c r="AF665" s="147">
        <v>42</v>
      </c>
      <c r="AG665" s="276">
        <v>39.58</v>
      </c>
      <c r="AH665" s="170">
        <v>3.5000000000000001E-3</v>
      </c>
      <c r="AI665" s="170">
        <v>3.4000000000000002E-2</v>
      </c>
      <c r="AJ665" s="170">
        <v>4.2999999999999997E-2</v>
      </c>
      <c r="AK665" s="155">
        <f t="shared" si="465"/>
        <v>41909.387142857173</v>
      </c>
      <c r="AL665" s="157">
        <v>0</v>
      </c>
      <c r="AM665" s="157"/>
      <c r="AN665" s="199">
        <v>0</v>
      </c>
      <c r="AO665" s="156">
        <f t="shared" si="462"/>
        <v>0</v>
      </c>
      <c r="AP665" s="157"/>
      <c r="AQ665" s="155">
        <v>0</v>
      </c>
      <c r="AR665" s="155">
        <f t="shared" si="463"/>
        <v>41909.387142857173</v>
      </c>
      <c r="AS665" s="155">
        <f t="shared" si="464"/>
        <v>44005</v>
      </c>
      <c r="AT665" s="155">
        <v>0</v>
      </c>
      <c r="AU665" s="199"/>
      <c r="AV665" s="157"/>
      <c r="AW665" s="155">
        <f t="shared" si="448"/>
        <v>9300</v>
      </c>
      <c r="AX665" s="157"/>
      <c r="AY665" s="155">
        <f t="shared" si="449"/>
        <v>9300</v>
      </c>
      <c r="AZ665" s="155">
        <f t="shared" si="450"/>
        <v>9290</v>
      </c>
      <c r="BA665" s="242">
        <f t="shared" si="451"/>
        <v>10</v>
      </c>
      <c r="BB665" s="246">
        <f t="shared" si="452"/>
        <v>18.600000000000001</v>
      </c>
      <c r="BC665" s="155">
        <v>0</v>
      </c>
      <c r="BD665" s="157"/>
      <c r="BE665" s="169">
        <v>93</v>
      </c>
      <c r="BF665" s="197">
        <f t="shared" si="453"/>
        <v>0.13949999999999999</v>
      </c>
      <c r="BG665" s="197">
        <f t="shared" si="454"/>
        <v>92.860500000000002</v>
      </c>
      <c r="BH665" s="197">
        <f t="shared" si="455"/>
        <v>92.9</v>
      </c>
      <c r="BI665" s="243">
        <f t="shared" si="456"/>
        <v>9.9999999999994316</v>
      </c>
      <c r="BJ665" s="243">
        <v>0</v>
      </c>
      <c r="BK665" s="155">
        <f t="shared" si="457"/>
        <v>9.9999999999994316</v>
      </c>
      <c r="BL665" s="47"/>
      <c r="BM665" s="48" t="str">
        <f t="shared" si="458"/>
        <v>Unloading no. 640 Bill No 2026-27/115 ,Deduction For Oil Deduction= 41909.3871428572 ,Bardana= 0 ,F.M=  Brokerage/Rate Difference 0 ,Shortage = 0 ,Greenish=  ,Moisture= 0</v>
      </c>
      <c r="BN665" s="41"/>
      <c r="BO665" s="44" t="str">
        <f t="shared" si="459"/>
        <v xml:space="preserve"> Party Condition 42  ,F.M% 0.35 ,Greenish 3.4 ,Moisture 4.3 ,Shortage in KG= 0  ,Oil% 39.58</v>
      </c>
      <c r="BP665" s="45">
        <f t="shared" si="460"/>
        <v>7378.2950791942167</v>
      </c>
      <c r="BQ665" s="41"/>
      <c r="BR665" s="41"/>
      <c r="BS665" s="41"/>
      <c r="BT665" s="41"/>
      <c r="BU665" s="41"/>
      <c r="BV665" s="41"/>
      <c r="BW665" s="85"/>
      <c r="BX665" s="27">
        <v>39.36</v>
      </c>
      <c r="BY665" s="27">
        <v>39.340000000000003</v>
      </c>
    </row>
    <row r="666" spans="1:77" ht="14.1" hidden="1" customHeight="1" x14ac:dyDescent="0.3">
      <c r="A666" s="163" t="s">
        <v>1337</v>
      </c>
      <c r="B666" s="130">
        <v>46161</v>
      </c>
      <c r="C666" s="277">
        <v>641</v>
      </c>
      <c r="D666" s="163" t="s">
        <v>1367</v>
      </c>
      <c r="E666" s="166">
        <v>46168</v>
      </c>
      <c r="F666" s="163" t="s">
        <v>1144</v>
      </c>
      <c r="G666" s="163" t="s">
        <v>1145</v>
      </c>
      <c r="H666" s="163" t="s">
        <v>100</v>
      </c>
      <c r="I666" s="157"/>
      <c r="J666" s="163" t="s">
        <v>1146</v>
      </c>
      <c r="K666" s="163">
        <v>0</v>
      </c>
      <c r="L666" s="166">
        <v>50544</v>
      </c>
      <c r="M666" s="157"/>
      <c r="N666" s="163" t="s">
        <v>1415</v>
      </c>
      <c r="O666" s="166">
        <v>46168</v>
      </c>
      <c r="P666" s="163">
        <v>0</v>
      </c>
      <c r="Q666" s="128">
        <v>95</v>
      </c>
      <c r="R666" s="128">
        <v>55</v>
      </c>
      <c r="S666" s="128">
        <v>150</v>
      </c>
      <c r="T666" s="128">
        <v>150</v>
      </c>
      <c r="U666" s="163">
        <v>0</v>
      </c>
      <c r="V666" s="136"/>
      <c r="W666" s="169">
        <v>88.6</v>
      </c>
      <c r="X666" s="169">
        <v>88.5</v>
      </c>
      <c r="Y666" s="169">
        <v>692940.6</v>
      </c>
      <c r="Z666" s="262">
        <v>39.29</v>
      </c>
      <c r="AA666" s="169">
        <v>17323.52</v>
      </c>
      <c r="AB666" s="169">
        <v>17323.52</v>
      </c>
      <c r="AC666" s="169">
        <v>727587.63</v>
      </c>
      <c r="AD666" s="244">
        <f t="shared" si="433"/>
        <v>726860.04237000004</v>
      </c>
      <c r="AE666" s="276">
        <v>39.29</v>
      </c>
      <c r="AF666" s="147">
        <v>42</v>
      </c>
      <c r="AG666" s="276">
        <v>39.29</v>
      </c>
      <c r="AH666" s="170">
        <v>3.2000000000000002E-3</v>
      </c>
      <c r="AI666" s="170">
        <v>3.5999999999999997E-2</v>
      </c>
      <c r="AJ666" s="170">
        <v>4.4999999999999998E-2</v>
      </c>
      <c r="AK666" s="155">
        <f t="shared" si="465"/>
        <v>44711.167285714291</v>
      </c>
      <c r="AL666" s="157">
        <v>0</v>
      </c>
      <c r="AM666" s="157"/>
      <c r="AN666" s="199">
        <v>0</v>
      </c>
      <c r="AO666" s="156">
        <f t="shared" si="462"/>
        <v>0</v>
      </c>
      <c r="AP666" s="157"/>
      <c r="AQ666" s="155">
        <v>0</v>
      </c>
      <c r="AR666" s="155">
        <f t="shared" si="463"/>
        <v>44711.167285714291</v>
      </c>
      <c r="AS666" s="155">
        <f t="shared" si="464"/>
        <v>46947</v>
      </c>
      <c r="AT666" s="155">
        <v>0</v>
      </c>
      <c r="AU666" s="199"/>
      <c r="AV666" s="157"/>
      <c r="AW666" s="155">
        <f t="shared" si="448"/>
        <v>8860</v>
      </c>
      <c r="AX666" s="157"/>
      <c r="AY666" s="155">
        <f t="shared" si="449"/>
        <v>8860</v>
      </c>
      <c r="AZ666" s="155">
        <f t="shared" si="450"/>
        <v>8850</v>
      </c>
      <c r="BA666" s="242">
        <f t="shared" si="451"/>
        <v>10</v>
      </c>
      <c r="BB666" s="246">
        <f t="shared" si="452"/>
        <v>17.72</v>
      </c>
      <c r="BC666" s="155">
        <v>0</v>
      </c>
      <c r="BD666" s="157"/>
      <c r="BE666" s="169">
        <v>88.6</v>
      </c>
      <c r="BF666" s="197">
        <f t="shared" si="453"/>
        <v>0.13289999999999999</v>
      </c>
      <c r="BG666" s="197">
        <f t="shared" si="454"/>
        <v>88.467099999999988</v>
      </c>
      <c r="BH666" s="197">
        <f t="shared" si="455"/>
        <v>88.5</v>
      </c>
      <c r="BI666" s="243">
        <f t="shared" si="456"/>
        <v>9.9999999999994316</v>
      </c>
      <c r="BJ666" s="243">
        <v>0</v>
      </c>
      <c r="BK666" s="155">
        <f t="shared" si="457"/>
        <v>9.9999999999994316</v>
      </c>
      <c r="BL666" s="47"/>
      <c r="BM666" s="48" t="str">
        <f t="shared" si="458"/>
        <v>Unloading no. 641 Bill No 2026-27/116 ,Deduction For Oil Deduction= 44711.1672857143 ,Bardana= 0 ,F.M=  Brokerage/Rate Difference 0 ,Shortage = 0 ,Greenish=  ,Moisture= 0</v>
      </c>
      <c r="BN666" s="41"/>
      <c r="BO666" s="44" t="str">
        <f t="shared" si="459"/>
        <v xml:space="preserve"> Party Condition 42  ,F.M% 0.32 ,Greenish 3.6 ,Moisture 4.5 ,Shortage in KG= 0  ,Oil% 39.29</v>
      </c>
      <c r="BP666" s="45">
        <f t="shared" si="460"/>
        <v>7324.6263583535101</v>
      </c>
      <c r="BQ666" s="41"/>
      <c r="BR666" s="41"/>
      <c r="BS666" s="41"/>
      <c r="BT666" s="41"/>
      <c r="BU666" s="41"/>
      <c r="BV666" s="41"/>
      <c r="BW666" s="85"/>
      <c r="BX666" s="27">
        <v>38.93</v>
      </c>
      <c r="BY666" s="27">
        <v>38.82</v>
      </c>
    </row>
    <row r="667" spans="1:77" ht="14.1" hidden="1" customHeight="1" x14ac:dyDescent="0.3">
      <c r="A667" s="163" t="s">
        <v>1337</v>
      </c>
      <c r="B667" s="130">
        <v>46161</v>
      </c>
      <c r="C667" s="277">
        <v>642</v>
      </c>
      <c r="D667" s="163" t="s">
        <v>1368</v>
      </c>
      <c r="E667" s="166">
        <v>46168</v>
      </c>
      <c r="F667" s="163" t="s">
        <v>1144</v>
      </c>
      <c r="G667" s="163" t="s">
        <v>1145</v>
      </c>
      <c r="H667" s="163" t="s">
        <v>100</v>
      </c>
      <c r="I667" s="157"/>
      <c r="J667" s="163" t="s">
        <v>1146</v>
      </c>
      <c r="K667" s="163">
        <v>0</v>
      </c>
      <c r="L667" s="166">
        <v>50909</v>
      </c>
      <c r="M667" s="157"/>
      <c r="N667" s="163" t="s">
        <v>1416</v>
      </c>
      <c r="O667" s="166">
        <v>46168</v>
      </c>
      <c r="P667" s="163">
        <v>0</v>
      </c>
      <c r="Q667" s="128">
        <v>100</v>
      </c>
      <c r="R667" s="128">
        <v>55</v>
      </c>
      <c r="S667" s="128">
        <v>155</v>
      </c>
      <c r="T667" s="128">
        <v>155</v>
      </c>
      <c r="U667" s="163">
        <v>0</v>
      </c>
      <c r="V667" s="136"/>
      <c r="W667" s="169">
        <v>93</v>
      </c>
      <c r="X667" s="169">
        <v>92.9</v>
      </c>
      <c r="Y667" s="169">
        <v>727353</v>
      </c>
      <c r="Z667" s="262">
        <v>39.840000000000003</v>
      </c>
      <c r="AA667" s="169">
        <v>18183.830000000002</v>
      </c>
      <c r="AB667" s="169">
        <v>18183.830000000002</v>
      </c>
      <c r="AC667" s="169">
        <v>763720.65</v>
      </c>
      <c r="AD667" s="244">
        <f t="shared" si="433"/>
        <v>762956.92934999999</v>
      </c>
      <c r="AE667" s="276">
        <v>39.840000000000003</v>
      </c>
      <c r="AF667" s="147">
        <v>42</v>
      </c>
      <c r="AG667" s="276">
        <v>39.840000000000003</v>
      </c>
      <c r="AH667" s="170">
        <v>3.3999999999999998E-3</v>
      </c>
      <c r="AI667" s="170">
        <v>3.2599999999999997E-2</v>
      </c>
      <c r="AJ667" s="170">
        <v>4.4999999999999998E-2</v>
      </c>
      <c r="AK667" s="155">
        <f t="shared" si="465"/>
        <v>37406.725714285654</v>
      </c>
      <c r="AL667" s="157">
        <v>0</v>
      </c>
      <c r="AM667" s="157"/>
      <c r="AN667" s="199">
        <v>0</v>
      </c>
      <c r="AO667" s="156">
        <f t="shared" si="462"/>
        <v>0</v>
      </c>
      <c r="AP667" s="157"/>
      <c r="AQ667" s="155">
        <v>0</v>
      </c>
      <c r="AR667" s="155">
        <f t="shared" si="463"/>
        <v>37406.725714285654</v>
      </c>
      <c r="AS667" s="155">
        <f t="shared" si="464"/>
        <v>39277</v>
      </c>
      <c r="AT667" s="155">
        <v>0</v>
      </c>
      <c r="AU667" s="199"/>
      <c r="AV667" s="157"/>
      <c r="AW667" s="155">
        <f t="shared" si="448"/>
        <v>9300</v>
      </c>
      <c r="AX667" s="157"/>
      <c r="AY667" s="155">
        <f t="shared" si="449"/>
        <v>9300</v>
      </c>
      <c r="AZ667" s="155">
        <f t="shared" si="450"/>
        <v>9290</v>
      </c>
      <c r="BA667" s="242">
        <f t="shared" si="451"/>
        <v>10</v>
      </c>
      <c r="BB667" s="246">
        <f t="shared" si="452"/>
        <v>18.600000000000001</v>
      </c>
      <c r="BC667" s="155">
        <v>0</v>
      </c>
      <c r="BD667" s="157"/>
      <c r="BE667" s="169">
        <v>93</v>
      </c>
      <c r="BF667" s="197">
        <f t="shared" si="453"/>
        <v>0.13949999999999999</v>
      </c>
      <c r="BG667" s="197">
        <f t="shared" si="454"/>
        <v>92.860500000000002</v>
      </c>
      <c r="BH667" s="197">
        <f t="shared" si="455"/>
        <v>92.9</v>
      </c>
      <c r="BI667" s="243">
        <f t="shared" si="456"/>
        <v>9.9999999999994316</v>
      </c>
      <c r="BJ667" s="243">
        <v>0</v>
      </c>
      <c r="BK667" s="155">
        <f t="shared" si="457"/>
        <v>9.9999999999994316</v>
      </c>
      <c r="BL667" s="47"/>
      <c r="BM667" s="48" t="str">
        <f t="shared" si="458"/>
        <v>Unloading no. 642 Bill No 2026-27/117 ,Deduction For Oil Deduction= 37406.7257142857 ,Bardana= 0 ,F.M=  Brokerage/Rate Difference 0 ,Shortage = 0 ,Greenish=  ,Moisture= 0</v>
      </c>
      <c r="BN667" s="41"/>
      <c r="BO667" s="44" t="str">
        <f t="shared" si="459"/>
        <v xml:space="preserve"> Party Condition 42  ,F.M% 0.34 ,Greenish 3.26 ,Moisture 4.5 ,Shortage in KG= 0  ,Oil% 39.84</v>
      </c>
      <c r="BP667" s="45">
        <f t="shared" si="460"/>
        <v>7426.7629094264194</v>
      </c>
      <c r="BQ667" s="41"/>
      <c r="BR667" s="41"/>
      <c r="BS667" s="41"/>
      <c r="BT667" s="41"/>
      <c r="BU667" s="41"/>
      <c r="BV667" s="41"/>
      <c r="BW667" s="85"/>
      <c r="BX667" s="27">
        <v>39.79</v>
      </c>
      <c r="BY667" s="27">
        <v>39.58</v>
      </c>
    </row>
    <row r="668" spans="1:77" ht="14.1" hidden="1" customHeight="1" x14ac:dyDescent="0.3">
      <c r="A668" s="163" t="s">
        <v>1337</v>
      </c>
      <c r="B668" s="130">
        <v>46161</v>
      </c>
      <c r="C668" s="277">
        <v>643</v>
      </c>
      <c r="D668" s="163" t="s">
        <v>1369</v>
      </c>
      <c r="E668" s="166">
        <v>46168</v>
      </c>
      <c r="F668" s="163" t="s">
        <v>1144</v>
      </c>
      <c r="G668" s="163" t="s">
        <v>1145</v>
      </c>
      <c r="H668" s="163" t="s">
        <v>100</v>
      </c>
      <c r="I668" s="157"/>
      <c r="J668" s="163" t="s">
        <v>1146</v>
      </c>
      <c r="K668" s="163">
        <v>0</v>
      </c>
      <c r="L668" s="166">
        <v>51275</v>
      </c>
      <c r="M668" s="157"/>
      <c r="N668" s="163" t="s">
        <v>1417</v>
      </c>
      <c r="O668" s="166">
        <v>46168</v>
      </c>
      <c r="P668" s="163">
        <v>0</v>
      </c>
      <c r="Q668" s="128">
        <v>100</v>
      </c>
      <c r="R668" s="128">
        <v>50</v>
      </c>
      <c r="S668" s="128">
        <v>150</v>
      </c>
      <c r="T668" s="128">
        <v>150</v>
      </c>
      <c r="U668" s="163">
        <v>0</v>
      </c>
      <c r="V668" s="136"/>
      <c r="W668" s="169">
        <v>90</v>
      </c>
      <c r="X668" s="169">
        <v>90</v>
      </c>
      <c r="Y668" s="169">
        <v>703890</v>
      </c>
      <c r="Z668" s="262">
        <v>40.04</v>
      </c>
      <c r="AA668" s="169">
        <v>17597.25</v>
      </c>
      <c r="AB668" s="169">
        <v>17597.25</v>
      </c>
      <c r="AC668" s="169">
        <v>739084.5</v>
      </c>
      <c r="AD668" s="244">
        <f t="shared" si="433"/>
        <v>738345.4155</v>
      </c>
      <c r="AE668" s="276">
        <v>40.04</v>
      </c>
      <c r="AF668" s="147">
        <v>42</v>
      </c>
      <c r="AG668" s="276">
        <v>40.04</v>
      </c>
      <c r="AH668" s="170">
        <v>3.7000000000000002E-3</v>
      </c>
      <c r="AI668" s="170">
        <v>3.4700000000000002E-2</v>
      </c>
      <c r="AJ668" s="170">
        <v>4.3999999999999997E-2</v>
      </c>
      <c r="AK668" s="155">
        <f t="shared" si="465"/>
        <v>32848.200000000019</v>
      </c>
      <c r="AL668" s="157">
        <v>0</v>
      </c>
      <c r="AM668" s="157"/>
      <c r="AN668" s="199">
        <v>0</v>
      </c>
      <c r="AO668" s="156">
        <f t="shared" si="462"/>
        <v>0</v>
      </c>
      <c r="AP668" s="157"/>
      <c r="AQ668" s="155">
        <v>0</v>
      </c>
      <c r="AR668" s="155">
        <f t="shared" si="463"/>
        <v>32848.200000000019</v>
      </c>
      <c r="AS668" s="155">
        <f t="shared" si="464"/>
        <v>34491</v>
      </c>
      <c r="AT668" s="155">
        <v>0</v>
      </c>
      <c r="AU668" s="199"/>
      <c r="AV668" s="157"/>
      <c r="AW668" s="155">
        <f t="shared" si="448"/>
        <v>9000</v>
      </c>
      <c r="AX668" s="157"/>
      <c r="AY668" s="155">
        <f t="shared" si="449"/>
        <v>9000</v>
      </c>
      <c r="AZ668" s="155">
        <f t="shared" si="450"/>
        <v>9000</v>
      </c>
      <c r="BA668" s="242">
        <f t="shared" si="451"/>
        <v>0</v>
      </c>
      <c r="BB668" s="246">
        <f t="shared" si="452"/>
        <v>18</v>
      </c>
      <c r="BC668" s="155">
        <v>0</v>
      </c>
      <c r="BD668" s="157"/>
      <c r="BE668" s="169">
        <v>90</v>
      </c>
      <c r="BF668" s="197">
        <f t="shared" si="453"/>
        <v>0.13500000000000001</v>
      </c>
      <c r="BG668" s="197">
        <f t="shared" si="454"/>
        <v>89.864999999999995</v>
      </c>
      <c r="BH668" s="197">
        <f t="shared" si="455"/>
        <v>90</v>
      </c>
      <c r="BI668" s="243">
        <f t="shared" si="456"/>
        <v>0</v>
      </c>
      <c r="BJ668" s="243">
        <v>0</v>
      </c>
      <c r="BK668" s="155">
        <f t="shared" si="457"/>
        <v>0</v>
      </c>
      <c r="BL668" s="47"/>
      <c r="BM668" s="48" t="str">
        <f t="shared" si="458"/>
        <v>Unloading no. 643 Bill No 2026-27/118 ,Deduction For Oil Deduction= 32848.2 ,Bardana= 0 ,F.M=  Brokerage/Rate Difference 0 ,Shortage = 0 ,Greenish=  ,Moisture= 0</v>
      </c>
      <c r="BN668" s="41"/>
      <c r="BO668" s="44" t="str">
        <f t="shared" si="459"/>
        <v xml:space="preserve"> Party Condition 42  ,F.M% 0.37 ,Greenish 3.47 ,Moisture 4.4 ,Shortage in KG= 0  ,Oil% 40.04</v>
      </c>
      <c r="BP668" s="45">
        <f t="shared" si="460"/>
        <v>7456.0199999999995</v>
      </c>
      <c r="BQ668" s="41"/>
      <c r="BR668" s="41"/>
      <c r="BS668" s="41"/>
      <c r="BT668" s="41"/>
      <c r="BU668" s="41"/>
      <c r="BV668" s="41"/>
      <c r="BW668" s="85"/>
      <c r="BX668" s="27">
        <v>39.78</v>
      </c>
      <c r="BY668" s="27">
        <v>39.68</v>
      </c>
    </row>
    <row r="669" spans="1:77" ht="14.1" hidden="1" customHeight="1" x14ac:dyDescent="0.3">
      <c r="A669" s="163" t="s">
        <v>1337</v>
      </c>
      <c r="B669" s="130">
        <v>46161</v>
      </c>
      <c r="C669" s="277">
        <v>644</v>
      </c>
      <c r="D669" s="163" t="s">
        <v>1370</v>
      </c>
      <c r="E669" s="166">
        <v>46168</v>
      </c>
      <c r="F669" s="163" t="s">
        <v>1144</v>
      </c>
      <c r="G669" s="163" t="s">
        <v>1145</v>
      </c>
      <c r="H669" s="163" t="s">
        <v>100</v>
      </c>
      <c r="I669" s="157"/>
      <c r="J669" s="163" t="s">
        <v>1146</v>
      </c>
      <c r="K669" s="163">
        <v>0</v>
      </c>
      <c r="L669" s="166">
        <v>51640</v>
      </c>
      <c r="M669" s="157"/>
      <c r="N669" s="163" t="s">
        <v>1418</v>
      </c>
      <c r="O669" s="166">
        <v>46168</v>
      </c>
      <c r="P669" s="163">
        <v>0</v>
      </c>
      <c r="Q669" s="128">
        <v>103</v>
      </c>
      <c r="R669" s="128">
        <v>50</v>
      </c>
      <c r="S669" s="128">
        <v>153</v>
      </c>
      <c r="T669" s="128">
        <v>153</v>
      </c>
      <c r="U669" s="163">
        <v>0</v>
      </c>
      <c r="V669" s="136"/>
      <c r="W669" s="169">
        <v>92.1</v>
      </c>
      <c r="X669" s="169">
        <v>92.1</v>
      </c>
      <c r="Y669" s="169">
        <v>720314.1</v>
      </c>
      <c r="Z669" s="262">
        <v>40.04</v>
      </c>
      <c r="AA669" s="169">
        <v>18007.849999999999</v>
      </c>
      <c r="AB669" s="169">
        <v>18007.849999999999</v>
      </c>
      <c r="AC669" s="169">
        <v>756329.81</v>
      </c>
      <c r="AD669" s="244">
        <f t="shared" si="433"/>
        <v>755573.48019000003</v>
      </c>
      <c r="AE669" s="276">
        <v>40.04</v>
      </c>
      <c r="AF669" s="147">
        <v>42</v>
      </c>
      <c r="AG669" s="276">
        <v>40.04</v>
      </c>
      <c r="AH669" s="170">
        <v>3.2000000000000002E-3</v>
      </c>
      <c r="AI669" s="170">
        <v>0.03</v>
      </c>
      <c r="AJ669" s="170">
        <v>4.8000000000000001E-2</v>
      </c>
      <c r="AK669" s="155">
        <f t="shared" si="465"/>
        <v>33614.658000000018</v>
      </c>
      <c r="AL669" s="157">
        <v>0</v>
      </c>
      <c r="AM669" s="157"/>
      <c r="AN669" s="199">
        <v>0</v>
      </c>
      <c r="AO669" s="156">
        <f t="shared" si="462"/>
        <v>0</v>
      </c>
      <c r="AP669" s="157"/>
      <c r="AQ669" s="155">
        <v>0</v>
      </c>
      <c r="AR669" s="155">
        <f t="shared" si="463"/>
        <v>33614.658000000018</v>
      </c>
      <c r="AS669" s="155">
        <f t="shared" si="464"/>
        <v>35295</v>
      </c>
      <c r="AT669" s="155">
        <v>0</v>
      </c>
      <c r="AU669" s="199"/>
      <c r="AV669" s="157"/>
      <c r="AW669" s="155">
        <f t="shared" si="448"/>
        <v>9210</v>
      </c>
      <c r="AX669" s="157"/>
      <c r="AY669" s="155">
        <f t="shared" si="449"/>
        <v>9210</v>
      </c>
      <c r="AZ669" s="155">
        <f t="shared" si="450"/>
        <v>9210</v>
      </c>
      <c r="BA669" s="242">
        <f t="shared" si="451"/>
        <v>0</v>
      </c>
      <c r="BB669" s="246">
        <f t="shared" si="452"/>
        <v>18.420000000000002</v>
      </c>
      <c r="BC669" s="155">
        <v>0</v>
      </c>
      <c r="BD669" s="157"/>
      <c r="BE669" s="169">
        <v>92.1</v>
      </c>
      <c r="BF669" s="197">
        <f t="shared" si="453"/>
        <v>0.13815</v>
      </c>
      <c r="BG669" s="197">
        <f t="shared" si="454"/>
        <v>91.961849999999998</v>
      </c>
      <c r="BH669" s="197">
        <f t="shared" si="455"/>
        <v>92.1</v>
      </c>
      <c r="BI669" s="243">
        <f t="shared" si="456"/>
        <v>0</v>
      </c>
      <c r="BJ669" s="243">
        <v>0</v>
      </c>
      <c r="BK669" s="155">
        <f t="shared" si="457"/>
        <v>0</v>
      </c>
      <c r="BL669" s="47"/>
      <c r="BM669" s="48" t="str">
        <f t="shared" si="458"/>
        <v>Unloading no. 644 Bill No 2026-27/119 ,Deduction For Oil Deduction= 33614.658 ,Bardana= 0 ,F.M=  Brokerage/Rate Difference 0 ,Shortage = 0 ,Greenish=  ,Moisture= 0</v>
      </c>
      <c r="BN669" s="41"/>
      <c r="BO669" s="44" t="str">
        <f t="shared" si="459"/>
        <v xml:space="preserve"> Party Condition 42  ,F.M% 0.32 ,Greenish 3 ,Moisture 4.8 ,Shortage in KG= 0  ,Oil% 40.04</v>
      </c>
      <c r="BP669" s="45">
        <f t="shared" si="460"/>
        <v>7456.0199999999995</v>
      </c>
      <c r="BQ669" s="41"/>
      <c r="BR669" s="41"/>
      <c r="BS669" s="41"/>
      <c r="BT669" s="41"/>
      <c r="BU669" s="41"/>
      <c r="BV669" s="41"/>
      <c r="BW669" s="85"/>
      <c r="BX669" s="27">
        <v>40.200000000000003</v>
      </c>
      <c r="BY669" s="27">
        <v>40</v>
      </c>
    </row>
    <row r="670" spans="1:77" ht="14.1" hidden="1" customHeight="1" x14ac:dyDescent="0.3">
      <c r="A670" s="163" t="s">
        <v>1337</v>
      </c>
      <c r="B670" s="130">
        <v>46161</v>
      </c>
      <c r="C670" s="277">
        <v>645</v>
      </c>
      <c r="D670" s="163" t="s">
        <v>1371</v>
      </c>
      <c r="E670" s="166">
        <v>46169</v>
      </c>
      <c r="F670" s="163" t="s">
        <v>1144</v>
      </c>
      <c r="G670" s="163" t="s">
        <v>1145</v>
      </c>
      <c r="H670" s="163" t="s">
        <v>100</v>
      </c>
      <c r="I670" s="157"/>
      <c r="J670" s="163" t="s">
        <v>1146</v>
      </c>
      <c r="K670" s="163">
        <v>0</v>
      </c>
      <c r="L670" s="166">
        <v>51640</v>
      </c>
      <c r="M670" s="157"/>
      <c r="N670" s="163" t="s">
        <v>1419</v>
      </c>
      <c r="O670" s="166">
        <v>46169</v>
      </c>
      <c r="P670" s="163">
        <v>0</v>
      </c>
      <c r="Q670" s="128">
        <v>100</v>
      </c>
      <c r="R670" s="128">
        <v>72</v>
      </c>
      <c r="S670" s="128">
        <v>172</v>
      </c>
      <c r="T670" s="128">
        <v>172</v>
      </c>
      <c r="U670" s="163">
        <v>0</v>
      </c>
      <c r="V670" s="136"/>
      <c r="W670" s="169">
        <v>87.1</v>
      </c>
      <c r="X670" s="169">
        <v>86.8</v>
      </c>
      <c r="Y670" s="169">
        <v>681209.1</v>
      </c>
      <c r="Z670" s="262">
        <v>39.549999999999997</v>
      </c>
      <c r="AA670" s="169">
        <v>17030.23</v>
      </c>
      <c r="AB670" s="169">
        <v>17030.23</v>
      </c>
      <c r="AC670" s="169">
        <v>715269.56</v>
      </c>
      <c r="AD670" s="244">
        <f t="shared" si="433"/>
        <v>714554.29044000001</v>
      </c>
      <c r="AE670" s="276">
        <v>39.549999999999997</v>
      </c>
      <c r="AF670" s="147">
        <v>42</v>
      </c>
      <c r="AG670" s="276">
        <v>39.549999999999997</v>
      </c>
      <c r="AH670" s="170">
        <v>3.3E-3</v>
      </c>
      <c r="AI670" s="170">
        <v>0.03</v>
      </c>
      <c r="AJ670" s="170">
        <v>4.2000000000000003E-2</v>
      </c>
      <c r="AK670" s="155">
        <f t="shared" si="465"/>
        <v>39737.197500000046</v>
      </c>
      <c r="AL670" s="157">
        <v>0</v>
      </c>
      <c r="AM670" s="157"/>
      <c r="AN670" s="199">
        <v>0</v>
      </c>
      <c r="AO670" s="156">
        <f t="shared" si="462"/>
        <v>983.88179999999977</v>
      </c>
      <c r="AP670" s="157"/>
      <c r="AQ670" s="155">
        <v>0</v>
      </c>
      <c r="AR670" s="155">
        <f t="shared" si="463"/>
        <v>40721.079300000049</v>
      </c>
      <c r="AS670" s="155">
        <f t="shared" si="464"/>
        <v>42757</v>
      </c>
      <c r="AT670" s="197">
        <f t="shared" ref="AT670:AT676" si="466">BA670-BB670</f>
        <v>12.579999999999998</v>
      </c>
      <c r="AU670" s="199"/>
      <c r="AV670" s="157"/>
      <c r="AW670" s="155">
        <f t="shared" si="448"/>
        <v>8710</v>
      </c>
      <c r="AX670" s="157"/>
      <c r="AY670" s="155">
        <f t="shared" si="449"/>
        <v>8710</v>
      </c>
      <c r="AZ670" s="155">
        <f t="shared" si="450"/>
        <v>8680</v>
      </c>
      <c r="BA670" s="242">
        <f t="shared" si="451"/>
        <v>30</v>
      </c>
      <c r="BB670" s="246">
        <f t="shared" si="452"/>
        <v>17.420000000000002</v>
      </c>
      <c r="BC670" s="155">
        <v>0</v>
      </c>
      <c r="BD670" s="157"/>
      <c r="BE670" s="169">
        <v>87.1</v>
      </c>
      <c r="BF670" s="197">
        <f t="shared" si="453"/>
        <v>0.13064999999999999</v>
      </c>
      <c r="BG670" s="197">
        <f t="shared" si="454"/>
        <v>86.969349999999991</v>
      </c>
      <c r="BH670" s="197">
        <f t="shared" si="455"/>
        <v>86.8</v>
      </c>
      <c r="BI670" s="243">
        <f t="shared" si="456"/>
        <v>29.999999999999716</v>
      </c>
      <c r="BJ670" s="243">
        <v>0</v>
      </c>
      <c r="BK670" s="155">
        <f t="shared" si="457"/>
        <v>29.999999999999716</v>
      </c>
      <c r="BL670" s="47"/>
      <c r="BM670" s="48" t="str">
        <f t="shared" si="458"/>
        <v>Unloading no. 645 Bill No 2026-27/120 ,Deduction For Oil Deduction= 39737.1975 ,Bardana= 0 ,F.M=  Brokerage/Rate Difference 0 ,Shortage = 983.8818 ,Greenish=  ,Moisture= 0</v>
      </c>
      <c r="BN670" s="41"/>
      <c r="BO670" s="44" t="str">
        <f t="shared" si="459"/>
        <v xml:space="preserve"> Party Condition 42  ,F.M% 0.33 ,Greenish 3 ,Moisture 4.2 ,Shortage in KG= 12.58  ,Oil% 39.55</v>
      </c>
      <c r="BP670" s="45">
        <f t="shared" si="460"/>
        <v>7378.8942476958509</v>
      </c>
      <c r="BQ670" s="41"/>
      <c r="BR670" s="41"/>
      <c r="BS670" s="41"/>
      <c r="BT670" s="41"/>
      <c r="BU670" s="41"/>
      <c r="BV670" s="41"/>
      <c r="BW670" s="85"/>
      <c r="BX670" s="27">
        <v>39.659999999999997</v>
      </c>
      <c r="BY670" s="27">
        <v>39.6</v>
      </c>
    </row>
    <row r="671" spans="1:77" ht="14.1" hidden="1" customHeight="1" x14ac:dyDescent="0.3">
      <c r="A671" s="163" t="s">
        <v>1337</v>
      </c>
      <c r="B671" s="130">
        <v>46161</v>
      </c>
      <c r="C671" s="277">
        <v>646</v>
      </c>
      <c r="D671" s="163" t="s">
        <v>1372</v>
      </c>
      <c r="E671" s="166">
        <v>46169</v>
      </c>
      <c r="F671" s="163" t="s">
        <v>1144</v>
      </c>
      <c r="G671" s="163" t="s">
        <v>1145</v>
      </c>
      <c r="H671" s="163" t="s">
        <v>100</v>
      </c>
      <c r="I671" s="157"/>
      <c r="J671" s="163" t="s">
        <v>1146</v>
      </c>
      <c r="K671" s="163">
        <v>0</v>
      </c>
      <c r="L671" s="166">
        <v>51640</v>
      </c>
      <c r="M671" s="157"/>
      <c r="N671" s="163" t="s">
        <v>1420</v>
      </c>
      <c r="O671" s="166">
        <v>46169</v>
      </c>
      <c r="P671" s="163">
        <v>0</v>
      </c>
      <c r="Q671" s="128">
        <v>122</v>
      </c>
      <c r="R671" s="128">
        <v>50</v>
      </c>
      <c r="S671" s="128">
        <v>172</v>
      </c>
      <c r="T671" s="128">
        <v>172</v>
      </c>
      <c r="U671" s="163">
        <v>0</v>
      </c>
      <c r="V671" s="136"/>
      <c r="W671" s="169">
        <v>87.1</v>
      </c>
      <c r="X671" s="169">
        <v>86.9</v>
      </c>
      <c r="Y671" s="169">
        <v>681209.1</v>
      </c>
      <c r="Z671" s="262">
        <v>39.56</v>
      </c>
      <c r="AA671" s="169">
        <v>17030.23</v>
      </c>
      <c r="AB671" s="169">
        <v>17030.23</v>
      </c>
      <c r="AC671" s="169">
        <v>715269.56</v>
      </c>
      <c r="AD671" s="244">
        <f t="shared" si="433"/>
        <v>714554.29044000001</v>
      </c>
      <c r="AE671" s="276">
        <v>39.56</v>
      </c>
      <c r="AF671" s="147">
        <v>42</v>
      </c>
      <c r="AG671" s="276">
        <v>39.56</v>
      </c>
      <c r="AH671" s="170">
        <v>3.2000000000000002E-3</v>
      </c>
      <c r="AI671" s="170">
        <v>0.03</v>
      </c>
      <c r="AJ671" s="170">
        <v>4.5999999999999999E-2</v>
      </c>
      <c r="AK671" s="155">
        <f t="shared" si="465"/>
        <v>39575.00485714282</v>
      </c>
      <c r="AL671" s="157">
        <v>0</v>
      </c>
      <c r="AM671" s="157"/>
      <c r="AN671" s="199">
        <v>0</v>
      </c>
      <c r="AO671" s="156">
        <f t="shared" si="462"/>
        <v>201.78179999999986</v>
      </c>
      <c r="AP671" s="157"/>
      <c r="AQ671" s="155">
        <v>0</v>
      </c>
      <c r="AR671" s="155">
        <f t="shared" si="463"/>
        <v>39776.786657142817</v>
      </c>
      <c r="AS671" s="155">
        <f t="shared" si="464"/>
        <v>41766</v>
      </c>
      <c r="AT671" s="197">
        <f t="shared" si="466"/>
        <v>2.5799999999999983</v>
      </c>
      <c r="AU671" s="199"/>
      <c r="AV671" s="157"/>
      <c r="AW671" s="155">
        <f t="shared" si="448"/>
        <v>8710</v>
      </c>
      <c r="AX671" s="157"/>
      <c r="AY671" s="155">
        <f t="shared" si="449"/>
        <v>8710</v>
      </c>
      <c r="AZ671" s="155">
        <f t="shared" si="450"/>
        <v>8690</v>
      </c>
      <c r="BA671" s="242">
        <f t="shared" si="451"/>
        <v>20</v>
      </c>
      <c r="BB671" s="246">
        <f t="shared" si="452"/>
        <v>17.420000000000002</v>
      </c>
      <c r="BC671" s="155">
        <v>0</v>
      </c>
      <c r="BD671" s="157"/>
      <c r="BE671" s="169">
        <v>87.1</v>
      </c>
      <c r="BF671" s="197">
        <f t="shared" si="453"/>
        <v>0.13064999999999999</v>
      </c>
      <c r="BG671" s="197">
        <f t="shared" si="454"/>
        <v>86.969349999999991</v>
      </c>
      <c r="BH671" s="197">
        <f t="shared" si="455"/>
        <v>86.9</v>
      </c>
      <c r="BI671" s="243">
        <f t="shared" si="456"/>
        <v>19.999999999998863</v>
      </c>
      <c r="BJ671" s="243">
        <v>0</v>
      </c>
      <c r="BK671" s="155">
        <f t="shared" si="457"/>
        <v>19.999999999998863</v>
      </c>
      <c r="BL671" s="47"/>
      <c r="BM671" s="48" t="str">
        <f t="shared" si="458"/>
        <v>Unloading no. 646 Bill No 2026-27/121 ,Deduction For Oil Deduction= 39575.0048571428 ,Bardana= 0 ,F.M=  Brokerage/Rate Difference 0 ,Shortage = 201.7818 ,Greenish=  ,Moisture= 0</v>
      </c>
      <c r="BN671" s="41"/>
      <c r="BO671" s="44" t="str">
        <f t="shared" si="459"/>
        <v xml:space="preserve"> Party Condition 42  ,F.M% 0.32 ,Greenish 3 ,Moisture 4.6 ,Shortage in KG= 2.58  ,Oil% 39.56</v>
      </c>
      <c r="BP671" s="45">
        <f t="shared" si="460"/>
        <v>7381.2694285714288</v>
      </c>
      <c r="BQ671" s="41"/>
      <c r="BR671" s="41"/>
      <c r="BS671" s="41"/>
      <c r="BT671" s="41"/>
      <c r="BU671" s="41"/>
      <c r="BV671" s="41"/>
      <c r="BW671" s="85"/>
      <c r="BX671" s="27">
        <v>39.6</v>
      </c>
      <c r="BY671" s="27">
        <v>39.549999999999997</v>
      </c>
    </row>
    <row r="672" spans="1:77" ht="14.1" hidden="1" customHeight="1" x14ac:dyDescent="0.3">
      <c r="A672" s="163" t="s">
        <v>1337</v>
      </c>
      <c r="B672" s="130">
        <v>46161</v>
      </c>
      <c r="C672" s="277">
        <v>647</v>
      </c>
      <c r="D672" s="163" t="s">
        <v>1373</v>
      </c>
      <c r="E672" s="166">
        <v>46169</v>
      </c>
      <c r="F672" s="163" t="s">
        <v>1144</v>
      </c>
      <c r="G672" s="163" t="s">
        <v>1145</v>
      </c>
      <c r="H672" s="163" t="s">
        <v>100</v>
      </c>
      <c r="I672" s="157"/>
      <c r="J672" s="163" t="s">
        <v>1146</v>
      </c>
      <c r="K672" s="163">
        <v>0</v>
      </c>
      <c r="L672" s="166">
        <v>51640</v>
      </c>
      <c r="M672" s="157"/>
      <c r="N672" s="163" t="s">
        <v>1421</v>
      </c>
      <c r="O672" s="166">
        <v>46169</v>
      </c>
      <c r="P672" s="163">
        <v>0</v>
      </c>
      <c r="Q672" s="128">
        <v>100</v>
      </c>
      <c r="R672" s="128">
        <v>72</v>
      </c>
      <c r="S672" s="128">
        <v>172</v>
      </c>
      <c r="T672" s="128">
        <v>172</v>
      </c>
      <c r="U672" s="163">
        <v>0</v>
      </c>
      <c r="V672" s="136"/>
      <c r="W672" s="169">
        <v>87.1</v>
      </c>
      <c r="X672" s="169">
        <v>86.7</v>
      </c>
      <c r="Y672" s="169">
        <v>681209.1</v>
      </c>
      <c r="Z672" s="262">
        <v>39.590000000000003</v>
      </c>
      <c r="AA672" s="169">
        <v>17030.23</v>
      </c>
      <c r="AB672" s="169">
        <v>17030.23</v>
      </c>
      <c r="AC672" s="169">
        <v>715269.56</v>
      </c>
      <c r="AD672" s="244">
        <f t="shared" ref="AD672:AD679" si="467">SUM(AC672-AC672*0.1%)</f>
        <v>714554.29044000001</v>
      </c>
      <c r="AE672" s="276">
        <v>39.590000000000003</v>
      </c>
      <c r="AF672" s="147">
        <v>42</v>
      </c>
      <c r="AG672" s="276">
        <v>39.590000000000003</v>
      </c>
      <c r="AH672" s="170">
        <v>3.0000000000000001E-3</v>
      </c>
      <c r="AI672" s="170">
        <v>3.3000000000000002E-2</v>
      </c>
      <c r="AJ672" s="170">
        <v>5.1999999999999998E-2</v>
      </c>
      <c r="AK672" s="155">
        <f t="shared" si="465"/>
        <v>39088.426928571367</v>
      </c>
      <c r="AL672" s="157">
        <v>0</v>
      </c>
      <c r="AM672" s="157"/>
      <c r="AN672" s="199">
        <v>0</v>
      </c>
      <c r="AO672" s="156">
        <f t="shared" si="462"/>
        <v>1765.9817999999998</v>
      </c>
      <c r="AP672" s="157"/>
      <c r="AQ672" s="155">
        <v>0</v>
      </c>
      <c r="AR672" s="155">
        <f t="shared" si="463"/>
        <v>40854.408728571369</v>
      </c>
      <c r="AS672" s="155">
        <f t="shared" si="464"/>
        <v>42897</v>
      </c>
      <c r="AT672" s="197">
        <f t="shared" si="466"/>
        <v>22.58</v>
      </c>
      <c r="AU672" s="199"/>
      <c r="AV672" s="157"/>
      <c r="AW672" s="155">
        <f t="shared" si="448"/>
        <v>8710</v>
      </c>
      <c r="AX672" s="157"/>
      <c r="AY672" s="155">
        <f t="shared" si="449"/>
        <v>8710</v>
      </c>
      <c r="AZ672" s="155">
        <f t="shared" si="450"/>
        <v>8670</v>
      </c>
      <c r="BA672" s="242">
        <f t="shared" si="451"/>
        <v>40</v>
      </c>
      <c r="BB672" s="246">
        <f t="shared" si="452"/>
        <v>17.420000000000002</v>
      </c>
      <c r="BC672" s="155">
        <v>0</v>
      </c>
      <c r="BD672" s="157"/>
      <c r="BE672" s="169">
        <v>87.1</v>
      </c>
      <c r="BF672" s="197">
        <f t="shared" si="453"/>
        <v>0.13064999999999999</v>
      </c>
      <c r="BG672" s="197">
        <f t="shared" si="454"/>
        <v>86.969349999999991</v>
      </c>
      <c r="BH672" s="197">
        <f t="shared" si="455"/>
        <v>86.7</v>
      </c>
      <c r="BI672" s="243">
        <f t="shared" si="456"/>
        <v>39.999999999999147</v>
      </c>
      <c r="BJ672" s="243">
        <v>0</v>
      </c>
      <c r="BK672" s="155">
        <f t="shared" si="457"/>
        <v>39.999999999999147</v>
      </c>
      <c r="BL672" s="47"/>
      <c r="BM672" s="48" t="str">
        <f t="shared" si="458"/>
        <v>Unloading no. 647 Bill No 2026-27/122 ,Deduction For Oil Deduction= 39088.4269285714 ,Bardana= 0 ,F.M=  Brokerage/Rate Difference 0 ,Shortage = 1765.9818 ,Greenish=  ,Moisture= 0</v>
      </c>
      <c r="BN672" s="41"/>
      <c r="BO672" s="44" t="str">
        <f t="shared" si="459"/>
        <v xml:space="preserve"> Party Condition 42  ,F.M% 0.3 ,Greenish 3.3 ,Moisture 5.2 ,Shortage in KG= 22.58  ,Oil% 39.59</v>
      </c>
      <c r="BP672" s="45">
        <f t="shared" si="460"/>
        <v>7385.8672580326247</v>
      </c>
      <c r="BQ672" s="41"/>
      <c r="BR672" s="41"/>
      <c r="BS672" s="41"/>
      <c r="BT672" s="41"/>
      <c r="BU672" s="41"/>
      <c r="BV672" s="41"/>
      <c r="BW672" s="85"/>
      <c r="BX672" s="27">
        <v>39.29</v>
      </c>
      <c r="BY672" s="27">
        <v>39.19</v>
      </c>
    </row>
    <row r="673" spans="1:77" ht="14.1" hidden="1" customHeight="1" x14ac:dyDescent="0.3">
      <c r="A673" s="163" t="s">
        <v>1337</v>
      </c>
      <c r="B673" s="130">
        <v>46161</v>
      </c>
      <c r="C673" s="277">
        <v>648</v>
      </c>
      <c r="D673" s="163" t="s">
        <v>1374</v>
      </c>
      <c r="E673" s="166">
        <v>46169</v>
      </c>
      <c r="F673" s="163" t="s">
        <v>1144</v>
      </c>
      <c r="G673" s="163" t="s">
        <v>1145</v>
      </c>
      <c r="H673" s="163" t="s">
        <v>100</v>
      </c>
      <c r="I673" s="157"/>
      <c r="J673" s="163" t="s">
        <v>1146</v>
      </c>
      <c r="K673" s="163">
        <v>0</v>
      </c>
      <c r="L673" s="166">
        <v>51640</v>
      </c>
      <c r="M673" s="157"/>
      <c r="N673" s="163" t="s">
        <v>1422</v>
      </c>
      <c r="O673" s="166">
        <v>46169</v>
      </c>
      <c r="P673" s="163">
        <v>0</v>
      </c>
      <c r="Q673" s="128">
        <v>120</v>
      </c>
      <c r="R673" s="128">
        <v>50</v>
      </c>
      <c r="S673" s="128">
        <v>170</v>
      </c>
      <c r="T673" s="128">
        <v>170</v>
      </c>
      <c r="U673" s="163">
        <v>0</v>
      </c>
      <c r="V673" s="136"/>
      <c r="W673" s="169">
        <v>86.1</v>
      </c>
      <c r="X673" s="169">
        <v>85.8</v>
      </c>
      <c r="Y673" s="169">
        <v>673388.1</v>
      </c>
      <c r="Z673" s="262">
        <v>39.630000000000003</v>
      </c>
      <c r="AA673" s="169">
        <v>16834.7</v>
      </c>
      <c r="AB673" s="169">
        <v>16834.7</v>
      </c>
      <c r="AC673" s="169">
        <v>707057.51</v>
      </c>
      <c r="AD673" s="244">
        <f t="shared" si="467"/>
        <v>706350.45249000005</v>
      </c>
      <c r="AE673" s="276">
        <v>39.630000000000003</v>
      </c>
      <c r="AF673" s="147">
        <v>42</v>
      </c>
      <c r="AG673" s="276">
        <v>39.630000000000003</v>
      </c>
      <c r="AH673" s="170">
        <v>3.3999999999999998E-3</v>
      </c>
      <c r="AI673" s="170">
        <v>3.2000000000000001E-2</v>
      </c>
      <c r="AJ673" s="170">
        <v>5.5E-2</v>
      </c>
      <c r="AK673" s="155">
        <f t="shared" si="465"/>
        <v>37998.32849999996</v>
      </c>
      <c r="AL673" s="157">
        <v>0</v>
      </c>
      <c r="AM673" s="157"/>
      <c r="AN673" s="199">
        <v>0</v>
      </c>
      <c r="AO673" s="156">
        <f t="shared" si="462"/>
        <v>999.52379999999994</v>
      </c>
      <c r="AP673" s="157"/>
      <c r="AQ673" s="155">
        <v>0</v>
      </c>
      <c r="AR673" s="155">
        <f t="shared" si="463"/>
        <v>38997.852299999962</v>
      </c>
      <c r="AS673" s="155">
        <f t="shared" si="464"/>
        <v>40948</v>
      </c>
      <c r="AT673" s="197">
        <f t="shared" si="466"/>
        <v>12.780000000000001</v>
      </c>
      <c r="AU673" s="199"/>
      <c r="AV673" s="157"/>
      <c r="AW673" s="155">
        <f t="shared" si="448"/>
        <v>8610</v>
      </c>
      <c r="AX673" s="157"/>
      <c r="AY673" s="155">
        <f t="shared" si="449"/>
        <v>8610</v>
      </c>
      <c r="AZ673" s="155">
        <f t="shared" si="450"/>
        <v>8580</v>
      </c>
      <c r="BA673" s="242">
        <f t="shared" si="451"/>
        <v>30</v>
      </c>
      <c r="BB673" s="246">
        <f t="shared" si="452"/>
        <v>17.22</v>
      </c>
      <c r="BC673" s="155">
        <v>0</v>
      </c>
      <c r="BD673" s="157"/>
      <c r="BE673" s="169">
        <v>86.1</v>
      </c>
      <c r="BF673" s="197">
        <f t="shared" si="453"/>
        <v>0.12914999999999999</v>
      </c>
      <c r="BG673" s="197">
        <f t="shared" si="454"/>
        <v>85.970849999999999</v>
      </c>
      <c r="BH673" s="197">
        <f t="shared" si="455"/>
        <v>85.8</v>
      </c>
      <c r="BI673" s="243">
        <f t="shared" si="456"/>
        <v>29.999999999999716</v>
      </c>
      <c r="BJ673" s="243">
        <v>0</v>
      </c>
      <c r="BK673" s="155">
        <f t="shared" si="457"/>
        <v>29.999999999999716</v>
      </c>
      <c r="BL673" s="47"/>
      <c r="BM673" s="48" t="str">
        <f t="shared" si="458"/>
        <v>Unloading no. 648 Bill No 2026-27/124 ,Deduction For Oil Deduction= 37998.3285 ,Bardana= 0 ,F.M=  Brokerage/Rate Difference 0 ,Shortage = 999.5238 ,Greenish=  ,Moisture= 0</v>
      </c>
      <c r="BN673" s="41"/>
      <c r="BO673" s="44" t="str">
        <f t="shared" si="459"/>
        <v xml:space="preserve"> Party Condition 42  ,F.M% 0.34 ,Greenish 3.2 ,Moisture 5.5 ,Shortage in KG= 12.78  ,Oil% 39.63</v>
      </c>
      <c r="BP673" s="45">
        <f t="shared" si="460"/>
        <v>7393.825730769232</v>
      </c>
      <c r="BQ673" s="41"/>
      <c r="BR673" s="41"/>
      <c r="BS673" s="41"/>
      <c r="BT673" s="41"/>
      <c r="BU673" s="41"/>
      <c r="BV673" s="41"/>
      <c r="BW673" s="85"/>
      <c r="BX673" s="27">
        <v>39.4</v>
      </c>
      <c r="BY673" s="27">
        <v>39.42</v>
      </c>
    </row>
    <row r="674" spans="1:77" ht="14.1" hidden="1" customHeight="1" x14ac:dyDescent="0.3">
      <c r="A674" s="163" t="s">
        <v>1337</v>
      </c>
      <c r="B674" s="130">
        <v>46161</v>
      </c>
      <c r="C674" s="277">
        <v>649</v>
      </c>
      <c r="D674" s="163" t="s">
        <v>1375</v>
      </c>
      <c r="E674" s="166">
        <v>46169</v>
      </c>
      <c r="F674" s="163" t="s">
        <v>1144</v>
      </c>
      <c r="G674" s="163" t="s">
        <v>1145</v>
      </c>
      <c r="H674" s="163" t="s">
        <v>100</v>
      </c>
      <c r="I674" s="157"/>
      <c r="J674" s="163" t="s">
        <v>1146</v>
      </c>
      <c r="K674" s="163">
        <v>0</v>
      </c>
      <c r="L674" s="166">
        <v>51640</v>
      </c>
      <c r="M674" s="157"/>
      <c r="N674" s="163" t="s">
        <v>1423</v>
      </c>
      <c r="O674" s="166">
        <v>46169</v>
      </c>
      <c r="P674" s="163">
        <v>0</v>
      </c>
      <c r="Q674" s="128">
        <v>100</v>
      </c>
      <c r="R674" s="128">
        <v>70</v>
      </c>
      <c r="S674" s="128">
        <v>170</v>
      </c>
      <c r="T674" s="128">
        <v>170</v>
      </c>
      <c r="U674" s="163">
        <v>0</v>
      </c>
      <c r="V674" s="136"/>
      <c r="W674" s="169">
        <v>86.3</v>
      </c>
      <c r="X674" s="169">
        <v>86</v>
      </c>
      <c r="Y674" s="169">
        <v>674952.3</v>
      </c>
      <c r="Z674" s="262">
        <v>39.83</v>
      </c>
      <c r="AA674" s="169">
        <v>16873.810000000001</v>
      </c>
      <c r="AB674" s="169">
        <v>16873.810000000001</v>
      </c>
      <c r="AC674" s="169">
        <v>708699.92</v>
      </c>
      <c r="AD674" s="244">
        <f t="shared" si="467"/>
        <v>707991.22008</v>
      </c>
      <c r="AE674" s="276">
        <v>39.83</v>
      </c>
      <c r="AF674" s="147">
        <v>42</v>
      </c>
      <c r="AG674" s="276">
        <v>39.83</v>
      </c>
      <c r="AH674" s="170">
        <v>3.7000000000000002E-3</v>
      </c>
      <c r="AI674" s="170">
        <v>3.1600000000000003E-2</v>
      </c>
      <c r="AJ674" s="170">
        <v>5.6000000000000001E-2</v>
      </c>
      <c r="AK674" s="155">
        <f t="shared" si="465"/>
        <v>34872.535500000027</v>
      </c>
      <c r="AL674" s="157">
        <v>0</v>
      </c>
      <c r="AM674" s="157"/>
      <c r="AN674" s="199">
        <v>0</v>
      </c>
      <c r="AO674" s="156">
        <f t="shared" si="462"/>
        <v>996.39539999999988</v>
      </c>
      <c r="AP674" s="157"/>
      <c r="AQ674" s="155">
        <v>0</v>
      </c>
      <c r="AR674" s="155">
        <f t="shared" si="463"/>
        <v>35868.930900000028</v>
      </c>
      <c r="AS674" s="155">
        <f t="shared" si="464"/>
        <v>37662</v>
      </c>
      <c r="AT674" s="197">
        <f t="shared" si="466"/>
        <v>12.739999999999998</v>
      </c>
      <c r="AU674" s="199"/>
      <c r="AV674" s="157"/>
      <c r="AW674" s="155">
        <f t="shared" si="448"/>
        <v>8630</v>
      </c>
      <c r="AX674" s="157"/>
      <c r="AY674" s="155">
        <f t="shared" si="449"/>
        <v>8630</v>
      </c>
      <c r="AZ674" s="155">
        <f t="shared" si="450"/>
        <v>8600</v>
      </c>
      <c r="BA674" s="242">
        <f t="shared" si="451"/>
        <v>30</v>
      </c>
      <c r="BB674" s="246">
        <f t="shared" si="452"/>
        <v>17.260000000000002</v>
      </c>
      <c r="BC674" s="155">
        <v>0</v>
      </c>
      <c r="BD674" s="157"/>
      <c r="BE674" s="169">
        <v>86.3</v>
      </c>
      <c r="BF674" s="197">
        <f t="shared" si="453"/>
        <v>0.12944999999999998</v>
      </c>
      <c r="BG674" s="197">
        <f t="shared" si="454"/>
        <v>86.170549999999992</v>
      </c>
      <c r="BH674" s="197">
        <f t="shared" si="455"/>
        <v>86</v>
      </c>
      <c r="BI674" s="243">
        <f t="shared" si="456"/>
        <v>29.999999999999716</v>
      </c>
      <c r="BJ674" s="243">
        <v>0</v>
      </c>
      <c r="BK674" s="155">
        <f t="shared" si="457"/>
        <v>29.999999999999716</v>
      </c>
      <c r="BL674" s="47"/>
      <c r="BM674" s="48" t="str">
        <f t="shared" si="458"/>
        <v>Unloading no. 649 Bill No 2026-27/125 ,Deduction For Oil Deduction= 34872.5355 ,Bardana= 0 ,F.M=  Brokerage/Rate Difference 0 ,Shortage = 996.3954 ,Greenish=  ,Moisture= 0</v>
      </c>
      <c r="BN674" s="41"/>
      <c r="BO674" s="44" t="str">
        <f t="shared" si="459"/>
        <v xml:space="preserve"> Party Condition 42  ,F.M% 0.37 ,Greenish 3.16 ,Moisture 5.6 ,Shortage in KG= 12.74  ,Oil% 39.83</v>
      </c>
      <c r="BP674" s="45">
        <f t="shared" si="460"/>
        <v>7431.2019662790699</v>
      </c>
      <c r="BQ674" s="41"/>
      <c r="BR674" s="41"/>
      <c r="BS674" s="41"/>
      <c r="BT674" s="41"/>
      <c r="BU674" s="41"/>
      <c r="BV674" s="41"/>
      <c r="BW674" s="85"/>
      <c r="BX674" s="27">
        <v>39.92</v>
      </c>
      <c r="BY674" s="27">
        <v>39.799999999999997</v>
      </c>
    </row>
    <row r="675" spans="1:77" ht="14.1" hidden="1" customHeight="1" x14ac:dyDescent="0.3">
      <c r="A675" s="163" t="s">
        <v>1337</v>
      </c>
      <c r="B675" s="130">
        <v>46161</v>
      </c>
      <c r="C675" s="277">
        <v>650</v>
      </c>
      <c r="D675" s="163" t="s">
        <v>1376</v>
      </c>
      <c r="E675" s="166">
        <v>46169</v>
      </c>
      <c r="F675" s="163" t="s">
        <v>1144</v>
      </c>
      <c r="G675" s="163" t="s">
        <v>1145</v>
      </c>
      <c r="H675" s="163" t="s">
        <v>100</v>
      </c>
      <c r="I675" s="157"/>
      <c r="J675" s="163" t="s">
        <v>1146</v>
      </c>
      <c r="K675" s="163">
        <v>0</v>
      </c>
      <c r="L675" s="166">
        <v>51640</v>
      </c>
      <c r="M675" s="157"/>
      <c r="N675" s="163" t="s">
        <v>1424</v>
      </c>
      <c r="O675" s="166">
        <v>46169</v>
      </c>
      <c r="P675" s="163">
        <v>0</v>
      </c>
      <c r="Q675" s="128">
        <v>140</v>
      </c>
      <c r="R675" s="128">
        <v>30</v>
      </c>
      <c r="S675" s="128">
        <v>170</v>
      </c>
      <c r="T675" s="128">
        <v>170</v>
      </c>
      <c r="U675" s="163">
        <v>0</v>
      </c>
      <c r="V675" s="136"/>
      <c r="W675" s="169">
        <v>85.9</v>
      </c>
      <c r="X675" s="169">
        <v>85.6</v>
      </c>
      <c r="Y675" s="169">
        <v>671823.9</v>
      </c>
      <c r="Z675" s="262">
        <v>39.68</v>
      </c>
      <c r="AA675" s="169">
        <v>16795.599999999999</v>
      </c>
      <c r="AB675" s="169">
        <v>16795.599999999999</v>
      </c>
      <c r="AC675" s="169">
        <v>705415.1</v>
      </c>
      <c r="AD675" s="244">
        <f t="shared" si="467"/>
        <v>704709.68489999999</v>
      </c>
      <c r="AE675" s="276">
        <v>39.68</v>
      </c>
      <c r="AF675" s="147">
        <v>42</v>
      </c>
      <c r="AG675" s="276">
        <v>39.68</v>
      </c>
      <c r="AH675" s="170">
        <v>3.5000000000000001E-3</v>
      </c>
      <c r="AI675" s="170">
        <v>3.2000000000000001E-2</v>
      </c>
      <c r="AJ675" s="170">
        <v>5.2999999999999999E-2</v>
      </c>
      <c r="AK675" s="155">
        <f t="shared" si="465"/>
        <v>37110.272571428577</v>
      </c>
      <c r="AL675" s="157">
        <v>0</v>
      </c>
      <c r="AM675" s="157"/>
      <c r="AN675" s="199">
        <v>0</v>
      </c>
      <c r="AO675" s="156">
        <f t="shared" si="462"/>
        <v>1002.6522</v>
      </c>
      <c r="AP675" s="157"/>
      <c r="AQ675" s="155">
        <v>0</v>
      </c>
      <c r="AR675" s="155">
        <f t="shared" si="463"/>
        <v>38112.924771428574</v>
      </c>
      <c r="AS675" s="155">
        <f t="shared" si="464"/>
        <v>40019</v>
      </c>
      <c r="AT675" s="197">
        <f t="shared" si="466"/>
        <v>12.82</v>
      </c>
      <c r="AU675" s="199"/>
      <c r="AV675" s="157"/>
      <c r="AW675" s="155">
        <f t="shared" si="448"/>
        <v>8590</v>
      </c>
      <c r="AX675" s="157"/>
      <c r="AY675" s="155">
        <f t="shared" si="449"/>
        <v>8590</v>
      </c>
      <c r="AZ675" s="155">
        <f t="shared" si="450"/>
        <v>8560</v>
      </c>
      <c r="BA675" s="242">
        <f t="shared" si="451"/>
        <v>30</v>
      </c>
      <c r="BB675" s="246">
        <f t="shared" si="452"/>
        <v>17.18</v>
      </c>
      <c r="BC675" s="155">
        <v>0</v>
      </c>
      <c r="BD675" s="157"/>
      <c r="BE675" s="169">
        <v>85.9</v>
      </c>
      <c r="BF675" s="197">
        <f t="shared" si="453"/>
        <v>0.12884999999999999</v>
      </c>
      <c r="BG675" s="197">
        <f t="shared" si="454"/>
        <v>85.771150000000006</v>
      </c>
      <c r="BH675" s="197">
        <f t="shared" si="455"/>
        <v>85.6</v>
      </c>
      <c r="BI675" s="243">
        <f t="shared" si="456"/>
        <v>30.000000000001137</v>
      </c>
      <c r="BJ675" s="243">
        <v>0</v>
      </c>
      <c r="BK675" s="155">
        <f t="shared" si="457"/>
        <v>30.000000000001137</v>
      </c>
      <c r="BL675" s="47"/>
      <c r="BM675" s="48" t="str">
        <f t="shared" si="458"/>
        <v>Unloading no. 650 Bill No 2026-27/126 ,Deduction For Oil Deduction= 37110.2725714286 ,Bardana= 0 ,F.M=  Brokerage/Rate Difference 0 ,Shortage = 1002.6522 ,Greenish=  ,Moisture= 0</v>
      </c>
      <c r="BN675" s="41"/>
      <c r="BO675" s="44" t="str">
        <f t="shared" si="459"/>
        <v xml:space="preserve"> Party Condition 42  ,F.M% 0.35 ,Greenish 3.2 ,Moisture 5.3 ,Shortage in KG= 12.82  ,Oil% 39.68</v>
      </c>
      <c r="BP675" s="45">
        <f t="shared" si="460"/>
        <v>7403.1655984646204</v>
      </c>
      <c r="BQ675" s="41"/>
      <c r="BR675" s="41"/>
      <c r="BS675" s="41"/>
      <c r="BT675" s="41"/>
      <c r="BU675" s="41"/>
      <c r="BV675" s="41"/>
      <c r="BW675" s="85"/>
      <c r="BX675" s="27">
        <v>39.85</v>
      </c>
      <c r="BY675" s="27">
        <v>39.729999999999997</v>
      </c>
    </row>
    <row r="676" spans="1:77" ht="14.1" hidden="1" customHeight="1" x14ac:dyDescent="0.3">
      <c r="A676" s="163" t="s">
        <v>1337</v>
      </c>
      <c r="B676" s="130">
        <v>46161</v>
      </c>
      <c r="C676" s="277">
        <v>651</v>
      </c>
      <c r="D676" s="163" t="s">
        <v>1377</v>
      </c>
      <c r="E676" s="166">
        <v>46169</v>
      </c>
      <c r="F676" s="163" t="s">
        <v>1144</v>
      </c>
      <c r="G676" s="163" t="s">
        <v>1145</v>
      </c>
      <c r="H676" s="163" t="s">
        <v>100</v>
      </c>
      <c r="I676" s="157"/>
      <c r="J676" s="163" t="s">
        <v>1146</v>
      </c>
      <c r="K676" s="163">
        <v>0</v>
      </c>
      <c r="L676" s="166">
        <v>51640</v>
      </c>
      <c r="M676" s="157"/>
      <c r="N676" s="163" t="s">
        <v>1425</v>
      </c>
      <c r="O676" s="166">
        <v>46169</v>
      </c>
      <c r="P676" s="163">
        <v>0</v>
      </c>
      <c r="Q676" s="128">
        <v>100</v>
      </c>
      <c r="R676" s="128">
        <v>70</v>
      </c>
      <c r="S676" s="128">
        <v>170</v>
      </c>
      <c r="T676" s="128">
        <v>170</v>
      </c>
      <c r="U676" s="163">
        <v>0</v>
      </c>
      <c r="V676" s="136"/>
      <c r="W676" s="169">
        <v>86</v>
      </c>
      <c r="X676" s="169">
        <v>85.8</v>
      </c>
      <c r="Y676" s="169">
        <v>672606</v>
      </c>
      <c r="Z676" s="262">
        <v>39.76</v>
      </c>
      <c r="AA676" s="169">
        <v>16815.150000000001</v>
      </c>
      <c r="AB676" s="169">
        <v>16815.150000000001</v>
      </c>
      <c r="AC676" s="169">
        <v>706236.3</v>
      </c>
      <c r="AD676" s="244">
        <f t="shared" si="467"/>
        <v>705530.06370000006</v>
      </c>
      <c r="AE676" s="276">
        <v>39.76</v>
      </c>
      <c r="AF676" s="147">
        <v>42</v>
      </c>
      <c r="AG676" s="276">
        <v>39.76</v>
      </c>
      <c r="AH676" s="170">
        <v>3.8E-3</v>
      </c>
      <c r="AI676" s="170">
        <v>3.4000000000000002E-2</v>
      </c>
      <c r="AJ676" s="170">
        <v>5.3999999999999999E-2</v>
      </c>
      <c r="AK676" s="155">
        <f t="shared" si="465"/>
        <v>35872.320000000029</v>
      </c>
      <c r="AL676" s="157">
        <v>0</v>
      </c>
      <c r="AM676" s="157"/>
      <c r="AN676" s="199">
        <v>0</v>
      </c>
      <c r="AO676" s="156">
        <f t="shared" si="462"/>
        <v>218.98800000000006</v>
      </c>
      <c r="AP676" s="157"/>
      <c r="AQ676" s="155">
        <v>0</v>
      </c>
      <c r="AR676" s="155">
        <f t="shared" si="463"/>
        <v>36091.308000000026</v>
      </c>
      <c r="AS676" s="155">
        <f t="shared" si="464"/>
        <v>37896</v>
      </c>
      <c r="AT676" s="197">
        <f t="shared" si="466"/>
        <v>2.8000000000000007</v>
      </c>
      <c r="AU676" s="199"/>
      <c r="AV676" s="157"/>
      <c r="AW676" s="155">
        <f t="shared" si="448"/>
        <v>8600</v>
      </c>
      <c r="AX676" s="157"/>
      <c r="AY676" s="155">
        <f t="shared" si="449"/>
        <v>8600</v>
      </c>
      <c r="AZ676" s="155">
        <f t="shared" si="450"/>
        <v>8580</v>
      </c>
      <c r="BA676" s="242">
        <f t="shared" si="451"/>
        <v>20</v>
      </c>
      <c r="BB676" s="246">
        <f t="shared" si="452"/>
        <v>17.2</v>
      </c>
      <c r="BC676" s="155">
        <v>0</v>
      </c>
      <c r="BD676" s="157"/>
      <c r="BE676" s="169">
        <v>86</v>
      </c>
      <c r="BF676" s="197">
        <f t="shared" si="453"/>
        <v>0.129</v>
      </c>
      <c r="BG676" s="197">
        <f t="shared" si="454"/>
        <v>85.870999999999995</v>
      </c>
      <c r="BH676" s="197">
        <f t="shared" si="455"/>
        <v>85.8</v>
      </c>
      <c r="BI676" s="243">
        <f t="shared" si="456"/>
        <v>20.000000000000284</v>
      </c>
      <c r="BJ676" s="243">
        <v>0</v>
      </c>
      <c r="BK676" s="155">
        <f t="shared" si="457"/>
        <v>20.000000000000284</v>
      </c>
      <c r="BL676" s="47"/>
      <c r="BM676" s="48" t="str">
        <f t="shared" si="458"/>
        <v>Unloading no. 651 Bill No 2026-27/123 ,Deduction For Oil Deduction= 35872.32 ,Bardana= 0 ,F.M=  Brokerage/Rate Difference 0 ,Shortage = 218.988 ,Greenish=  ,Moisture= 0</v>
      </c>
      <c r="BN676" s="41"/>
      <c r="BO676" s="44" t="str">
        <f t="shared" si="459"/>
        <v xml:space="preserve"> Party Condition 42  ,F.M% 0.38 ,Greenish 3.4 ,Moisture 5.4 ,Shortage in KG= 2.8  ,Oil% 39.76</v>
      </c>
      <c r="BP676" s="45">
        <f t="shared" si="460"/>
        <v>7418.5861538461531</v>
      </c>
      <c r="BQ676" s="41"/>
      <c r="BR676" s="41"/>
      <c r="BS676" s="41"/>
      <c r="BT676" s="41"/>
      <c r="BU676" s="41"/>
      <c r="BV676" s="41"/>
      <c r="BW676" s="85"/>
      <c r="BX676" s="27">
        <v>40.11</v>
      </c>
      <c r="BY676" s="27">
        <v>40.03</v>
      </c>
    </row>
    <row r="677" spans="1:77" ht="14.1" hidden="1" customHeight="1" x14ac:dyDescent="0.3">
      <c r="A677" s="128" t="s">
        <v>1337</v>
      </c>
      <c r="B677" s="130">
        <v>46161</v>
      </c>
      <c r="C677" s="278">
        <v>652</v>
      </c>
      <c r="D677" s="128" t="s">
        <v>1378</v>
      </c>
      <c r="E677" s="130">
        <v>46169</v>
      </c>
      <c r="F677" s="128" t="s">
        <v>1144</v>
      </c>
      <c r="G677" s="128" t="s">
        <v>1145</v>
      </c>
      <c r="H677" s="128" t="s">
        <v>100</v>
      </c>
      <c r="I677" s="136"/>
      <c r="J677" s="128" t="s">
        <v>1146</v>
      </c>
      <c r="K677" s="163">
        <v>0</v>
      </c>
      <c r="L677" s="130">
        <v>51640</v>
      </c>
      <c r="M677" s="136"/>
      <c r="N677" s="128" t="s">
        <v>1426</v>
      </c>
      <c r="O677" s="130">
        <v>46169</v>
      </c>
      <c r="P677" s="128">
        <v>0</v>
      </c>
      <c r="Q677" s="128">
        <v>120</v>
      </c>
      <c r="R677" s="128">
        <v>50</v>
      </c>
      <c r="S677" s="128">
        <v>170</v>
      </c>
      <c r="T677" s="128">
        <v>170</v>
      </c>
      <c r="U677" s="163">
        <v>0</v>
      </c>
      <c r="V677" s="136"/>
      <c r="W677" s="169">
        <v>86.1</v>
      </c>
      <c r="X677" s="169">
        <v>86.2</v>
      </c>
      <c r="Y677" s="169">
        <v>673388.1</v>
      </c>
      <c r="Z677" s="262">
        <v>39.909999999999997</v>
      </c>
      <c r="AA677" s="169">
        <v>16834.7</v>
      </c>
      <c r="AB677" s="169">
        <v>16834.7</v>
      </c>
      <c r="AC677" s="169">
        <v>707057.51</v>
      </c>
      <c r="AD677" s="244">
        <f t="shared" si="467"/>
        <v>706350.45249000005</v>
      </c>
      <c r="AE677" s="276">
        <v>39.909999999999997</v>
      </c>
      <c r="AF677" s="147">
        <v>42</v>
      </c>
      <c r="AG677" s="276">
        <v>39.909999999999997</v>
      </c>
      <c r="AH677" s="170">
        <v>3.2000000000000002E-3</v>
      </c>
      <c r="AI677" s="170">
        <v>3.2800000000000003E-2</v>
      </c>
      <c r="AJ677" s="170">
        <v>5.5E-2</v>
      </c>
      <c r="AK677" s="155">
        <f t="shared" si="465"/>
        <v>33509.074500000053</v>
      </c>
      <c r="AL677" s="157">
        <v>0</v>
      </c>
      <c r="AM677" s="157"/>
      <c r="AN677" s="199">
        <v>0</v>
      </c>
      <c r="AO677" s="156">
        <f t="shared" si="462"/>
        <v>0</v>
      </c>
      <c r="AP677" s="157"/>
      <c r="AQ677" s="155">
        <v>0</v>
      </c>
      <c r="AR677" s="155">
        <f t="shared" si="463"/>
        <v>33509.074500000053</v>
      </c>
      <c r="AS677" s="155">
        <f t="shared" si="464"/>
        <v>35185</v>
      </c>
      <c r="AT677" s="197">
        <v>0</v>
      </c>
      <c r="AU677" s="199"/>
      <c r="AV677" s="157"/>
      <c r="AW677" s="155">
        <f t="shared" si="448"/>
        <v>8610</v>
      </c>
      <c r="AX677" s="157"/>
      <c r="AY677" s="155">
        <f t="shared" si="449"/>
        <v>8610</v>
      </c>
      <c r="AZ677" s="155">
        <f t="shared" si="450"/>
        <v>8620</v>
      </c>
      <c r="BA677" s="242">
        <f t="shared" si="451"/>
        <v>-10</v>
      </c>
      <c r="BB677" s="246">
        <f t="shared" si="452"/>
        <v>17.22</v>
      </c>
      <c r="BC677" s="155">
        <v>0</v>
      </c>
      <c r="BD677" s="157"/>
      <c r="BE677" s="169">
        <v>86.1</v>
      </c>
      <c r="BF677" s="197">
        <f t="shared" si="453"/>
        <v>0.12914999999999999</v>
      </c>
      <c r="BG677" s="197">
        <f t="shared" si="454"/>
        <v>85.970849999999999</v>
      </c>
      <c r="BH677" s="197">
        <f t="shared" si="455"/>
        <v>86.2</v>
      </c>
      <c r="BI677" s="243">
        <f t="shared" si="456"/>
        <v>-10.000000000000853</v>
      </c>
      <c r="BJ677" s="243">
        <v>0</v>
      </c>
      <c r="BK677" s="155">
        <f t="shared" si="457"/>
        <v>-10.000000000000853</v>
      </c>
      <c r="BL677" s="47"/>
      <c r="BM677" s="48" t="str">
        <f t="shared" si="458"/>
        <v>Unloading no. 652 Bill No 2026-27/127 ,Deduction For Oil Deduction= 33509.0745000001 ,Bardana= 0 ,F.M=  Brokerage/Rate Difference 0 ,Shortage = 0 ,Greenish=  ,Moisture= 0</v>
      </c>
      <c r="BN677" s="41"/>
      <c r="BO677" s="44" t="str">
        <f t="shared" si="459"/>
        <v xml:space="preserve"> Party Condition 42  ,F.M% 0.32 ,Greenish 3.28 ,Moisture 5.5 ,Shortage in KG= 0  ,Oil% 39.91</v>
      </c>
      <c r="BP677" s="45">
        <f t="shared" si="460"/>
        <v>7423.190551044082</v>
      </c>
      <c r="BQ677" s="41"/>
      <c r="BR677" s="41"/>
      <c r="BS677" s="41"/>
      <c r="BT677" s="41"/>
      <c r="BU677" s="41"/>
      <c r="BV677" s="41"/>
      <c r="BW677" s="85"/>
      <c r="BX677" s="27">
        <v>39.75</v>
      </c>
      <c r="BY677" s="27">
        <v>39.65</v>
      </c>
    </row>
    <row r="678" spans="1:77" ht="14.1" hidden="1" customHeight="1" x14ac:dyDescent="0.3">
      <c r="A678" s="128" t="s">
        <v>1338</v>
      </c>
      <c r="B678" s="130">
        <v>46169</v>
      </c>
      <c r="C678" s="278">
        <v>653</v>
      </c>
      <c r="D678" s="128" t="s">
        <v>1379</v>
      </c>
      <c r="E678" s="130">
        <v>46169</v>
      </c>
      <c r="F678" s="128" t="s">
        <v>1385</v>
      </c>
      <c r="G678" s="128" t="s">
        <v>1386</v>
      </c>
      <c r="H678" s="128" t="s">
        <v>100</v>
      </c>
      <c r="I678" s="136"/>
      <c r="J678" s="128" t="s">
        <v>1146</v>
      </c>
      <c r="K678" s="163">
        <v>0</v>
      </c>
      <c r="L678" s="129">
        <v>46169</v>
      </c>
      <c r="M678" s="136"/>
      <c r="N678" s="128">
        <v>135</v>
      </c>
      <c r="O678" s="130">
        <v>46169</v>
      </c>
      <c r="P678" s="128">
        <v>0</v>
      </c>
      <c r="Q678" s="128">
        <v>120</v>
      </c>
      <c r="R678" s="128">
        <v>46</v>
      </c>
      <c r="S678" s="128">
        <v>166</v>
      </c>
      <c r="T678" s="128">
        <v>166</v>
      </c>
      <c r="U678" s="163">
        <v>0</v>
      </c>
      <c r="V678" s="136"/>
      <c r="W678" s="169">
        <v>100.6</v>
      </c>
      <c r="X678" s="169">
        <v>100.6</v>
      </c>
      <c r="Y678" s="169">
        <v>771702.6</v>
      </c>
      <c r="Z678" s="262">
        <v>38.32</v>
      </c>
      <c r="AA678" s="169">
        <v>19292.57</v>
      </c>
      <c r="AB678" s="169">
        <v>19292.57</v>
      </c>
      <c r="AC678" s="169">
        <v>810287.73</v>
      </c>
      <c r="AD678" s="244">
        <f t="shared" si="467"/>
        <v>809477.44227</v>
      </c>
      <c r="AE678" s="276">
        <v>38.32</v>
      </c>
      <c r="AF678" s="147">
        <v>42</v>
      </c>
      <c r="AG678" s="276">
        <v>38.32</v>
      </c>
      <c r="AH678" s="170">
        <v>3.5000000000000001E-3</v>
      </c>
      <c r="AI678" s="170">
        <v>3.5000000000000003E-2</v>
      </c>
      <c r="AJ678" s="170">
        <v>4.4999999999999998E-2</v>
      </c>
      <c r="AK678" s="155">
        <f t="shared" si="465"/>
        <v>67615.846857142853</v>
      </c>
      <c r="AL678" s="157">
        <v>0</v>
      </c>
      <c r="AM678" s="157"/>
      <c r="AN678" s="199">
        <v>0</v>
      </c>
      <c r="AO678" s="156">
        <f t="shared" si="462"/>
        <v>0</v>
      </c>
      <c r="AP678" s="157"/>
      <c r="AQ678" s="155">
        <v>0</v>
      </c>
      <c r="AR678" s="155">
        <f t="shared" si="463"/>
        <v>67615.846857142853</v>
      </c>
      <c r="AS678" s="155">
        <f t="shared" si="464"/>
        <v>70997</v>
      </c>
      <c r="AT678" s="197">
        <v>0</v>
      </c>
      <c r="AU678" s="199"/>
      <c r="AV678" s="157"/>
      <c r="AW678" s="155">
        <f t="shared" si="448"/>
        <v>10060</v>
      </c>
      <c r="AX678" s="157"/>
      <c r="AY678" s="155">
        <f t="shared" si="449"/>
        <v>10060</v>
      </c>
      <c r="AZ678" s="155">
        <f t="shared" si="450"/>
        <v>10060</v>
      </c>
      <c r="BA678" s="242">
        <f t="shared" si="451"/>
        <v>0</v>
      </c>
      <c r="BB678" s="246">
        <f t="shared" si="452"/>
        <v>20.12</v>
      </c>
      <c r="BC678" s="155">
        <v>0</v>
      </c>
      <c r="BD678" s="157"/>
      <c r="BE678" s="169">
        <v>100.6</v>
      </c>
      <c r="BF678" s="197">
        <f t="shared" si="453"/>
        <v>0.15089999999999998</v>
      </c>
      <c r="BG678" s="197">
        <f t="shared" si="454"/>
        <v>100.4491</v>
      </c>
      <c r="BH678" s="197">
        <f t="shared" si="455"/>
        <v>100.6</v>
      </c>
      <c r="BI678" s="243">
        <f t="shared" si="456"/>
        <v>0</v>
      </c>
      <c r="BJ678" s="243">
        <v>0</v>
      </c>
      <c r="BK678" s="155">
        <f t="shared" si="457"/>
        <v>0</v>
      </c>
      <c r="BL678" s="47"/>
      <c r="BM678" s="48" t="str">
        <f t="shared" si="458"/>
        <v>Unloading no. 653 Bill No 135 ,Deduction For Oil Deduction= 67615.8468571429 ,Bardana= 0 ,F.M=  Brokerage/Rate Difference 0 ,Shortage = 0 ,Greenish=  ,Moisture= 0</v>
      </c>
      <c r="BN678" s="41"/>
      <c r="BO678" s="44" t="str">
        <f t="shared" si="459"/>
        <v xml:space="preserve"> Party Condition 42  ,F.M% 0.35 ,Greenish 3.5 ,Moisture 4.5 ,Shortage in KG= 0  ,Oil% 38.32</v>
      </c>
      <c r="BP678" s="45">
        <f t="shared" si="460"/>
        <v>6998.8742857142861</v>
      </c>
      <c r="BQ678" s="41"/>
      <c r="BR678" s="41"/>
      <c r="BS678" s="41"/>
      <c r="BT678" s="41"/>
      <c r="BU678" s="41"/>
      <c r="BV678" s="41"/>
      <c r="BW678" s="85"/>
      <c r="BX678" s="27">
        <v>37.65</v>
      </c>
      <c r="BY678" s="27">
        <v>37.700000000000003</v>
      </c>
    </row>
    <row r="679" spans="1:77" ht="14.1" hidden="1" customHeight="1" x14ac:dyDescent="0.3">
      <c r="A679" s="128" t="s">
        <v>1338</v>
      </c>
      <c r="B679" s="130">
        <v>46169</v>
      </c>
      <c r="C679" s="278">
        <v>654</v>
      </c>
      <c r="D679" s="128" t="s">
        <v>1380</v>
      </c>
      <c r="E679" s="130">
        <v>46169</v>
      </c>
      <c r="F679" s="128" t="s">
        <v>1385</v>
      </c>
      <c r="G679" s="128" t="s">
        <v>1386</v>
      </c>
      <c r="H679" s="128" t="s">
        <v>100</v>
      </c>
      <c r="I679" s="136"/>
      <c r="J679" s="128" t="s">
        <v>1146</v>
      </c>
      <c r="K679" s="163">
        <v>0</v>
      </c>
      <c r="L679" s="129">
        <v>46169</v>
      </c>
      <c r="M679" s="136"/>
      <c r="N679" s="128">
        <v>137</v>
      </c>
      <c r="O679" s="130">
        <v>46169</v>
      </c>
      <c r="P679" s="128">
        <v>0</v>
      </c>
      <c r="Q679" s="128">
        <v>120</v>
      </c>
      <c r="R679" s="128">
        <v>48</v>
      </c>
      <c r="S679" s="128">
        <v>168</v>
      </c>
      <c r="T679" s="128">
        <v>168</v>
      </c>
      <c r="U679" s="163">
        <v>0</v>
      </c>
      <c r="V679" s="136"/>
      <c r="W679" s="169">
        <v>100.1</v>
      </c>
      <c r="X679" s="169">
        <v>99.9</v>
      </c>
      <c r="Y679" s="169">
        <v>767867.1</v>
      </c>
      <c r="Z679" s="262">
        <v>38.82</v>
      </c>
      <c r="AA679" s="169">
        <v>19196.68</v>
      </c>
      <c r="AB679" s="169">
        <v>19196.68</v>
      </c>
      <c r="AC679" s="169">
        <v>806260.46</v>
      </c>
      <c r="AD679" s="244">
        <f t="shared" si="467"/>
        <v>805454.19953999994</v>
      </c>
      <c r="AE679" s="276">
        <v>38.82</v>
      </c>
      <c r="AF679" s="147">
        <v>42</v>
      </c>
      <c r="AG679" s="276">
        <v>38.82</v>
      </c>
      <c r="AH679" s="170">
        <v>3.8E-3</v>
      </c>
      <c r="AI679" s="170">
        <v>3.32E-2</v>
      </c>
      <c r="AJ679" s="170">
        <v>4.8000000000000001E-2</v>
      </c>
      <c r="AK679" s="155">
        <f t="shared" si="465"/>
        <v>58138.508999999991</v>
      </c>
      <c r="AL679" s="157">
        <v>0</v>
      </c>
      <c r="AM679" s="157"/>
      <c r="AN679" s="199">
        <v>0</v>
      </c>
      <c r="AO679" s="156">
        <f t="shared" si="462"/>
        <v>0</v>
      </c>
      <c r="AP679" s="157"/>
      <c r="AQ679" s="155">
        <v>0</v>
      </c>
      <c r="AR679" s="155">
        <f t="shared" si="463"/>
        <v>58138.508999999991</v>
      </c>
      <c r="AS679" s="155">
        <f t="shared" si="464"/>
        <v>61045</v>
      </c>
      <c r="AT679" s="197">
        <v>0</v>
      </c>
      <c r="AU679" s="199"/>
      <c r="AV679" s="157"/>
      <c r="AW679" s="155">
        <f t="shared" si="448"/>
        <v>10010</v>
      </c>
      <c r="AX679" s="157"/>
      <c r="AY679" s="155">
        <f t="shared" si="449"/>
        <v>10010</v>
      </c>
      <c r="AZ679" s="155">
        <f t="shared" si="450"/>
        <v>9990</v>
      </c>
      <c r="BA679" s="242">
        <f t="shared" si="451"/>
        <v>20</v>
      </c>
      <c r="BB679" s="246">
        <f t="shared" si="452"/>
        <v>20.02</v>
      </c>
      <c r="BC679" s="155">
        <v>0</v>
      </c>
      <c r="BD679" s="157"/>
      <c r="BE679" s="169">
        <v>100.1</v>
      </c>
      <c r="BF679" s="197">
        <f t="shared" si="453"/>
        <v>0.15014999999999998</v>
      </c>
      <c r="BG679" s="197">
        <f t="shared" si="454"/>
        <v>99.949849999999998</v>
      </c>
      <c r="BH679" s="197">
        <f t="shared" si="455"/>
        <v>99.9</v>
      </c>
      <c r="BI679" s="243">
        <f t="shared" si="456"/>
        <v>19.999999999998863</v>
      </c>
      <c r="BJ679" s="243">
        <v>0</v>
      </c>
      <c r="BK679" s="155">
        <f t="shared" si="457"/>
        <v>19.999999999998863</v>
      </c>
      <c r="BL679" s="47"/>
      <c r="BM679" s="48" t="str">
        <f t="shared" si="458"/>
        <v>Unloading no. 654 Bill No 137 ,Deduction For Oil Deduction= 58138.509 ,Bardana= 0 ,F.M=  Brokerage/Rate Difference 0 ,Shortage = 0 ,Greenish=  ,Moisture= 0</v>
      </c>
      <c r="BN679" s="41"/>
      <c r="BO679" s="44" t="str">
        <f t="shared" si="459"/>
        <v xml:space="preserve"> Party Condition 42  ,F.M% 0.38 ,Greenish 3.32 ,Moisture 4.8 ,Shortage in KG= 0  ,Oil% 38.82</v>
      </c>
      <c r="BP679" s="45">
        <f t="shared" si="460"/>
        <v>7104.3903003002997</v>
      </c>
      <c r="BQ679" s="41"/>
      <c r="BR679" s="41"/>
      <c r="BS679" s="41"/>
      <c r="BT679" s="41"/>
      <c r="BU679" s="41"/>
      <c r="BV679" s="41"/>
      <c r="BW679" s="85"/>
      <c r="BX679" s="27">
        <v>38.54</v>
      </c>
      <c r="BY679" s="27">
        <v>38.450000000000003</v>
      </c>
    </row>
    <row r="680" spans="1:77" ht="14.1" hidden="1" customHeight="1" x14ac:dyDescent="0.3">
      <c r="A680" s="174" t="s">
        <v>1338</v>
      </c>
      <c r="B680" s="175">
        <v>46169</v>
      </c>
      <c r="C680" s="279">
        <v>655</v>
      </c>
      <c r="D680" s="174" t="s">
        <v>1381</v>
      </c>
      <c r="E680" s="175">
        <v>46169</v>
      </c>
      <c r="F680" s="174" t="s">
        <v>1385</v>
      </c>
      <c r="G680" s="174" t="s">
        <v>1386</v>
      </c>
      <c r="H680" s="174" t="s">
        <v>100</v>
      </c>
      <c r="I680" s="176"/>
      <c r="J680" s="174" t="s">
        <v>1146</v>
      </c>
      <c r="K680" s="209">
        <v>0</v>
      </c>
      <c r="L680" s="231">
        <v>46169</v>
      </c>
      <c r="M680" s="176"/>
      <c r="N680" s="174">
        <v>136</v>
      </c>
      <c r="O680" s="175">
        <v>46169</v>
      </c>
      <c r="P680" s="174">
        <v>0</v>
      </c>
      <c r="Q680" s="174">
        <v>130</v>
      </c>
      <c r="R680" s="174">
        <v>36</v>
      </c>
      <c r="S680" s="174">
        <v>166</v>
      </c>
      <c r="T680" s="174">
        <v>166</v>
      </c>
      <c r="U680" s="209">
        <v>0</v>
      </c>
      <c r="V680" s="176"/>
      <c r="W680" s="179">
        <v>97.8</v>
      </c>
      <c r="X680" s="179">
        <v>97.7</v>
      </c>
      <c r="Y680" s="179">
        <v>750223.8</v>
      </c>
      <c r="Z680" s="253">
        <v>38.4</v>
      </c>
      <c r="AA680" s="179">
        <v>18755.599999999999</v>
      </c>
      <c r="AB680" s="179">
        <v>18755.599999999999</v>
      </c>
      <c r="AC680" s="179">
        <v>787734.99</v>
      </c>
      <c r="AD680" s="254">
        <f>SUM(AC680-AC680*0.1%)</f>
        <v>786947.25500999996</v>
      </c>
      <c r="AE680" s="280">
        <v>38.4</v>
      </c>
      <c r="AF680" s="178">
        <v>42</v>
      </c>
      <c r="AG680" s="280">
        <v>38.4</v>
      </c>
      <c r="AH680" s="180">
        <v>3.5000000000000001E-3</v>
      </c>
      <c r="AI680" s="180">
        <v>3.2500000000000001E-2</v>
      </c>
      <c r="AJ680" s="180">
        <v>4.9000000000000002E-2</v>
      </c>
      <c r="AK680" s="184">
        <f t="shared" si="465"/>
        <v>64304.897142857168</v>
      </c>
      <c r="AL680" s="208">
        <v>0</v>
      </c>
      <c r="AM680" s="208"/>
      <c r="AN680" s="257">
        <v>0</v>
      </c>
      <c r="AO680" s="258">
        <f t="shared" si="462"/>
        <v>0</v>
      </c>
      <c r="AP680" s="208"/>
      <c r="AQ680" s="184">
        <v>0</v>
      </c>
      <c r="AR680" s="184">
        <f t="shared" si="463"/>
        <v>64304.897142857168</v>
      </c>
      <c r="AS680" s="184">
        <f t="shared" si="464"/>
        <v>67520</v>
      </c>
      <c r="AT680" s="210">
        <v>0</v>
      </c>
      <c r="AU680" s="257"/>
      <c r="AV680" s="208"/>
      <c r="AW680" s="184">
        <f t="shared" si="448"/>
        <v>9780</v>
      </c>
      <c r="AX680" s="208"/>
      <c r="AY680" s="184">
        <f t="shared" si="449"/>
        <v>9780</v>
      </c>
      <c r="AZ680" s="184">
        <f t="shared" si="450"/>
        <v>9770</v>
      </c>
      <c r="BA680" s="259">
        <f t="shared" si="451"/>
        <v>10</v>
      </c>
      <c r="BB680" s="260">
        <f t="shared" si="452"/>
        <v>19.559999999999999</v>
      </c>
      <c r="BC680" s="184">
        <v>0</v>
      </c>
      <c r="BD680" s="208"/>
      <c r="BE680" s="179">
        <v>97.8</v>
      </c>
      <c r="BF680" s="210">
        <f t="shared" si="453"/>
        <v>0.14669999999999997</v>
      </c>
      <c r="BG680" s="210">
        <f t="shared" si="454"/>
        <v>97.653300000000002</v>
      </c>
      <c r="BH680" s="210">
        <f t="shared" si="455"/>
        <v>97.7</v>
      </c>
      <c r="BI680" s="261">
        <f t="shared" si="456"/>
        <v>9.9999999999994316</v>
      </c>
      <c r="BJ680" s="261">
        <v>0</v>
      </c>
      <c r="BK680" s="184">
        <f t="shared" si="457"/>
        <v>9.9999999999994316</v>
      </c>
      <c r="BL680" s="61"/>
      <c r="BM680" s="62" t="str">
        <f t="shared" si="458"/>
        <v>Unloading no. 655 Bill No 136 ,Deduction For Oil Deduction= 64304.8971428572 ,Bardana= 0 ,F.M=  Brokerage/Rate Difference 0 ,Shortage = 0 ,Greenish=  ,Moisture= 0</v>
      </c>
      <c r="BN680" s="52"/>
      <c r="BO680" s="53" t="str">
        <f t="shared" si="459"/>
        <v xml:space="preserve"> Party Condition 42  ,F.M% 0.35 ,Greenish 3.25 ,Moisture 4.9 ,Shortage in KG= 0  ,Oil% 38.4</v>
      </c>
      <c r="BP680" s="54">
        <f t="shared" si="460"/>
        <v>7020.6643076473165</v>
      </c>
      <c r="BQ680" s="52"/>
      <c r="BR680" s="52"/>
      <c r="BS680" s="52"/>
      <c r="BT680" s="52"/>
      <c r="BU680" s="52"/>
      <c r="BV680" s="52"/>
      <c r="BW680" s="86"/>
      <c r="BX680" s="30">
        <v>38.229999999999997</v>
      </c>
      <c r="BY680" s="30">
        <v>38.19</v>
      </c>
    </row>
    <row r="681" spans="1:77" ht="14.1" hidden="1" customHeight="1" x14ac:dyDescent="0.3">
      <c r="A681" s="128" t="s">
        <v>1336</v>
      </c>
      <c r="B681" s="130">
        <v>46167</v>
      </c>
      <c r="C681" s="138">
        <v>656</v>
      </c>
      <c r="D681" s="128" t="s">
        <v>1433</v>
      </c>
      <c r="E681" s="130">
        <v>46170</v>
      </c>
      <c r="F681" s="128" t="s">
        <v>1382</v>
      </c>
      <c r="G681" s="128" t="s">
        <v>1383</v>
      </c>
      <c r="H681" s="128" t="s">
        <v>1384</v>
      </c>
      <c r="I681" s="136"/>
      <c r="J681" s="128" t="s">
        <v>1455</v>
      </c>
      <c r="K681" s="163">
        <v>0</v>
      </c>
      <c r="L681" s="129">
        <v>46167</v>
      </c>
      <c r="M681" s="136"/>
      <c r="N681" s="128">
        <v>8</v>
      </c>
      <c r="O681" s="130">
        <v>46169</v>
      </c>
      <c r="P681" s="128">
        <v>0</v>
      </c>
      <c r="Q681" s="128">
        <v>300</v>
      </c>
      <c r="R681" s="128">
        <v>200</v>
      </c>
      <c r="S681" s="128">
        <v>500</v>
      </c>
      <c r="T681" s="128">
        <v>500</v>
      </c>
      <c r="U681" s="163">
        <v>0</v>
      </c>
      <c r="V681" s="136"/>
      <c r="W681" s="128">
        <v>302.10000000000002</v>
      </c>
      <c r="X681" s="128">
        <v>301.39999999999998</v>
      </c>
      <c r="Y681" s="128">
        <v>2326170</v>
      </c>
      <c r="Z681" s="128"/>
      <c r="AA681" s="128">
        <v>58154.25</v>
      </c>
      <c r="AB681" s="128">
        <v>58154.25</v>
      </c>
      <c r="AC681" s="128">
        <v>2442478.5</v>
      </c>
      <c r="AD681" s="197">
        <f t="shared" ref="AD681:AD744" si="468">SUM(AC681-AC681*0.1%)</f>
        <v>2440036.0214999998</v>
      </c>
      <c r="AE681" s="147">
        <v>39.229999999999997</v>
      </c>
      <c r="AF681" s="169">
        <v>42</v>
      </c>
      <c r="AG681" s="147">
        <v>39.299999999999997</v>
      </c>
      <c r="AH681" s="170">
        <v>4.1999999999999997E-3</v>
      </c>
      <c r="AI681" s="170">
        <v>3.1800000000000002E-2</v>
      </c>
      <c r="AJ681" s="170">
        <v>4.2000000000000003E-2</v>
      </c>
      <c r="AK681" s="155">
        <f t="shared" ref="AK681:AK697" si="469">+IF(AF681=42,IF(MIN(AE681,AG681)&lt;AF681,Y681*((AF681-MIN(AE681,AG681))/AF681)),IF(MIN(AE681,AG681)&lt;AF681,Y681*((AF681-MIN(AE681,AG681))/AF681),0))</f>
        <v>153416.45000000016</v>
      </c>
      <c r="AL681" s="157">
        <f>300*10+200*15</f>
        <v>6000</v>
      </c>
      <c r="AM681" s="157">
        <f>Y681*AH681</f>
        <v>9769.9139999999989</v>
      </c>
      <c r="AN681" s="199">
        <v>0</v>
      </c>
      <c r="AO681" s="156">
        <f t="shared" ref="AO681:AO697" si="470">AT681*Y681/AW681</f>
        <v>5389.9999999999991</v>
      </c>
      <c r="AP681" s="157"/>
      <c r="AQ681" s="155">
        <v>0</v>
      </c>
      <c r="AR681" s="155">
        <f t="shared" ref="AR681:AR697" si="471">SUM(AK681:AQ681)</f>
        <v>174576.36400000015</v>
      </c>
      <c r="AS681" s="155">
        <f t="shared" ref="AS681:AS697" si="472">ROUND(AR681*1.05,0)</f>
        <v>183305</v>
      </c>
      <c r="AT681" s="197">
        <v>70</v>
      </c>
      <c r="AU681" s="199"/>
      <c r="AV681" s="157"/>
      <c r="AW681" s="155">
        <f t="shared" ref="AW681:AW697" si="473">W681*100</f>
        <v>30210.000000000004</v>
      </c>
      <c r="AX681" s="157"/>
      <c r="AY681" s="155">
        <f t="shared" ref="AY681:AY697" si="474">+AW681+AX681</f>
        <v>30210.000000000004</v>
      </c>
      <c r="AZ681" s="155">
        <f t="shared" ref="AZ681:AZ697" si="475">X681*100</f>
        <v>30139.999999999996</v>
      </c>
      <c r="BA681" s="242">
        <f t="shared" ref="BA681:BA697" si="476">AY681-AZ681</f>
        <v>70.000000000007276</v>
      </c>
      <c r="BB681" s="246">
        <f t="shared" ref="BB681:BB697" si="477">AW681*2/1000</f>
        <v>60.420000000000009</v>
      </c>
      <c r="BC681" s="155">
        <v>0</v>
      </c>
      <c r="BD681" s="157"/>
      <c r="BE681" s="169">
        <v>302.10000000000002</v>
      </c>
      <c r="BF681" s="197">
        <f t="shared" ref="BF681:BF697" si="478">+BE681*0.15/100</f>
        <v>0.45315000000000005</v>
      </c>
      <c r="BG681" s="197">
        <f t="shared" ref="BG681:BG697" si="479">BE681-BF681</f>
        <v>301.64685000000003</v>
      </c>
      <c r="BH681" s="197">
        <f t="shared" ref="BH681:BH697" si="480">X681</f>
        <v>301.39999999999998</v>
      </c>
      <c r="BI681" s="243">
        <f t="shared" ref="BI681:BI697" si="481">(BE681-BH681)*100</f>
        <v>70.000000000004547</v>
      </c>
      <c r="BJ681" s="243">
        <v>0</v>
      </c>
      <c r="BK681" s="155">
        <f t="shared" ref="BK681:BK697" si="482">BI681</f>
        <v>70.000000000004547</v>
      </c>
      <c r="BL681" s="47"/>
      <c r="BM681" s="48" t="str">
        <f t="shared" ref="BM681:BM697" si="483">+$C$1&amp;" "&amp;C681 &amp;" "&amp;$N$1&amp;" "&amp;N681&amp;" "&amp;$BM$1&amp;" "&amp;$AK$1&amp;" "&amp;AK681&amp;" "&amp;$AL$1&amp;" "&amp;AL681&amp;" "&amp;$AM$1&amp;" "&amp;AM681&amp;" "&amp;$AN$1&amp;" "&amp;AN681&amp;" "&amp;$AO$1&amp;" "&amp;AO681&amp;" "&amp;$AP$1&amp;" "&amp;AP681&amp;" "&amp;$AQ$1&amp;" "&amp;AQ681</f>
        <v>Unloading no. 656 Bill No 8 ,Deduction For Oil Deduction= 153416.45 ,Bardana= 6000 ,F.M= 9769.914 Brokerage/Rate Difference 0 ,Shortage = 5390 ,Greenish=  ,Moisture= 0</v>
      </c>
      <c r="BN681" s="41"/>
      <c r="BO681" s="44" t="str">
        <f t="shared" ref="BO681:BO697" si="484">+" "&amp;$AF$1&amp;" "&amp;AF681&amp;" "&amp;" "&amp;$AH$1&amp;" "&amp;AH681*100&amp;" "&amp;$AI$1&amp;" "&amp;AI681*100&amp;" "&amp;$AJ$1&amp;" "&amp;AJ681*100&amp;" ,"&amp;$AT$1&amp;" "&amp;AT681&amp;" "&amp;IF(AE681&gt;AG681," ,Oil%"&amp;" "&amp;AG681," ,Oil%"&amp;" "&amp;AE681)</f>
        <v xml:space="preserve"> Party Condition 42  ,F.M% 0.42 ,Greenish 3.18 ,Moisture 4.2 ,Shortage in KG= 70  ,Oil% 39.23</v>
      </c>
      <c r="BP681" s="45">
        <f t="shared" ref="BP681:BP697" si="485">(Y681-AR681)/X681</f>
        <v>7138.6650165892506</v>
      </c>
      <c r="BQ681" s="41"/>
      <c r="BR681" s="41"/>
      <c r="BS681" s="41"/>
      <c r="BT681" s="41"/>
      <c r="BU681" s="41"/>
      <c r="BV681" s="41"/>
      <c r="BW681" s="85"/>
      <c r="BX681" s="27">
        <v>39.229999999999997</v>
      </c>
      <c r="BY681" s="27">
        <v>39.299999999999997</v>
      </c>
    </row>
    <row r="682" spans="1:77" ht="14.1" hidden="1" customHeight="1" x14ac:dyDescent="0.3">
      <c r="A682" s="128" t="s">
        <v>1427</v>
      </c>
      <c r="B682" s="130">
        <v>46170</v>
      </c>
      <c r="C682" s="138">
        <v>657</v>
      </c>
      <c r="D682" s="128" t="s">
        <v>1434</v>
      </c>
      <c r="E682" s="130">
        <v>46171</v>
      </c>
      <c r="F682" s="128" t="s">
        <v>1450</v>
      </c>
      <c r="G682" s="128" t="s">
        <v>1451</v>
      </c>
      <c r="H682" s="128" t="s">
        <v>199</v>
      </c>
      <c r="I682" s="136"/>
      <c r="J682" s="128" t="s">
        <v>113</v>
      </c>
      <c r="K682" s="163">
        <v>0</v>
      </c>
      <c r="L682" s="130">
        <v>46170</v>
      </c>
      <c r="M682" s="136"/>
      <c r="N682" s="128" t="s">
        <v>1456</v>
      </c>
      <c r="O682" s="130">
        <v>46170</v>
      </c>
      <c r="P682" s="128">
        <v>0</v>
      </c>
      <c r="Q682" s="128">
        <v>200</v>
      </c>
      <c r="R682" s="128">
        <v>44</v>
      </c>
      <c r="S682" s="128">
        <v>244</v>
      </c>
      <c r="T682" s="128">
        <v>244</v>
      </c>
      <c r="U682" s="163">
        <v>0</v>
      </c>
      <c r="V682" s="136"/>
      <c r="W682" s="128">
        <v>146.4</v>
      </c>
      <c r="X682" s="128">
        <v>148.1</v>
      </c>
      <c r="Y682" s="128">
        <v>1123693.69</v>
      </c>
      <c r="Z682" s="128"/>
      <c r="AA682" s="128">
        <v>28092.34</v>
      </c>
      <c r="AB682" s="128">
        <v>28092.34</v>
      </c>
      <c r="AC682" s="128">
        <v>1179878.3700000001</v>
      </c>
      <c r="AD682" s="197">
        <f t="shared" si="468"/>
        <v>1178698.4916300001</v>
      </c>
      <c r="AE682" s="147">
        <v>40.450000000000003</v>
      </c>
      <c r="AF682" s="169">
        <v>40.200000000000003</v>
      </c>
      <c r="AG682" s="147">
        <v>40.32</v>
      </c>
      <c r="AH682" s="170">
        <v>4.1000000000000003E-3</v>
      </c>
      <c r="AI682" s="170">
        <v>3.4000000000000002E-2</v>
      </c>
      <c r="AJ682" s="170">
        <v>4.5999999999999999E-2</v>
      </c>
      <c r="AK682" s="155">
        <f t="shared" si="469"/>
        <v>0</v>
      </c>
      <c r="AL682" s="157">
        <f>244*5</f>
        <v>1220</v>
      </c>
      <c r="AM682" s="157"/>
      <c r="AN682" s="199">
        <v>0</v>
      </c>
      <c r="AO682" s="156">
        <f t="shared" si="470"/>
        <v>767.5503346994534</v>
      </c>
      <c r="AP682" s="157"/>
      <c r="AQ682" s="155">
        <v>0</v>
      </c>
      <c r="AR682" s="155">
        <f t="shared" si="471"/>
        <v>1987.5503346994533</v>
      </c>
      <c r="AS682" s="155">
        <f t="shared" si="472"/>
        <v>2087</v>
      </c>
      <c r="AT682" s="197">
        <v>10</v>
      </c>
      <c r="AU682" s="199"/>
      <c r="AV682" s="157"/>
      <c r="AW682" s="155">
        <f t="shared" si="473"/>
        <v>14640</v>
      </c>
      <c r="AX682" s="157"/>
      <c r="AY682" s="155">
        <f t="shared" si="474"/>
        <v>14640</v>
      </c>
      <c r="AZ682" s="155">
        <f t="shared" si="475"/>
        <v>14810</v>
      </c>
      <c r="BA682" s="242">
        <f t="shared" si="476"/>
        <v>-170</v>
      </c>
      <c r="BB682" s="246">
        <f t="shared" si="477"/>
        <v>29.28</v>
      </c>
      <c r="BC682" s="155">
        <v>0</v>
      </c>
      <c r="BD682" s="157"/>
      <c r="BE682" s="169">
        <v>148.5</v>
      </c>
      <c r="BF682" s="197">
        <f t="shared" si="478"/>
        <v>0.22274999999999998</v>
      </c>
      <c r="BG682" s="197">
        <f t="shared" si="479"/>
        <v>148.27725000000001</v>
      </c>
      <c r="BH682" s="197">
        <f t="shared" si="480"/>
        <v>148.1</v>
      </c>
      <c r="BI682" s="243">
        <f t="shared" si="481"/>
        <v>40.000000000000568</v>
      </c>
      <c r="BJ682" s="243">
        <v>0</v>
      </c>
      <c r="BK682" s="155">
        <f t="shared" si="482"/>
        <v>40.000000000000568</v>
      </c>
      <c r="BL682" s="47"/>
      <c r="BM682" s="48" t="str">
        <f t="shared" si="483"/>
        <v>Unloading no. 657 Bill No ST-14 ,Deduction For Oil Deduction= 0 ,Bardana= 1220 ,F.M=  Brokerage/Rate Difference 0 ,Shortage = 767.550334699453 ,Greenish=  ,Moisture= 0</v>
      </c>
      <c r="BN682" s="41"/>
      <c r="BO682" s="44" t="str">
        <f t="shared" si="484"/>
        <v xml:space="preserve"> Party Condition 40.2  ,F.M% 0.41 ,Greenish 3.4 ,Moisture 4.6 ,Shortage in KG= 10  ,Oil% 40.32</v>
      </c>
      <c r="BP682" s="45">
        <f t="shared" si="485"/>
        <v>7573.9779855860943</v>
      </c>
      <c r="BQ682" s="41"/>
      <c r="BR682" s="41"/>
      <c r="BS682" s="41"/>
      <c r="BT682" s="41"/>
      <c r="BU682" s="41"/>
      <c r="BV682" s="41"/>
      <c r="BW682" s="85"/>
      <c r="BX682" s="27">
        <v>40.450000000000003</v>
      </c>
      <c r="BY682" s="27">
        <v>40.32</v>
      </c>
    </row>
    <row r="683" spans="1:77" ht="14.1" hidden="1" customHeight="1" x14ac:dyDescent="0.3">
      <c r="A683" s="128" t="s">
        <v>1428</v>
      </c>
      <c r="B683" s="130">
        <v>46169</v>
      </c>
      <c r="C683" s="138">
        <v>658</v>
      </c>
      <c r="D683" s="128" t="s">
        <v>1435</v>
      </c>
      <c r="E683" s="130">
        <v>46171</v>
      </c>
      <c r="F683" s="128" t="s">
        <v>1452</v>
      </c>
      <c r="G683" s="128" t="s">
        <v>1453</v>
      </c>
      <c r="H683" s="128" t="s">
        <v>100</v>
      </c>
      <c r="I683" s="136"/>
      <c r="J683" s="128" t="s">
        <v>1146</v>
      </c>
      <c r="K683" s="163">
        <v>0</v>
      </c>
      <c r="L683" s="130">
        <v>46169</v>
      </c>
      <c r="M683" s="136"/>
      <c r="N683" s="128">
        <v>2</v>
      </c>
      <c r="O683" s="130">
        <v>46171</v>
      </c>
      <c r="P683" s="128">
        <v>0</v>
      </c>
      <c r="Q683" s="128">
        <v>150</v>
      </c>
      <c r="R683" s="128">
        <v>50</v>
      </c>
      <c r="S683" s="128">
        <v>200</v>
      </c>
      <c r="T683" s="128">
        <v>200</v>
      </c>
      <c r="U683" s="163">
        <v>0</v>
      </c>
      <c r="V683" s="136"/>
      <c r="W683" s="169">
        <v>99.7</v>
      </c>
      <c r="X683" s="169">
        <v>99.4</v>
      </c>
      <c r="Y683" s="169">
        <v>771678</v>
      </c>
      <c r="Z683" s="262">
        <v>39.340000000000003</v>
      </c>
      <c r="AA683" s="128">
        <v>19291.95</v>
      </c>
      <c r="AB683" s="128">
        <v>19291.95</v>
      </c>
      <c r="AC683" s="128">
        <v>810261.9</v>
      </c>
      <c r="AD683" s="197">
        <f t="shared" si="468"/>
        <v>809451.63809999998</v>
      </c>
      <c r="AE683" s="276">
        <v>39.340000000000003</v>
      </c>
      <c r="AF683" s="169">
        <v>42</v>
      </c>
      <c r="AG683" s="276">
        <v>39.340000000000003</v>
      </c>
      <c r="AH683" s="170">
        <v>4.3E-3</v>
      </c>
      <c r="AI683" s="170">
        <v>3.7999999999999999E-2</v>
      </c>
      <c r="AJ683" s="170">
        <v>4.4999999999999998E-2</v>
      </c>
      <c r="AK683" s="155">
        <f t="shared" si="469"/>
        <v>48872.939999999937</v>
      </c>
      <c r="AL683" s="157">
        <v>0</v>
      </c>
      <c r="AM683" s="157"/>
      <c r="AN683" s="199">
        <v>0</v>
      </c>
      <c r="AO683" s="156">
        <f t="shared" si="470"/>
        <v>774</v>
      </c>
      <c r="AP683" s="157"/>
      <c r="AQ683" s="155">
        <v>0</v>
      </c>
      <c r="AR683" s="155">
        <f t="shared" si="471"/>
        <v>49646.939999999937</v>
      </c>
      <c r="AS683" s="155">
        <f t="shared" si="472"/>
        <v>52129</v>
      </c>
      <c r="AT683" s="197">
        <v>10</v>
      </c>
      <c r="AU683" s="199"/>
      <c r="AV683" s="157"/>
      <c r="AW683" s="155">
        <f t="shared" si="473"/>
        <v>9970</v>
      </c>
      <c r="AX683" s="157"/>
      <c r="AY683" s="155">
        <f t="shared" si="474"/>
        <v>9970</v>
      </c>
      <c r="AZ683" s="155">
        <f t="shared" si="475"/>
        <v>9940</v>
      </c>
      <c r="BA683" s="242">
        <f t="shared" si="476"/>
        <v>30</v>
      </c>
      <c r="BB683" s="246">
        <f t="shared" si="477"/>
        <v>19.940000000000001</v>
      </c>
      <c r="BC683" s="155">
        <v>0</v>
      </c>
      <c r="BD683" s="157"/>
      <c r="BE683" s="169">
        <v>99.7</v>
      </c>
      <c r="BF683" s="197">
        <f t="shared" si="478"/>
        <v>0.14954999999999999</v>
      </c>
      <c r="BG683" s="197">
        <f t="shared" si="479"/>
        <v>99.550449999999998</v>
      </c>
      <c r="BH683" s="197">
        <f t="shared" si="480"/>
        <v>99.4</v>
      </c>
      <c r="BI683" s="243">
        <f t="shared" si="481"/>
        <v>29.999999999999716</v>
      </c>
      <c r="BJ683" s="243">
        <v>0</v>
      </c>
      <c r="BK683" s="155">
        <f t="shared" si="482"/>
        <v>29.999999999999716</v>
      </c>
      <c r="BL683" s="47"/>
      <c r="BM683" s="48" t="str">
        <f t="shared" si="483"/>
        <v>Unloading no. 658 Bill No 2 ,Deduction For Oil Deduction= 48872.9399999999 ,Bardana= 0 ,F.M=  Brokerage/Rate Difference 0 ,Shortage = 774 ,Greenish=  ,Moisture= 0</v>
      </c>
      <c r="BN683" s="41"/>
      <c r="BO683" s="44" t="str">
        <f t="shared" si="484"/>
        <v xml:space="preserve"> Party Condition 42  ,F.M% 0.43 ,Greenish 3.8 ,Moisture 4.5 ,Shortage in KG= 10  ,Oil% 39.34</v>
      </c>
      <c r="BP683" s="45">
        <f t="shared" si="485"/>
        <v>7263.8939637826961</v>
      </c>
      <c r="BQ683" s="41"/>
      <c r="BR683" s="41"/>
      <c r="BS683" s="41"/>
      <c r="BT683" s="41"/>
      <c r="BU683" s="41"/>
      <c r="BV683" s="41"/>
      <c r="BW683" s="85"/>
      <c r="BX683" s="27">
        <v>39.020000000000003</v>
      </c>
      <c r="BY683" s="27">
        <v>38.909999999999997</v>
      </c>
    </row>
    <row r="684" spans="1:77" ht="14.1" hidden="1" customHeight="1" x14ac:dyDescent="0.3">
      <c r="A684" s="128" t="s">
        <v>1428</v>
      </c>
      <c r="B684" s="130">
        <v>46169</v>
      </c>
      <c r="C684" s="138">
        <v>659</v>
      </c>
      <c r="D684" s="128" t="s">
        <v>1436</v>
      </c>
      <c r="E684" s="130">
        <v>46171</v>
      </c>
      <c r="F684" s="128" t="s">
        <v>1452</v>
      </c>
      <c r="G684" s="128" t="s">
        <v>1453</v>
      </c>
      <c r="H684" s="128" t="s">
        <v>100</v>
      </c>
      <c r="I684" s="136"/>
      <c r="J684" s="128" t="s">
        <v>1146</v>
      </c>
      <c r="K684" s="163">
        <v>0</v>
      </c>
      <c r="L684" s="130">
        <v>46169</v>
      </c>
      <c r="M684" s="136"/>
      <c r="N684" s="128">
        <v>4</v>
      </c>
      <c r="O684" s="130">
        <v>46171</v>
      </c>
      <c r="P684" s="128">
        <v>0</v>
      </c>
      <c r="Q684" s="128">
        <v>160</v>
      </c>
      <c r="R684" s="128">
        <v>40</v>
      </c>
      <c r="S684" s="128">
        <v>200</v>
      </c>
      <c r="T684" s="128">
        <v>200</v>
      </c>
      <c r="U684" s="163">
        <v>0</v>
      </c>
      <c r="V684" s="136"/>
      <c r="W684" s="169">
        <v>101.3</v>
      </c>
      <c r="X684" s="169">
        <v>101</v>
      </c>
      <c r="Y684" s="169">
        <v>784062</v>
      </c>
      <c r="Z684" s="262">
        <v>39.42</v>
      </c>
      <c r="AA684" s="128">
        <v>19601.55</v>
      </c>
      <c r="AB684" s="128">
        <v>19601.55</v>
      </c>
      <c r="AC684" s="128">
        <v>823265.1</v>
      </c>
      <c r="AD684" s="197">
        <f t="shared" si="468"/>
        <v>822441.83490000002</v>
      </c>
      <c r="AE684" s="276">
        <v>39.42</v>
      </c>
      <c r="AF684" s="169">
        <v>42</v>
      </c>
      <c r="AG684" s="276">
        <v>39.42</v>
      </c>
      <c r="AH684" s="170">
        <v>3.2000000000000002E-3</v>
      </c>
      <c r="AI684" s="170">
        <v>3.3000000000000002E-2</v>
      </c>
      <c r="AJ684" s="170">
        <v>4.3999999999999997E-2</v>
      </c>
      <c r="AK684" s="155">
        <f t="shared" si="469"/>
        <v>48163.808571428541</v>
      </c>
      <c r="AL684" s="157">
        <v>0</v>
      </c>
      <c r="AM684" s="157"/>
      <c r="AN684" s="199">
        <v>0</v>
      </c>
      <c r="AO684" s="156">
        <f t="shared" si="470"/>
        <v>774</v>
      </c>
      <c r="AP684" s="157"/>
      <c r="AQ684" s="155">
        <v>0</v>
      </c>
      <c r="AR684" s="155">
        <f t="shared" si="471"/>
        <v>48937.808571428541</v>
      </c>
      <c r="AS684" s="155">
        <f t="shared" si="472"/>
        <v>51385</v>
      </c>
      <c r="AT684" s="197">
        <v>10</v>
      </c>
      <c r="AU684" s="199"/>
      <c r="AV684" s="157"/>
      <c r="AW684" s="155">
        <f t="shared" si="473"/>
        <v>10130</v>
      </c>
      <c r="AX684" s="157"/>
      <c r="AY684" s="155">
        <f t="shared" si="474"/>
        <v>10130</v>
      </c>
      <c r="AZ684" s="155">
        <f t="shared" si="475"/>
        <v>10100</v>
      </c>
      <c r="BA684" s="242">
        <f t="shared" si="476"/>
        <v>30</v>
      </c>
      <c r="BB684" s="246">
        <f t="shared" si="477"/>
        <v>20.260000000000002</v>
      </c>
      <c r="BC684" s="155">
        <v>0</v>
      </c>
      <c r="BD684" s="157"/>
      <c r="BE684" s="169">
        <v>101.3</v>
      </c>
      <c r="BF684" s="197">
        <f t="shared" si="478"/>
        <v>0.15194999999999997</v>
      </c>
      <c r="BG684" s="197">
        <f t="shared" si="479"/>
        <v>101.14805</v>
      </c>
      <c r="BH684" s="197">
        <f t="shared" si="480"/>
        <v>101</v>
      </c>
      <c r="BI684" s="243">
        <f t="shared" si="481"/>
        <v>29.999999999999716</v>
      </c>
      <c r="BJ684" s="243">
        <v>0</v>
      </c>
      <c r="BK684" s="155">
        <f t="shared" si="482"/>
        <v>29.999999999999716</v>
      </c>
      <c r="BL684" s="47"/>
      <c r="BM684" s="48" t="str">
        <f t="shared" si="483"/>
        <v>Unloading no. 659 Bill No 4 ,Deduction For Oil Deduction= 48163.8085714285 ,Bardana= 0 ,F.M=  Brokerage/Rate Difference 0 ,Shortage = 774 ,Greenish=  ,Moisture= 0</v>
      </c>
      <c r="BN684" s="41"/>
      <c r="BO684" s="44" t="str">
        <f t="shared" si="484"/>
        <v xml:space="preserve"> Party Condition 42  ,F.M% 0.32 ,Greenish 3.3 ,Moisture 4.4 ,Shortage in KG= 10  ,Oil% 39.42</v>
      </c>
      <c r="BP684" s="45">
        <f t="shared" si="485"/>
        <v>7278.4573408769456</v>
      </c>
      <c r="BQ684" s="41"/>
      <c r="BR684" s="41"/>
      <c r="BS684" s="41"/>
      <c r="BT684" s="41"/>
      <c r="BU684" s="41"/>
      <c r="BV684" s="41"/>
      <c r="BW684" s="85"/>
      <c r="BX684" s="27">
        <v>39.32</v>
      </c>
      <c r="BY684" s="27">
        <v>39.270000000000003</v>
      </c>
    </row>
    <row r="685" spans="1:77" ht="14.1" hidden="1" customHeight="1" x14ac:dyDescent="0.3">
      <c r="A685" s="128" t="s">
        <v>1428</v>
      </c>
      <c r="B685" s="130">
        <v>46169</v>
      </c>
      <c r="C685" s="138">
        <v>660</v>
      </c>
      <c r="D685" s="128" t="s">
        <v>1437</v>
      </c>
      <c r="E685" s="130">
        <v>46171</v>
      </c>
      <c r="F685" s="128" t="s">
        <v>1452</v>
      </c>
      <c r="G685" s="128" t="s">
        <v>1453</v>
      </c>
      <c r="H685" s="128" t="s">
        <v>100</v>
      </c>
      <c r="I685" s="136"/>
      <c r="J685" s="128" t="s">
        <v>1146</v>
      </c>
      <c r="K685" s="163">
        <v>0</v>
      </c>
      <c r="L685" s="130">
        <v>46169</v>
      </c>
      <c r="M685" s="136"/>
      <c r="N685" s="128">
        <v>3</v>
      </c>
      <c r="O685" s="130">
        <v>46171</v>
      </c>
      <c r="P685" s="128">
        <v>0</v>
      </c>
      <c r="Q685" s="128">
        <v>160</v>
      </c>
      <c r="R685" s="128">
        <v>40</v>
      </c>
      <c r="S685" s="128">
        <v>200</v>
      </c>
      <c r="T685" s="128">
        <v>200</v>
      </c>
      <c r="U685" s="163">
        <v>0</v>
      </c>
      <c r="V685" s="136"/>
      <c r="W685" s="169">
        <v>100.9</v>
      </c>
      <c r="X685" s="169">
        <v>100.5</v>
      </c>
      <c r="Y685" s="169">
        <v>780966</v>
      </c>
      <c r="Z685" s="262">
        <v>39.58</v>
      </c>
      <c r="AA685" s="128">
        <v>19524.150000000001</v>
      </c>
      <c r="AB685" s="128">
        <v>19524.150000000001</v>
      </c>
      <c r="AC685" s="128">
        <v>820014.3</v>
      </c>
      <c r="AD685" s="197">
        <f t="shared" si="468"/>
        <v>819194.28570000001</v>
      </c>
      <c r="AE685" s="276">
        <v>39.58</v>
      </c>
      <c r="AF685" s="169">
        <v>42</v>
      </c>
      <c r="AG685" s="276">
        <v>39.58</v>
      </c>
      <c r="AH685" s="170">
        <v>4.0000000000000001E-3</v>
      </c>
      <c r="AI685" s="170">
        <v>3.2000000000000001E-2</v>
      </c>
      <c r="AJ685" s="170">
        <v>4.5999999999999999E-2</v>
      </c>
      <c r="AK685" s="155">
        <f t="shared" si="469"/>
        <v>44998.517142857178</v>
      </c>
      <c r="AL685" s="157">
        <v>0</v>
      </c>
      <c r="AM685" s="157"/>
      <c r="AN685" s="199">
        <v>0</v>
      </c>
      <c r="AO685" s="156">
        <f t="shared" si="470"/>
        <v>1548</v>
      </c>
      <c r="AP685" s="157"/>
      <c r="AQ685" s="155">
        <v>0</v>
      </c>
      <c r="AR685" s="155">
        <f t="shared" si="471"/>
        <v>46546.517142857178</v>
      </c>
      <c r="AS685" s="155">
        <f t="shared" si="472"/>
        <v>48874</v>
      </c>
      <c r="AT685" s="197">
        <v>20</v>
      </c>
      <c r="AU685" s="199"/>
      <c r="AV685" s="157"/>
      <c r="AW685" s="155">
        <f t="shared" si="473"/>
        <v>10090</v>
      </c>
      <c r="AX685" s="157"/>
      <c r="AY685" s="155">
        <f t="shared" si="474"/>
        <v>10090</v>
      </c>
      <c r="AZ685" s="155">
        <f t="shared" si="475"/>
        <v>10050</v>
      </c>
      <c r="BA685" s="242">
        <f t="shared" si="476"/>
        <v>40</v>
      </c>
      <c r="BB685" s="246">
        <f t="shared" si="477"/>
        <v>20.18</v>
      </c>
      <c r="BC685" s="155">
        <v>0</v>
      </c>
      <c r="BD685" s="157"/>
      <c r="BE685" s="169">
        <v>100.9</v>
      </c>
      <c r="BF685" s="197">
        <f t="shared" si="478"/>
        <v>0.15134999999999998</v>
      </c>
      <c r="BG685" s="197">
        <f t="shared" si="479"/>
        <v>100.74865000000001</v>
      </c>
      <c r="BH685" s="197">
        <f t="shared" si="480"/>
        <v>100.5</v>
      </c>
      <c r="BI685" s="243">
        <f t="shared" si="481"/>
        <v>40.000000000000568</v>
      </c>
      <c r="BJ685" s="243">
        <v>0</v>
      </c>
      <c r="BK685" s="155">
        <f t="shared" si="482"/>
        <v>40.000000000000568</v>
      </c>
      <c r="BL685" s="47"/>
      <c r="BM685" s="48" t="str">
        <f t="shared" si="483"/>
        <v>Unloading no. 660 Bill No 3 ,Deduction For Oil Deduction= 44998.5171428572 ,Bardana= 0 ,F.M=  Brokerage/Rate Difference 0 ,Shortage = 1548 ,Greenish=  ,Moisture= 0</v>
      </c>
      <c r="BN685" s="41"/>
      <c r="BO685" s="44" t="str">
        <f t="shared" si="484"/>
        <v xml:space="preserve"> Party Condition 42  ,F.M% 0.4 ,Greenish 3.2 ,Moisture 4.6 ,Shortage in KG= 20  ,Oil% 39.58</v>
      </c>
      <c r="BP685" s="45">
        <f t="shared" si="485"/>
        <v>7307.6565458422174</v>
      </c>
      <c r="BQ685" s="41"/>
      <c r="BR685" s="41"/>
      <c r="BS685" s="41"/>
      <c r="BT685" s="41"/>
      <c r="BU685" s="41"/>
      <c r="BV685" s="41"/>
      <c r="BW685" s="85"/>
      <c r="BX685" s="27">
        <v>39.549999999999997</v>
      </c>
      <c r="BY685" s="27">
        <v>39.54</v>
      </c>
    </row>
    <row r="686" spans="1:77" ht="14.1" hidden="1" customHeight="1" x14ac:dyDescent="0.3">
      <c r="A686" s="128" t="s">
        <v>1428</v>
      </c>
      <c r="B686" s="130">
        <v>46169</v>
      </c>
      <c r="C686" s="138">
        <v>661</v>
      </c>
      <c r="D686" s="128" t="s">
        <v>1438</v>
      </c>
      <c r="E686" s="130">
        <v>46171</v>
      </c>
      <c r="F686" s="128" t="s">
        <v>1452</v>
      </c>
      <c r="G686" s="128" t="s">
        <v>1453</v>
      </c>
      <c r="H686" s="128" t="s">
        <v>100</v>
      </c>
      <c r="I686" s="136"/>
      <c r="J686" s="128" t="s">
        <v>1146</v>
      </c>
      <c r="K686" s="163">
        <v>0</v>
      </c>
      <c r="L686" s="130">
        <v>46169</v>
      </c>
      <c r="M686" s="136"/>
      <c r="N686" s="128">
        <v>5</v>
      </c>
      <c r="O686" s="130">
        <v>46171</v>
      </c>
      <c r="P686" s="128">
        <v>0</v>
      </c>
      <c r="Q686" s="128">
        <v>160</v>
      </c>
      <c r="R686" s="128">
        <v>40</v>
      </c>
      <c r="S686" s="128">
        <v>200</v>
      </c>
      <c r="T686" s="128">
        <v>200</v>
      </c>
      <c r="U686" s="163">
        <v>0</v>
      </c>
      <c r="V686" s="136"/>
      <c r="W686" s="169">
        <v>101.3</v>
      </c>
      <c r="X686" s="169">
        <v>101.2</v>
      </c>
      <c r="Y686" s="169">
        <v>784062</v>
      </c>
      <c r="Z686" s="262">
        <v>39.61</v>
      </c>
      <c r="AA686" s="128">
        <v>19601.55</v>
      </c>
      <c r="AB686" s="128">
        <v>19601.55</v>
      </c>
      <c r="AC686" s="128">
        <v>823265.1</v>
      </c>
      <c r="AD686" s="197">
        <f t="shared" si="468"/>
        <v>822441.83490000002</v>
      </c>
      <c r="AE686" s="276">
        <v>39.61</v>
      </c>
      <c r="AF686" s="169">
        <v>42</v>
      </c>
      <c r="AG686" s="276">
        <v>39.61</v>
      </c>
      <c r="AH686" s="170">
        <v>4.4000000000000003E-3</v>
      </c>
      <c r="AI686" s="170">
        <v>3.1E-2</v>
      </c>
      <c r="AJ686" s="170">
        <v>4.7E-2</v>
      </c>
      <c r="AK686" s="155">
        <f t="shared" si="469"/>
        <v>44616.861428571436</v>
      </c>
      <c r="AL686" s="157">
        <v>0</v>
      </c>
      <c r="AM686" s="157"/>
      <c r="AN686" s="199">
        <v>0</v>
      </c>
      <c r="AO686" s="156">
        <f t="shared" si="470"/>
        <v>0</v>
      </c>
      <c r="AP686" s="157"/>
      <c r="AQ686" s="155">
        <v>0</v>
      </c>
      <c r="AR686" s="155">
        <f t="shared" si="471"/>
        <v>44616.861428571436</v>
      </c>
      <c r="AS686" s="155">
        <f t="shared" si="472"/>
        <v>46848</v>
      </c>
      <c r="AT686" s="197">
        <v>0</v>
      </c>
      <c r="AU686" s="199"/>
      <c r="AV686" s="157"/>
      <c r="AW686" s="155">
        <f t="shared" si="473"/>
        <v>10130</v>
      </c>
      <c r="AX686" s="157"/>
      <c r="AY686" s="155">
        <f t="shared" si="474"/>
        <v>10130</v>
      </c>
      <c r="AZ686" s="155">
        <f t="shared" si="475"/>
        <v>10120</v>
      </c>
      <c r="BA686" s="242">
        <f t="shared" si="476"/>
        <v>10</v>
      </c>
      <c r="BB686" s="246">
        <f t="shared" si="477"/>
        <v>20.260000000000002</v>
      </c>
      <c r="BC686" s="155">
        <v>0</v>
      </c>
      <c r="BD686" s="157"/>
      <c r="BE686" s="169">
        <v>101.3</v>
      </c>
      <c r="BF686" s="197">
        <f t="shared" si="478"/>
        <v>0.15194999999999997</v>
      </c>
      <c r="BG686" s="197">
        <f t="shared" si="479"/>
        <v>101.14805</v>
      </c>
      <c r="BH686" s="197">
        <f t="shared" si="480"/>
        <v>101.2</v>
      </c>
      <c r="BI686" s="243">
        <f t="shared" si="481"/>
        <v>9.9999999999994316</v>
      </c>
      <c r="BJ686" s="243">
        <v>0</v>
      </c>
      <c r="BK686" s="155">
        <f t="shared" si="482"/>
        <v>9.9999999999994316</v>
      </c>
      <c r="BL686" s="47"/>
      <c r="BM686" s="48" t="str">
        <f t="shared" si="483"/>
        <v>Unloading no. 661 Bill No 5 ,Deduction For Oil Deduction= 44616.8614285714 ,Bardana= 0 ,F.M=  Brokerage/Rate Difference 0 ,Shortage = 0 ,Greenish=  ,Moisture= 0</v>
      </c>
      <c r="BN686" s="41"/>
      <c r="BO686" s="44" t="str">
        <f t="shared" si="484"/>
        <v xml:space="preserve"> Party Condition 42  ,F.M% 0.44 ,Greenish 3.1 ,Moisture 4.7 ,Shortage in KG= 0  ,Oil% 39.61</v>
      </c>
      <c r="BP686" s="45">
        <f t="shared" si="485"/>
        <v>7306.7701439864486</v>
      </c>
      <c r="BQ686" s="41"/>
      <c r="BR686" s="41"/>
      <c r="BS686" s="41"/>
      <c r="BT686" s="41"/>
      <c r="BU686" s="41"/>
      <c r="BV686" s="41"/>
      <c r="BW686" s="85"/>
      <c r="BX686" s="27">
        <v>39.53</v>
      </c>
      <c r="BY686" s="27">
        <v>39.5</v>
      </c>
    </row>
    <row r="687" spans="1:77" ht="14.1" hidden="1" customHeight="1" x14ac:dyDescent="0.3">
      <c r="A687" s="128" t="s">
        <v>1428</v>
      </c>
      <c r="B687" s="130">
        <v>46169</v>
      </c>
      <c r="C687" s="138">
        <v>662</v>
      </c>
      <c r="D687" s="128" t="s">
        <v>1439</v>
      </c>
      <c r="E687" s="130">
        <v>46171</v>
      </c>
      <c r="F687" s="128" t="s">
        <v>1452</v>
      </c>
      <c r="G687" s="128" t="s">
        <v>1453</v>
      </c>
      <c r="H687" s="128" t="s">
        <v>100</v>
      </c>
      <c r="I687" s="136"/>
      <c r="J687" s="128" t="s">
        <v>1146</v>
      </c>
      <c r="K687" s="163">
        <v>0</v>
      </c>
      <c r="L687" s="130">
        <v>46169</v>
      </c>
      <c r="M687" s="136"/>
      <c r="N687" s="128">
        <v>1</v>
      </c>
      <c r="O687" s="130">
        <v>46171</v>
      </c>
      <c r="P687" s="128">
        <v>0</v>
      </c>
      <c r="Q687" s="128">
        <v>160</v>
      </c>
      <c r="R687" s="128">
        <v>40</v>
      </c>
      <c r="S687" s="128">
        <v>200</v>
      </c>
      <c r="T687" s="128">
        <v>200</v>
      </c>
      <c r="U687" s="163">
        <v>0</v>
      </c>
      <c r="V687" s="136"/>
      <c r="W687" s="169">
        <v>100.5</v>
      </c>
      <c r="X687" s="169">
        <v>100.3</v>
      </c>
      <c r="Y687" s="169">
        <v>777870</v>
      </c>
      <c r="Z687" s="262">
        <v>39.64</v>
      </c>
      <c r="AA687" s="128">
        <v>19446.75</v>
      </c>
      <c r="AB687" s="128">
        <v>19446.75</v>
      </c>
      <c r="AC687" s="128">
        <v>816763.5</v>
      </c>
      <c r="AD687" s="197">
        <f t="shared" si="468"/>
        <v>815946.7365</v>
      </c>
      <c r="AE687" s="276">
        <v>39.64</v>
      </c>
      <c r="AF687" s="169">
        <v>42</v>
      </c>
      <c r="AG687" s="276">
        <v>39.64</v>
      </c>
      <c r="AH687" s="170">
        <v>3.5000000000000001E-3</v>
      </c>
      <c r="AI687" s="170">
        <v>0.03</v>
      </c>
      <c r="AJ687" s="170">
        <v>4.4999999999999998E-2</v>
      </c>
      <c r="AK687" s="155">
        <f t="shared" si="469"/>
        <v>43708.885714285709</v>
      </c>
      <c r="AL687" s="157">
        <v>0</v>
      </c>
      <c r="AM687" s="157"/>
      <c r="AN687" s="199">
        <v>0</v>
      </c>
      <c r="AO687" s="156">
        <f t="shared" si="470"/>
        <v>0</v>
      </c>
      <c r="AP687" s="157"/>
      <c r="AQ687" s="155">
        <v>0</v>
      </c>
      <c r="AR687" s="155">
        <f t="shared" si="471"/>
        <v>43708.885714285709</v>
      </c>
      <c r="AS687" s="155">
        <f t="shared" si="472"/>
        <v>45894</v>
      </c>
      <c r="AT687" s="197">
        <v>0</v>
      </c>
      <c r="AU687" s="199"/>
      <c r="AV687" s="157"/>
      <c r="AW687" s="155">
        <f t="shared" si="473"/>
        <v>10050</v>
      </c>
      <c r="AX687" s="157"/>
      <c r="AY687" s="155">
        <f t="shared" si="474"/>
        <v>10050</v>
      </c>
      <c r="AZ687" s="155">
        <f t="shared" si="475"/>
        <v>10030</v>
      </c>
      <c r="BA687" s="242">
        <f t="shared" si="476"/>
        <v>20</v>
      </c>
      <c r="BB687" s="246">
        <f t="shared" si="477"/>
        <v>20.100000000000001</v>
      </c>
      <c r="BC687" s="155">
        <v>0</v>
      </c>
      <c r="BD687" s="157"/>
      <c r="BE687" s="169">
        <v>100.5</v>
      </c>
      <c r="BF687" s="197">
        <f t="shared" si="478"/>
        <v>0.15075</v>
      </c>
      <c r="BG687" s="197">
        <f t="shared" si="479"/>
        <v>100.34925</v>
      </c>
      <c r="BH687" s="197">
        <f t="shared" si="480"/>
        <v>100.3</v>
      </c>
      <c r="BI687" s="243">
        <f t="shared" si="481"/>
        <v>20.000000000000284</v>
      </c>
      <c r="BJ687" s="243">
        <v>0</v>
      </c>
      <c r="BK687" s="155">
        <f t="shared" si="482"/>
        <v>20.000000000000284</v>
      </c>
      <c r="BL687" s="47"/>
      <c r="BM687" s="48" t="str">
        <f t="shared" si="483"/>
        <v>Unloading no. 662 Bill No 1 ,Deduction For Oil Deduction= 43708.8857142857 ,Bardana= 0 ,F.M=  Brokerage/Rate Difference 0 ,Shortage = 0 ,Greenish=  ,Moisture= 0</v>
      </c>
      <c r="BN687" s="41"/>
      <c r="BO687" s="44" t="str">
        <f t="shared" si="484"/>
        <v xml:space="preserve"> Party Condition 42  ,F.M% 0.35 ,Greenish 3 ,Moisture 4.5 ,Shortage in KG= 0  ,Oil% 39.64</v>
      </c>
      <c r="BP687" s="45">
        <f t="shared" si="485"/>
        <v>7319.652186298249</v>
      </c>
      <c r="BQ687" s="41"/>
      <c r="BR687" s="41"/>
      <c r="BS687" s="41"/>
      <c r="BT687" s="41"/>
      <c r="BU687" s="41"/>
      <c r="BV687" s="41"/>
      <c r="BW687" s="85"/>
      <c r="BX687" s="27">
        <v>39.409999999999997</v>
      </c>
      <c r="BY687" s="27">
        <v>39.36</v>
      </c>
    </row>
    <row r="688" spans="1:77" ht="14.1" hidden="1" customHeight="1" x14ac:dyDescent="0.3">
      <c r="A688" s="128" t="s">
        <v>1428</v>
      </c>
      <c r="B688" s="130">
        <v>46169</v>
      </c>
      <c r="C688" s="138">
        <v>663</v>
      </c>
      <c r="D688" s="128" t="s">
        <v>1440</v>
      </c>
      <c r="E688" s="130">
        <v>46171</v>
      </c>
      <c r="F688" s="128" t="s">
        <v>1452</v>
      </c>
      <c r="G688" s="128" t="s">
        <v>1453</v>
      </c>
      <c r="H688" s="128" t="s">
        <v>100</v>
      </c>
      <c r="I688" s="136"/>
      <c r="J688" s="128" t="s">
        <v>1146</v>
      </c>
      <c r="K688" s="163">
        <v>0</v>
      </c>
      <c r="L688" s="130">
        <v>46169</v>
      </c>
      <c r="M688" s="136"/>
      <c r="N688" s="128">
        <v>7</v>
      </c>
      <c r="O688" s="130">
        <v>46171</v>
      </c>
      <c r="P688" s="128">
        <v>0</v>
      </c>
      <c r="Q688" s="128">
        <v>200</v>
      </c>
      <c r="R688" s="128">
        <v>0</v>
      </c>
      <c r="S688" s="128">
        <v>200</v>
      </c>
      <c r="T688" s="128">
        <v>200</v>
      </c>
      <c r="U688" s="163">
        <v>0</v>
      </c>
      <c r="V688" s="136"/>
      <c r="W688" s="169">
        <v>100.5</v>
      </c>
      <c r="X688" s="169">
        <v>100.7</v>
      </c>
      <c r="Y688" s="169">
        <v>777870</v>
      </c>
      <c r="Z688" s="262">
        <v>38.85</v>
      </c>
      <c r="AA688" s="128">
        <v>19446.75</v>
      </c>
      <c r="AB688" s="128">
        <v>19446.75</v>
      </c>
      <c r="AC688" s="128">
        <v>816763.5</v>
      </c>
      <c r="AD688" s="197">
        <f t="shared" si="468"/>
        <v>815946.7365</v>
      </c>
      <c r="AE688" s="276">
        <v>38.85</v>
      </c>
      <c r="AF688" s="169">
        <v>42</v>
      </c>
      <c r="AG688" s="276">
        <v>38.85</v>
      </c>
      <c r="AH688" s="170">
        <v>3.8E-3</v>
      </c>
      <c r="AI688" s="170">
        <v>3.3399999999999999E-2</v>
      </c>
      <c r="AJ688" s="170">
        <v>0.05</v>
      </c>
      <c r="AK688" s="155">
        <f t="shared" si="469"/>
        <v>58340.249999999978</v>
      </c>
      <c r="AL688" s="157">
        <v>0</v>
      </c>
      <c r="AM688" s="157"/>
      <c r="AN688" s="199">
        <v>0</v>
      </c>
      <c r="AO688" s="156">
        <f t="shared" si="470"/>
        <v>0</v>
      </c>
      <c r="AP688" s="157"/>
      <c r="AQ688" s="155">
        <v>0</v>
      </c>
      <c r="AR688" s="155">
        <f t="shared" si="471"/>
        <v>58340.249999999978</v>
      </c>
      <c r="AS688" s="155">
        <f t="shared" si="472"/>
        <v>61257</v>
      </c>
      <c r="AT688" s="197">
        <v>0</v>
      </c>
      <c r="AU688" s="199"/>
      <c r="AV688" s="157"/>
      <c r="AW688" s="155">
        <f t="shared" si="473"/>
        <v>10050</v>
      </c>
      <c r="AX688" s="157"/>
      <c r="AY688" s="155">
        <f t="shared" si="474"/>
        <v>10050</v>
      </c>
      <c r="AZ688" s="155">
        <f t="shared" si="475"/>
        <v>10070</v>
      </c>
      <c r="BA688" s="242">
        <f t="shared" si="476"/>
        <v>-20</v>
      </c>
      <c r="BB688" s="246">
        <f t="shared" si="477"/>
        <v>20.100000000000001</v>
      </c>
      <c r="BC688" s="155">
        <v>0</v>
      </c>
      <c r="BD688" s="157"/>
      <c r="BE688" s="169">
        <v>100.5</v>
      </c>
      <c r="BF688" s="197">
        <f t="shared" si="478"/>
        <v>0.15075</v>
      </c>
      <c r="BG688" s="197">
        <f t="shared" si="479"/>
        <v>100.34925</v>
      </c>
      <c r="BH688" s="197">
        <f t="shared" si="480"/>
        <v>100.7</v>
      </c>
      <c r="BI688" s="243">
        <f t="shared" si="481"/>
        <v>-20.000000000000284</v>
      </c>
      <c r="BJ688" s="243">
        <v>0</v>
      </c>
      <c r="BK688" s="155">
        <f t="shared" si="482"/>
        <v>-20.000000000000284</v>
      </c>
      <c r="BL688" s="47"/>
      <c r="BM688" s="48" t="str">
        <f t="shared" si="483"/>
        <v>Unloading no. 663 Bill No 7 ,Deduction For Oil Deduction= 58340.25 ,Bardana= 0 ,F.M=  Brokerage/Rate Difference 0 ,Shortage = 0 ,Greenish=  ,Moisture= 0</v>
      </c>
      <c r="BN688" s="41"/>
      <c r="BO688" s="44" t="str">
        <f t="shared" si="484"/>
        <v xml:space="preserve"> Party Condition 42  ,F.M% 0.38 ,Greenish 3.34 ,Moisture 5 ,Shortage in KG= 0  ,Oil% 38.85</v>
      </c>
      <c r="BP688" s="45">
        <f t="shared" si="485"/>
        <v>7145.2805362462759</v>
      </c>
      <c r="BQ688" s="41"/>
      <c r="BR688" s="41"/>
      <c r="BS688" s="41"/>
      <c r="BT688" s="41"/>
      <c r="BU688" s="41"/>
      <c r="BV688" s="41"/>
      <c r="BW688" s="85"/>
      <c r="BX688" s="27">
        <v>38.58</v>
      </c>
      <c r="BY688" s="27">
        <v>38.53</v>
      </c>
    </row>
    <row r="689" spans="1:77" ht="14.1" hidden="1" customHeight="1" x14ac:dyDescent="0.3">
      <c r="A689" s="128" t="s">
        <v>1428</v>
      </c>
      <c r="B689" s="130">
        <v>46169</v>
      </c>
      <c r="C689" s="138">
        <v>664</v>
      </c>
      <c r="D689" s="128" t="s">
        <v>1441</v>
      </c>
      <c r="E689" s="130">
        <v>46171</v>
      </c>
      <c r="F689" s="128" t="s">
        <v>1452</v>
      </c>
      <c r="G689" s="128" t="s">
        <v>1453</v>
      </c>
      <c r="H689" s="128" t="s">
        <v>100</v>
      </c>
      <c r="I689" s="136"/>
      <c r="J689" s="128" t="s">
        <v>1146</v>
      </c>
      <c r="K689" s="163">
        <v>0</v>
      </c>
      <c r="L689" s="130">
        <v>46169</v>
      </c>
      <c r="M689" s="136"/>
      <c r="N689" s="128">
        <v>6</v>
      </c>
      <c r="O689" s="130">
        <v>46171</v>
      </c>
      <c r="P689" s="128">
        <v>0</v>
      </c>
      <c r="Q689" s="128">
        <v>200</v>
      </c>
      <c r="R689" s="128">
        <v>0</v>
      </c>
      <c r="S689" s="128">
        <v>200</v>
      </c>
      <c r="T689" s="128">
        <v>200</v>
      </c>
      <c r="U689" s="163">
        <v>0</v>
      </c>
      <c r="V689" s="136"/>
      <c r="W689" s="169">
        <v>100.8</v>
      </c>
      <c r="X689" s="169">
        <v>101.3</v>
      </c>
      <c r="Y689" s="169">
        <v>780192</v>
      </c>
      <c r="Z689" s="262">
        <v>39.020000000000003</v>
      </c>
      <c r="AA689" s="128">
        <v>19504.8</v>
      </c>
      <c r="AB689" s="128">
        <v>19504.8</v>
      </c>
      <c r="AC689" s="128">
        <v>819201.6</v>
      </c>
      <c r="AD689" s="197">
        <f t="shared" si="468"/>
        <v>818382.39839999995</v>
      </c>
      <c r="AE689" s="276">
        <v>39.020000000000003</v>
      </c>
      <c r="AF689" s="169">
        <v>42</v>
      </c>
      <c r="AG689" s="276">
        <v>39.020000000000003</v>
      </c>
      <c r="AH689" s="170">
        <v>4.7000000000000002E-3</v>
      </c>
      <c r="AI689" s="170">
        <v>3.7999999999999999E-2</v>
      </c>
      <c r="AJ689" s="170">
        <v>4.5999999999999999E-2</v>
      </c>
      <c r="AK689" s="155">
        <f t="shared" si="469"/>
        <v>55356.479999999945</v>
      </c>
      <c r="AL689" s="157">
        <v>0</v>
      </c>
      <c r="AM689" s="157"/>
      <c r="AN689" s="199">
        <v>0</v>
      </c>
      <c r="AO689" s="156">
        <f t="shared" si="470"/>
        <v>0</v>
      </c>
      <c r="AP689" s="157"/>
      <c r="AQ689" s="155">
        <v>0</v>
      </c>
      <c r="AR689" s="155">
        <f t="shared" si="471"/>
        <v>55356.479999999945</v>
      </c>
      <c r="AS689" s="155">
        <f t="shared" si="472"/>
        <v>58124</v>
      </c>
      <c r="AT689" s="197">
        <v>0</v>
      </c>
      <c r="AU689" s="199"/>
      <c r="AV689" s="157"/>
      <c r="AW689" s="155">
        <f t="shared" si="473"/>
        <v>10080</v>
      </c>
      <c r="AX689" s="157"/>
      <c r="AY689" s="155">
        <f t="shared" si="474"/>
        <v>10080</v>
      </c>
      <c r="AZ689" s="155">
        <f t="shared" si="475"/>
        <v>10130</v>
      </c>
      <c r="BA689" s="242">
        <f t="shared" si="476"/>
        <v>-50</v>
      </c>
      <c r="BB689" s="246">
        <f t="shared" si="477"/>
        <v>20.16</v>
      </c>
      <c r="BC689" s="155">
        <v>0</v>
      </c>
      <c r="BD689" s="157"/>
      <c r="BE689" s="169">
        <v>100.8</v>
      </c>
      <c r="BF689" s="197">
        <f t="shared" si="478"/>
        <v>0.1512</v>
      </c>
      <c r="BG689" s="197">
        <f t="shared" si="479"/>
        <v>100.64879999999999</v>
      </c>
      <c r="BH689" s="197">
        <f t="shared" si="480"/>
        <v>101.3</v>
      </c>
      <c r="BI689" s="243">
        <f t="shared" si="481"/>
        <v>-50</v>
      </c>
      <c r="BJ689" s="243">
        <v>0</v>
      </c>
      <c r="BK689" s="155">
        <f t="shared" si="482"/>
        <v>-50</v>
      </c>
      <c r="BL689" s="47"/>
      <c r="BM689" s="48" t="str">
        <f t="shared" si="483"/>
        <v>Unloading no. 664 Bill No 6 ,Deduction For Oil Deduction= 55356.4799999999 ,Bardana= 0 ,F.M=  Brokerage/Rate Difference 0 ,Shortage = 0 ,Greenish=  ,Moisture= 0</v>
      </c>
      <c r="BN689" s="41"/>
      <c r="BO689" s="44" t="str">
        <f t="shared" si="484"/>
        <v xml:space="preserve"> Party Condition 42  ,F.M% 0.47 ,Greenish 3.8 ,Moisture 4.6 ,Shortage in KG= 0  ,Oil% 39.02</v>
      </c>
      <c r="BP689" s="45">
        <f t="shared" si="485"/>
        <v>7155.3358341559724</v>
      </c>
      <c r="BQ689" s="41"/>
      <c r="BR689" s="41"/>
      <c r="BS689" s="41"/>
      <c r="BT689" s="41"/>
      <c r="BU689" s="41"/>
      <c r="BV689" s="41"/>
      <c r="BW689" s="85"/>
      <c r="BX689" s="27">
        <v>38.86</v>
      </c>
      <c r="BY689" s="27">
        <v>38.75</v>
      </c>
    </row>
    <row r="690" spans="1:77" ht="14.1" hidden="1" customHeight="1" x14ac:dyDescent="0.3">
      <c r="A690" s="128" t="s">
        <v>1429</v>
      </c>
      <c r="B690" s="130">
        <v>46171</v>
      </c>
      <c r="C690" s="138">
        <v>665</v>
      </c>
      <c r="D690" s="128" t="s">
        <v>1442</v>
      </c>
      <c r="E690" s="129">
        <v>46172</v>
      </c>
      <c r="F690" s="128" t="s">
        <v>1083</v>
      </c>
      <c r="G690" s="281" t="s">
        <v>1084</v>
      </c>
      <c r="H690" s="281" t="s">
        <v>1454</v>
      </c>
      <c r="I690" s="136"/>
      <c r="J690" s="128" t="s">
        <v>1146</v>
      </c>
      <c r="K690" s="163">
        <v>0</v>
      </c>
      <c r="L690" s="130">
        <v>46171</v>
      </c>
      <c r="M690" s="136"/>
      <c r="N690" s="128">
        <v>16</v>
      </c>
      <c r="O690" s="130">
        <v>46171</v>
      </c>
      <c r="P690" s="128">
        <v>0</v>
      </c>
      <c r="Q690" s="128">
        <v>110</v>
      </c>
      <c r="R690" s="128">
        <v>252</v>
      </c>
      <c r="S690" s="128">
        <v>362</v>
      </c>
      <c r="T690" s="128">
        <v>362</v>
      </c>
      <c r="U690" s="163">
        <v>0</v>
      </c>
      <c r="V690" s="136"/>
      <c r="W690" s="169">
        <v>252.3</v>
      </c>
      <c r="X690" s="169">
        <v>252.1</v>
      </c>
      <c r="Y690" s="169">
        <v>2031015</v>
      </c>
      <c r="Z690" s="128"/>
      <c r="AA690" s="169">
        <v>50775.38</v>
      </c>
      <c r="AB690" s="169">
        <v>50775.38</v>
      </c>
      <c r="AC690" s="128">
        <v>2132565.75</v>
      </c>
      <c r="AD690" s="197">
        <f t="shared" si="468"/>
        <v>2130433.1842499999</v>
      </c>
      <c r="AE690" s="147">
        <v>41.05</v>
      </c>
      <c r="AF690" s="169">
        <v>42</v>
      </c>
      <c r="AG690" s="147">
        <v>40.869999999999997</v>
      </c>
      <c r="AH690" s="233">
        <v>5.0000000000000001E-3</v>
      </c>
      <c r="AI690" s="170">
        <v>0.04</v>
      </c>
      <c r="AJ690" s="170">
        <v>4.9000000000000002E-2</v>
      </c>
      <c r="AK690" s="155">
        <f t="shared" si="469"/>
        <v>54643.975000000122</v>
      </c>
      <c r="AL690" s="157">
        <f>110*10+252*15</f>
        <v>4880</v>
      </c>
      <c r="AM690" s="157">
        <f>Y690*AH690</f>
        <v>10155.075000000001</v>
      </c>
      <c r="AN690" s="199">
        <f>W690*15</f>
        <v>3784.5</v>
      </c>
      <c r="AO690" s="156">
        <f t="shared" si="470"/>
        <v>1610</v>
      </c>
      <c r="AP690" s="157"/>
      <c r="AQ690" s="155">
        <v>0</v>
      </c>
      <c r="AR690" s="155">
        <f t="shared" si="471"/>
        <v>75073.550000000119</v>
      </c>
      <c r="AS690" s="155">
        <f t="shared" si="472"/>
        <v>78827</v>
      </c>
      <c r="AT690" s="197">
        <v>20</v>
      </c>
      <c r="AU690" s="199"/>
      <c r="AV690" s="157"/>
      <c r="AW690" s="155">
        <f t="shared" si="473"/>
        <v>25230</v>
      </c>
      <c r="AX690" s="157"/>
      <c r="AY690" s="155">
        <f t="shared" si="474"/>
        <v>25230</v>
      </c>
      <c r="AZ690" s="155">
        <f t="shared" si="475"/>
        <v>25210</v>
      </c>
      <c r="BA690" s="242">
        <f t="shared" si="476"/>
        <v>20</v>
      </c>
      <c r="BB690" s="246">
        <f t="shared" si="477"/>
        <v>50.46</v>
      </c>
      <c r="BC690" s="155">
        <v>0</v>
      </c>
      <c r="BD690" s="157"/>
      <c r="BE690" s="169">
        <v>252.3</v>
      </c>
      <c r="BF690" s="197">
        <f t="shared" si="478"/>
        <v>0.37845000000000001</v>
      </c>
      <c r="BG690" s="197">
        <f t="shared" si="479"/>
        <v>251.92155000000002</v>
      </c>
      <c r="BH690" s="197">
        <f t="shared" si="480"/>
        <v>252.1</v>
      </c>
      <c r="BI690" s="243">
        <f t="shared" si="481"/>
        <v>20.000000000001705</v>
      </c>
      <c r="BJ690" s="243">
        <v>0</v>
      </c>
      <c r="BK690" s="155">
        <f t="shared" si="482"/>
        <v>20.000000000001705</v>
      </c>
      <c r="BL690" s="47"/>
      <c r="BM690" s="48" t="str">
        <f t="shared" si="483"/>
        <v>Unloading no. 665 Bill No 16 ,Deduction For Oil Deduction= 54643.9750000001 ,Bardana= 4880 ,F.M= 10155.075 Brokerage/Rate Difference 3784.5 ,Shortage = 1610 ,Greenish=  ,Moisture= 0</v>
      </c>
      <c r="BN690" s="41"/>
      <c r="BO690" s="44" t="str">
        <f t="shared" si="484"/>
        <v xml:space="preserve"> Party Condition 42  ,F.M% 0.5 ,Greenish 4 ,Moisture 4.9 ,Shortage in KG= 20  ,Oil% 40.87</v>
      </c>
      <c r="BP690" s="45">
        <f t="shared" si="485"/>
        <v>7758.5936136453784</v>
      </c>
      <c r="BQ690" s="41"/>
      <c r="BR690" s="41"/>
      <c r="BS690" s="41"/>
      <c r="BT690" s="41"/>
      <c r="BU690" s="41"/>
      <c r="BV690" s="41"/>
      <c r="BW690" s="85"/>
      <c r="BX690" s="27">
        <v>41.05</v>
      </c>
      <c r="BY690" s="27">
        <v>40.869999999999997</v>
      </c>
    </row>
    <row r="691" spans="1:77" ht="14.1" hidden="1" customHeight="1" x14ac:dyDescent="0.3">
      <c r="A691" s="128" t="s">
        <v>1430</v>
      </c>
      <c r="B691" s="130">
        <v>46171</v>
      </c>
      <c r="C691" s="138">
        <v>666</v>
      </c>
      <c r="D691" s="128" t="s">
        <v>1443</v>
      </c>
      <c r="E691" s="129">
        <v>46172</v>
      </c>
      <c r="F691" s="128" t="s">
        <v>1080</v>
      </c>
      <c r="G691" s="281" t="s">
        <v>1081</v>
      </c>
      <c r="H691" s="281" t="s">
        <v>1082</v>
      </c>
      <c r="I691" s="136"/>
      <c r="J691" s="128" t="s">
        <v>1146</v>
      </c>
      <c r="K691" s="163">
        <v>0</v>
      </c>
      <c r="L691" s="130">
        <v>46171</v>
      </c>
      <c r="M691" s="136"/>
      <c r="N691" s="128">
        <v>114</v>
      </c>
      <c r="O691" s="130">
        <v>46171</v>
      </c>
      <c r="P691" s="128">
        <v>0</v>
      </c>
      <c r="Q691" s="128">
        <v>750</v>
      </c>
      <c r="R691" s="128">
        <v>171</v>
      </c>
      <c r="S691" s="128">
        <v>921</v>
      </c>
      <c r="T691" s="128">
        <v>921</v>
      </c>
      <c r="U691" s="163">
        <v>0</v>
      </c>
      <c r="V691" s="136"/>
      <c r="W691" s="169">
        <v>458.15</v>
      </c>
      <c r="X691" s="169">
        <v>457</v>
      </c>
      <c r="Y691" s="169">
        <v>3665200</v>
      </c>
      <c r="Z691" s="128"/>
      <c r="AA691" s="169">
        <v>91630</v>
      </c>
      <c r="AB691" s="169">
        <v>91630</v>
      </c>
      <c r="AC691" s="128">
        <v>3848460</v>
      </c>
      <c r="AD691" s="197">
        <f t="shared" si="468"/>
        <v>3844611.54</v>
      </c>
      <c r="AE691" s="147">
        <v>40.78</v>
      </c>
      <c r="AF691" s="169">
        <v>42</v>
      </c>
      <c r="AG691" s="147">
        <v>40.58</v>
      </c>
      <c r="AH691" s="233">
        <v>4.1000000000000003E-3</v>
      </c>
      <c r="AI691" s="170">
        <v>3.44E-2</v>
      </c>
      <c r="AJ691" s="170">
        <v>4.5999999999999999E-2</v>
      </c>
      <c r="AK691" s="155">
        <f t="shared" si="469"/>
        <v>123918.66666666682</v>
      </c>
      <c r="AL691" s="157">
        <f>750*10+171*15</f>
        <v>10065</v>
      </c>
      <c r="AM691" s="157">
        <f>Y691*AH691</f>
        <v>15027.320000000002</v>
      </c>
      <c r="AN691" s="199">
        <f>W691*14</f>
        <v>6414.0999999999995</v>
      </c>
      <c r="AO691" s="156">
        <f t="shared" si="470"/>
        <v>9200</v>
      </c>
      <c r="AP691" s="157"/>
      <c r="AQ691" s="155">
        <v>0</v>
      </c>
      <c r="AR691" s="155">
        <f t="shared" si="471"/>
        <v>164625.08666666682</v>
      </c>
      <c r="AS691" s="155">
        <f t="shared" si="472"/>
        <v>172856</v>
      </c>
      <c r="AT691" s="197">
        <v>115</v>
      </c>
      <c r="AU691" s="199"/>
      <c r="AV691" s="157"/>
      <c r="AW691" s="155">
        <f t="shared" si="473"/>
        <v>45815</v>
      </c>
      <c r="AX691" s="157"/>
      <c r="AY691" s="155">
        <f t="shared" si="474"/>
        <v>45815</v>
      </c>
      <c r="AZ691" s="155">
        <f t="shared" si="475"/>
        <v>45700</v>
      </c>
      <c r="BA691" s="242">
        <f t="shared" si="476"/>
        <v>115</v>
      </c>
      <c r="BB691" s="246">
        <f t="shared" si="477"/>
        <v>91.63</v>
      </c>
      <c r="BC691" s="155">
        <v>0</v>
      </c>
      <c r="BD691" s="157"/>
      <c r="BE691" s="169">
        <v>458.15</v>
      </c>
      <c r="BF691" s="197">
        <f t="shared" si="478"/>
        <v>0.68722499999999997</v>
      </c>
      <c r="BG691" s="197">
        <f t="shared" si="479"/>
        <v>457.46277499999997</v>
      </c>
      <c r="BH691" s="197">
        <f t="shared" si="480"/>
        <v>457</v>
      </c>
      <c r="BI691" s="243">
        <f t="shared" si="481"/>
        <v>114.99999999999773</v>
      </c>
      <c r="BJ691" s="243">
        <v>0</v>
      </c>
      <c r="BK691" s="155">
        <f t="shared" si="482"/>
        <v>114.99999999999773</v>
      </c>
      <c r="BL691" s="47"/>
      <c r="BM691" s="48" t="str">
        <f t="shared" si="483"/>
        <v>Unloading no. 666 Bill No 114 ,Deduction For Oil Deduction= 123918.666666667 ,Bardana= 10065 ,F.M= 15027.32 Brokerage/Rate Difference 6414.1 ,Shortage = 9200 ,Greenish=  ,Moisture= 0</v>
      </c>
      <c r="BN691" s="41"/>
      <c r="BO691" s="44" t="str">
        <f t="shared" si="484"/>
        <v xml:space="preserve"> Party Condition 42  ,F.M% 0.41 ,Greenish 3.44 ,Moisture 4.6 ,Shortage in KG= 115  ,Oil% 40.58</v>
      </c>
      <c r="BP691" s="45">
        <f t="shared" si="485"/>
        <v>7659.9013420860683</v>
      </c>
      <c r="BQ691" s="41"/>
      <c r="BR691" s="41"/>
      <c r="BS691" s="41"/>
      <c r="BT691" s="41"/>
      <c r="BU691" s="41"/>
      <c r="BV691" s="41"/>
      <c r="BW691" s="85"/>
      <c r="BX691" s="27">
        <v>40.78</v>
      </c>
      <c r="BY691" s="27">
        <v>40.58</v>
      </c>
    </row>
    <row r="692" spans="1:77" ht="14.1" hidden="1" customHeight="1" x14ac:dyDescent="0.3">
      <c r="A692" s="128" t="s">
        <v>1431</v>
      </c>
      <c r="B692" s="166">
        <v>46171</v>
      </c>
      <c r="C692" s="187">
        <v>667</v>
      </c>
      <c r="D692" s="163" t="s">
        <v>1444</v>
      </c>
      <c r="E692" s="162">
        <v>46172</v>
      </c>
      <c r="F692" s="163" t="s">
        <v>1142</v>
      </c>
      <c r="G692" s="282" t="s">
        <v>1143</v>
      </c>
      <c r="H692" s="282" t="s">
        <v>103</v>
      </c>
      <c r="I692" s="157"/>
      <c r="J692" s="163" t="s">
        <v>1146</v>
      </c>
      <c r="K692" s="163">
        <v>0</v>
      </c>
      <c r="L692" s="166">
        <v>46171</v>
      </c>
      <c r="M692" s="157"/>
      <c r="N692" s="163" t="s">
        <v>1457</v>
      </c>
      <c r="O692" s="166">
        <v>46171</v>
      </c>
      <c r="P692" s="163">
        <v>0</v>
      </c>
      <c r="Q692" s="163">
        <v>28</v>
      </c>
      <c r="R692" s="128">
        <v>205</v>
      </c>
      <c r="S692" s="128">
        <v>233</v>
      </c>
      <c r="T692" s="128">
        <v>233</v>
      </c>
      <c r="U692" s="163">
        <v>0</v>
      </c>
      <c r="V692" s="136"/>
      <c r="W692" s="169">
        <v>118.8</v>
      </c>
      <c r="X692" s="169">
        <v>118.5</v>
      </c>
      <c r="Y692" s="169">
        <v>950400</v>
      </c>
      <c r="Z692" s="128"/>
      <c r="AA692" s="169">
        <v>23760</v>
      </c>
      <c r="AB692" s="169">
        <v>23760</v>
      </c>
      <c r="AC692" s="128">
        <v>997920</v>
      </c>
      <c r="AD692" s="197">
        <f t="shared" si="468"/>
        <v>996922.08</v>
      </c>
      <c r="AE692" s="147">
        <v>40.01</v>
      </c>
      <c r="AF692" s="169">
        <v>42</v>
      </c>
      <c r="AG692" s="147">
        <v>39.909999999999997</v>
      </c>
      <c r="AH692" s="283">
        <v>8.9999999999999993E-3</v>
      </c>
      <c r="AI692" s="170">
        <v>0.04</v>
      </c>
      <c r="AJ692" s="170">
        <v>4.2999999999999997E-2</v>
      </c>
      <c r="AK692" s="155">
        <f t="shared" si="469"/>
        <v>47293.714285714363</v>
      </c>
      <c r="AL692" s="157">
        <f>28*10+205*15</f>
        <v>3355</v>
      </c>
      <c r="AM692" s="157">
        <f>Y692*AH692</f>
        <v>8553.5999999999985</v>
      </c>
      <c r="AN692" s="199">
        <v>0</v>
      </c>
      <c r="AO692" s="156">
        <f t="shared" si="470"/>
        <v>2400</v>
      </c>
      <c r="AP692" s="157"/>
      <c r="AQ692" s="155">
        <v>0</v>
      </c>
      <c r="AR692" s="155">
        <f t="shared" si="471"/>
        <v>61602.314285714361</v>
      </c>
      <c r="AS692" s="155">
        <f t="shared" si="472"/>
        <v>64682</v>
      </c>
      <c r="AT692" s="197">
        <v>30</v>
      </c>
      <c r="AU692" s="199"/>
      <c r="AV692" s="157"/>
      <c r="AW692" s="155">
        <f t="shared" si="473"/>
        <v>11880</v>
      </c>
      <c r="AX692" s="157"/>
      <c r="AY692" s="155">
        <f t="shared" si="474"/>
        <v>11880</v>
      </c>
      <c r="AZ692" s="155">
        <f t="shared" si="475"/>
        <v>11850</v>
      </c>
      <c r="BA692" s="242">
        <f t="shared" si="476"/>
        <v>30</v>
      </c>
      <c r="BB692" s="246">
        <f t="shared" si="477"/>
        <v>23.76</v>
      </c>
      <c r="BC692" s="155">
        <v>0</v>
      </c>
      <c r="BD692" s="157"/>
      <c r="BE692" s="169">
        <v>118.8</v>
      </c>
      <c r="BF692" s="197">
        <f t="shared" si="478"/>
        <v>0.1782</v>
      </c>
      <c r="BG692" s="197">
        <f t="shared" si="479"/>
        <v>118.62179999999999</v>
      </c>
      <c r="BH692" s="197">
        <f t="shared" si="480"/>
        <v>118.5</v>
      </c>
      <c r="BI692" s="243">
        <f t="shared" si="481"/>
        <v>29.999999999999716</v>
      </c>
      <c r="BJ692" s="243">
        <v>0</v>
      </c>
      <c r="BK692" s="155">
        <f t="shared" si="482"/>
        <v>29.999999999999716</v>
      </c>
      <c r="BL692" s="47"/>
      <c r="BM692" s="48" t="str">
        <f t="shared" si="483"/>
        <v>Unloading no. 667 Bill No 2026-27/6920 ,Deduction For Oil Deduction= 47293.7142857144 ,Bardana= 3355 ,F.M= 8553.6 Brokerage/Rate Difference 0 ,Shortage = 2400 ,Greenish=  ,Moisture= 0</v>
      </c>
      <c r="BN692" s="41"/>
      <c r="BO692" s="44" t="str">
        <f t="shared" si="484"/>
        <v xml:space="preserve"> Party Condition 42  ,F.M% 0.9 ,Greenish 4 ,Moisture 4.3 ,Shortage in KG= 30  ,Oil% 39.91</v>
      </c>
      <c r="BP692" s="45">
        <f t="shared" si="485"/>
        <v>7500.4024110910177</v>
      </c>
      <c r="BQ692" s="41"/>
      <c r="BR692" s="41"/>
      <c r="BS692" s="41"/>
      <c r="BT692" s="41"/>
      <c r="BU692" s="41"/>
      <c r="BV692" s="41"/>
      <c r="BW692" s="85"/>
      <c r="BX692" s="27">
        <v>40.01</v>
      </c>
      <c r="BY692" s="27">
        <v>39.909999999999997</v>
      </c>
    </row>
    <row r="693" spans="1:77" ht="14.1" hidden="1" customHeight="1" x14ac:dyDescent="0.3">
      <c r="A693" s="128" t="s">
        <v>1428</v>
      </c>
      <c r="B693" s="166">
        <v>46169</v>
      </c>
      <c r="C693" s="187">
        <v>668</v>
      </c>
      <c r="D693" s="163" t="s">
        <v>1445</v>
      </c>
      <c r="E693" s="162">
        <v>46172</v>
      </c>
      <c r="F693" s="163" t="s">
        <v>1452</v>
      </c>
      <c r="G693" s="282" t="s">
        <v>1453</v>
      </c>
      <c r="H693" s="282" t="s">
        <v>100</v>
      </c>
      <c r="I693" s="157"/>
      <c r="J693" s="163" t="s">
        <v>1146</v>
      </c>
      <c r="K693" s="163">
        <v>0</v>
      </c>
      <c r="L693" s="166">
        <v>46169</v>
      </c>
      <c r="M693" s="157"/>
      <c r="N693" s="163">
        <v>8</v>
      </c>
      <c r="O693" s="166">
        <v>46172</v>
      </c>
      <c r="P693" s="163">
        <v>0</v>
      </c>
      <c r="Q693" s="163">
        <v>80</v>
      </c>
      <c r="R693" s="128">
        <v>120</v>
      </c>
      <c r="S693" s="128">
        <v>200</v>
      </c>
      <c r="T693" s="128">
        <v>200</v>
      </c>
      <c r="U693" s="163">
        <v>0</v>
      </c>
      <c r="V693" s="136"/>
      <c r="W693" s="169">
        <v>100.9</v>
      </c>
      <c r="X693" s="169">
        <v>100.4</v>
      </c>
      <c r="Y693" s="169">
        <v>780966</v>
      </c>
      <c r="Z693" s="235">
        <v>39.020000000000003</v>
      </c>
      <c r="AA693" s="169">
        <v>19524.150000000001</v>
      </c>
      <c r="AB693" s="169">
        <v>19524.150000000001</v>
      </c>
      <c r="AC693" s="128">
        <v>820014.3</v>
      </c>
      <c r="AD693" s="197">
        <f t="shared" si="468"/>
        <v>819194.28570000001</v>
      </c>
      <c r="AE693" s="236">
        <v>39.020000000000003</v>
      </c>
      <c r="AF693" s="169">
        <v>42</v>
      </c>
      <c r="AG693" s="236">
        <v>39.020000000000003</v>
      </c>
      <c r="AH693" s="170">
        <v>3.5999999999999999E-3</v>
      </c>
      <c r="AI693" s="170">
        <v>3.8399999999999997E-2</v>
      </c>
      <c r="AJ693" s="170">
        <v>0.05</v>
      </c>
      <c r="AK693" s="155">
        <f t="shared" si="469"/>
        <v>55411.397142857088</v>
      </c>
      <c r="AL693" s="157">
        <v>0</v>
      </c>
      <c r="AM693" s="157"/>
      <c r="AN693" s="199">
        <v>0</v>
      </c>
      <c r="AO693" s="156">
        <f t="shared" si="470"/>
        <v>2322</v>
      </c>
      <c r="AP693" s="157"/>
      <c r="AQ693" s="155">
        <v>0</v>
      </c>
      <c r="AR693" s="155">
        <f t="shared" si="471"/>
        <v>57733.397142857088</v>
      </c>
      <c r="AS693" s="155">
        <f t="shared" si="472"/>
        <v>60620</v>
      </c>
      <c r="AT693" s="197">
        <v>30</v>
      </c>
      <c r="AU693" s="199"/>
      <c r="AV693" s="157"/>
      <c r="AW693" s="155">
        <f t="shared" si="473"/>
        <v>10090</v>
      </c>
      <c r="AX693" s="157"/>
      <c r="AY693" s="155">
        <f t="shared" si="474"/>
        <v>10090</v>
      </c>
      <c r="AZ693" s="155">
        <f t="shared" si="475"/>
        <v>10040</v>
      </c>
      <c r="BA693" s="242">
        <f t="shared" si="476"/>
        <v>50</v>
      </c>
      <c r="BB693" s="246">
        <f t="shared" si="477"/>
        <v>20.18</v>
      </c>
      <c r="BC693" s="155">
        <v>0</v>
      </c>
      <c r="BD693" s="157"/>
      <c r="BE693" s="169">
        <v>100.9</v>
      </c>
      <c r="BF693" s="197">
        <f t="shared" si="478"/>
        <v>0.15134999999999998</v>
      </c>
      <c r="BG693" s="197">
        <f t="shared" si="479"/>
        <v>100.74865000000001</v>
      </c>
      <c r="BH693" s="197">
        <f t="shared" si="480"/>
        <v>100.4</v>
      </c>
      <c r="BI693" s="243">
        <f t="shared" si="481"/>
        <v>50</v>
      </c>
      <c r="BJ693" s="243">
        <v>0</v>
      </c>
      <c r="BK693" s="155">
        <f t="shared" si="482"/>
        <v>50</v>
      </c>
      <c r="BL693" s="47"/>
      <c r="BM693" s="48" t="str">
        <f t="shared" si="483"/>
        <v>Unloading no. 668 Bill No 8 ,Deduction For Oil Deduction= 55411.3971428571 ,Bardana= 0 ,F.M=  Brokerage/Rate Difference 0 ,Shortage = 2322 ,Greenish=  ,Moisture= 0</v>
      </c>
      <c r="BN693" s="41"/>
      <c r="BO693" s="44" t="str">
        <f t="shared" si="484"/>
        <v xml:space="preserve"> Party Condition 42  ,F.M% 0.36 ,Greenish 3.84 ,Moisture 5 ,Shortage in KG= 30  ,Oil% 39.02</v>
      </c>
      <c r="BP693" s="45">
        <f t="shared" si="485"/>
        <v>7203.5119806488337</v>
      </c>
      <c r="BQ693" s="41"/>
      <c r="BR693" s="41"/>
      <c r="BS693" s="41"/>
      <c r="BT693" s="41"/>
      <c r="BU693" s="41"/>
      <c r="BV693" s="41"/>
      <c r="BW693" s="85"/>
      <c r="BX693" s="27">
        <v>39.020000000000003</v>
      </c>
      <c r="BY693" s="27">
        <v>38.93</v>
      </c>
    </row>
    <row r="694" spans="1:77" ht="14.1" hidden="1" customHeight="1" x14ac:dyDescent="0.3">
      <c r="A694" s="128" t="s">
        <v>1428</v>
      </c>
      <c r="B694" s="166">
        <v>46169</v>
      </c>
      <c r="C694" s="187">
        <v>669</v>
      </c>
      <c r="D694" s="163" t="s">
        <v>1446</v>
      </c>
      <c r="E694" s="162">
        <v>46172</v>
      </c>
      <c r="F694" s="163" t="s">
        <v>1452</v>
      </c>
      <c r="G694" s="282" t="s">
        <v>1453</v>
      </c>
      <c r="H694" s="282" t="s">
        <v>100</v>
      </c>
      <c r="I694" s="157"/>
      <c r="J694" s="163" t="s">
        <v>1146</v>
      </c>
      <c r="K694" s="163">
        <v>0</v>
      </c>
      <c r="L694" s="166">
        <v>46169</v>
      </c>
      <c r="M694" s="157"/>
      <c r="N694" s="163">
        <v>9</v>
      </c>
      <c r="O694" s="166">
        <v>46172</v>
      </c>
      <c r="P694" s="163">
        <v>0</v>
      </c>
      <c r="Q694" s="163">
        <v>170</v>
      </c>
      <c r="R694" s="128">
        <v>30</v>
      </c>
      <c r="S694" s="128">
        <v>200</v>
      </c>
      <c r="T694" s="128">
        <v>200</v>
      </c>
      <c r="U694" s="163">
        <v>0</v>
      </c>
      <c r="V694" s="136"/>
      <c r="W694" s="169">
        <v>99.7</v>
      </c>
      <c r="X694" s="169">
        <v>99.4</v>
      </c>
      <c r="Y694" s="169">
        <v>771678</v>
      </c>
      <c r="Z694" s="235">
        <v>39.18</v>
      </c>
      <c r="AA694" s="169">
        <v>19291.95</v>
      </c>
      <c r="AB694" s="169">
        <v>19291.95</v>
      </c>
      <c r="AC694" s="128">
        <v>810261.9</v>
      </c>
      <c r="AD694" s="197">
        <f t="shared" si="468"/>
        <v>809451.63809999998</v>
      </c>
      <c r="AE694" s="236">
        <v>39.18</v>
      </c>
      <c r="AF694" s="169">
        <v>42</v>
      </c>
      <c r="AG694" s="236">
        <v>39.18</v>
      </c>
      <c r="AH694" s="170">
        <v>3.8E-3</v>
      </c>
      <c r="AI694" s="170">
        <v>3.5000000000000003E-2</v>
      </c>
      <c r="AJ694" s="170">
        <v>4.9000000000000002E-2</v>
      </c>
      <c r="AK694" s="155">
        <f t="shared" si="469"/>
        <v>51812.665714285715</v>
      </c>
      <c r="AL694" s="157">
        <v>0</v>
      </c>
      <c r="AM694" s="157"/>
      <c r="AN694" s="199">
        <v>0</v>
      </c>
      <c r="AO694" s="156">
        <f t="shared" si="470"/>
        <v>774</v>
      </c>
      <c r="AP694" s="157"/>
      <c r="AQ694" s="155">
        <v>0</v>
      </c>
      <c r="AR694" s="155">
        <f t="shared" si="471"/>
        <v>52586.665714285715</v>
      </c>
      <c r="AS694" s="155">
        <f t="shared" si="472"/>
        <v>55216</v>
      </c>
      <c r="AT694" s="197">
        <v>10</v>
      </c>
      <c r="AU694" s="199"/>
      <c r="AV694" s="157"/>
      <c r="AW694" s="155">
        <f t="shared" si="473"/>
        <v>9970</v>
      </c>
      <c r="AX694" s="157"/>
      <c r="AY694" s="155">
        <f t="shared" si="474"/>
        <v>9970</v>
      </c>
      <c r="AZ694" s="155">
        <f t="shared" si="475"/>
        <v>9940</v>
      </c>
      <c r="BA694" s="242">
        <f t="shared" si="476"/>
        <v>30</v>
      </c>
      <c r="BB694" s="246">
        <f t="shared" si="477"/>
        <v>19.940000000000001</v>
      </c>
      <c r="BC694" s="155">
        <v>0</v>
      </c>
      <c r="BD694" s="157"/>
      <c r="BE694" s="169">
        <v>99.7</v>
      </c>
      <c r="BF694" s="197">
        <f t="shared" si="478"/>
        <v>0.14954999999999999</v>
      </c>
      <c r="BG694" s="197">
        <f t="shared" si="479"/>
        <v>99.550449999999998</v>
      </c>
      <c r="BH694" s="197">
        <f t="shared" si="480"/>
        <v>99.4</v>
      </c>
      <c r="BI694" s="243">
        <f t="shared" si="481"/>
        <v>29.999999999999716</v>
      </c>
      <c r="BJ694" s="243">
        <v>0</v>
      </c>
      <c r="BK694" s="155">
        <f t="shared" si="482"/>
        <v>29.999999999999716</v>
      </c>
      <c r="BL694" s="47"/>
      <c r="BM694" s="48" t="str">
        <f t="shared" si="483"/>
        <v>Unloading no. 669 Bill No 9 ,Deduction For Oil Deduction= 51812.6657142857 ,Bardana= 0 ,F.M=  Brokerage/Rate Difference 0 ,Shortage = 774 ,Greenish=  ,Moisture= 0</v>
      </c>
      <c r="BN694" s="41"/>
      <c r="BO694" s="44" t="str">
        <f t="shared" si="484"/>
        <v xml:space="preserve"> Party Condition 42  ,F.M% 0.38 ,Greenish 3.5 ,Moisture 4.9 ,Shortage in KG= 10  ,Oil% 39.18</v>
      </c>
      <c r="BP694" s="45">
        <f t="shared" si="485"/>
        <v>7234.3192584075887</v>
      </c>
      <c r="BQ694" s="41"/>
      <c r="BR694" s="41"/>
      <c r="BS694" s="41"/>
      <c r="BT694" s="41"/>
      <c r="BU694" s="41"/>
      <c r="BV694" s="41"/>
      <c r="BW694" s="85"/>
      <c r="BX694" s="27">
        <v>38.950000000000003</v>
      </c>
      <c r="BY694" s="27">
        <v>38.869999999999997</v>
      </c>
    </row>
    <row r="695" spans="1:77" ht="14.1" hidden="1" customHeight="1" x14ac:dyDescent="0.3">
      <c r="A695" s="128" t="s">
        <v>1428</v>
      </c>
      <c r="B695" s="166">
        <v>46169</v>
      </c>
      <c r="C695" s="187">
        <v>670</v>
      </c>
      <c r="D695" s="163" t="s">
        <v>1447</v>
      </c>
      <c r="E695" s="162">
        <v>46172</v>
      </c>
      <c r="F695" s="163" t="s">
        <v>1452</v>
      </c>
      <c r="G695" s="282" t="s">
        <v>1453</v>
      </c>
      <c r="H695" s="282" t="s">
        <v>100</v>
      </c>
      <c r="I695" s="157"/>
      <c r="J695" s="163" t="s">
        <v>1146</v>
      </c>
      <c r="K695" s="163">
        <v>0</v>
      </c>
      <c r="L695" s="166">
        <v>46169</v>
      </c>
      <c r="M695" s="157"/>
      <c r="N695" s="163">
        <v>10</v>
      </c>
      <c r="O695" s="166">
        <v>46172</v>
      </c>
      <c r="P695" s="163">
        <v>0</v>
      </c>
      <c r="Q695" s="163">
        <v>150</v>
      </c>
      <c r="R695" s="128">
        <v>50</v>
      </c>
      <c r="S695" s="128">
        <v>200</v>
      </c>
      <c r="T695" s="128">
        <v>200</v>
      </c>
      <c r="U695" s="163">
        <v>0</v>
      </c>
      <c r="V695" s="136"/>
      <c r="W695" s="169">
        <v>99.47</v>
      </c>
      <c r="X695" s="169">
        <v>101.2</v>
      </c>
      <c r="Y695" s="169">
        <v>788706</v>
      </c>
      <c r="Z695" s="235">
        <v>39.5</v>
      </c>
      <c r="AA695" s="169">
        <v>19717.650000000001</v>
      </c>
      <c r="AB695" s="169">
        <v>19717.650000000001</v>
      </c>
      <c r="AC695" s="128">
        <v>828141.3</v>
      </c>
      <c r="AD695" s="197">
        <f t="shared" si="468"/>
        <v>827313.15870000003</v>
      </c>
      <c r="AE695" s="236">
        <v>39.5</v>
      </c>
      <c r="AF695" s="169">
        <v>42</v>
      </c>
      <c r="AG695" s="236">
        <v>39.5</v>
      </c>
      <c r="AH695" s="170">
        <v>4.0000000000000001E-3</v>
      </c>
      <c r="AI695" s="170">
        <v>3.2000000000000001E-2</v>
      </c>
      <c r="AJ695" s="170">
        <v>4.8000000000000001E-2</v>
      </c>
      <c r="AK695" s="155">
        <f t="shared" si="469"/>
        <v>46946.78571428571</v>
      </c>
      <c r="AL695" s="157">
        <v>0</v>
      </c>
      <c r="AM695" s="157"/>
      <c r="AN695" s="199">
        <v>0</v>
      </c>
      <c r="AO695" s="156">
        <f t="shared" si="470"/>
        <v>3964.5420729868301</v>
      </c>
      <c r="AP695" s="157"/>
      <c r="AQ695" s="155">
        <v>0</v>
      </c>
      <c r="AR695" s="155">
        <f t="shared" si="471"/>
        <v>50911.327787272538</v>
      </c>
      <c r="AS695" s="155">
        <f t="shared" si="472"/>
        <v>53457</v>
      </c>
      <c r="AT695" s="197">
        <v>50</v>
      </c>
      <c r="AU695" s="199"/>
      <c r="AV695" s="157"/>
      <c r="AW695" s="155">
        <f t="shared" si="473"/>
        <v>9947</v>
      </c>
      <c r="AX695" s="157"/>
      <c r="AY695" s="155">
        <f t="shared" si="474"/>
        <v>9947</v>
      </c>
      <c r="AZ695" s="155">
        <f t="shared" si="475"/>
        <v>10120</v>
      </c>
      <c r="BA695" s="242">
        <f t="shared" si="476"/>
        <v>-173</v>
      </c>
      <c r="BB695" s="246">
        <f t="shared" si="477"/>
        <v>19.893999999999998</v>
      </c>
      <c r="BC695" s="155">
        <v>0</v>
      </c>
      <c r="BD695" s="157"/>
      <c r="BE695" s="169">
        <v>101.9</v>
      </c>
      <c r="BF695" s="197">
        <f t="shared" si="478"/>
        <v>0.15285000000000001</v>
      </c>
      <c r="BG695" s="197">
        <f t="shared" si="479"/>
        <v>101.74715</v>
      </c>
      <c r="BH695" s="197">
        <f t="shared" si="480"/>
        <v>101.2</v>
      </c>
      <c r="BI695" s="243">
        <f t="shared" si="481"/>
        <v>70.000000000000284</v>
      </c>
      <c r="BJ695" s="243">
        <v>0</v>
      </c>
      <c r="BK695" s="155">
        <f t="shared" si="482"/>
        <v>70.000000000000284</v>
      </c>
      <c r="BL695" s="47"/>
      <c r="BM695" s="48" t="str">
        <f t="shared" si="483"/>
        <v>Unloading no. 670 Bill No 10 ,Deduction For Oil Deduction= 46946.7857142857 ,Bardana= 0 ,F.M=  Brokerage/Rate Difference 0 ,Shortage = 3964.54207298683 ,Greenish=  ,Moisture= 0</v>
      </c>
      <c r="BN695" s="41"/>
      <c r="BO695" s="44" t="str">
        <f t="shared" si="484"/>
        <v xml:space="preserve"> Party Condition 42  ,F.M% 0.4 ,Greenish 3.2 ,Moisture 4.8 ,Shortage in KG= 50  ,Oil% 39.5</v>
      </c>
      <c r="BP695" s="45">
        <f t="shared" si="485"/>
        <v>7290.461187872801</v>
      </c>
      <c r="BQ695" s="41"/>
      <c r="BR695" s="41"/>
      <c r="BS695" s="41"/>
      <c r="BT695" s="41"/>
      <c r="BU695" s="41"/>
      <c r="BV695" s="41"/>
      <c r="BW695" s="85"/>
      <c r="BX695" s="27">
        <v>39.270000000000003</v>
      </c>
      <c r="BY695" s="27">
        <v>39.17</v>
      </c>
    </row>
    <row r="696" spans="1:77" ht="14.1" hidden="1" customHeight="1" x14ac:dyDescent="0.3">
      <c r="A696" s="128" t="s">
        <v>1432</v>
      </c>
      <c r="B696" s="166">
        <v>46171</v>
      </c>
      <c r="C696" s="187">
        <v>671</v>
      </c>
      <c r="D696" s="163" t="s">
        <v>1448</v>
      </c>
      <c r="E696" s="162">
        <v>46172</v>
      </c>
      <c r="F696" s="163" t="s">
        <v>1385</v>
      </c>
      <c r="G696" s="282" t="s">
        <v>1386</v>
      </c>
      <c r="H696" s="282" t="s">
        <v>100</v>
      </c>
      <c r="I696" s="157"/>
      <c r="J696" s="163" t="s">
        <v>1146</v>
      </c>
      <c r="K696" s="163">
        <v>0</v>
      </c>
      <c r="L696" s="166">
        <v>46171</v>
      </c>
      <c r="M696" s="157"/>
      <c r="N696" s="163">
        <v>141</v>
      </c>
      <c r="O696" s="166">
        <v>46172</v>
      </c>
      <c r="P696" s="163">
        <v>0</v>
      </c>
      <c r="Q696" s="163">
        <v>120</v>
      </c>
      <c r="R696" s="128">
        <v>45</v>
      </c>
      <c r="S696" s="128">
        <v>165</v>
      </c>
      <c r="T696" s="128">
        <v>165</v>
      </c>
      <c r="U696" s="163">
        <v>0</v>
      </c>
      <c r="V696" s="136"/>
      <c r="W696" s="169">
        <v>97.5</v>
      </c>
      <c r="X696" s="169">
        <v>97.4</v>
      </c>
      <c r="Y696" s="169">
        <v>780097.5</v>
      </c>
      <c r="Z696" s="235">
        <v>38.99</v>
      </c>
      <c r="AA696" s="169">
        <v>19502.439999999999</v>
      </c>
      <c r="AB696" s="169">
        <v>19502.439999999999</v>
      </c>
      <c r="AC696" s="128">
        <v>819102.38</v>
      </c>
      <c r="AD696" s="197">
        <f t="shared" si="468"/>
        <v>818283.27761999995</v>
      </c>
      <c r="AE696" s="236">
        <v>38.99</v>
      </c>
      <c r="AF696" s="169">
        <v>42</v>
      </c>
      <c r="AG696" s="236">
        <v>38.99</v>
      </c>
      <c r="AH696" s="170">
        <v>4.1999999999999997E-3</v>
      </c>
      <c r="AI696" s="170">
        <v>3.4000000000000002E-2</v>
      </c>
      <c r="AJ696" s="170">
        <v>0.05</v>
      </c>
      <c r="AK696" s="155">
        <f t="shared" si="469"/>
        <v>55906.987499999959</v>
      </c>
      <c r="AL696" s="157">
        <v>0</v>
      </c>
      <c r="AM696" s="157"/>
      <c r="AN696" s="199">
        <v>0</v>
      </c>
      <c r="AO696" s="156">
        <f t="shared" si="470"/>
        <v>0</v>
      </c>
      <c r="AP696" s="157"/>
      <c r="AQ696" s="155">
        <v>0</v>
      </c>
      <c r="AR696" s="155">
        <f t="shared" si="471"/>
        <v>55906.987499999959</v>
      </c>
      <c r="AS696" s="155">
        <f t="shared" si="472"/>
        <v>58702</v>
      </c>
      <c r="AT696" s="197">
        <v>0</v>
      </c>
      <c r="AU696" s="199"/>
      <c r="AV696" s="157"/>
      <c r="AW696" s="155">
        <f t="shared" si="473"/>
        <v>9750</v>
      </c>
      <c r="AX696" s="157"/>
      <c r="AY696" s="155">
        <f t="shared" si="474"/>
        <v>9750</v>
      </c>
      <c r="AZ696" s="155">
        <f t="shared" si="475"/>
        <v>9740</v>
      </c>
      <c r="BA696" s="242">
        <f t="shared" si="476"/>
        <v>10</v>
      </c>
      <c r="BB696" s="246">
        <f t="shared" si="477"/>
        <v>19.5</v>
      </c>
      <c r="BC696" s="155">
        <v>0</v>
      </c>
      <c r="BD696" s="157"/>
      <c r="BE696" s="169">
        <v>97.5</v>
      </c>
      <c r="BF696" s="197">
        <f t="shared" si="478"/>
        <v>0.14624999999999999</v>
      </c>
      <c r="BG696" s="197">
        <f t="shared" si="479"/>
        <v>97.353750000000005</v>
      </c>
      <c r="BH696" s="197">
        <f t="shared" si="480"/>
        <v>97.4</v>
      </c>
      <c r="BI696" s="243">
        <f t="shared" si="481"/>
        <v>9.9999999999994316</v>
      </c>
      <c r="BJ696" s="243">
        <v>0</v>
      </c>
      <c r="BK696" s="155">
        <f t="shared" si="482"/>
        <v>9.9999999999994316</v>
      </c>
      <c r="BL696" s="47"/>
      <c r="BM696" s="48" t="str">
        <f t="shared" si="483"/>
        <v>Unloading no. 671 Bill No 141 ,Deduction For Oil Deduction= 55906.9875 ,Bardana= 0 ,F.M=  Brokerage/Rate Difference 0 ,Shortage = 0 ,Greenish=  ,Moisture= 0</v>
      </c>
      <c r="BN696" s="41"/>
      <c r="BO696" s="44" t="str">
        <f t="shared" si="484"/>
        <v xml:space="preserve"> Party Condition 42  ,F.M% 0.42 ,Greenish 3.4 ,Moisture 5 ,Shortage in KG= 0  ,Oil% 38.99</v>
      </c>
      <c r="BP696" s="45">
        <f t="shared" si="485"/>
        <v>7435.2208675564689</v>
      </c>
      <c r="BQ696" s="41"/>
      <c r="BR696" s="41"/>
      <c r="BS696" s="41"/>
      <c r="BT696" s="41"/>
      <c r="BU696" s="41"/>
      <c r="BV696" s="41"/>
      <c r="BW696" s="85"/>
      <c r="BX696" s="27">
        <v>38.21</v>
      </c>
      <c r="BY696" s="27">
        <v>38.159999999999997</v>
      </c>
    </row>
    <row r="697" spans="1:77" ht="14.1" hidden="1" customHeight="1" x14ac:dyDescent="0.3">
      <c r="A697" s="174" t="s">
        <v>1432</v>
      </c>
      <c r="B697" s="175">
        <v>46171</v>
      </c>
      <c r="C697" s="275">
        <v>672</v>
      </c>
      <c r="D697" s="174" t="s">
        <v>1449</v>
      </c>
      <c r="E697" s="231">
        <v>46172</v>
      </c>
      <c r="F697" s="174" t="s">
        <v>1385</v>
      </c>
      <c r="G697" s="284" t="s">
        <v>1386</v>
      </c>
      <c r="H697" s="284" t="s">
        <v>100</v>
      </c>
      <c r="I697" s="176"/>
      <c r="J697" s="174" t="s">
        <v>1146</v>
      </c>
      <c r="K697" s="209">
        <v>0</v>
      </c>
      <c r="L697" s="175">
        <v>46171</v>
      </c>
      <c r="M697" s="176"/>
      <c r="N697" s="174">
        <v>142</v>
      </c>
      <c r="O697" s="175">
        <v>46172</v>
      </c>
      <c r="P697" s="174">
        <v>0</v>
      </c>
      <c r="Q697" s="174">
        <v>120</v>
      </c>
      <c r="R697" s="174">
        <v>45</v>
      </c>
      <c r="S697" s="174">
        <v>165</v>
      </c>
      <c r="T697" s="174">
        <v>165</v>
      </c>
      <c r="U697" s="209">
        <v>0</v>
      </c>
      <c r="V697" s="176"/>
      <c r="W697" s="179">
        <v>98.1</v>
      </c>
      <c r="X697" s="179">
        <v>98.1</v>
      </c>
      <c r="Y697" s="179">
        <v>784898.1</v>
      </c>
      <c r="Z697" s="253">
        <v>39.03</v>
      </c>
      <c r="AA697" s="179">
        <v>19622.45</v>
      </c>
      <c r="AB697" s="179">
        <v>19622.45</v>
      </c>
      <c r="AC697" s="174">
        <v>824143.01</v>
      </c>
      <c r="AD697" s="210">
        <f t="shared" si="468"/>
        <v>823318.86699000001</v>
      </c>
      <c r="AE697" s="280">
        <v>39.03</v>
      </c>
      <c r="AF697" s="179">
        <v>42</v>
      </c>
      <c r="AG697" s="280">
        <v>39.03</v>
      </c>
      <c r="AH697" s="180">
        <v>3.8E-3</v>
      </c>
      <c r="AI697" s="180">
        <v>0.03</v>
      </c>
      <c r="AJ697" s="180">
        <v>4.9000000000000002E-2</v>
      </c>
      <c r="AK697" s="184">
        <f t="shared" si="469"/>
        <v>55503.508499999974</v>
      </c>
      <c r="AL697" s="208">
        <v>0</v>
      </c>
      <c r="AM697" s="208"/>
      <c r="AN697" s="257">
        <v>0</v>
      </c>
      <c r="AO697" s="258">
        <f t="shared" si="470"/>
        <v>0</v>
      </c>
      <c r="AP697" s="208"/>
      <c r="AQ697" s="184">
        <v>0</v>
      </c>
      <c r="AR697" s="184">
        <f t="shared" si="471"/>
        <v>55503.508499999974</v>
      </c>
      <c r="AS697" s="184">
        <f t="shared" si="472"/>
        <v>58279</v>
      </c>
      <c r="AT697" s="210">
        <v>0</v>
      </c>
      <c r="AU697" s="257"/>
      <c r="AV697" s="208"/>
      <c r="AW697" s="184">
        <f t="shared" si="473"/>
        <v>9810</v>
      </c>
      <c r="AX697" s="208"/>
      <c r="AY697" s="184">
        <f t="shared" si="474"/>
        <v>9810</v>
      </c>
      <c r="AZ697" s="184">
        <f t="shared" si="475"/>
        <v>9810</v>
      </c>
      <c r="BA697" s="259">
        <f t="shared" si="476"/>
        <v>0</v>
      </c>
      <c r="BB697" s="260">
        <f t="shared" si="477"/>
        <v>19.62</v>
      </c>
      <c r="BC697" s="184">
        <v>0</v>
      </c>
      <c r="BD697" s="208"/>
      <c r="BE697" s="179">
        <v>98.1</v>
      </c>
      <c r="BF697" s="210">
        <f t="shared" si="478"/>
        <v>0.14714999999999998</v>
      </c>
      <c r="BG697" s="210">
        <f t="shared" si="479"/>
        <v>97.952849999999998</v>
      </c>
      <c r="BH697" s="210">
        <f t="shared" si="480"/>
        <v>98.1</v>
      </c>
      <c r="BI697" s="261">
        <f t="shared" si="481"/>
        <v>0</v>
      </c>
      <c r="BJ697" s="261">
        <v>0</v>
      </c>
      <c r="BK697" s="184">
        <f t="shared" si="482"/>
        <v>0</v>
      </c>
      <c r="BL697" s="61"/>
      <c r="BM697" s="62" t="str">
        <f t="shared" si="483"/>
        <v>Unloading no. 672 Bill No 142 ,Deduction For Oil Deduction= 55503.5085 ,Bardana= 0 ,F.M=  Brokerage/Rate Difference 0 ,Shortage = 0 ,Greenish=  ,Moisture= 0</v>
      </c>
      <c r="BN697" s="52"/>
      <c r="BO697" s="53" t="str">
        <f t="shared" si="484"/>
        <v xml:space="preserve"> Party Condition 42  ,F.M% 0.38 ,Greenish 3 ,Moisture 4.9 ,Shortage in KG= 0  ,Oil% 39.03</v>
      </c>
      <c r="BP697" s="54">
        <f t="shared" si="485"/>
        <v>7435.2150000000001</v>
      </c>
      <c r="BQ697" s="41"/>
      <c r="BR697" s="41"/>
      <c r="BS697" s="41"/>
      <c r="BT697" s="41"/>
      <c r="BU697" s="41"/>
      <c r="BV697" s="41"/>
      <c r="BW697" s="85"/>
      <c r="BX697" s="28">
        <v>39.049999999999997</v>
      </c>
      <c r="BY697" s="28">
        <v>38.94</v>
      </c>
    </row>
    <row r="698" spans="1:77" ht="14.1" hidden="1" customHeight="1" x14ac:dyDescent="0.3">
      <c r="A698" s="138" t="s">
        <v>1458</v>
      </c>
      <c r="B698" s="146">
        <v>46171</v>
      </c>
      <c r="C698" s="138">
        <v>673</v>
      </c>
      <c r="D698" s="138" t="s">
        <v>1497</v>
      </c>
      <c r="E698" s="129">
        <v>46173</v>
      </c>
      <c r="F698" s="138" t="s">
        <v>1083</v>
      </c>
      <c r="G698" s="281" t="s">
        <v>1084</v>
      </c>
      <c r="H698" s="281" t="s">
        <v>1454</v>
      </c>
      <c r="I698" s="136"/>
      <c r="J698" s="138" t="s">
        <v>1455</v>
      </c>
      <c r="K698" s="136"/>
      <c r="L698" s="146">
        <v>46171</v>
      </c>
      <c r="M698" s="136"/>
      <c r="N698" s="138">
        <v>20</v>
      </c>
      <c r="O698" s="146">
        <v>46172</v>
      </c>
      <c r="P698" s="138">
        <v>0</v>
      </c>
      <c r="Q698" s="138">
        <v>220</v>
      </c>
      <c r="R698" s="138">
        <v>170</v>
      </c>
      <c r="S698" s="138">
        <v>390</v>
      </c>
      <c r="T698" s="138">
        <v>390</v>
      </c>
      <c r="U698" s="163">
        <v>0</v>
      </c>
      <c r="V698" s="136"/>
      <c r="W698" s="148">
        <v>266.2</v>
      </c>
      <c r="X698" s="148">
        <v>265.39999999999998</v>
      </c>
      <c r="Y698" s="148">
        <v>2142910</v>
      </c>
      <c r="Z698" s="128"/>
      <c r="AA698" s="148">
        <v>53572.75</v>
      </c>
      <c r="AB698" s="148">
        <v>53572.75</v>
      </c>
      <c r="AC698" s="148">
        <v>2250055.5</v>
      </c>
      <c r="AD698" s="285">
        <f t="shared" si="468"/>
        <v>2247805.4445000002</v>
      </c>
      <c r="AE698" s="147">
        <v>40.01</v>
      </c>
      <c r="AF698" s="147">
        <v>42</v>
      </c>
      <c r="AG698" s="147">
        <v>39.909999999999997</v>
      </c>
      <c r="AH698" s="286">
        <v>5.0000000000000001E-3</v>
      </c>
      <c r="AI698" s="287">
        <v>3.4000000000000002E-2</v>
      </c>
      <c r="AJ698" s="287">
        <v>4.3999999999999997E-2</v>
      </c>
      <c r="AK698" s="155">
        <f t="shared" ref="AK698:AK732" si="486">+IF(AF698=42,IF(MIN(AE698,AG698)&lt;AF698,Y698*((AF698-MIN(AE698,AG698))/AF698)),IF(MIN(AE698,AG698)&lt;AF698,Y698*((AF698-MIN(AE698,AG698))/AF698),0))</f>
        <v>106635.2833333335</v>
      </c>
      <c r="AL698" s="157">
        <f>220*10+170*15</f>
        <v>4750</v>
      </c>
      <c r="AM698" s="157">
        <f>Y698*AH698</f>
        <v>10714.550000000001</v>
      </c>
      <c r="AN698" s="288">
        <f>W698*15</f>
        <v>3993</v>
      </c>
      <c r="AO698" s="156">
        <f t="shared" ref="AO698:AO732" si="487">AT698*Y698/AW698</f>
        <v>6440</v>
      </c>
      <c r="AP698" s="157"/>
      <c r="AQ698" s="155">
        <v>0</v>
      </c>
      <c r="AR698" s="155">
        <f t="shared" ref="AR698:AR732" si="488">SUM(AK698:AQ698)</f>
        <v>132532.83333333349</v>
      </c>
      <c r="AS698" s="155">
        <f t="shared" ref="AS698:AS732" si="489">ROUND(AR698*1.05,0)</f>
        <v>139159</v>
      </c>
      <c r="AT698" s="197">
        <v>80</v>
      </c>
      <c r="AU698" s="199"/>
      <c r="AV698" s="157"/>
      <c r="AW698" s="155">
        <f t="shared" ref="AW698:AW732" si="490">W698*100</f>
        <v>26620</v>
      </c>
      <c r="AX698" s="157"/>
      <c r="AY698" s="155">
        <f t="shared" ref="AY698:AY732" si="491">+AW698+AX698</f>
        <v>26620</v>
      </c>
      <c r="AZ698" s="155">
        <f t="shared" ref="AZ698:AZ732" si="492">X698*100</f>
        <v>26539.999999999996</v>
      </c>
      <c r="BA698" s="242">
        <f t="shared" ref="BA698:BA732" si="493">AY698-AZ698</f>
        <v>80.000000000003638</v>
      </c>
      <c r="BB698" s="246">
        <f t="shared" ref="BB698:BB732" si="494">AW698*2/1000</f>
        <v>53.24</v>
      </c>
      <c r="BC698" s="155">
        <v>0</v>
      </c>
      <c r="BD698" s="157"/>
      <c r="BE698" s="138">
        <v>266.2</v>
      </c>
      <c r="BF698" s="197">
        <f t="shared" ref="BF698:BF732" si="495">+BE698*0.15/100</f>
        <v>0.39929999999999999</v>
      </c>
      <c r="BG698" s="197">
        <f t="shared" ref="BG698:BG761" si="496">BE698-BF698</f>
        <v>265.80070000000001</v>
      </c>
      <c r="BH698" s="197">
        <f t="shared" ref="BH698:BH732" si="497">X698</f>
        <v>265.39999999999998</v>
      </c>
      <c r="BI698" s="243">
        <f t="shared" ref="BI698:BI732" si="498">(BE698-BH698)*100</f>
        <v>80.000000000001137</v>
      </c>
      <c r="BJ698" s="243">
        <v>0</v>
      </c>
      <c r="BK698" s="155">
        <f t="shared" ref="BK698:BK732" si="499">BI698</f>
        <v>80.000000000001137</v>
      </c>
      <c r="BL698" s="47"/>
      <c r="BM698" s="48" t="str">
        <f t="shared" ref="BM698:BM732" si="500">+$C$1&amp;" "&amp;C698 &amp;" "&amp;$N$1&amp;" "&amp;N698&amp;" "&amp;$BM$1&amp;" "&amp;$AK$1&amp;" "&amp;AK698&amp;" "&amp;$AL$1&amp;" "&amp;AL698&amp;" "&amp;$AM$1&amp;" "&amp;AM698&amp;" "&amp;$AN$1&amp;" "&amp;AN698&amp;" "&amp;$AO$1&amp;" "&amp;AO698&amp;" "&amp;$AP$1&amp;" "&amp;AP698&amp;" "&amp;$AQ$1&amp;" "&amp;AQ698</f>
        <v>Unloading no. 673 Bill No 20 ,Deduction For Oil Deduction= 106635.283333334 ,Bardana= 4750 ,F.M= 10714.55 Brokerage/Rate Difference 3993 ,Shortage = 6440 ,Greenish=  ,Moisture= 0</v>
      </c>
      <c r="BN698" s="41"/>
      <c r="BO698" s="44" t="str">
        <f t="shared" ref="BO698:BO732" si="501">+" "&amp;$AF$1&amp;" "&amp;AF698&amp;" "&amp;" "&amp;$AH$1&amp;" "&amp;AH698*100&amp;" "&amp;$AI$1&amp;" "&amp;AI698*100&amp;" "&amp;$AJ$1&amp;" "&amp;AJ698*100&amp;" ,"&amp;$AT$1&amp;" "&amp;AT698&amp;" "&amp;IF(AE698&gt;AG698," ,Oil%"&amp;" "&amp;AG698," ,Oil%"&amp;" "&amp;AE698)</f>
        <v xml:space="preserve"> Party Condition 42  ,F.M% 0.5 ,Greenish 3.4 ,Moisture 4.4 ,Shortage in KG= 80  ,Oil% 39.91</v>
      </c>
      <c r="BP698" s="45">
        <f t="shared" ref="BP698:BP732" si="502">(Y698-AR698)/X698</f>
        <v>7574.8951268525498</v>
      </c>
      <c r="BQ698" s="41"/>
      <c r="BR698" s="41"/>
      <c r="BS698" s="41"/>
      <c r="BT698" s="41"/>
      <c r="BU698" s="41"/>
      <c r="BV698" s="41"/>
      <c r="BW698" s="85"/>
      <c r="BX698" s="27">
        <v>40.01</v>
      </c>
      <c r="BY698" s="27">
        <v>39.909999999999997</v>
      </c>
    </row>
    <row r="699" spans="1:77" ht="14.1" hidden="1" customHeight="1" x14ac:dyDescent="0.3">
      <c r="A699" s="138" t="s">
        <v>1429</v>
      </c>
      <c r="B699" s="146">
        <v>46171</v>
      </c>
      <c r="C699" s="138">
        <v>674</v>
      </c>
      <c r="D699" s="138" t="s">
        <v>1498</v>
      </c>
      <c r="E699" s="129">
        <v>46173</v>
      </c>
      <c r="F699" s="138" t="s">
        <v>1083</v>
      </c>
      <c r="G699" s="281" t="s">
        <v>1084</v>
      </c>
      <c r="H699" s="281" t="s">
        <v>1454</v>
      </c>
      <c r="I699" s="136"/>
      <c r="J699" s="138" t="s">
        <v>1455</v>
      </c>
      <c r="K699" s="136"/>
      <c r="L699" s="146">
        <v>46171</v>
      </c>
      <c r="M699" s="136"/>
      <c r="N699" s="138">
        <v>17</v>
      </c>
      <c r="O699" s="146">
        <v>46172</v>
      </c>
      <c r="P699" s="138">
        <v>0</v>
      </c>
      <c r="Q699" s="138">
        <v>200</v>
      </c>
      <c r="R699" s="138">
        <v>175</v>
      </c>
      <c r="S699" s="138">
        <v>375</v>
      </c>
      <c r="T699" s="138">
        <v>375</v>
      </c>
      <c r="U699" s="163">
        <v>0</v>
      </c>
      <c r="V699" s="136"/>
      <c r="W699" s="148">
        <v>259.39999999999998</v>
      </c>
      <c r="X699" s="148">
        <v>258.8</v>
      </c>
      <c r="Y699" s="148">
        <v>2088170</v>
      </c>
      <c r="Z699" s="128"/>
      <c r="AA699" s="148">
        <v>52204.25</v>
      </c>
      <c r="AB699" s="148">
        <v>52204.25</v>
      </c>
      <c r="AC699" s="148">
        <v>2192578.5</v>
      </c>
      <c r="AD699" s="285">
        <f t="shared" si="468"/>
        <v>2190385.9215000002</v>
      </c>
      <c r="AE699" s="147">
        <v>39.299999999999997</v>
      </c>
      <c r="AF699" s="147">
        <v>42</v>
      </c>
      <c r="AG699" s="147">
        <v>39.33</v>
      </c>
      <c r="AH699" s="286">
        <v>4.0000000000000001E-3</v>
      </c>
      <c r="AI699" s="287">
        <v>0.04</v>
      </c>
      <c r="AJ699" s="287">
        <v>5.0999999999999997E-2</v>
      </c>
      <c r="AK699" s="155">
        <f t="shared" si="486"/>
        <v>134239.50000000015</v>
      </c>
      <c r="AL699" s="157">
        <f>200*10+175*15</f>
        <v>4625</v>
      </c>
      <c r="AM699" s="157">
        <f>Y699*AH699</f>
        <v>8352.68</v>
      </c>
      <c r="AN699" s="288">
        <f>W699*15</f>
        <v>3890.9999999999995</v>
      </c>
      <c r="AO699" s="156">
        <f t="shared" si="487"/>
        <v>4830.0000000000009</v>
      </c>
      <c r="AP699" s="157"/>
      <c r="AQ699" s="155">
        <v>0</v>
      </c>
      <c r="AR699" s="155">
        <f t="shared" si="488"/>
        <v>155938.18000000014</v>
      </c>
      <c r="AS699" s="155">
        <f t="shared" si="489"/>
        <v>163735</v>
      </c>
      <c r="AT699" s="197">
        <v>60</v>
      </c>
      <c r="AU699" s="199"/>
      <c r="AV699" s="157"/>
      <c r="AW699" s="155">
        <f t="shared" si="490"/>
        <v>25939.999999999996</v>
      </c>
      <c r="AX699" s="157"/>
      <c r="AY699" s="155">
        <f t="shared" si="491"/>
        <v>25939.999999999996</v>
      </c>
      <c r="AZ699" s="155">
        <f t="shared" si="492"/>
        <v>25880</v>
      </c>
      <c r="BA699" s="242">
        <f t="shared" si="493"/>
        <v>59.999999999996362</v>
      </c>
      <c r="BB699" s="246">
        <f t="shared" si="494"/>
        <v>51.879999999999995</v>
      </c>
      <c r="BC699" s="155">
        <v>0</v>
      </c>
      <c r="BD699" s="157"/>
      <c r="BE699" s="138">
        <v>259.39999999999998</v>
      </c>
      <c r="BF699" s="197">
        <f t="shared" si="495"/>
        <v>0.38909999999999995</v>
      </c>
      <c r="BG699" s="197">
        <f t="shared" si="496"/>
        <v>259.01089999999999</v>
      </c>
      <c r="BH699" s="197">
        <f t="shared" si="497"/>
        <v>258.8</v>
      </c>
      <c r="BI699" s="243">
        <f t="shared" si="498"/>
        <v>59.999999999996589</v>
      </c>
      <c r="BJ699" s="243">
        <v>0</v>
      </c>
      <c r="BK699" s="155">
        <f t="shared" si="499"/>
        <v>59.999999999996589</v>
      </c>
      <c r="BL699" s="47"/>
      <c r="BM699" s="48" t="str">
        <f t="shared" si="500"/>
        <v>Unloading no. 674 Bill No 17 ,Deduction For Oil Deduction= 134239.5 ,Bardana= 4625 ,F.M= 8352.68 Brokerage/Rate Difference 3891 ,Shortage = 4830 ,Greenish=  ,Moisture= 0</v>
      </c>
      <c r="BN699" s="41"/>
      <c r="BO699" s="44" t="str">
        <f t="shared" si="501"/>
        <v xml:space="preserve"> Party Condition 42  ,F.M% 0.4 ,Greenish 4 ,Moisture 5.1 ,Shortage in KG= 60  ,Oil% 39.3</v>
      </c>
      <c r="BP699" s="45">
        <f t="shared" si="502"/>
        <v>7466.1198608964442</v>
      </c>
      <c r="BQ699" s="41"/>
      <c r="BR699" s="41"/>
      <c r="BS699" s="41"/>
      <c r="BT699" s="41"/>
      <c r="BU699" s="41"/>
      <c r="BV699" s="41"/>
      <c r="BW699" s="85"/>
      <c r="BX699" s="27">
        <v>39.299999999999997</v>
      </c>
      <c r="BY699" s="27">
        <v>39.33</v>
      </c>
    </row>
    <row r="700" spans="1:77" ht="14.1" hidden="1" customHeight="1" x14ac:dyDescent="0.3">
      <c r="A700" s="138" t="s">
        <v>1459</v>
      </c>
      <c r="B700" s="146">
        <v>46172</v>
      </c>
      <c r="C700" s="138">
        <v>675</v>
      </c>
      <c r="D700" s="138" t="s">
        <v>1499</v>
      </c>
      <c r="E700" s="129">
        <v>46173</v>
      </c>
      <c r="F700" s="138" t="s">
        <v>95</v>
      </c>
      <c r="G700" s="281" t="s">
        <v>96</v>
      </c>
      <c r="H700" s="281" t="s">
        <v>97</v>
      </c>
      <c r="I700" s="136"/>
      <c r="J700" s="138" t="s">
        <v>1455</v>
      </c>
      <c r="K700" s="136"/>
      <c r="L700" s="146">
        <v>46172</v>
      </c>
      <c r="M700" s="136"/>
      <c r="N700" s="138">
        <v>191</v>
      </c>
      <c r="O700" s="146">
        <v>46172</v>
      </c>
      <c r="P700" s="138">
        <v>0</v>
      </c>
      <c r="Q700" s="138">
        <v>200</v>
      </c>
      <c r="R700" s="138">
        <v>304</v>
      </c>
      <c r="S700" s="138">
        <v>504</v>
      </c>
      <c r="T700" s="138">
        <v>504</v>
      </c>
      <c r="U700" s="163">
        <v>0</v>
      </c>
      <c r="V700" s="136"/>
      <c r="W700" s="148">
        <v>305.89999999999998</v>
      </c>
      <c r="X700" s="148">
        <v>305.8</v>
      </c>
      <c r="Y700" s="148">
        <v>2448812.7999999998</v>
      </c>
      <c r="Z700" s="128"/>
      <c r="AA700" s="148">
        <v>61220.32</v>
      </c>
      <c r="AB700" s="148">
        <v>61220.32</v>
      </c>
      <c r="AC700" s="148">
        <v>2571253.44</v>
      </c>
      <c r="AD700" s="285">
        <f t="shared" si="468"/>
        <v>2568682.1865599998</v>
      </c>
      <c r="AE700" s="147">
        <v>39.520000000000003</v>
      </c>
      <c r="AF700" s="147">
        <v>42</v>
      </c>
      <c r="AG700" s="147">
        <v>39.49</v>
      </c>
      <c r="AH700" s="286">
        <v>4.0000000000000001E-3</v>
      </c>
      <c r="AI700" s="287">
        <v>3.6999999999999998E-2</v>
      </c>
      <c r="AJ700" s="287">
        <v>4.8000000000000001E-2</v>
      </c>
      <c r="AK700" s="155">
        <f t="shared" si="486"/>
        <v>146345.71733333322</v>
      </c>
      <c r="AL700" s="157">
        <f>200*10+304*15</f>
        <v>6560</v>
      </c>
      <c r="AM700" s="157">
        <f>Y700*AH700</f>
        <v>9795.2511999999988</v>
      </c>
      <c r="AN700" s="289">
        <v>1612.8</v>
      </c>
      <c r="AO700" s="156">
        <f t="shared" si="487"/>
        <v>800.5272311212816</v>
      </c>
      <c r="AP700" s="157"/>
      <c r="AQ700" s="155">
        <v>0</v>
      </c>
      <c r="AR700" s="155">
        <f t="shared" si="488"/>
        <v>165114.29576445449</v>
      </c>
      <c r="AS700" s="155">
        <f t="shared" si="489"/>
        <v>173370</v>
      </c>
      <c r="AT700" s="197">
        <v>10</v>
      </c>
      <c r="AU700" s="199" t="s">
        <v>1531</v>
      </c>
      <c r="AV700" s="157"/>
      <c r="AW700" s="155">
        <f t="shared" si="490"/>
        <v>30589.999999999996</v>
      </c>
      <c r="AX700" s="157"/>
      <c r="AY700" s="155">
        <f t="shared" si="491"/>
        <v>30589.999999999996</v>
      </c>
      <c r="AZ700" s="155">
        <f t="shared" si="492"/>
        <v>30580</v>
      </c>
      <c r="BA700" s="242">
        <f t="shared" si="493"/>
        <v>9.999999999996362</v>
      </c>
      <c r="BB700" s="246">
        <f t="shared" si="494"/>
        <v>61.179999999999993</v>
      </c>
      <c r="BC700" s="155">
        <v>0</v>
      </c>
      <c r="BD700" s="157"/>
      <c r="BE700" s="138">
        <v>305.89999999999998</v>
      </c>
      <c r="BF700" s="197">
        <f t="shared" si="495"/>
        <v>0.45884999999999998</v>
      </c>
      <c r="BG700" s="197">
        <f t="shared" si="496"/>
        <v>305.44114999999999</v>
      </c>
      <c r="BH700" s="197">
        <f t="shared" si="497"/>
        <v>305.8</v>
      </c>
      <c r="BI700" s="243">
        <f t="shared" si="498"/>
        <v>9.9999999999965894</v>
      </c>
      <c r="BJ700" s="243">
        <v>0</v>
      </c>
      <c r="BK700" s="155">
        <f t="shared" si="499"/>
        <v>9.9999999999965894</v>
      </c>
      <c r="BL700" s="47"/>
      <c r="BM700" s="48" t="str">
        <f t="shared" si="500"/>
        <v>Unloading no. 675 Bill No 191 ,Deduction For Oil Deduction= 146345.717333333 ,Bardana= 6560 ,F.M= 9795.2512 Brokerage/Rate Difference 1612.8 ,Shortage = 800.527231121282 ,Greenish=  ,Moisture= 0</v>
      </c>
      <c r="BN700" s="41"/>
      <c r="BO700" s="44" t="str">
        <f t="shared" si="501"/>
        <v xml:space="preserve"> Party Condition 42  ,F.M% 0.4 ,Greenish 3.7 ,Moisture 4.8 ,Shortage in KG= 10  ,Oil% 39.49</v>
      </c>
      <c r="BP700" s="45">
        <f t="shared" si="502"/>
        <v>7467.9480190828808</v>
      </c>
      <c r="BQ700" s="41"/>
      <c r="BR700" s="41"/>
      <c r="BS700" s="41"/>
      <c r="BT700" s="41"/>
      <c r="BU700" s="41"/>
      <c r="BV700" s="41"/>
      <c r="BW700" s="85"/>
      <c r="BX700" s="27">
        <v>39.520000000000003</v>
      </c>
      <c r="BY700" s="27">
        <v>39.49</v>
      </c>
    </row>
    <row r="701" spans="1:77" ht="14.1" hidden="1" customHeight="1" x14ac:dyDescent="0.3">
      <c r="A701" s="138" t="s">
        <v>1460</v>
      </c>
      <c r="B701" s="146">
        <v>46171</v>
      </c>
      <c r="C701" s="138">
        <v>676</v>
      </c>
      <c r="D701" s="138" t="s">
        <v>1500</v>
      </c>
      <c r="E701" s="129">
        <v>46173</v>
      </c>
      <c r="F701" s="138" t="s">
        <v>110</v>
      </c>
      <c r="G701" s="281" t="s">
        <v>111</v>
      </c>
      <c r="H701" s="281" t="s">
        <v>112</v>
      </c>
      <c r="I701" s="136"/>
      <c r="J701" s="138" t="s">
        <v>113</v>
      </c>
      <c r="K701" s="136"/>
      <c r="L701" s="146">
        <v>46171</v>
      </c>
      <c r="M701" s="136"/>
      <c r="N701" s="138" t="s">
        <v>1529</v>
      </c>
      <c r="O701" s="146">
        <v>46172</v>
      </c>
      <c r="P701" s="138">
        <v>0</v>
      </c>
      <c r="Q701" s="138">
        <v>120</v>
      </c>
      <c r="R701" s="138">
        <v>42</v>
      </c>
      <c r="S701" s="138">
        <v>162</v>
      </c>
      <c r="T701" s="138">
        <v>162</v>
      </c>
      <c r="U701" s="163">
        <v>0</v>
      </c>
      <c r="V701" s="136"/>
      <c r="W701" s="148">
        <v>97.2</v>
      </c>
      <c r="X701" s="148">
        <v>98.7</v>
      </c>
      <c r="Y701" s="148">
        <v>767685.6</v>
      </c>
      <c r="Z701" s="128"/>
      <c r="AA701" s="148">
        <v>19192.14</v>
      </c>
      <c r="AB701" s="148">
        <v>19192.14</v>
      </c>
      <c r="AC701" s="148">
        <v>806069.88</v>
      </c>
      <c r="AD701" s="285">
        <f t="shared" si="468"/>
        <v>805263.81012000004</v>
      </c>
      <c r="AE701" s="147">
        <v>41.01</v>
      </c>
      <c r="AF701" s="147">
        <v>40.4</v>
      </c>
      <c r="AG701" s="147">
        <v>40.9</v>
      </c>
      <c r="AH701" s="286">
        <v>4.1000000000000003E-3</v>
      </c>
      <c r="AI701" s="287">
        <v>3.15E-2</v>
      </c>
      <c r="AJ701" s="287">
        <v>4.3999999999999997E-2</v>
      </c>
      <c r="AK701" s="155">
        <f t="shared" si="486"/>
        <v>0</v>
      </c>
      <c r="AL701" s="157">
        <v>0</v>
      </c>
      <c r="AM701" s="157"/>
      <c r="AN701" s="199">
        <v>0</v>
      </c>
      <c r="AO701" s="156">
        <f t="shared" si="487"/>
        <v>0</v>
      </c>
      <c r="AP701" s="157"/>
      <c r="AQ701" s="155">
        <v>0</v>
      </c>
      <c r="AR701" s="155">
        <f t="shared" si="488"/>
        <v>0</v>
      </c>
      <c r="AS701" s="155">
        <f t="shared" si="489"/>
        <v>0</v>
      </c>
      <c r="AT701" s="197">
        <v>0</v>
      </c>
      <c r="AU701" s="199"/>
      <c r="AV701" s="157"/>
      <c r="AW701" s="155">
        <f t="shared" si="490"/>
        <v>9720</v>
      </c>
      <c r="AX701" s="157"/>
      <c r="AY701" s="155">
        <f t="shared" si="491"/>
        <v>9720</v>
      </c>
      <c r="AZ701" s="155">
        <f t="shared" si="492"/>
        <v>9870</v>
      </c>
      <c r="BA701" s="242">
        <f t="shared" si="493"/>
        <v>-150</v>
      </c>
      <c r="BB701" s="246">
        <f t="shared" si="494"/>
        <v>19.440000000000001</v>
      </c>
      <c r="BC701" s="155">
        <v>0</v>
      </c>
      <c r="BD701" s="157"/>
      <c r="BE701" s="138">
        <v>98.55</v>
      </c>
      <c r="BF701" s="197">
        <f t="shared" si="495"/>
        <v>0.14782499999999998</v>
      </c>
      <c r="BG701" s="197">
        <f t="shared" si="496"/>
        <v>98.402175</v>
      </c>
      <c r="BH701" s="197">
        <f t="shared" si="497"/>
        <v>98.7</v>
      </c>
      <c r="BI701" s="243">
        <f t="shared" si="498"/>
        <v>-15.000000000000568</v>
      </c>
      <c r="BJ701" s="243">
        <v>0</v>
      </c>
      <c r="BK701" s="155">
        <f t="shared" si="499"/>
        <v>-15.000000000000568</v>
      </c>
      <c r="BL701" s="47"/>
      <c r="BM701" s="48" t="str">
        <f t="shared" si="500"/>
        <v>Unloading no. 676 Bill No G1716 ,Deduction For Oil Deduction= 0 ,Bardana= 0 ,F.M=  Brokerage/Rate Difference 0 ,Shortage = 0 ,Greenish=  ,Moisture= 0</v>
      </c>
      <c r="BN701" s="41"/>
      <c r="BO701" s="44" t="str">
        <f t="shared" si="501"/>
        <v xml:space="preserve"> Party Condition 40.4  ,F.M% 0.41 ,Greenish 3.15 ,Moisture 4.4 ,Shortage in KG= 0  ,Oil% 40.9</v>
      </c>
      <c r="BP701" s="45">
        <f t="shared" si="502"/>
        <v>7777.9696048632213</v>
      </c>
      <c r="BQ701" s="41"/>
      <c r="BR701" s="41"/>
      <c r="BS701" s="41"/>
      <c r="BT701" s="41"/>
      <c r="BU701" s="41"/>
      <c r="BV701" s="41"/>
      <c r="BW701" s="85"/>
      <c r="BX701" s="27">
        <v>41.01</v>
      </c>
      <c r="BY701" s="27">
        <v>40.9</v>
      </c>
    </row>
    <row r="702" spans="1:77" ht="14.1" hidden="1" customHeight="1" x14ac:dyDescent="0.3">
      <c r="A702" s="138" t="s">
        <v>1458</v>
      </c>
      <c r="B702" s="146">
        <v>46171</v>
      </c>
      <c r="C702" s="138">
        <v>677</v>
      </c>
      <c r="D702" s="138" t="s">
        <v>1501</v>
      </c>
      <c r="E702" s="129">
        <v>46173</v>
      </c>
      <c r="F702" s="138" t="s">
        <v>1083</v>
      </c>
      <c r="G702" s="281" t="s">
        <v>1084</v>
      </c>
      <c r="H702" s="281" t="s">
        <v>1454</v>
      </c>
      <c r="I702" s="136"/>
      <c r="J702" s="138" t="s">
        <v>1455</v>
      </c>
      <c r="K702" s="136"/>
      <c r="L702" s="146">
        <v>46171</v>
      </c>
      <c r="M702" s="136"/>
      <c r="N702" s="138">
        <v>18</v>
      </c>
      <c r="O702" s="146">
        <v>46172</v>
      </c>
      <c r="P702" s="138">
        <v>0</v>
      </c>
      <c r="Q702" s="138">
        <v>420</v>
      </c>
      <c r="R702" s="138">
        <v>60</v>
      </c>
      <c r="S702" s="138">
        <v>480</v>
      </c>
      <c r="T702" s="138">
        <v>480</v>
      </c>
      <c r="U702" s="163">
        <v>0</v>
      </c>
      <c r="V702" s="136"/>
      <c r="W702" s="148">
        <v>236.95</v>
      </c>
      <c r="X702" s="148">
        <v>235.7</v>
      </c>
      <c r="Y702" s="148">
        <v>1907447.5</v>
      </c>
      <c r="Z702" s="128"/>
      <c r="AA702" s="148">
        <v>47686.19</v>
      </c>
      <c r="AB702" s="148">
        <v>47686.19</v>
      </c>
      <c r="AC702" s="148">
        <v>2002819.88</v>
      </c>
      <c r="AD702" s="285">
        <f t="shared" si="468"/>
        <v>2000817.0601199998</v>
      </c>
      <c r="AE702" s="147">
        <v>39.31</v>
      </c>
      <c r="AF702" s="147">
        <v>42</v>
      </c>
      <c r="AG702" s="147">
        <v>39.35</v>
      </c>
      <c r="AH702" s="286">
        <v>5.3E-3</v>
      </c>
      <c r="AI702" s="287">
        <v>5.8000000000000003E-2</v>
      </c>
      <c r="AJ702" s="287">
        <v>0.05</v>
      </c>
      <c r="AK702" s="155">
        <f t="shared" si="486"/>
        <v>122167.47083333322</v>
      </c>
      <c r="AL702" s="157">
        <f>420*10+60*15</f>
        <v>5100</v>
      </c>
      <c r="AM702" s="206">
        <f>1847072.5*0.53%+60375*6%</f>
        <v>13411.98425</v>
      </c>
      <c r="AN702" s="288">
        <f>W702*15</f>
        <v>3554.25</v>
      </c>
      <c r="AO702" s="156">
        <f t="shared" si="487"/>
        <v>10062.5</v>
      </c>
      <c r="AP702" s="157"/>
      <c r="AQ702" s="155">
        <v>0</v>
      </c>
      <c r="AR702" s="155">
        <f t="shared" si="488"/>
        <v>154296.20508333322</v>
      </c>
      <c r="AS702" s="155">
        <f t="shared" si="489"/>
        <v>162011</v>
      </c>
      <c r="AT702" s="197">
        <v>125</v>
      </c>
      <c r="AU702" s="199" t="s">
        <v>1532</v>
      </c>
      <c r="AV702" s="157"/>
      <c r="AW702" s="155">
        <f t="shared" si="490"/>
        <v>23695</v>
      </c>
      <c r="AX702" s="157"/>
      <c r="AY702" s="155">
        <f t="shared" si="491"/>
        <v>23695</v>
      </c>
      <c r="AZ702" s="155">
        <f t="shared" si="492"/>
        <v>23570</v>
      </c>
      <c r="BA702" s="242">
        <f t="shared" si="493"/>
        <v>125</v>
      </c>
      <c r="BB702" s="246">
        <f t="shared" si="494"/>
        <v>47.39</v>
      </c>
      <c r="BC702" s="155">
        <v>0</v>
      </c>
      <c r="BD702" s="157"/>
      <c r="BE702" s="138">
        <v>236.95</v>
      </c>
      <c r="BF702" s="197">
        <f t="shared" si="495"/>
        <v>0.35542499999999999</v>
      </c>
      <c r="BG702" s="197">
        <f t="shared" si="496"/>
        <v>236.59457499999999</v>
      </c>
      <c r="BH702" s="197">
        <f t="shared" si="497"/>
        <v>235.7</v>
      </c>
      <c r="BI702" s="243">
        <f t="shared" si="498"/>
        <v>125</v>
      </c>
      <c r="BJ702" s="243">
        <v>0</v>
      </c>
      <c r="BK702" s="155">
        <f t="shared" si="499"/>
        <v>125</v>
      </c>
      <c r="BL702" s="47"/>
      <c r="BM702" s="48" t="str">
        <f t="shared" si="500"/>
        <v>Unloading no. 677 Bill No 18 ,Deduction For Oil Deduction= 122167.470833333 ,Bardana= 5100 ,F.M= 13411.98425 Brokerage/Rate Difference 3554.25 ,Shortage = 10062.5 ,Greenish=  ,Moisture= 0</v>
      </c>
      <c r="BN702" s="41"/>
      <c r="BO702" s="44" t="str">
        <f t="shared" si="501"/>
        <v xml:space="preserve"> Party Condition 42  ,F.M% 0.53 ,Greenish 5.8 ,Moisture 5 ,Shortage in KG= 125  ,Oil% 39.31</v>
      </c>
      <c r="BP702" s="45">
        <f t="shared" si="502"/>
        <v>7438.0623458492446</v>
      </c>
      <c r="BQ702" s="41"/>
      <c r="BR702" s="41"/>
      <c r="BS702" s="41"/>
      <c r="BT702" s="41"/>
      <c r="BU702" s="41"/>
      <c r="BV702" s="41"/>
      <c r="BW702" s="85"/>
      <c r="BX702" s="27">
        <v>39.31</v>
      </c>
      <c r="BY702" s="27">
        <v>39.35</v>
      </c>
    </row>
    <row r="703" spans="1:77" ht="14.1" hidden="1" customHeight="1" x14ac:dyDescent="0.3">
      <c r="A703" s="138" t="s">
        <v>1429</v>
      </c>
      <c r="B703" s="146">
        <v>46171</v>
      </c>
      <c r="C703" s="138">
        <v>678</v>
      </c>
      <c r="D703" s="138" t="s">
        <v>1502</v>
      </c>
      <c r="E703" s="129">
        <v>46173</v>
      </c>
      <c r="F703" s="138" t="s">
        <v>1083</v>
      </c>
      <c r="G703" s="281" t="s">
        <v>1084</v>
      </c>
      <c r="H703" s="281" t="s">
        <v>1454</v>
      </c>
      <c r="I703" s="136"/>
      <c r="J703" s="138" t="s">
        <v>1455</v>
      </c>
      <c r="K703" s="136"/>
      <c r="L703" s="146">
        <v>46171</v>
      </c>
      <c r="M703" s="136"/>
      <c r="N703" s="138">
        <v>19</v>
      </c>
      <c r="O703" s="146">
        <v>46172</v>
      </c>
      <c r="P703" s="138">
        <v>0</v>
      </c>
      <c r="Q703" s="138">
        <v>320</v>
      </c>
      <c r="R703" s="138">
        <v>110</v>
      </c>
      <c r="S703" s="138">
        <v>430</v>
      </c>
      <c r="T703" s="138">
        <v>430</v>
      </c>
      <c r="U703" s="163">
        <v>0</v>
      </c>
      <c r="V703" s="136"/>
      <c r="W703" s="148">
        <v>282.39999999999998</v>
      </c>
      <c r="X703" s="148">
        <v>281.39999999999998</v>
      </c>
      <c r="Y703" s="148">
        <v>2273320</v>
      </c>
      <c r="Z703" s="128"/>
      <c r="AA703" s="148">
        <v>56833</v>
      </c>
      <c r="AB703" s="148">
        <v>56833</v>
      </c>
      <c r="AC703" s="148">
        <v>2386986</v>
      </c>
      <c r="AD703" s="285">
        <f t="shared" si="468"/>
        <v>2384599.014</v>
      </c>
      <c r="AE703" s="147">
        <v>39.93</v>
      </c>
      <c r="AF703" s="147">
        <v>42</v>
      </c>
      <c r="AG703" s="147">
        <v>39.81</v>
      </c>
      <c r="AH703" s="286">
        <v>5.4000000000000003E-3</v>
      </c>
      <c r="AI703" s="287">
        <v>3.1E-2</v>
      </c>
      <c r="AJ703" s="287">
        <v>4.2999999999999997E-2</v>
      </c>
      <c r="AK703" s="155">
        <f t="shared" si="486"/>
        <v>118537.39999999988</v>
      </c>
      <c r="AL703" s="157">
        <f>320*10+110*15</f>
        <v>4850</v>
      </c>
      <c r="AM703" s="157">
        <f>Y703*AH703</f>
        <v>12275.928</v>
      </c>
      <c r="AN703" s="288">
        <f>W703*15</f>
        <v>4236</v>
      </c>
      <c r="AO703" s="156">
        <f t="shared" si="487"/>
        <v>8050.0000000000009</v>
      </c>
      <c r="AP703" s="157"/>
      <c r="AQ703" s="155">
        <v>0</v>
      </c>
      <c r="AR703" s="155">
        <f t="shared" si="488"/>
        <v>147949.32799999986</v>
      </c>
      <c r="AS703" s="155">
        <f t="shared" si="489"/>
        <v>155347</v>
      </c>
      <c r="AT703" s="197">
        <v>100</v>
      </c>
      <c r="AU703" s="199"/>
      <c r="AV703" s="157"/>
      <c r="AW703" s="155">
        <f t="shared" si="490"/>
        <v>28239.999999999996</v>
      </c>
      <c r="AX703" s="157"/>
      <c r="AY703" s="155">
        <f t="shared" si="491"/>
        <v>28239.999999999996</v>
      </c>
      <c r="AZ703" s="155">
        <f t="shared" si="492"/>
        <v>28139.999999999996</v>
      </c>
      <c r="BA703" s="242">
        <f t="shared" si="493"/>
        <v>100</v>
      </c>
      <c r="BB703" s="246">
        <f t="shared" si="494"/>
        <v>56.47999999999999</v>
      </c>
      <c r="BC703" s="155">
        <v>0</v>
      </c>
      <c r="BD703" s="157"/>
      <c r="BE703" s="138">
        <v>282.39999999999998</v>
      </c>
      <c r="BF703" s="197">
        <f t="shared" si="495"/>
        <v>0.42359999999999992</v>
      </c>
      <c r="BG703" s="197">
        <f t="shared" si="496"/>
        <v>281.97639999999996</v>
      </c>
      <c r="BH703" s="197">
        <f t="shared" si="497"/>
        <v>281.39999999999998</v>
      </c>
      <c r="BI703" s="243">
        <f t="shared" si="498"/>
        <v>100</v>
      </c>
      <c r="BJ703" s="243">
        <v>0</v>
      </c>
      <c r="BK703" s="155">
        <f t="shared" si="499"/>
        <v>100</v>
      </c>
      <c r="BL703" s="47"/>
      <c r="BM703" s="48" t="str">
        <f t="shared" si="500"/>
        <v>Unloading no. 678 Bill No 19 ,Deduction For Oil Deduction= 118537.4 ,Bardana= 4850 ,F.M= 12275.928 Brokerage/Rate Difference 4236 ,Shortage = 8050 ,Greenish=  ,Moisture= 0</v>
      </c>
      <c r="BN703" s="41"/>
      <c r="BO703" s="44" t="str">
        <f t="shared" si="501"/>
        <v xml:space="preserve"> Party Condition 42  ,F.M% 0.54 ,Greenish 3.1 ,Moisture 4.3 ,Shortage in KG= 100  ,Oil% 39.81</v>
      </c>
      <c r="BP703" s="45">
        <f t="shared" si="502"/>
        <v>7552.845316275766</v>
      </c>
      <c r="BQ703" s="41"/>
      <c r="BR703" s="41"/>
      <c r="BS703" s="41"/>
      <c r="BT703" s="41"/>
      <c r="BU703" s="41"/>
      <c r="BV703" s="41"/>
      <c r="BW703" s="85"/>
      <c r="BX703" s="27">
        <v>39.93</v>
      </c>
      <c r="BY703" s="27">
        <v>39.81</v>
      </c>
    </row>
    <row r="704" spans="1:77" ht="14.1" hidden="1" customHeight="1" x14ac:dyDescent="0.3">
      <c r="A704" s="138" t="s">
        <v>1459</v>
      </c>
      <c r="B704" s="146">
        <v>46172</v>
      </c>
      <c r="C704" s="138">
        <v>679</v>
      </c>
      <c r="D704" s="138" t="s">
        <v>1503</v>
      </c>
      <c r="E704" s="129">
        <v>46173</v>
      </c>
      <c r="F704" s="138" t="s">
        <v>95</v>
      </c>
      <c r="G704" s="281" t="s">
        <v>96</v>
      </c>
      <c r="H704" s="281" t="s">
        <v>97</v>
      </c>
      <c r="I704" s="136"/>
      <c r="J704" s="138" t="s">
        <v>1455</v>
      </c>
      <c r="K704" s="136"/>
      <c r="L704" s="146">
        <v>46172</v>
      </c>
      <c r="M704" s="136"/>
      <c r="N704" s="138">
        <v>192</v>
      </c>
      <c r="O704" s="146">
        <v>46172</v>
      </c>
      <c r="P704" s="138">
        <v>0</v>
      </c>
      <c r="Q704" s="138">
        <v>300</v>
      </c>
      <c r="R704" s="138">
        <v>197</v>
      </c>
      <c r="S704" s="138">
        <v>497</v>
      </c>
      <c r="T704" s="138">
        <v>497</v>
      </c>
      <c r="U704" s="163">
        <v>0</v>
      </c>
      <c r="V704" s="136"/>
      <c r="W704" s="148">
        <v>302.8</v>
      </c>
      <c r="X704" s="148">
        <v>302.60000000000002</v>
      </c>
      <c r="Y704" s="148">
        <v>2424040</v>
      </c>
      <c r="Z704" s="128"/>
      <c r="AA704" s="148">
        <v>60601</v>
      </c>
      <c r="AB704" s="148">
        <v>60601</v>
      </c>
      <c r="AC704" s="148">
        <v>2545242</v>
      </c>
      <c r="AD704" s="285">
        <f t="shared" si="468"/>
        <v>2542696.7579999999</v>
      </c>
      <c r="AE704" s="147">
        <v>39.82</v>
      </c>
      <c r="AF704" s="147">
        <v>42</v>
      </c>
      <c r="AG704" s="147">
        <v>39.82</v>
      </c>
      <c r="AH704" s="286">
        <v>4.1999999999999997E-3</v>
      </c>
      <c r="AI704" s="287">
        <v>3.5000000000000003E-2</v>
      </c>
      <c r="AJ704" s="287">
        <v>4.8000000000000001E-2</v>
      </c>
      <c r="AK704" s="155">
        <f t="shared" si="486"/>
        <v>125819.21904761903</v>
      </c>
      <c r="AL704" s="157">
        <f>300*10+197*15</f>
        <v>5955</v>
      </c>
      <c r="AM704" s="157">
        <f>Y704*AH704</f>
        <v>10180.967999999999</v>
      </c>
      <c r="AN704" s="289">
        <v>1640.1</v>
      </c>
      <c r="AO704" s="156">
        <f t="shared" si="487"/>
        <v>1601.0832232496698</v>
      </c>
      <c r="AP704" s="157"/>
      <c r="AQ704" s="155">
        <v>0</v>
      </c>
      <c r="AR704" s="155">
        <f t="shared" si="488"/>
        <v>145196.37027086871</v>
      </c>
      <c r="AS704" s="155">
        <f t="shared" si="489"/>
        <v>152456</v>
      </c>
      <c r="AT704" s="197">
        <v>20</v>
      </c>
      <c r="AU704" s="199" t="s">
        <v>1533</v>
      </c>
      <c r="AV704" s="157"/>
      <c r="AW704" s="155">
        <f t="shared" si="490"/>
        <v>30280</v>
      </c>
      <c r="AX704" s="157"/>
      <c r="AY704" s="155">
        <f t="shared" si="491"/>
        <v>30280</v>
      </c>
      <c r="AZ704" s="155">
        <f t="shared" si="492"/>
        <v>30260.000000000004</v>
      </c>
      <c r="BA704" s="242">
        <f t="shared" si="493"/>
        <v>19.999999999996362</v>
      </c>
      <c r="BB704" s="246">
        <f t="shared" si="494"/>
        <v>60.56</v>
      </c>
      <c r="BC704" s="155">
        <v>0</v>
      </c>
      <c r="BD704" s="157"/>
      <c r="BE704" s="138">
        <v>302.8</v>
      </c>
      <c r="BF704" s="197">
        <f t="shared" si="495"/>
        <v>0.45419999999999999</v>
      </c>
      <c r="BG704" s="197">
        <f t="shared" si="496"/>
        <v>302.3458</v>
      </c>
      <c r="BH704" s="197">
        <f t="shared" si="497"/>
        <v>302.60000000000002</v>
      </c>
      <c r="BI704" s="243">
        <f t="shared" si="498"/>
        <v>19.999999999998863</v>
      </c>
      <c r="BJ704" s="243">
        <v>0</v>
      </c>
      <c r="BK704" s="155">
        <f t="shared" si="499"/>
        <v>19.999999999998863</v>
      </c>
      <c r="BL704" s="47"/>
      <c r="BM704" s="48" t="str">
        <f t="shared" si="500"/>
        <v>Unloading no. 679 Bill No 192 ,Deduction For Oil Deduction= 125819.219047619 ,Bardana= 5955 ,F.M= 10180.968 Brokerage/Rate Difference 1640.1 ,Shortage = 1601.08322324967 ,Greenish=  ,Moisture= 0</v>
      </c>
      <c r="BN704" s="41"/>
      <c r="BO704" s="44" t="str">
        <f t="shared" si="501"/>
        <v xml:space="preserve"> Party Condition 42  ,F.M% 0.42 ,Greenish 3.5 ,Moisture 4.8 ,Shortage in KG= 20  ,Oil% 39.82</v>
      </c>
      <c r="BP704" s="45">
        <f t="shared" si="502"/>
        <v>7530.8778246170887</v>
      </c>
      <c r="BQ704" s="41"/>
      <c r="BR704" s="41"/>
      <c r="BS704" s="41"/>
      <c r="BT704" s="41"/>
      <c r="BU704" s="41"/>
      <c r="BV704" s="41"/>
      <c r="BW704" s="85"/>
      <c r="BX704" s="27">
        <v>39.82</v>
      </c>
      <c r="BY704" s="27">
        <v>39.82</v>
      </c>
    </row>
    <row r="705" spans="1:77" ht="14.1" hidden="1" customHeight="1" x14ac:dyDescent="0.3">
      <c r="A705" s="138" t="s">
        <v>1461</v>
      </c>
      <c r="B705" s="146">
        <v>46171</v>
      </c>
      <c r="C705" s="138">
        <v>680</v>
      </c>
      <c r="D705" s="138" t="s">
        <v>1504</v>
      </c>
      <c r="E705" s="129">
        <v>46173</v>
      </c>
      <c r="F705" s="138" t="s">
        <v>1506</v>
      </c>
      <c r="G705" s="281" t="s">
        <v>1507</v>
      </c>
      <c r="H705" s="281" t="s">
        <v>1508</v>
      </c>
      <c r="I705" s="136"/>
      <c r="J705" s="138" t="s">
        <v>1146</v>
      </c>
      <c r="K705" s="136"/>
      <c r="L705" s="146">
        <v>46171</v>
      </c>
      <c r="M705" s="136"/>
      <c r="N705" s="138" t="s">
        <v>1530</v>
      </c>
      <c r="O705" s="146">
        <v>46172</v>
      </c>
      <c r="P705" s="138">
        <v>0</v>
      </c>
      <c r="Q705" s="138">
        <v>300</v>
      </c>
      <c r="R705" s="138">
        <v>219</v>
      </c>
      <c r="S705" s="138">
        <v>519</v>
      </c>
      <c r="T705" s="138">
        <v>519</v>
      </c>
      <c r="U705" s="163">
        <v>0</v>
      </c>
      <c r="V705" s="136"/>
      <c r="W705" s="148">
        <v>311.2</v>
      </c>
      <c r="X705" s="148">
        <v>311.10000000000002</v>
      </c>
      <c r="Y705" s="148">
        <v>2494890.4</v>
      </c>
      <c r="Z705" s="128">
        <v>39.770000000000003</v>
      </c>
      <c r="AA705" s="148">
        <v>62372.26</v>
      </c>
      <c r="AB705" s="148">
        <v>62372.26</v>
      </c>
      <c r="AC705" s="148">
        <v>2619634.92</v>
      </c>
      <c r="AD705" s="285">
        <f t="shared" si="468"/>
        <v>2617015.2850799998</v>
      </c>
      <c r="AE705" s="147">
        <v>39.770000000000003</v>
      </c>
      <c r="AF705" s="147">
        <v>42</v>
      </c>
      <c r="AG705" s="147">
        <v>39.770000000000003</v>
      </c>
      <c r="AH705" s="286">
        <v>4.5999999999999999E-3</v>
      </c>
      <c r="AI705" s="287">
        <v>3.5999999999999997E-2</v>
      </c>
      <c r="AJ705" s="287">
        <v>4.3999999999999997E-2</v>
      </c>
      <c r="AK705" s="155">
        <f t="shared" si="486"/>
        <v>132466.79980952363</v>
      </c>
      <c r="AL705" s="157">
        <v>0</v>
      </c>
      <c r="AM705" s="157"/>
      <c r="AN705" s="199">
        <v>0</v>
      </c>
      <c r="AO705" s="156">
        <f t="shared" si="487"/>
        <v>0</v>
      </c>
      <c r="AP705" s="157"/>
      <c r="AQ705" s="155">
        <v>0</v>
      </c>
      <c r="AR705" s="155">
        <f t="shared" si="488"/>
        <v>132466.79980952363</v>
      </c>
      <c r="AS705" s="155">
        <f t="shared" si="489"/>
        <v>139090</v>
      </c>
      <c r="AT705" s="197">
        <v>0</v>
      </c>
      <c r="AU705" s="288" t="s">
        <v>1534</v>
      </c>
      <c r="AV705" s="157"/>
      <c r="AW705" s="155">
        <f t="shared" si="490"/>
        <v>31120</v>
      </c>
      <c r="AX705" s="157"/>
      <c r="AY705" s="155">
        <f t="shared" si="491"/>
        <v>31120</v>
      </c>
      <c r="AZ705" s="155">
        <f t="shared" si="492"/>
        <v>31110.000000000004</v>
      </c>
      <c r="BA705" s="242">
        <f t="shared" si="493"/>
        <v>9.999999999996362</v>
      </c>
      <c r="BB705" s="246">
        <f t="shared" si="494"/>
        <v>62.24</v>
      </c>
      <c r="BC705" s="155">
        <v>0</v>
      </c>
      <c r="BD705" s="157"/>
      <c r="BE705" s="138">
        <v>311.2</v>
      </c>
      <c r="BF705" s="197">
        <f t="shared" si="495"/>
        <v>0.46679999999999999</v>
      </c>
      <c r="BG705" s="197">
        <f t="shared" si="496"/>
        <v>310.73320000000001</v>
      </c>
      <c r="BH705" s="197">
        <f t="shared" si="497"/>
        <v>311.10000000000002</v>
      </c>
      <c r="BI705" s="243">
        <f t="shared" si="498"/>
        <v>9.9999999999965894</v>
      </c>
      <c r="BJ705" s="243">
        <v>0</v>
      </c>
      <c r="BK705" s="155">
        <f t="shared" si="499"/>
        <v>9.9999999999965894</v>
      </c>
      <c r="BL705" s="47"/>
      <c r="BM705" s="48" t="str">
        <f t="shared" si="500"/>
        <v>Unloading no. 680 Bill No GST/26-27/0069 ,Deduction For Oil Deduction= 132466.799809524 ,Bardana= 0 ,F.M=  Brokerage/Rate Difference 0 ,Shortage = 0 ,Greenish=  ,Moisture= 0</v>
      </c>
      <c r="BN705" s="41"/>
      <c r="BO705" s="44" t="str">
        <f t="shared" si="501"/>
        <v xml:space="preserve"> Party Condition 42  ,F.M% 0.46 ,Greenish 3.6 ,Moisture 4.4 ,Shortage in KG= 0  ,Oil% 39.77</v>
      </c>
      <c r="BP705" s="45">
        <f t="shared" si="502"/>
        <v>7593.7756354563689</v>
      </c>
      <c r="BQ705" s="41"/>
      <c r="BR705" s="41"/>
      <c r="BS705" s="41"/>
      <c r="BT705" s="41"/>
      <c r="BU705" s="41"/>
      <c r="BV705" s="41"/>
      <c r="BW705" s="85"/>
      <c r="BX705" s="27">
        <v>39.409999999999997</v>
      </c>
      <c r="BY705" s="27">
        <v>39.25</v>
      </c>
    </row>
    <row r="706" spans="1:77" ht="14.1" hidden="1" customHeight="1" x14ac:dyDescent="0.3">
      <c r="A706" s="187" t="s">
        <v>1462</v>
      </c>
      <c r="B706" s="171">
        <v>46171</v>
      </c>
      <c r="C706" s="187">
        <v>681</v>
      </c>
      <c r="D706" s="187" t="s">
        <v>1505</v>
      </c>
      <c r="E706" s="162">
        <v>46173</v>
      </c>
      <c r="F706" s="187" t="s">
        <v>1382</v>
      </c>
      <c r="G706" s="282" t="s">
        <v>1383</v>
      </c>
      <c r="H706" s="282" t="s">
        <v>1384</v>
      </c>
      <c r="I706" s="157"/>
      <c r="J706" s="187" t="s">
        <v>1455</v>
      </c>
      <c r="K706" s="157"/>
      <c r="L706" s="171">
        <v>46171</v>
      </c>
      <c r="M706" s="157"/>
      <c r="N706" s="187">
        <v>9</v>
      </c>
      <c r="O706" s="171">
        <v>46172</v>
      </c>
      <c r="P706" s="187">
        <v>0</v>
      </c>
      <c r="Q706" s="187">
        <v>300</v>
      </c>
      <c r="R706" s="187">
        <v>200</v>
      </c>
      <c r="S706" s="187">
        <v>500</v>
      </c>
      <c r="T706" s="187">
        <v>500</v>
      </c>
      <c r="U706" s="163">
        <v>0</v>
      </c>
      <c r="V706" s="157"/>
      <c r="W706" s="290">
        <v>302.35000000000002</v>
      </c>
      <c r="X706" s="290">
        <v>302.39999999999998</v>
      </c>
      <c r="Y706" s="290">
        <v>2418800</v>
      </c>
      <c r="Z706" s="163"/>
      <c r="AA706" s="290">
        <v>60470</v>
      </c>
      <c r="AB706" s="290">
        <v>60470</v>
      </c>
      <c r="AC706" s="290">
        <v>2539740</v>
      </c>
      <c r="AD706" s="285">
        <f t="shared" si="468"/>
        <v>2537200.2599999998</v>
      </c>
      <c r="AE706" s="238">
        <v>41.88</v>
      </c>
      <c r="AF706" s="238">
        <v>42</v>
      </c>
      <c r="AG706" s="238">
        <v>41.68</v>
      </c>
      <c r="AH706" s="286">
        <v>3.8999999999999998E-3</v>
      </c>
      <c r="AI706" s="291">
        <v>0.04</v>
      </c>
      <c r="AJ706" s="291">
        <v>4.4999999999999998E-2</v>
      </c>
      <c r="AK706" s="155">
        <f t="shared" si="486"/>
        <v>18428.952380952396</v>
      </c>
      <c r="AL706" s="157">
        <f>300*10+200*15</f>
        <v>6000</v>
      </c>
      <c r="AM706" s="157">
        <f>Y706*AH706</f>
        <v>9433.32</v>
      </c>
      <c r="AN706" s="199">
        <v>0</v>
      </c>
      <c r="AO706" s="156">
        <f t="shared" si="487"/>
        <v>0</v>
      </c>
      <c r="AP706" s="157"/>
      <c r="AQ706" s="155">
        <v>0</v>
      </c>
      <c r="AR706" s="155">
        <f t="shared" si="488"/>
        <v>33862.272380952396</v>
      </c>
      <c r="AS706" s="155">
        <f t="shared" si="489"/>
        <v>35555</v>
      </c>
      <c r="AT706" s="197">
        <v>0</v>
      </c>
      <c r="AU706" s="199"/>
      <c r="AV706" s="157"/>
      <c r="AW706" s="155">
        <f t="shared" si="490"/>
        <v>30235.000000000004</v>
      </c>
      <c r="AX706" s="157"/>
      <c r="AY706" s="155">
        <f t="shared" si="491"/>
        <v>30235.000000000004</v>
      </c>
      <c r="AZ706" s="155">
        <f t="shared" si="492"/>
        <v>30239.999999999996</v>
      </c>
      <c r="BA706" s="242">
        <f t="shared" si="493"/>
        <v>-4.999999999992724</v>
      </c>
      <c r="BB706" s="155">
        <f t="shared" si="494"/>
        <v>60.470000000000006</v>
      </c>
      <c r="BC706" s="155">
        <v>0</v>
      </c>
      <c r="BD706" s="157"/>
      <c r="BE706" s="187">
        <v>302.35000000000002</v>
      </c>
      <c r="BF706" s="197">
        <f t="shared" si="495"/>
        <v>0.45352500000000001</v>
      </c>
      <c r="BG706" s="197">
        <f t="shared" si="496"/>
        <v>301.89647500000001</v>
      </c>
      <c r="BH706" s="197">
        <f t="shared" si="497"/>
        <v>302.39999999999998</v>
      </c>
      <c r="BI706" s="243">
        <f t="shared" si="498"/>
        <v>-4.9999999999954525</v>
      </c>
      <c r="BJ706" s="243">
        <v>0</v>
      </c>
      <c r="BK706" s="155">
        <f t="shared" si="499"/>
        <v>-4.9999999999954525</v>
      </c>
      <c r="BL706" s="47"/>
      <c r="BM706" s="48" t="str">
        <f t="shared" si="500"/>
        <v>Unloading no. 681 Bill No 9 ,Deduction For Oil Deduction= 18428.9523809524 ,Bardana= 6000 ,F.M= 9433.32 Brokerage/Rate Difference 0 ,Shortage = 0 ,Greenish=  ,Moisture= 0</v>
      </c>
      <c r="BN706" s="55"/>
      <c r="BO706" s="65" t="str">
        <f t="shared" si="501"/>
        <v xml:space="preserve"> Party Condition 42  ,F.M% 0.39 ,Greenish 4 ,Moisture 4.5 ,Shortage in KG= 0  ,Oil% 41.68</v>
      </c>
      <c r="BP706" s="66">
        <f t="shared" si="502"/>
        <v>7886.6988347190736</v>
      </c>
      <c r="BQ706" s="55"/>
      <c r="BR706" s="55"/>
      <c r="BS706" s="55"/>
      <c r="BT706" s="55"/>
      <c r="BU706" s="55"/>
      <c r="BV706" s="55"/>
      <c r="BW706" s="93"/>
      <c r="BX706" s="99">
        <v>41.88</v>
      </c>
      <c r="BY706" s="99">
        <v>41.68</v>
      </c>
    </row>
    <row r="707" spans="1:77" ht="14.1" hidden="1" customHeight="1" x14ac:dyDescent="0.3">
      <c r="A707" s="138" t="s">
        <v>1461</v>
      </c>
      <c r="B707" s="146">
        <v>46171</v>
      </c>
      <c r="C707" s="138">
        <v>682</v>
      </c>
      <c r="D707" s="135" t="s">
        <v>1472</v>
      </c>
      <c r="E707" s="129">
        <v>46174</v>
      </c>
      <c r="F707" s="138" t="s">
        <v>1506</v>
      </c>
      <c r="G707" s="281" t="s">
        <v>1507</v>
      </c>
      <c r="H707" s="281" t="s">
        <v>1508</v>
      </c>
      <c r="I707" s="136"/>
      <c r="J707" s="138" t="s">
        <v>1146</v>
      </c>
      <c r="K707" s="136"/>
      <c r="L707" s="146">
        <v>46171</v>
      </c>
      <c r="M707" s="136"/>
      <c r="N707" s="138" t="s">
        <v>1515</v>
      </c>
      <c r="O707" s="146">
        <v>46172</v>
      </c>
      <c r="P707" s="138">
        <v>0</v>
      </c>
      <c r="Q707" s="138">
        <v>300</v>
      </c>
      <c r="R707" s="138">
        <v>489</v>
      </c>
      <c r="S707" s="138">
        <v>789</v>
      </c>
      <c r="T707" s="138">
        <v>789</v>
      </c>
      <c r="U707" s="163">
        <v>0</v>
      </c>
      <c r="V707" s="136"/>
      <c r="W707" s="148">
        <v>382</v>
      </c>
      <c r="X707" s="148">
        <v>381.6</v>
      </c>
      <c r="Y707" s="148">
        <v>3062494</v>
      </c>
      <c r="Z707" s="276">
        <v>38.880000000000003</v>
      </c>
      <c r="AA707" s="148">
        <v>76562.350000000006</v>
      </c>
      <c r="AB707" s="148">
        <v>76562.350000000006</v>
      </c>
      <c r="AC707" s="148">
        <v>3215618.7</v>
      </c>
      <c r="AD707" s="285">
        <f t="shared" si="468"/>
        <v>3212403.0813000002</v>
      </c>
      <c r="AE707" s="147">
        <v>38.880000000000003</v>
      </c>
      <c r="AF707" s="147">
        <v>42</v>
      </c>
      <c r="AG707" s="147">
        <v>38.880000000000003</v>
      </c>
      <c r="AH707" s="287">
        <v>5.0000000000000001E-3</v>
      </c>
      <c r="AI707" s="287">
        <v>3.5499999999999997E-2</v>
      </c>
      <c r="AJ707" s="287">
        <v>4.2999999999999997E-2</v>
      </c>
      <c r="AK707" s="155">
        <f t="shared" si="486"/>
        <v>227499.55428571408</v>
      </c>
      <c r="AL707" s="157">
        <v>0</v>
      </c>
      <c r="AM707" s="157"/>
      <c r="AN707" s="199">
        <v>0</v>
      </c>
      <c r="AO707" s="156">
        <f t="shared" si="487"/>
        <v>0</v>
      </c>
      <c r="AP707" s="157"/>
      <c r="AQ707" s="155">
        <v>0</v>
      </c>
      <c r="AR707" s="155">
        <f t="shared" si="488"/>
        <v>227499.55428571408</v>
      </c>
      <c r="AS707" s="155">
        <f t="shared" si="489"/>
        <v>238875</v>
      </c>
      <c r="AT707" s="197">
        <v>0</v>
      </c>
      <c r="AU707" s="199" t="s">
        <v>1534</v>
      </c>
      <c r="AV707" s="157"/>
      <c r="AW707" s="155">
        <f t="shared" si="490"/>
        <v>38200</v>
      </c>
      <c r="AX707" s="157"/>
      <c r="AY707" s="155">
        <f t="shared" si="491"/>
        <v>38200</v>
      </c>
      <c r="AZ707" s="155">
        <f t="shared" si="492"/>
        <v>38160</v>
      </c>
      <c r="BA707" s="242">
        <f t="shared" si="493"/>
        <v>40</v>
      </c>
      <c r="BB707" s="246">
        <f t="shared" si="494"/>
        <v>76.400000000000006</v>
      </c>
      <c r="BC707" s="155">
        <v>0</v>
      </c>
      <c r="BD707" s="157"/>
      <c r="BE707" s="138">
        <v>382.2</v>
      </c>
      <c r="BF707" s="197">
        <f t="shared" si="495"/>
        <v>0.57330000000000003</v>
      </c>
      <c r="BG707" s="197">
        <f t="shared" si="496"/>
        <v>381.62669999999997</v>
      </c>
      <c r="BH707" s="197">
        <f t="shared" si="497"/>
        <v>381.6</v>
      </c>
      <c r="BI707" s="243">
        <f t="shared" si="498"/>
        <v>59.999999999996589</v>
      </c>
      <c r="BJ707" s="243">
        <v>0</v>
      </c>
      <c r="BK707" s="155">
        <f t="shared" si="499"/>
        <v>59.999999999996589</v>
      </c>
      <c r="BL707" s="47"/>
      <c r="BM707" s="48" t="str">
        <f t="shared" si="500"/>
        <v>Unloading no. 682 Bill No GST/26-27/0064 ,Deduction For Oil Deduction= 227499.554285714 ,Bardana= 0 ,F.M=  Brokerage/Rate Difference 0 ,Shortage = 0 ,Greenish=  ,Moisture= 0</v>
      </c>
      <c r="BN707" s="41"/>
      <c r="BO707" s="44" t="str">
        <f t="shared" si="501"/>
        <v xml:space="preserve"> Party Condition 42  ,F.M% 0.5 ,Greenish 3.55 ,Moisture 4.3 ,Shortage in KG= 0  ,Oil% 38.88</v>
      </c>
      <c r="BP707" s="45">
        <f t="shared" si="502"/>
        <v>7429.2307277628033</v>
      </c>
      <c r="BQ707" s="41"/>
      <c r="BR707" s="41"/>
      <c r="BS707" s="41"/>
      <c r="BT707" s="41"/>
      <c r="BU707" s="41"/>
      <c r="BV707" s="41"/>
      <c r="BW707" s="85"/>
      <c r="BX707" s="27">
        <v>39</v>
      </c>
      <c r="BY707" s="27">
        <v>38.909999999999997</v>
      </c>
    </row>
    <row r="708" spans="1:77" ht="14.1" hidden="1" customHeight="1" x14ac:dyDescent="0.3">
      <c r="A708" s="138" t="s">
        <v>1463</v>
      </c>
      <c r="B708" s="146">
        <v>46171</v>
      </c>
      <c r="C708" s="138">
        <v>683</v>
      </c>
      <c r="D708" s="135" t="s">
        <v>1473</v>
      </c>
      <c r="E708" s="129">
        <v>46174</v>
      </c>
      <c r="F708" s="138" t="s">
        <v>1382</v>
      </c>
      <c r="G708" s="281" t="s">
        <v>1383</v>
      </c>
      <c r="H708" s="281" t="s">
        <v>1384</v>
      </c>
      <c r="I708" s="136"/>
      <c r="J708" s="138" t="s">
        <v>1455</v>
      </c>
      <c r="K708" s="136"/>
      <c r="L708" s="146">
        <v>46171</v>
      </c>
      <c r="M708" s="136"/>
      <c r="N708" s="138">
        <v>10</v>
      </c>
      <c r="O708" s="146">
        <v>46173</v>
      </c>
      <c r="P708" s="138">
        <v>0</v>
      </c>
      <c r="Q708" s="138">
        <v>450</v>
      </c>
      <c r="R708" s="138">
        <v>50</v>
      </c>
      <c r="S708" s="138">
        <v>500</v>
      </c>
      <c r="T708" s="138">
        <v>500</v>
      </c>
      <c r="U708" s="163">
        <v>0</v>
      </c>
      <c r="V708" s="136"/>
      <c r="W708" s="148">
        <v>301.64999999999998</v>
      </c>
      <c r="X708" s="148">
        <v>301.2</v>
      </c>
      <c r="Y708" s="148">
        <v>2413200</v>
      </c>
      <c r="Z708" s="138"/>
      <c r="AA708" s="148">
        <v>60330</v>
      </c>
      <c r="AB708" s="148">
        <v>60330</v>
      </c>
      <c r="AC708" s="148">
        <v>2533860</v>
      </c>
      <c r="AD708" s="285">
        <f t="shared" si="468"/>
        <v>2531326.14</v>
      </c>
      <c r="AE708" s="147">
        <v>40.6</v>
      </c>
      <c r="AF708" s="147">
        <v>42</v>
      </c>
      <c r="AG708" s="147">
        <v>40.43</v>
      </c>
      <c r="AH708" s="292">
        <v>4.1999999999999997E-3</v>
      </c>
      <c r="AI708" s="287">
        <v>3.4200000000000001E-2</v>
      </c>
      <c r="AJ708" s="287">
        <v>4.8000000000000001E-2</v>
      </c>
      <c r="AK708" s="155">
        <f t="shared" si="486"/>
        <v>90207.714285714304</v>
      </c>
      <c r="AL708" s="157">
        <f>450*10+50*15</f>
        <v>5250</v>
      </c>
      <c r="AM708" s="157">
        <f>AH708*Y708</f>
        <v>10135.439999999999</v>
      </c>
      <c r="AN708" s="199">
        <v>0</v>
      </c>
      <c r="AO708" s="156">
        <f t="shared" si="487"/>
        <v>3600.0000000000005</v>
      </c>
      <c r="AP708" s="157"/>
      <c r="AQ708" s="155">
        <v>0</v>
      </c>
      <c r="AR708" s="155">
        <f t="shared" si="488"/>
        <v>109193.15428571431</v>
      </c>
      <c r="AS708" s="155">
        <f t="shared" si="489"/>
        <v>114653</v>
      </c>
      <c r="AT708" s="197">
        <v>45</v>
      </c>
      <c r="AU708" s="199"/>
      <c r="AV708" s="157"/>
      <c r="AW708" s="155">
        <f t="shared" si="490"/>
        <v>30164.999999999996</v>
      </c>
      <c r="AX708" s="157"/>
      <c r="AY708" s="155">
        <f t="shared" si="491"/>
        <v>30164.999999999996</v>
      </c>
      <c r="AZ708" s="155">
        <f t="shared" si="492"/>
        <v>30120</v>
      </c>
      <c r="BA708" s="242">
        <f t="shared" si="493"/>
        <v>44.999999999996362</v>
      </c>
      <c r="BB708" s="246">
        <f t="shared" si="494"/>
        <v>60.329999999999991</v>
      </c>
      <c r="BC708" s="155">
        <v>0</v>
      </c>
      <c r="BD708" s="157"/>
      <c r="BE708" s="138">
        <v>301.64999999999998</v>
      </c>
      <c r="BF708" s="197">
        <f t="shared" si="495"/>
        <v>0.45247499999999996</v>
      </c>
      <c r="BG708" s="197">
        <f t="shared" si="496"/>
        <v>301.19752499999998</v>
      </c>
      <c r="BH708" s="197">
        <f t="shared" si="497"/>
        <v>301.2</v>
      </c>
      <c r="BI708" s="243">
        <f t="shared" si="498"/>
        <v>44.999999999998863</v>
      </c>
      <c r="BJ708" s="243">
        <v>0</v>
      </c>
      <c r="BK708" s="155">
        <f t="shared" si="499"/>
        <v>44.999999999998863</v>
      </c>
      <c r="BL708" s="47"/>
      <c r="BM708" s="48" t="str">
        <f t="shared" si="500"/>
        <v>Unloading no. 683 Bill No 10 ,Deduction For Oil Deduction= 90207.7142857143 ,Bardana= 5250 ,F.M= 10135.44 Brokerage/Rate Difference 0 ,Shortage = 3600 ,Greenish=  ,Moisture= 0</v>
      </c>
      <c r="BN708" s="41"/>
      <c r="BO708" s="44" t="str">
        <f t="shared" si="501"/>
        <v xml:space="preserve"> Party Condition 42  ,F.M% 0.42 ,Greenish 3.42 ,Moisture 4.8 ,Shortage in KG= 45  ,Oil% 40.43</v>
      </c>
      <c r="BP708" s="45">
        <f t="shared" si="502"/>
        <v>7649.4251185733256</v>
      </c>
      <c r="BQ708" s="41"/>
      <c r="BR708" s="41"/>
      <c r="BS708" s="41"/>
      <c r="BT708" s="41"/>
      <c r="BU708" s="41"/>
      <c r="BV708" s="41"/>
      <c r="BW708" s="85"/>
      <c r="BX708" s="27">
        <v>40.6</v>
      </c>
      <c r="BY708" s="27">
        <v>40.43</v>
      </c>
    </row>
    <row r="709" spans="1:77" ht="14.1" hidden="1" customHeight="1" x14ac:dyDescent="0.3">
      <c r="A709" s="138" t="s">
        <v>1463</v>
      </c>
      <c r="B709" s="146">
        <v>46171</v>
      </c>
      <c r="C709" s="138">
        <v>684</v>
      </c>
      <c r="D709" s="135" t="s">
        <v>1474</v>
      </c>
      <c r="E709" s="129">
        <v>46174</v>
      </c>
      <c r="F709" s="138" t="s">
        <v>1382</v>
      </c>
      <c r="G709" s="281" t="s">
        <v>1383</v>
      </c>
      <c r="H709" s="281" t="s">
        <v>1384</v>
      </c>
      <c r="I709" s="136"/>
      <c r="J709" s="138" t="s">
        <v>1455</v>
      </c>
      <c r="K709" s="136"/>
      <c r="L709" s="146">
        <v>46171</v>
      </c>
      <c r="M709" s="136"/>
      <c r="N709" s="138">
        <v>11</v>
      </c>
      <c r="O709" s="146">
        <v>46173</v>
      </c>
      <c r="P709" s="138">
        <v>0</v>
      </c>
      <c r="Q709" s="138">
        <v>200</v>
      </c>
      <c r="R709" s="138">
        <v>300</v>
      </c>
      <c r="S709" s="138">
        <v>500</v>
      </c>
      <c r="T709" s="138">
        <v>500</v>
      </c>
      <c r="U709" s="163">
        <v>0</v>
      </c>
      <c r="V709" s="136"/>
      <c r="W709" s="148">
        <v>300.5</v>
      </c>
      <c r="X709" s="148">
        <v>300.10000000000002</v>
      </c>
      <c r="Y709" s="148">
        <v>2404000</v>
      </c>
      <c r="Z709" s="138"/>
      <c r="AA709" s="148">
        <v>60100</v>
      </c>
      <c r="AB709" s="148">
        <v>60100</v>
      </c>
      <c r="AC709" s="148">
        <v>2524200</v>
      </c>
      <c r="AD709" s="285">
        <f t="shared" si="468"/>
        <v>2521675.7999999998</v>
      </c>
      <c r="AE709" s="147">
        <v>39.89</v>
      </c>
      <c r="AF709" s="147">
        <v>42</v>
      </c>
      <c r="AG709" s="147">
        <v>39.729999999999997</v>
      </c>
      <c r="AH709" s="292">
        <v>4.1000000000000003E-3</v>
      </c>
      <c r="AI709" s="287">
        <v>3.3000000000000002E-2</v>
      </c>
      <c r="AJ709" s="287">
        <v>5.1999999999999998E-2</v>
      </c>
      <c r="AK709" s="155">
        <f t="shared" si="486"/>
        <v>129930.47619047637</v>
      </c>
      <c r="AL709" s="157">
        <f>200*10+300*15</f>
        <v>6500</v>
      </c>
      <c r="AM709" s="157">
        <f>AH709*Y709</f>
        <v>9856.4000000000015</v>
      </c>
      <c r="AN709" s="199">
        <v>0</v>
      </c>
      <c r="AO709" s="156">
        <f t="shared" si="487"/>
        <v>3200</v>
      </c>
      <c r="AP709" s="157"/>
      <c r="AQ709" s="155">
        <v>0</v>
      </c>
      <c r="AR709" s="155">
        <f t="shared" si="488"/>
        <v>149486.87619047638</v>
      </c>
      <c r="AS709" s="155">
        <f t="shared" si="489"/>
        <v>156961</v>
      </c>
      <c r="AT709" s="197">
        <v>40</v>
      </c>
      <c r="AU709" s="199"/>
      <c r="AV709" s="157"/>
      <c r="AW709" s="155">
        <f t="shared" si="490"/>
        <v>30050</v>
      </c>
      <c r="AX709" s="157"/>
      <c r="AY709" s="155">
        <f t="shared" si="491"/>
        <v>30050</v>
      </c>
      <c r="AZ709" s="155">
        <f t="shared" si="492"/>
        <v>30010.000000000004</v>
      </c>
      <c r="BA709" s="242">
        <f t="shared" si="493"/>
        <v>39.999999999996362</v>
      </c>
      <c r="BB709" s="246">
        <f t="shared" si="494"/>
        <v>60.1</v>
      </c>
      <c r="BC709" s="155">
        <v>0</v>
      </c>
      <c r="BD709" s="157"/>
      <c r="BE709" s="138">
        <v>300.5</v>
      </c>
      <c r="BF709" s="197">
        <f t="shared" si="495"/>
        <v>0.45074999999999998</v>
      </c>
      <c r="BG709" s="197">
        <f t="shared" si="496"/>
        <v>300.04924999999997</v>
      </c>
      <c r="BH709" s="197">
        <f t="shared" si="497"/>
        <v>300.10000000000002</v>
      </c>
      <c r="BI709" s="243">
        <f t="shared" si="498"/>
        <v>39.999999999997726</v>
      </c>
      <c r="BJ709" s="243">
        <v>0</v>
      </c>
      <c r="BK709" s="155">
        <f t="shared" si="499"/>
        <v>39.999999999997726</v>
      </c>
      <c r="BL709" s="47"/>
      <c r="BM709" s="48" t="str">
        <f t="shared" si="500"/>
        <v>Unloading no. 684 Bill No 11 ,Deduction For Oil Deduction= 129930.476190476 ,Bardana= 6500 ,F.M= 9856.4 Brokerage/Rate Difference 0 ,Shortage = 3200 ,Greenish=  ,Moisture= 0</v>
      </c>
      <c r="BN709" s="41"/>
      <c r="BO709" s="44" t="str">
        <f t="shared" si="501"/>
        <v xml:space="preserve"> Party Condition 42  ,F.M% 0.41 ,Greenish 3.3 ,Moisture 5.2 ,Shortage in KG= 40  ,Oil% 39.73</v>
      </c>
      <c r="BP709" s="45">
        <f t="shared" si="502"/>
        <v>7512.5395661763523</v>
      </c>
      <c r="BQ709" s="41"/>
      <c r="BR709" s="41"/>
      <c r="BS709" s="41"/>
      <c r="BT709" s="41"/>
      <c r="BU709" s="41"/>
      <c r="BV709" s="41"/>
      <c r="BW709" s="85"/>
      <c r="BX709" s="27">
        <v>39.89</v>
      </c>
      <c r="BY709" s="27">
        <v>39.729999999999997</v>
      </c>
    </row>
    <row r="710" spans="1:77" ht="14.1" hidden="1" customHeight="1" x14ac:dyDescent="0.3">
      <c r="A710" s="138" t="s">
        <v>1461</v>
      </c>
      <c r="B710" s="146">
        <v>46171</v>
      </c>
      <c r="C710" s="138">
        <v>685</v>
      </c>
      <c r="D710" s="135" t="s">
        <v>1475</v>
      </c>
      <c r="E710" s="129">
        <v>46174</v>
      </c>
      <c r="F710" s="138" t="s">
        <v>1506</v>
      </c>
      <c r="G710" s="281" t="s">
        <v>1507</v>
      </c>
      <c r="H710" s="281" t="s">
        <v>1508</v>
      </c>
      <c r="I710" s="136"/>
      <c r="J710" s="138" t="s">
        <v>1146</v>
      </c>
      <c r="K710" s="136"/>
      <c r="L710" s="146">
        <v>46171</v>
      </c>
      <c r="M710" s="136"/>
      <c r="N710" s="138" t="s">
        <v>1516</v>
      </c>
      <c r="O710" s="146">
        <v>46173</v>
      </c>
      <c r="P710" s="138">
        <v>0</v>
      </c>
      <c r="Q710" s="138">
        <v>460</v>
      </c>
      <c r="R710" s="138">
        <v>40</v>
      </c>
      <c r="S710" s="138">
        <v>500</v>
      </c>
      <c r="T710" s="138">
        <v>500</v>
      </c>
      <c r="U710" s="163">
        <v>0</v>
      </c>
      <c r="V710" s="136"/>
      <c r="W710" s="148">
        <v>304.19</v>
      </c>
      <c r="X710" s="148">
        <v>304.39999999999998</v>
      </c>
      <c r="Y710" s="148">
        <v>2438691.23</v>
      </c>
      <c r="Z710" s="293">
        <v>37.380000000000003</v>
      </c>
      <c r="AA710" s="148">
        <v>60967.28</v>
      </c>
      <c r="AB710" s="148">
        <v>60967.28</v>
      </c>
      <c r="AC710" s="148">
        <v>2560625.79</v>
      </c>
      <c r="AD710" s="285">
        <f t="shared" si="468"/>
        <v>2558065.1642100001</v>
      </c>
      <c r="AE710" s="147">
        <v>37.380000000000003</v>
      </c>
      <c r="AF710" s="147">
        <v>42</v>
      </c>
      <c r="AG710" s="147">
        <v>37.380000000000003</v>
      </c>
      <c r="AH710" s="287">
        <v>4.1999999999999997E-3</v>
      </c>
      <c r="AI710" s="287">
        <v>3.2000000000000001E-2</v>
      </c>
      <c r="AJ710" s="287">
        <v>4.9000000000000002E-2</v>
      </c>
      <c r="AK710" s="155">
        <f t="shared" si="486"/>
        <v>268256.03529999987</v>
      </c>
      <c r="AL710" s="157">
        <v>0</v>
      </c>
      <c r="AM710" s="157"/>
      <c r="AN710" s="199">
        <v>0</v>
      </c>
      <c r="AO710" s="156">
        <f t="shared" si="487"/>
        <v>0</v>
      </c>
      <c r="AP710" s="157"/>
      <c r="AQ710" s="155">
        <v>0</v>
      </c>
      <c r="AR710" s="155">
        <f t="shared" si="488"/>
        <v>268256.03529999987</v>
      </c>
      <c r="AS710" s="155">
        <f t="shared" si="489"/>
        <v>281669</v>
      </c>
      <c r="AT710" s="197">
        <v>0</v>
      </c>
      <c r="AU710" s="199" t="s">
        <v>1534</v>
      </c>
      <c r="AV710" s="157"/>
      <c r="AW710" s="155">
        <f t="shared" si="490"/>
        <v>30419</v>
      </c>
      <c r="AX710" s="157"/>
      <c r="AY710" s="155">
        <f t="shared" si="491"/>
        <v>30419</v>
      </c>
      <c r="AZ710" s="155">
        <f t="shared" si="492"/>
        <v>30439.999999999996</v>
      </c>
      <c r="BA710" s="242">
        <f t="shared" si="493"/>
        <v>-20.999999999996362</v>
      </c>
      <c r="BB710" s="246">
        <f t="shared" si="494"/>
        <v>60.838000000000001</v>
      </c>
      <c r="BC710" s="155">
        <v>0</v>
      </c>
      <c r="BD710" s="157"/>
      <c r="BE710" s="138">
        <v>304.19</v>
      </c>
      <c r="BF710" s="197">
        <f t="shared" si="495"/>
        <v>0.45628499999999994</v>
      </c>
      <c r="BG710" s="197">
        <f t="shared" si="496"/>
        <v>303.73371500000002</v>
      </c>
      <c r="BH710" s="197">
        <f t="shared" si="497"/>
        <v>304.39999999999998</v>
      </c>
      <c r="BI710" s="243">
        <f t="shared" si="498"/>
        <v>-20.999999999997954</v>
      </c>
      <c r="BJ710" s="243">
        <v>0</v>
      </c>
      <c r="BK710" s="155">
        <f t="shared" si="499"/>
        <v>-20.999999999997954</v>
      </c>
      <c r="BL710" s="47"/>
      <c r="BM710" s="48" t="str">
        <f t="shared" si="500"/>
        <v>Unloading no. 685 Bill No GST/26-27/0071 ,Deduction For Oil Deduction= 268256.0353 ,Bardana= 0 ,F.M=  Brokerage/Rate Difference 0 ,Shortage = 0 ,Greenish=  ,Moisture= 0</v>
      </c>
      <c r="BN710" s="41"/>
      <c r="BO710" s="44" t="str">
        <f t="shared" si="501"/>
        <v xml:space="preserve"> Party Condition 42  ,F.M% 0.42 ,Greenish 3.2 ,Moisture 4.9 ,Shortage in KG= 0  ,Oil% 37.38</v>
      </c>
      <c r="BP710" s="45">
        <f t="shared" si="502"/>
        <v>7130.2076041392902</v>
      </c>
      <c r="BQ710" s="41"/>
      <c r="BR710" s="41"/>
      <c r="BS710" s="41"/>
      <c r="BT710" s="41"/>
      <c r="BU710" s="41"/>
      <c r="BV710" s="41"/>
      <c r="BW710" s="85"/>
      <c r="BX710" s="27">
        <v>37.130000000000003</v>
      </c>
      <c r="BY710" s="27">
        <v>37.229999999999997</v>
      </c>
    </row>
    <row r="711" spans="1:77" ht="14.1" hidden="1" customHeight="1" x14ac:dyDescent="0.3">
      <c r="A711" s="138" t="s">
        <v>1464</v>
      </c>
      <c r="B711" s="146">
        <v>46172</v>
      </c>
      <c r="C711" s="138">
        <v>686</v>
      </c>
      <c r="D711" s="135" t="s">
        <v>1476</v>
      </c>
      <c r="E711" s="129">
        <v>46174</v>
      </c>
      <c r="F711" s="138" t="s">
        <v>1509</v>
      </c>
      <c r="G711" s="281" t="s">
        <v>1510</v>
      </c>
      <c r="H711" s="281" t="s">
        <v>1511</v>
      </c>
      <c r="I711" s="136"/>
      <c r="J711" s="138" t="s">
        <v>1455</v>
      </c>
      <c r="K711" s="136"/>
      <c r="L711" s="146">
        <v>46172</v>
      </c>
      <c r="M711" s="136"/>
      <c r="N711" s="138" t="s">
        <v>1517</v>
      </c>
      <c r="O711" s="146">
        <v>46173</v>
      </c>
      <c r="P711" s="138">
        <v>0</v>
      </c>
      <c r="Q711" s="138">
        <v>317</v>
      </c>
      <c r="R711" s="138">
        <v>300</v>
      </c>
      <c r="S711" s="138">
        <v>617</v>
      </c>
      <c r="T711" s="138">
        <v>617</v>
      </c>
      <c r="U711" s="163">
        <v>0</v>
      </c>
      <c r="V711" s="136"/>
      <c r="W711" s="148">
        <v>339.65</v>
      </c>
      <c r="X711" s="148">
        <v>339.4</v>
      </c>
      <c r="Y711" s="148">
        <v>2717200</v>
      </c>
      <c r="Z711" s="138"/>
      <c r="AA711" s="148">
        <v>67930</v>
      </c>
      <c r="AB711" s="148">
        <v>67930</v>
      </c>
      <c r="AC711" s="148">
        <v>2853060</v>
      </c>
      <c r="AD711" s="285">
        <f t="shared" si="468"/>
        <v>2850206.94</v>
      </c>
      <c r="AE711" s="147">
        <v>40.659999999999997</v>
      </c>
      <c r="AF711" s="147">
        <v>42</v>
      </c>
      <c r="AG711" s="147">
        <v>40.549999999999997</v>
      </c>
      <c r="AH711" s="292">
        <v>4.0000000000000001E-3</v>
      </c>
      <c r="AI711" s="287">
        <v>0.04</v>
      </c>
      <c r="AJ711" s="287">
        <v>4.3999999999999997E-2</v>
      </c>
      <c r="AK711" s="155">
        <f t="shared" si="486"/>
        <v>93808.095238095411</v>
      </c>
      <c r="AL711" s="157">
        <f>317*10+300*15</f>
        <v>7670</v>
      </c>
      <c r="AM711" s="157">
        <f>AH711*Y711</f>
        <v>10868.800000000001</v>
      </c>
      <c r="AN711" s="199">
        <v>0</v>
      </c>
      <c r="AO711" s="156">
        <f t="shared" si="487"/>
        <v>2000</v>
      </c>
      <c r="AP711" s="157"/>
      <c r="AQ711" s="155">
        <v>0</v>
      </c>
      <c r="AR711" s="155">
        <f t="shared" si="488"/>
        <v>114346.89523809541</v>
      </c>
      <c r="AS711" s="155">
        <f t="shared" si="489"/>
        <v>120064</v>
      </c>
      <c r="AT711" s="197">
        <v>25</v>
      </c>
      <c r="AU711" s="199"/>
      <c r="AV711" s="157"/>
      <c r="AW711" s="155">
        <f t="shared" si="490"/>
        <v>33965</v>
      </c>
      <c r="AX711" s="157"/>
      <c r="AY711" s="155">
        <f t="shared" si="491"/>
        <v>33965</v>
      </c>
      <c r="AZ711" s="155">
        <f t="shared" si="492"/>
        <v>33940</v>
      </c>
      <c r="BA711" s="242">
        <f t="shared" si="493"/>
        <v>25</v>
      </c>
      <c r="BB711" s="246">
        <f t="shared" si="494"/>
        <v>67.930000000000007</v>
      </c>
      <c r="BC711" s="155">
        <v>0</v>
      </c>
      <c r="BD711" s="157"/>
      <c r="BE711" s="138">
        <v>339.65</v>
      </c>
      <c r="BF711" s="197">
        <f t="shared" si="495"/>
        <v>0.50947500000000001</v>
      </c>
      <c r="BG711" s="197">
        <f t="shared" si="496"/>
        <v>339.14052499999997</v>
      </c>
      <c r="BH711" s="197">
        <f t="shared" si="497"/>
        <v>339.4</v>
      </c>
      <c r="BI711" s="243">
        <f t="shared" si="498"/>
        <v>25</v>
      </c>
      <c r="BJ711" s="243">
        <v>0</v>
      </c>
      <c r="BK711" s="155">
        <f t="shared" si="499"/>
        <v>25</v>
      </c>
      <c r="BL711" s="47"/>
      <c r="BM711" s="48" t="str">
        <f t="shared" si="500"/>
        <v>Unloading no. 686 Bill No 2026-27/021 ,Deduction For Oil Deduction= 93808.0952380954 ,Bardana= 7670 ,F.M= 10868.8 Brokerage/Rate Difference 0 ,Shortage = 2000 ,Greenish=  ,Moisture= 0</v>
      </c>
      <c r="BN711" s="41"/>
      <c r="BO711" s="44" t="str">
        <f t="shared" si="501"/>
        <v xml:space="preserve"> Party Condition 42  ,F.M% 0.4 ,Greenish 4 ,Moisture 4.4 ,Shortage in KG= 25  ,Oil% 40.55</v>
      </c>
      <c r="BP711" s="45">
        <f t="shared" si="502"/>
        <v>7668.9838089625946</v>
      </c>
      <c r="BQ711" s="41"/>
      <c r="BR711" s="41"/>
      <c r="BS711" s="41"/>
      <c r="BT711" s="41"/>
      <c r="BU711" s="41"/>
      <c r="BV711" s="41"/>
      <c r="BW711" s="85"/>
      <c r="BX711" s="27">
        <v>40.659999999999997</v>
      </c>
      <c r="BY711" s="27">
        <v>40.549999999999997</v>
      </c>
    </row>
    <row r="712" spans="1:77" ht="14.1" hidden="1" customHeight="1" x14ac:dyDescent="0.3">
      <c r="A712" s="138" t="s">
        <v>1465</v>
      </c>
      <c r="B712" s="146">
        <v>46172</v>
      </c>
      <c r="C712" s="138">
        <v>687</v>
      </c>
      <c r="D712" s="135" t="s">
        <v>1477</v>
      </c>
      <c r="E712" s="129">
        <v>46174</v>
      </c>
      <c r="F712" s="138" t="s">
        <v>1083</v>
      </c>
      <c r="G712" s="281" t="s">
        <v>1084</v>
      </c>
      <c r="H712" s="281" t="s">
        <v>1454</v>
      </c>
      <c r="I712" s="136"/>
      <c r="J712" s="138" t="s">
        <v>1455</v>
      </c>
      <c r="K712" s="136"/>
      <c r="L712" s="146">
        <v>46172</v>
      </c>
      <c r="M712" s="136"/>
      <c r="N712" s="138">
        <v>22</v>
      </c>
      <c r="O712" s="146">
        <v>46173</v>
      </c>
      <c r="P712" s="138">
        <v>0</v>
      </c>
      <c r="Q712" s="138">
        <v>200</v>
      </c>
      <c r="R712" s="138">
        <v>202</v>
      </c>
      <c r="S712" s="138">
        <v>402</v>
      </c>
      <c r="T712" s="138">
        <v>402</v>
      </c>
      <c r="U712" s="163">
        <v>0</v>
      </c>
      <c r="V712" s="136"/>
      <c r="W712" s="148">
        <v>252.15</v>
      </c>
      <c r="X712" s="148">
        <v>251.4</v>
      </c>
      <c r="Y712" s="148">
        <v>2017200</v>
      </c>
      <c r="Z712" s="138"/>
      <c r="AA712" s="148">
        <v>50430</v>
      </c>
      <c r="AB712" s="148">
        <v>50430</v>
      </c>
      <c r="AC712" s="148">
        <v>2118060</v>
      </c>
      <c r="AD712" s="285">
        <f t="shared" si="468"/>
        <v>2115941.94</v>
      </c>
      <c r="AE712" s="147">
        <v>38.479999999999997</v>
      </c>
      <c r="AF712" s="147">
        <v>42</v>
      </c>
      <c r="AG712" s="147">
        <v>38.5</v>
      </c>
      <c r="AH712" s="292">
        <v>5.0000000000000001E-3</v>
      </c>
      <c r="AI712" s="287">
        <v>3.2000000000000001E-2</v>
      </c>
      <c r="AJ712" s="287">
        <v>4.7E-2</v>
      </c>
      <c r="AK712" s="155">
        <f t="shared" si="486"/>
        <v>169060.57142857159</v>
      </c>
      <c r="AL712" s="157">
        <f>200*10+202*15</f>
        <v>5030</v>
      </c>
      <c r="AM712" s="157">
        <f t="shared" ref="AM712:AM718" si="503">AH712*Y712</f>
        <v>10086</v>
      </c>
      <c r="AN712" s="234">
        <f>W712*15</f>
        <v>3782.25</v>
      </c>
      <c r="AO712" s="156">
        <f t="shared" si="487"/>
        <v>6000</v>
      </c>
      <c r="AP712" s="157"/>
      <c r="AQ712" s="155">
        <v>0</v>
      </c>
      <c r="AR712" s="155">
        <f t="shared" si="488"/>
        <v>193958.82142857159</v>
      </c>
      <c r="AS712" s="155">
        <f t="shared" si="489"/>
        <v>203657</v>
      </c>
      <c r="AT712" s="197">
        <v>75</v>
      </c>
      <c r="AU712" s="199"/>
      <c r="AV712" s="157"/>
      <c r="AW712" s="155">
        <f t="shared" si="490"/>
        <v>25215</v>
      </c>
      <c r="AX712" s="157"/>
      <c r="AY712" s="155">
        <f t="shared" si="491"/>
        <v>25215</v>
      </c>
      <c r="AZ712" s="155">
        <f t="shared" si="492"/>
        <v>25140</v>
      </c>
      <c r="BA712" s="242">
        <f t="shared" si="493"/>
        <v>75</v>
      </c>
      <c r="BB712" s="246">
        <f t="shared" si="494"/>
        <v>50.43</v>
      </c>
      <c r="BC712" s="155">
        <v>0</v>
      </c>
      <c r="BD712" s="157"/>
      <c r="BE712" s="138">
        <v>252.15</v>
      </c>
      <c r="BF712" s="197">
        <f t="shared" si="495"/>
        <v>0.37822499999999998</v>
      </c>
      <c r="BG712" s="197">
        <f t="shared" si="496"/>
        <v>251.77177500000002</v>
      </c>
      <c r="BH712" s="197">
        <f t="shared" si="497"/>
        <v>251.4</v>
      </c>
      <c r="BI712" s="243">
        <f t="shared" si="498"/>
        <v>75</v>
      </c>
      <c r="BJ712" s="243">
        <v>0</v>
      </c>
      <c r="BK712" s="155">
        <f t="shared" si="499"/>
        <v>75</v>
      </c>
      <c r="BL712" s="47"/>
      <c r="BM712" s="48" t="str">
        <f t="shared" si="500"/>
        <v>Unloading no. 687 Bill No 22 ,Deduction For Oil Deduction= 169060.571428572 ,Bardana= 5030 ,F.M= 10086 Brokerage/Rate Difference 3782.25 ,Shortage = 6000 ,Greenish=  ,Moisture= 0</v>
      </c>
      <c r="BN712" s="41"/>
      <c r="BO712" s="44" t="str">
        <f t="shared" si="501"/>
        <v xml:space="preserve"> Party Condition 42  ,F.M% 0.5 ,Greenish 3.2 ,Moisture 4.7 ,Shortage in KG= 75  ,Oil% 38.48</v>
      </c>
      <c r="BP712" s="45">
        <f t="shared" si="502"/>
        <v>7252.3515456301848</v>
      </c>
      <c r="BQ712" s="41"/>
      <c r="BR712" s="41"/>
      <c r="BS712" s="41"/>
      <c r="BT712" s="41"/>
      <c r="BU712" s="41"/>
      <c r="BV712" s="41"/>
      <c r="BW712" s="85"/>
      <c r="BX712" s="27">
        <v>38.479999999999997</v>
      </c>
      <c r="BY712" s="27">
        <v>38.5</v>
      </c>
    </row>
    <row r="713" spans="1:77" ht="14.1" hidden="1" customHeight="1" x14ac:dyDescent="0.3">
      <c r="A713" s="138" t="s">
        <v>1465</v>
      </c>
      <c r="B713" s="146">
        <v>46172</v>
      </c>
      <c r="C713" s="138">
        <v>688</v>
      </c>
      <c r="D713" s="135" t="s">
        <v>1478</v>
      </c>
      <c r="E713" s="129">
        <v>46174</v>
      </c>
      <c r="F713" s="138" t="s">
        <v>1083</v>
      </c>
      <c r="G713" s="281" t="s">
        <v>1084</v>
      </c>
      <c r="H713" s="281" t="s">
        <v>1454</v>
      </c>
      <c r="I713" s="136"/>
      <c r="J713" s="138" t="s">
        <v>1455</v>
      </c>
      <c r="K713" s="136"/>
      <c r="L713" s="146">
        <v>46172</v>
      </c>
      <c r="M713" s="136"/>
      <c r="N713" s="138">
        <v>23</v>
      </c>
      <c r="O713" s="146">
        <v>46173</v>
      </c>
      <c r="P713" s="138">
        <v>0</v>
      </c>
      <c r="Q713" s="138">
        <v>250</v>
      </c>
      <c r="R713" s="138">
        <v>124</v>
      </c>
      <c r="S713" s="138">
        <v>374</v>
      </c>
      <c r="T713" s="138">
        <v>374</v>
      </c>
      <c r="U713" s="163">
        <v>0</v>
      </c>
      <c r="V713" s="136"/>
      <c r="W713" s="148">
        <v>266.25</v>
      </c>
      <c r="X713" s="148">
        <v>265.2</v>
      </c>
      <c r="Y713" s="148">
        <v>2130000</v>
      </c>
      <c r="Z713" s="138"/>
      <c r="AA713" s="148">
        <v>53250</v>
      </c>
      <c r="AB713" s="148">
        <v>53250</v>
      </c>
      <c r="AC713" s="148">
        <v>2236500</v>
      </c>
      <c r="AD713" s="285">
        <f t="shared" si="468"/>
        <v>2234263.5</v>
      </c>
      <c r="AE713" s="147">
        <v>39.869999999999997</v>
      </c>
      <c r="AF713" s="147">
        <v>42</v>
      </c>
      <c r="AG713" s="147">
        <v>39.68</v>
      </c>
      <c r="AH713" s="292">
        <v>7.0000000000000001E-3</v>
      </c>
      <c r="AI713" s="287">
        <v>0.04</v>
      </c>
      <c r="AJ713" s="287">
        <v>4.8000000000000001E-2</v>
      </c>
      <c r="AK713" s="155">
        <f t="shared" si="486"/>
        <v>117657.14285714287</v>
      </c>
      <c r="AL713" s="157">
        <f>250*10+124*15</f>
        <v>4360</v>
      </c>
      <c r="AM713" s="157">
        <f t="shared" si="503"/>
        <v>14910</v>
      </c>
      <c r="AN713" s="234">
        <f>W713*15</f>
        <v>3993.75</v>
      </c>
      <c r="AO713" s="156">
        <f t="shared" si="487"/>
        <v>8400</v>
      </c>
      <c r="AP713" s="157"/>
      <c r="AQ713" s="155">
        <v>0</v>
      </c>
      <c r="AR713" s="155">
        <f t="shared" si="488"/>
        <v>149320.89285714287</v>
      </c>
      <c r="AS713" s="155">
        <f t="shared" si="489"/>
        <v>156787</v>
      </c>
      <c r="AT713" s="197">
        <v>105</v>
      </c>
      <c r="AU713" s="199"/>
      <c r="AV713" s="157"/>
      <c r="AW713" s="155">
        <f t="shared" si="490"/>
        <v>26625</v>
      </c>
      <c r="AX713" s="157"/>
      <c r="AY713" s="155">
        <f t="shared" si="491"/>
        <v>26625</v>
      </c>
      <c r="AZ713" s="155">
        <f t="shared" si="492"/>
        <v>26520</v>
      </c>
      <c r="BA713" s="242">
        <f t="shared" si="493"/>
        <v>105</v>
      </c>
      <c r="BB713" s="246">
        <f t="shared" si="494"/>
        <v>53.25</v>
      </c>
      <c r="BC713" s="155">
        <v>0</v>
      </c>
      <c r="BD713" s="157"/>
      <c r="BE713" s="138">
        <v>266.25</v>
      </c>
      <c r="BF713" s="197">
        <f t="shared" si="495"/>
        <v>0.39937499999999998</v>
      </c>
      <c r="BG713" s="197">
        <f t="shared" si="496"/>
        <v>265.85062499999998</v>
      </c>
      <c r="BH713" s="197">
        <f t="shared" si="497"/>
        <v>265.2</v>
      </c>
      <c r="BI713" s="243">
        <f t="shared" si="498"/>
        <v>105.00000000000114</v>
      </c>
      <c r="BJ713" s="243">
        <v>0</v>
      </c>
      <c r="BK713" s="155">
        <f t="shared" si="499"/>
        <v>105.00000000000114</v>
      </c>
      <c r="BL713" s="47"/>
      <c r="BM713" s="48" t="str">
        <f t="shared" si="500"/>
        <v>Unloading no. 688 Bill No 23 ,Deduction For Oil Deduction= 117657.142857143 ,Bardana= 4360 ,F.M= 14910 Brokerage/Rate Difference 3993.75 ,Shortage = 8400 ,Greenish=  ,Moisture= 0</v>
      </c>
      <c r="BN713" s="41"/>
      <c r="BO713" s="44" t="str">
        <f t="shared" si="501"/>
        <v xml:space="preserve"> Party Condition 42  ,F.M% 0.7 ,Greenish 4 ,Moisture 4.8 ,Shortage in KG= 105  ,Oil% 39.68</v>
      </c>
      <c r="BP713" s="45">
        <f t="shared" si="502"/>
        <v>7468.6240842490843</v>
      </c>
      <c r="BQ713" s="41"/>
      <c r="BR713" s="41"/>
      <c r="BS713" s="41"/>
      <c r="BT713" s="41"/>
      <c r="BU713" s="41"/>
      <c r="BV713" s="41"/>
      <c r="BW713" s="85"/>
      <c r="BX713" s="27">
        <v>39.869999999999997</v>
      </c>
      <c r="BY713" s="27">
        <v>39.68</v>
      </c>
    </row>
    <row r="714" spans="1:77" ht="14.1" hidden="1" customHeight="1" x14ac:dyDescent="0.3">
      <c r="A714" s="138" t="s">
        <v>1465</v>
      </c>
      <c r="B714" s="146">
        <v>46172</v>
      </c>
      <c r="C714" s="190">
        <v>689</v>
      </c>
      <c r="D714" s="135" t="s">
        <v>1479</v>
      </c>
      <c r="E714" s="129">
        <v>46174</v>
      </c>
      <c r="F714" s="138" t="s">
        <v>1083</v>
      </c>
      <c r="G714" s="281" t="s">
        <v>1084</v>
      </c>
      <c r="H714" s="281" t="s">
        <v>1454</v>
      </c>
      <c r="I714" s="136"/>
      <c r="J714" s="138" t="s">
        <v>1455</v>
      </c>
      <c r="K714" s="136"/>
      <c r="L714" s="146">
        <v>46172</v>
      </c>
      <c r="M714" s="136"/>
      <c r="N714" s="138">
        <v>21</v>
      </c>
      <c r="O714" s="146">
        <v>46173</v>
      </c>
      <c r="P714" s="138">
        <v>0</v>
      </c>
      <c r="Q714" s="138">
        <v>0</v>
      </c>
      <c r="R714" s="138">
        <v>0</v>
      </c>
      <c r="S714" s="138">
        <v>0</v>
      </c>
      <c r="T714" s="138">
        <v>0</v>
      </c>
      <c r="U714" s="163">
        <v>0</v>
      </c>
      <c r="V714" s="136"/>
      <c r="W714" s="148">
        <v>106.25</v>
      </c>
      <c r="X714" s="148">
        <v>255</v>
      </c>
      <c r="Y714" s="148">
        <v>850000</v>
      </c>
      <c r="Z714" s="138"/>
      <c r="AA714" s="148">
        <v>21250</v>
      </c>
      <c r="AB714" s="148">
        <v>21250</v>
      </c>
      <c r="AC714" s="148">
        <v>892500</v>
      </c>
      <c r="AD714" s="285">
        <f t="shared" si="468"/>
        <v>891607.5</v>
      </c>
      <c r="AE714" s="147">
        <v>39.54</v>
      </c>
      <c r="AF714" s="147">
        <v>42</v>
      </c>
      <c r="AG714" s="147">
        <v>39.42</v>
      </c>
      <c r="AH714" s="292">
        <v>6.7999999999999996E-3</v>
      </c>
      <c r="AI714" s="287">
        <v>3.5799999999999998E-2</v>
      </c>
      <c r="AJ714" s="287">
        <v>4.8000000000000001E-2</v>
      </c>
      <c r="AK714" s="155">
        <f t="shared" si="486"/>
        <v>52214.285714285681</v>
      </c>
      <c r="AL714" s="157">
        <f>300*10+72*15</f>
        <v>4080</v>
      </c>
      <c r="AM714" s="157">
        <f t="shared" si="503"/>
        <v>5780</v>
      </c>
      <c r="AN714" s="234">
        <f>W714*15</f>
        <v>1593.75</v>
      </c>
      <c r="AO714" s="156">
        <f t="shared" si="487"/>
        <v>10000</v>
      </c>
      <c r="AP714" s="157"/>
      <c r="AQ714" s="155">
        <v>0</v>
      </c>
      <c r="AR714" s="145">
        <f t="shared" si="488"/>
        <v>73668.035714285681</v>
      </c>
      <c r="AS714" s="155">
        <f t="shared" si="489"/>
        <v>77351</v>
      </c>
      <c r="AT714" s="197">
        <v>125</v>
      </c>
      <c r="AU714" s="199"/>
      <c r="AV714" s="157"/>
      <c r="AW714" s="155">
        <f t="shared" si="490"/>
        <v>10625</v>
      </c>
      <c r="AX714" s="157"/>
      <c r="AY714" s="155">
        <f t="shared" si="491"/>
        <v>10625</v>
      </c>
      <c r="AZ714" s="155">
        <f t="shared" si="492"/>
        <v>25500</v>
      </c>
      <c r="BA714" s="242">
        <f t="shared" si="493"/>
        <v>-14875</v>
      </c>
      <c r="BB714" s="246">
        <f t="shared" si="494"/>
        <v>21.25</v>
      </c>
      <c r="BC714" s="155">
        <v>0</v>
      </c>
      <c r="BD714" s="157"/>
      <c r="BE714" s="138">
        <v>256.25</v>
      </c>
      <c r="BF714" s="197">
        <f t="shared" si="495"/>
        <v>0.38437500000000002</v>
      </c>
      <c r="BG714" s="197">
        <f t="shared" si="496"/>
        <v>255.86562499999999</v>
      </c>
      <c r="BH714" s="197">
        <f t="shared" si="497"/>
        <v>255</v>
      </c>
      <c r="BI714" s="243">
        <f t="shared" si="498"/>
        <v>125</v>
      </c>
      <c r="BJ714" s="243">
        <v>0</v>
      </c>
      <c r="BK714" s="155">
        <f t="shared" si="499"/>
        <v>125</v>
      </c>
      <c r="BL714" s="47"/>
      <c r="BM714" s="48" t="str">
        <f t="shared" si="500"/>
        <v>Unloading no. 689 Bill No 21 ,Deduction For Oil Deduction= 52214.2857142856 ,Bardana= 4080 ,F.M= 5780 Brokerage/Rate Difference 1593.75 ,Shortage = 10000 ,Greenish=  ,Moisture= 0</v>
      </c>
      <c r="BN714" s="41"/>
      <c r="BO714" s="44" t="str">
        <f t="shared" si="501"/>
        <v xml:space="preserve"> Party Condition 42  ,F.M% 0.68 ,Greenish 3.58 ,Moisture 4.8 ,Shortage in KG= 125  ,Oil% 39.42</v>
      </c>
      <c r="BP714" s="45">
        <f t="shared" si="502"/>
        <v>3044.4390756302523</v>
      </c>
      <c r="BQ714" s="41"/>
      <c r="BR714" s="41"/>
      <c r="BS714" s="41"/>
      <c r="BT714" s="41"/>
      <c r="BU714" s="41"/>
      <c r="BV714" s="41"/>
      <c r="BW714" s="85"/>
      <c r="BX714" s="27">
        <v>39.54</v>
      </c>
      <c r="BY714" s="27">
        <v>39.42</v>
      </c>
    </row>
    <row r="715" spans="1:77" ht="14.1" hidden="1" customHeight="1" x14ac:dyDescent="0.3">
      <c r="A715" s="138" t="s">
        <v>1458</v>
      </c>
      <c r="B715" s="146">
        <v>46171</v>
      </c>
      <c r="C715" s="190">
        <v>689</v>
      </c>
      <c r="D715" s="135" t="s">
        <v>1479</v>
      </c>
      <c r="E715" s="129">
        <v>46174</v>
      </c>
      <c r="F715" s="138" t="s">
        <v>1083</v>
      </c>
      <c r="G715" s="281" t="s">
        <v>1084</v>
      </c>
      <c r="H715" s="281" t="s">
        <v>1454</v>
      </c>
      <c r="I715" s="136"/>
      <c r="J715" s="138" t="s">
        <v>1455</v>
      </c>
      <c r="K715" s="136"/>
      <c r="L715" s="146">
        <v>46171</v>
      </c>
      <c r="M715" s="136"/>
      <c r="N715" s="138">
        <v>21</v>
      </c>
      <c r="O715" s="146">
        <v>46173</v>
      </c>
      <c r="P715" s="138">
        <v>0</v>
      </c>
      <c r="Q715" s="138">
        <v>300</v>
      </c>
      <c r="R715" s="138">
        <v>72</v>
      </c>
      <c r="S715" s="138">
        <v>372</v>
      </c>
      <c r="T715" s="138">
        <v>372</v>
      </c>
      <c r="U715" s="163">
        <v>0</v>
      </c>
      <c r="V715" s="136"/>
      <c r="W715" s="148">
        <v>150</v>
      </c>
      <c r="X715" s="148">
        <v>255</v>
      </c>
      <c r="Y715" s="148">
        <v>1207500</v>
      </c>
      <c r="Z715" s="138"/>
      <c r="AA715" s="148">
        <v>30187.5</v>
      </c>
      <c r="AB715" s="148">
        <v>30187.5</v>
      </c>
      <c r="AC715" s="148">
        <v>1267875</v>
      </c>
      <c r="AD715" s="285">
        <f t="shared" si="468"/>
        <v>1266607.125</v>
      </c>
      <c r="AE715" s="147">
        <v>39.54</v>
      </c>
      <c r="AF715" s="147">
        <v>42</v>
      </c>
      <c r="AG715" s="147">
        <v>39.42</v>
      </c>
      <c r="AH715" s="292">
        <v>6.7999999999999996E-3</v>
      </c>
      <c r="AI715" s="287">
        <v>3.5799999999999998E-2</v>
      </c>
      <c r="AJ715" s="287">
        <v>4.8000000000000001E-2</v>
      </c>
      <c r="AK715" s="155">
        <f t="shared" si="486"/>
        <v>74174.999999999956</v>
      </c>
      <c r="AL715" s="157">
        <v>0</v>
      </c>
      <c r="AM715" s="157">
        <f t="shared" si="503"/>
        <v>8211</v>
      </c>
      <c r="AN715" s="234">
        <f>W715*15</f>
        <v>2250</v>
      </c>
      <c r="AO715" s="156">
        <f t="shared" si="487"/>
        <v>0</v>
      </c>
      <c r="AP715" s="157"/>
      <c r="AQ715" s="155">
        <v>0</v>
      </c>
      <c r="AR715" s="145">
        <f t="shared" si="488"/>
        <v>84635.999999999956</v>
      </c>
      <c r="AS715" s="155">
        <f t="shared" si="489"/>
        <v>88868</v>
      </c>
      <c r="AT715" s="197">
        <v>0</v>
      </c>
      <c r="AU715" s="199"/>
      <c r="AV715" s="157"/>
      <c r="AW715" s="155">
        <f t="shared" si="490"/>
        <v>15000</v>
      </c>
      <c r="AX715" s="157"/>
      <c r="AY715" s="155">
        <f t="shared" si="491"/>
        <v>15000</v>
      </c>
      <c r="AZ715" s="155">
        <f t="shared" si="492"/>
        <v>25500</v>
      </c>
      <c r="BA715" s="242">
        <f t="shared" si="493"/>
        <v>-10500</v>
      </c>
      <c r="BB715" s="246">
        <f t="shared" si="494"/>
        <v>30</v>
      </c>
      <c r="BC715" s="155">
        <v>0</v>
      </c>
      <c r="BD715" s="157"/>
      <c r="BE715" s="138">
        <v>256.25</v>
      </c>
      <c r="BF715" s="197">
        <f t="shared" si="495"/>
        <v>0.38437500000000002</v>
      </c>
      <c r="BG715" s="197">
        <f t="shared" si="496"/>
        <v>255.86562499999999</v>
      </c>
      <c r="BH715" s="197">
        <f t="shared" si="497"/>
        <v>255</v>
      </c>
      <c r="BI715" s="243">
        <f t="shared" si="498"/>
        <v>125</v>
      </c>
      <c r="BJ715" s="243">
        <v>0</v>
      </c>
      <c r="BK715" s="155">
        <f t="shared" si="499"/>
        <v>125</v>
      </c>
      <c r="BL715" s="47"/>
      <c r="BM715" s="48" t="str">
        <f t="shared" si="500"/>
        <v>Unloading no. 689 Bill No 21 ,Deduction For Oil Deduction= 74175 ,Bardana= 0 ,F.M= 8211 Brokerage/Rate Difference 2250 ,Shortage = 0 ,Greenish=  ,Moisture= 0</v>
      </c>
      <c r="BN715" s="41"/>
      <c r="BO715" s="44" t="str">
        <f t="shared" si="501"/>
        <v xml:space="preserve"> Party Condition 42  ,F.M% 0.68 ,Greenish 3.58 ,Moisture 4.8 ,Shortage in KG= 0  ,Oil% 39.42</v>
      </c>
      <c r="BP715" s="45">
        <f t="shared" si="502"/>
        <v>4403.3882352941173</v>
      </c>
      <c r="BQ715" s="41"/>
      <c r="BR715" s="41"/>
      <c r="BS715" s="41"/>
      <c r="BT715" s="41"/>
      <c r="BU715" s="41"/>
      <c r="BV715" s="41"/>
      <c r="BW715" s="85"/>
      <c r="BX715" s="27">
        <v>39.54</v>
      </c>
      <c r="BY715" s="27">
        <v>39.42</v>
      </c>
    </row>
    <row r="716" spans="1:77" ht="14.1" hidden="1" customHeight="1" x14ac:dyDescent="0.3">
      <c r="A716" s="138" t="s">
        <v>1466</v>
      </c>
      <c r="B716" s="146">
        <v>46171</v>
      </c>
      <c r="C716" s="138">
        <v>690</v>
      </c>
      <c r="D716" s="135" t="s">
        <v>1480</v>
      </c>
      <c r="E716" s="129">
        <v>46174</v>
      </c>
      <c r="F716" s="138" t="s">
        <v>1080</v>
      </c>
      <c r="G716" s="281" t="s">
        <v>1081</v>
      </c>
      <c r="H716" s="281" t="s">
        <v>1082</v>
      </c>
      <c r="I716" s="136"/>
      <c r="J716" s="138" t="s">
        <v>1455</v>
      </c>
      <c r="K716" s="136"/>
      <c r="L716" s="146">
        <v>46171</v>
      </c>
      <c r="M716" s="136"/>
      <c r="N716" s="138">
        <v>116</v>
      </c>
      <c r="O716" s="146">
        <v>46173</v>
      </c>
      <c r="P716" s="138">
        <v>0</v>
      </c>
      <c r="Q716" s="138">
        <v>600</v>
      </c>
      <c r="R716" s="138">
        <v>321</v>
      </c>
      <c r="S716" s="138">
        <v>921</v>
      </c>
      <c r="T716" s="138">
        <v>921</v>
      </c>
      <c r="U716" s="163">
        <v>0</v>
      </c>
      <c r="V716" s="136"/>
      <c r="W716" s="148">
        <v>458.95</v>
      </c>
      <c r="X716" s="148">
        <v>458.8</v>
      </c>
      <c r="Y716" s="148">
        <v>3671600</v>
      </c>
      <c r="Z716" s="138"/>
      <c r="AA716" s="148">
        <v>91790</v>
      </c>
      <c r="AB716" s="148">
        <v>91790</v>
      </c>
      <c r="AC716" s="148">
        <v>3855180</v>
      </c>
      <c r="AD716" s="285">
        <f t="shared" si="468"/>
        <v>3851324.82</v>
      </c>
      <c r="AE716" s="147">
        <v>40.64</v>
      </c>
      <c r="AF716" s="147">
        <v>42</v>
      </c>
      <c r="AG716" s="147">
        <v>40.51</v>
      </c>
      <c r="AH716" s="292">
        <v>4.7999999999999996E-3</v>
      </c>
      <c r="AI716" s="287">
        <v>3.4500000000000003E-2</v>
      </c>
      <c r="AJ716" s="287">
        <v>4.2999999999999997E-2</v>
      </c>
      <c r="AK716" s="155">
        <f t="shared" si="486"/>
        <v>130254.38095238112</v>
      </c>
      <c r="AL716" s="157">
        <f>600*10+321*15</f>
        <v>10815</v>
      </c>
      <c r="AM716" s="157">
        <f t="shared" si="503"/>
        <v>17623.679999999997</v>
      </c>
      <c r="AN716" s="234">
        <f>W716*14</f>
        <v>6425.3</v>
      </c>
      <c r="AO716" s="156">
        <f t="shared" si="487"/>
        <v>1200</v>
      </c>
      <c r="AP716" s="157"/>
      <c r="AQ716" s="155">
        <v>0</v>
      </c>
      <c r="AR716" s="155">
        <f t="shared" si="488"/>
        <v>166318.3609523811</v>
      </c>
      <c r="AS716" s="155">
        <f t="shared" si="489"/>
        <v>174634</v>
      </c>
      <c r="AT716" s="197">
        <v>15</v>
      </c>
      <c r="AU716" s="199"/>
      <c r="AV716" s="157"/>
      <c r="AW716" s="155">
        <f t="shared" si="490"/>
        <v>45895</v>
      </c>
      <c r="AX716" s="157"/>
      <c r="AY716" s="155">
        <f t="shared" si="491"/>
        <v>45895</v>
      </c>
      <c r="AZ716" s="155">
        <f t="shared" si="492"/>
        <v>45880</v>
      </c>
      <c r="BA716" s="242">
        <f t="shared" si="493"/>
        <v>15</v>
      </c>
      <c r="BB716" s="246">
        <f t="shared" si="494"/>
        <v>91.79</v>
      </c>
      <c r="BC716" s="155">
        <v>0</v>
      </c>
      <c r="BD716" s="157"/>
      <c r="BE716" s="138">
        <v>458.95</v>
      </c>
      <c r="BF716" s="197">
        <f t="shared" si="495"/>
        <v>0.68842500000000006</v>
      </c>
      <c r="BG716" s="197">
        <f t="shared" si="496"/>
        <v>458.26157499999999</v>
      </c>
      <c r="BH716" s="197">
        <f t="shared" si="497"/>
        <v>458.8</v>
      </c>
      <c r="BI716" s="243">
        <f t="shared" si="498"/>
        <v>14.999999999997726</v>
      </c>
      <c r="BJ716" s="243">
        <v>0</v>
      </c>
      <c r="BK716" s="155">
        <f t="shared" si="499"/>
        <v>14.999999999997726</v>
      </c>
      <c r="BL716" s="47"/>
      <c r="BM716" s="48" t="str">
        <f t="shared" si="500"/>
        <v>Unloading no. 690 Bill No 116 ,Deduction For Oil Deduction= 130254.380952381 ,Bardana= 10815 ,F.M= 17623.68 Brokerage/Rate Difference 6425.3 ,Shortage = 1200 ,Greenish=  ,Moisture= 0</v>
      </c>
      <c r="BN716" s="41"/>
      <c r="BO716" s="44" t="str">
        <f t="shared" si="501"/>
        <v xml:space="preserve"> Party Condition 42  ,F.M% 0.48 ,Greenish 3.45 ,Moisture 4.3 ,Shortage in KG= 15  ,Oil% 40.51</v>
      </c>
      <c r="BP716" s="45">
        <f t="shared" si="502"/>
        <v>7640.108193216257</v>
      </c>
      <c r="BQ716" s="41"/>
      <c r="BR716" s="41"/>
      <c r="BS716" s="41"/>
      <c r="BT716" s="41"/>
      <c r="BU716" s="41"/>
      <c r="BV716" s="41"/>
      <c r="BW716" s="85"/>
      <c r="BX716" s="27">
        <v>40.64</v>
      </c>
      <c r="BY716" s="27">
        <v>40.51</v>
      </c>
    </row>
    <row r="717" spans="1:77" ht="14.1" hidden="1" customHeight="1" x14ac:dyDescent="0.3">
      <c r="A717" s="138" t="s">
        <v>1467</v>
      </c>
      <c r="B717" s="146">
        <v>46171</v>
      </c>
      <c r="C717" s="138">
        <v>691</v>
      </c>
      <c r="D717" s="135" t="s">
        <v>1481</v>
      </c>
      <c r="E717" s="129">
        <v>46174</v>
      </c>
      <c r="F717" s="138" t="s">
        <v>1506</v>
      </c>
      <c r="G717" s="281" t="s">
        <v>1507</v>
      </c>
      <c r="H717" s="281" t="s">
        <v>1508</v>
      </c>
      <c r="I717" s="136"/>
      <c r="J717" s="138" t="s">
        <v>1146</v>
      </c>
      <c r="K717" s="136"/>
      <c r="L717" s="146">
        <v>46171</v>
      </c>
      <c r="M717" s="136"/>
      <c r="N717" s="138" t="s">
        <v>1518</v>
      </c>
      <c r="O717" s="146">
        <v>46173</v>
      </c>
      <c r="P717" s="138">
        <v>0</v>
      </c>
      <c r="Q717" s="138">
        <v>450</v>
      </c>
      <c r="R717" s="138">
        <v>72</v>
      </c>
      <c r="S717" s="138">
        <v>522</v>
      </c>
      <c r="T717" s="138">
        <v>522</v>
      </c>
      <c r="U717" s="163">
        <v>0</v>
      </c>
      <c r="V717" s="136"/>
      <c r="W717" s="148">
        <v>311.36</v>
      </c>
      <c r="X717" s="148">
        <v>311.95</v>
      </c>
      <c r="Y717" s="148">
        <v>2496173.12</v>
      </c>
      <c r="Z717" s="293">
        <v>37.590000000000003</v>
      </c>
      <c r="AA717" s="148">
        <v>62404.33</v>
      </c>
      <c r="AB717" s="148">
        <v>62404.33</v>
      </c>
      <c r="AC717" s="148">
        <v>2620981.7799999998</v>
      </c>
      <c r="AD717" s="285">
        <f t="shared" si="468"/>
        <v>2618360.7982199998</v>
      </c>
      <c r="AE717" s="147">
        <v>37.590000000000003</v>
      </c>
      <c r="AF717" s="147">
        <v>42</v>
      </c>
      <c r="AG717" s="147">
        <v>37.590000000000003</v>
      </c>
      <c r="AH717" s="287">
        <v>4.7999999999999996E-3</v>
      </c>
      <c r="AI717" s="287">
        <v>0.04</v>
      </c>
      <c r="AJ717" s="287">
        <v>4.4999999999999998E-2</v>
      </c>
      <c r="AK717" s="155">
        <f t="shared" si="486"/>
        <v>262098.17759999979</v>
      </c>
      <c r="AL717" s="157">
        <v>0</v>
      </c>
      <c r="AM717" s="157"/>
      <c r="AN717" s="199">
        <v>0</v>
      </c>
      <c r="AO717" s="156">
        <f t="shared" si="487"/>
        <v>0</v>
      </c>
      <c r="AP717" s="157"/>
      <c r="AQ717" s="155">
        <v>0</v>
      </c>
      <c r="AR717" s="155">
        <f t="shared" si="488"/>
        <v>262098.17759999979</v>
      </c>
      <c r="AS717" s="155">
        <f t="shared" si="489"/>
        <v>275203</v>
      </c>
      <c r="AT717" s="197">
        <v>0</v>
      </c>
      <c r="AU717" s="199" t="s">
        <v>1534</v>
      </c>
      <c r="AV717" s="157"/>
      <c r="AW717" s="155">
        <f t="shared" si="490"/>
        <v>31136</v>
      </c>
      <c r="AX717" s="157"/>
      <c r="AY717" s="155">
        <f t="shared" si="491"/>
        <v>31136</v>
      </c>
      <c r="AZ717" s="155">
        <f t="shared" si="492"/>
        <v>31195</v>
      </c>
      <c r="BA717" s="242">
        <f t="shared" si="493"/>
        <v>-59</v>
      </c>
      <c r="BB717" s="246">
        <f t="shared" si="494"/>
        <v>62.271999999999998</v>
      </c>
      <c r="BC717" s="155">
        <v>0</v>
      </c>
      <c r="BD717" s="157"/>
      <c r="BE717" s="138">
        <v>311.36</v>
      </c>
      <c r="BF717" s="197">
        <f t="shared" si="495"/>
        <v>0.46704000000000001</v>
      </c>
      <c r="BG717" s="197">
        <f t="shared" si="496"/>
        <v>310.89296000000002</v>
      </c>
      <c r="BH717" s="197">
        <f t="shared" si="497"/>
        <v>311.95</v>
      </c>
      <c r="BI717" s="243">
        <f t="shared" si="498"/>
        <v>-58.999999999997499</v>
      </c>
      <c r="BJ717" s="243">
        <v>0</v>
      </c>
      <c r="BK717" s="155">
        <f t="shared" si="499"/>
        <v>-58.999999999997499</v>
      </c>
      <c r="BL717" s="47"/>
      <c r="BM717" s="48" t="str">
        <f t="shared" si="500"/>
        <v>Unloading no. 691 Bill No GST/26-27/0072 ,Deduction For Oil Deduction= 262098.1776 ,Bardana= 0 ,F.M=  Brokerage/Rate Difference 0 ,Shortage = 0 ,Greenish=  ,Moisture= 0</v>
      </c>
      <c r="BN717" s="41"/>
      <c r="BO717" s="44" t="str">
        <f t="shared" si="501"/>
        <v xml:space="preserve"> Party Condition 42  ,F.M% 0.48 ,Greenish 4 ,Moisture 4.5 ,Shortage in KG= 0  ,Oil% 37.59</v>
      </c>
      <c r="BP717" s="45">
        <f t="shared" si="502"/>
        <v>7161.6443096650128</v>
      </c>
      <c r="BQ717" s="41"/>
      <c r="BR717" s="41"/>
      <c r="BS717" s="41"/>
      <c r="BT717" s="41"/>
      <c r="BU717" s="41"/>
      <c r="BV717" s="41"/>
      <c r="BW717" s="85"/>
      <c r="BX717" s="27">
        <v>37.1</v>
      </c>
      <c r="BY717" s="27">
        <v>37.15</v>
      </c>
    </row>
    <row r="718" spans="1:77" ht="14.1" hidden="1" customHeight="1" x14ac:dyDescent="0.3">
      <c r="A718" s="138" t="s">
        <v>1468</v>
      </c>
      <c r="B718" s="146">
        <v>46172</v>
      </c>
      <c r="C718" s="138">
        <v>692</v>
      </c>
      <c r="D718" s="135" t="s">
        <v>1482</v>
      </c>
      <c r="E718" s="129">
        <v>46174</v>
      </c>
      <c r="F718" s="138" t="s">
        <v>1512</v>
      </c>
      <c r="G718" s="281" t="s">
        <v>1513</v>
      </c>
      <c r="H718" s="281" t="s">
        <v>1514</v>
      </c>
      <c r="I718" s="136"/>
      <c r="J718" s="138" t="s">
        <v>1455</v>
      </c>
      <c r="K718" s="136"/>
      <c r="L718" s="146">
        <v>46172</v>
      </c>
      <c r="M718" s="136"/>
      <c r="N718" s="138">
        <v>29</v>
      </c>
      <c r="O718" s="146">
        <v>46173</v>
      </c>
      <c r="P718" s="138">
        <v>0</v>
      </c>
      <c r="Q718" s="138">
        <v>310</v>
      </c>
      <c r="R718" s="138">
        <v>191</v>
      </c>
      <c r="S718" s="138">
        <v>501</v>
      </c>
      <c r="T718" s="138">
        <v>501</v>
      </c>
      <c r="U718" s="163">
        <v>0</v>
      </c>
      <c r="V718" s="136"/>
      <c r="W718" s="148">
        <v>305.64999999999998</v>
      </c>
      <c r="X718" s="148">
        <v>306</v>
      </c>
      <c r="Y718" s="148">
        <f>2431904.23-1986.73</f>
        <v>2429917.5</v>
      </c>
      <c r="Z718" s="138"/>
      <c r="AA718" s="148">
        <v>60797.61</v>
      </c>
      <c r="AB718" s="148">
        <v>60797.61</v>
      </c>
      <c r="AC718" s="148">
        <v>2553499.44</v>
      </c>
      <c r="AD718" s="285">
        <f t="shared" si="468"/>
        <v>2550945.94056</v>
      </c>
      <c r="AE718" s="147">
        <v>40.909999999999997</v>
      </c>
      <c r="AF718" s="147">
        <v>42</v>
      </c>
      <c r="AG718" s="147">
        <v>40.82</v>
      </c>
      <c r="AH718" s="292">
        <v>4.5999999999999999E-3</v>
      </c>
      <c r="AI718" s="287">
        <v>4.9700000000000001E-2</v>
      </c>
      <c r="AJ718" s="287">
        <v>4.3999999999999997E-2</v>
      </c>
      <c r="AK718" s="155">
        <f t="shared" si="486"/>
        <v>68269.110714285707</v>
      </c>
      <c r="AL718" s="157">
        <f>310*10+191*15</f>
        <v>5965</v>
      </c>
      <c r="AM718" s="157">
        <f t="shared" si="503"/>
        <v>11177.620499999999</v>
      </c>
      <c r="AN718" s="199">
        <v>1986.73</v>
      </c>
      <c r="AO718" s="156">
        <f t="shared" si="487"/>
        <v>0</v>
      </c>
      <c r="AP718" s="157"/>
      <c r="AQ718" s="155">
        <v>0</v>
      </c>
      <c r="AR718" s="155">
        <f t="shared" si="488"/>
        <v>87398.461214285708</v>
      </c>
      <c r="AS718" s="155">
        <f t="shared" si="489"/>
        <v>91768</v>
      </c>
      <c r="AT718" s="197">
        <v>0</v>
      </c>
      <c r="AU718" s="199" t="s">
        <v>1535</v>
      </c>
      <c r="AV718" s="157"/>
      <c r="AW718" s="155">
        <f t="shared" si="490"/>
        <v>30564.999999999996</v>
      </c>
      <c r="AX718" s="157"/>
      <c r="AY718" s="155">
        <f t="shared" si="491"/>
        <v>30564.999999999996</v>
      </c>
      <c r="AZ718" s="155">
        <f t="shared" si="492"/>
        <v>30600</v>
      </c>
      <c r="BA718" s="242">
        <f t="shared" si="493"/>
        <v>-35.000000000003638</v>
      </c>
      <c r="BB718" s="246">
        <f t="shared" si="494"/>
        <v>61.129999999999995</v>
      </c>
      <c r="BC718" s="155">
        <v>0</v>
      </c>
      <c r="BD718" s="157"/>
      <c r="BE718" s="138">
        <v>305.64999999999998</v>
      </c>
      <c r="BF718" s="197">
        <f t="shared" si="495"/>
        <v>0.45847499999999997</v>
      </c>
      <c r="BG718" s="197">
        <f t="shared" si="496"/>
        <v>305.19152499999996</v>
      </c>
      <c r="BH718" s="197">
        <f t="shared" si="497"/>
        <v>306</v>
      </c>
      <c r="BI718" s="243">
        <f t="shared" si="498"/>
        <v>-35.000000000002274</v>
      </c>
      <c r="BJ718" s="243">
        <v>0</v>
      </c>
      <c r="BK718" s="155">
        <f t="shared" si="499"/>
        <v>-35.000000000002274</v>
      </c>
      <c r="BL718" s="47"/>
      <c r="BM718" s="48" t="str">
        <f t="shared" si="500"/>
        <v>Unloading no. 692 Bill No 29 ,Deduction For Oil Deduction= 68269.1107142857 ,Bardana= 5965 ,F.M= 11177.6205 Brokerage/Rate Difference 1986.73 ,Shortage = 0 ,Greenish=  ,Moisture= 0</v>
      </c>
      <c r="BN718" s="41"/>
      <c r="BO718" s="44" t="str">
        <f t="shared" si="501"/>
        <v xml:space="preserve"> Party Condition 42  ,F.M% 0.46 ,Greenish 4.97 ,Moisture 4.4 ,Shortage in KG= 0  ,Oil% 40.82</v>
      </c>
      <c r="BP718" s="45">
        <f t="shared" si="502"/>
        <v>7655.290976423903</v>
      </c>
      <c r="BQ718" s="41"/>
      <c r="BR718" s="41"/>
      <c r="BS718" s="41"/>
      <c r="BT718" s="41"/>
      <c r="BU718" s="41"/>
      <c r="BV718" s="41"/>
      <c r="BW718" s="85"/>
      <c r="BX718" s="27">
        <v>40.909999999999997</v>
      </c>
      <c r="BY718" s="27">
        <v>40.82</v>
      </c>
    </row>
    <row r="719" spans="1:77" ht="14.1" hidden="1" customHeight="1" x14ac:dyDescent="0.3">
      <c r="A719" s="138" t="s">
        <v>1467</v>
      </c>
      <c r="B719" s="146">
        <v>46171</v>
      </c>
      <c r="C719" s="138">
        <v>693</v>
      </c>
      <c r="D719" s="135" t="s">
        <v>1483</v>
      </c>
      <c r="E719" s="129">
        <v>46175</v>
      </c>
      <c r="F719" s="281" t="s">
        <v>1506</v>
      </c>
      <c r="G719" s="128" t="s">
        <v>1507</v>
      </c>
      <c r="H719" s="128" t="s">
        <v>1508</v>
      </c>
      <c r="I719" s="136"/>
      <c r="J719" s="138" t="s">
        <v>1146</v>
      </c>
      <c r="K719" s="136"/>
      <c r="L719" s="146">
        <v>46171</v>
      </c>
      <c r="M719" s="136"/>
      <c r="N719" s="128" t="s">
        <v>1519</v>
      </c>
      <c r="O719" s="146">
        <v>46174</v>
      </c>
      <c r="P719" s="138">
        <v>0</v>
      </c>
      <c r="Q719" s="138">
        <v>200</v>
      </c>
      <c r="R719" s="138">
        <v>405</v>
      </c>
      <c r="S719" s="138">
        <v>605</v>
      </c>
      <c r="T719" s="138">
        <v>605</v>
      </c>
      <c r="U719" s="163">
        <v>0</v>
      </c>
      <c r="V719" s="136"/>
      <c r="W719" s="148">
        <v>298.8</v>
      </c>
      <c r="X719" s="148">
        <v>298.7</v>
      </c>
      <c r="Y719" s="148">
        <v>2395479.6</v>
      </c>
      <c r="Z719" s="276">
        <v>39.26</v>
      </c>
      <c r="AA719" s="148">
        <v>59886.99</v>
      </c>
      <c r="AB719" s="148">
        <v>59886.99</v>
      </c>
      <c r="AC719" s="148">
        <v>2515253.58</v>
      </c>
      <c r="AD719" s="285">
        <f t="shared" si="468"/>
        <v>2512738.3264200003</v>
      </c>
      <c r="AE719" s="147">
        <v>39.26</v>
      </c>
      <c r="AF719" s="147">
        <v>42</v>
      </c>
      <c r="AG719" s="147">
        <v>39.26</v>
      </c>
      <c r="AH719" s="287">
        <v>5.0000000000000001E-3</v>
      </c>
      <c r="AI719" s="287">
        <v>4.4999999999999998E-2</v>
      </c>
      <c r="AJ719" s="287">
        <v>4.8000000000000001E-2</v>
      </c>
      <c r="AK719" s="155">
        <f t="shared" si="486"/>
        <v>156276.52628571441</v>
      </c>
      <c r="AL719" s="157">
        <v>0</v>
      </c>
      <c r="AM719" s="157"/>
      <c r="AN719" s="199">
        <v>0</v>
      </c>
      <c r="AO719" s="156">
        <f t="shared" si="487"/>
        <v>0</v>
      </c>
      <c r="AP719" s="157"/>
      <c r="AQ719" s="155">
        <v>0</v>
      </c>
      <c r="AR719" s="155">
        <f t="shared" si="488"/>
        <v>156276.52628571441</v>
      </c>
      <c r="AS719" s="155">
        <f t="shared" si="489"/>
        <v>164090</v>
      </c>
      <c r="AT719" s="197">
        <v>0</v>
      </c>
      <c r="AU719" s="199" t="s">
        <v>1534</v>
      </c>
      <c r="AV719" s="157"/>
      <c r="AW719" s="155">
        <f t="shared" si="490"/>
        <v>29880</v>
      </c>
      <c r="AX719" s="157"/>
      <c r="AY719" s="155">
        <f t="shared" si="491"/>
        <v>29880</v>
      </c>
      <c r="AZ719" s="155">
        <f t="shared" si="492"/>
        <v>29870</v>
      </c>
      <c r="BA719" s="242">
        <f t="shared" si="493"/>
        <v>10</v>
      </c>
      <c r="BB719" s="246">
        <f t="shared" si="494"/>
        <v>59.76</v>
      </c>
      <c r="BC719" s="155">
        <v>0</v>
      </c>
      <c r="BD719" s="157"/>
      <c r="BE719" s="138">
        <v>298.8</v>
      </c>
      <c r="BF719" s="197">
        <f t="shared" si="495"/>
        <v>0.44819999999999999</v>
      </c>
      <c r="BG719" s="197">
        <f t="shared" si="496"/>
        <v>298.35180000000003</v>
      </c>
      <c r="BH719" s="197">
        <f t="shared" si="497"/>
        <v>298.7</v>
      </c>
      <c r="BI719" s="243">
        <f t="shared" si="498"/>
        <v>10.000000000002274</v>
      </c>
      <c r="BJ719" s="243">
        <v>0</v>
      </c>
      <c r="BK719" s="155">
        <f t="shared" si="499"/>
        <v>10.000000000002274</v>
      </c>
      <c r="BL719" s="47"/>
      <c r="BM719" s="48" t="str">
        <f t="shared" si="500"/>
        <v>Unloading no. 693 Bill No GST/26-27/0074 ,Deduction For Oil Deduction= 156276.526285714 ,Bardana= 0 ,F.M=  Brokerage/Rate Difference 0 ,Shortage = 0 ,Greenish=  ,Moisture= 0</v>
      </c>
      <c r="BN719" s="41"/>
      <c r="BO719" s="44" t="str">
        <f t="shared" si="501"/>
        <v xml:space="preserve"> Party Condition 42  ,F.M% 0.5 ,Greenish 4.5 ,Moisture 4.8 ,Shortage in KG= 0  ,Oil% 39.26</v>
      </c>
      <c r="BP719" s="45">
        <f t="shared" si="502"/>
        <v>7496.4950576306856</v>
      </c>
      <c r="BQ719" s="41"/>
      <c r="BR719" s="41"/>
      <c r="BS719" s="41"/>
      <c r="BT719" s="41"/>
      <c r="BU719" s="41"/>
      <c r="BV719" s="41"/>
      <c r="BW719" s="85"/>
      <c r="BX719" s="27">
        <v>39.04</v>
      </c>
      <c r="BY719" s="27">
        <v>38.94</v>
      </c>
    </row>
    <row r="720" spans="1:77" ht="14.1" hidden="1" customHeight="1" x14ac:dyDescent="0.3">
      <c r="A720" s="138" t="s">
        <v>1467</v>
      </c>
      <c r="B720" s="146">
        <v>46171</v>
      </c>
      <c r="C720" s="138">
        <v>694</v>
      </c>
      <c r="D720" s="135" t="s">
        <v>1484</v>
      </c>
      <c r="E720" s="129">
        <v>46175</v>
      </c>
      <c r="F720" s="281" t="s">
        <v>1506</v>
      </c>
      <c r="G720" s="128" t="s">
        <v>1507</v>
      </c>
      <c r="H720" s="128" t="s">
        <v>1508</v>
      </c>
      <c r="I720" s="136"/>
      <c r="J720" s="138" t="s">
        <v>1146</v>
      </c>
      <c r="K720" s="136"/>
      <c r="L720" s="146">
        <v>46171</v>
      </c>
      <c r="M720" s="136"/>
      <c r="N720" s="128" t="s">
        <v>1520</v>
      </c>
      <c r="O720" s="146">
        <v>46174</v>
      </c>
      <c r="P720" s="138">
        <v>0</v>
      </c>
      <c r="Q720" s="138">
        <v>505</v>
      </c>
      <c r="R720" s="138">
        <v>0</v>
      </c>
      <c r="S720" s="138">
        <v>505</v>
      </c>
      <c r="T720" s="138">
        <v>505</v>
      </c>
      <c r="U720" s="163">
        <v>0</v>
      </c>
      <c r="V720" s="136"/>
      <c r="W720" s="148">
        <v>249.2</v>
      </c>
      <c r="X720" s="148">
        <v>249.2</v>
      </c>
      <c r="Y720" s="148">
        <v>1997836.4</v>
      </c>
      <c r="Z720" s="276">
        <v>38.840000000000003</v>
      </c>
      <c r="AA720" s="148">
        <v>49945.91</v>
      </c>
      <c r="AB720" s="148">
        <v>49945.91</v>
      </c>
      <c r="AC720" s="148">
        <v>2097728.2200000002</v>
      </c>
      <c r="AD720" s="285">
        <f t="shared" si="468"/>
        <v>2095630.4917800003</v>
      </c>
      <c r="AE720" s="147">
        <v>38.840000000000003</v>
      </c>
      <c r="AF720" s="147">
        <v>42</v>
      </c>
      <c r="AG720" s="147">
        <v>38.840000000000003</v>
      </c>
      <c r="AH720" s="287">
        <v>6.8999999999999999E-3</v>
      </c>
      <c r="AI720" s="287">
        <v>0.05</v>
      </c>
      <c r="AJ720" s="287">
        <v>5.0999999999999997E-2</v>
      </c>
      <c r="AK720" s="155">
        <f t="shared" si="486"/>
        <v>150313.40533333318</v>
      </c>
      <c r="AL720" s="157">
        <v>0</v>
      </c>
      <c r="AM720" s="157"/>
      <c r="AN720" s="199">
        <v>0</v>
      </c>
      <c r="AO720" s="156">
        <f t="shared" si="487"/>
        <v>0</v>
      </c>
      <c r="AP720" s="157"/>
      <c r="AQ720" s="155">
        <v>0</v>
      </c>
      <c r="AR720" s="155">
        <f t="shared" si="488"/>
        <v>150313.40533333318</v>
      </c>
      <c r="AS720" s="155">
        <f t="shared" si="489"/>
        <v>157829</v>
      </c>
      <c r="AT720" s="197">
        <v>0</v>
      </c>
      <c r="AU720" s="199" t="s">
        <v>1534</v>
      </c>
      <c r="AV720" s="157"/>
      <c r="AW720" s="155">
        <f t="shared" si="490"/>
        <v>24920</v>
      </c>
      <c r="AX720" s="157"/>
      <c r="AY720" s="155">
        <f t="shared" si="491"/>
        <v>24920</v>
      </c>
      <c r="AZ720" s="155">
        <f t="shared" si="492"/>
        <v>24920</v>
      </c>
      <c r="BA720" s="242">
        <f t="shared" si="493"/>
        <v>0</v>
      </c>
      <c r="BB720" s="246">
        <f t="shared" si="494"/>
        <v>49.84</v>
      </c>
      <c r="BC720" s="155">
        <v>0</v>
      </c>
      <c r="BD720" s="157"/>
      <c r="BE720" s="138">
        <v>249.2</v>
      </c>
      <c r="BF720" s="197">
        <f t="shared" si="495"/>
        <v>0.37379999999999997</v>
      </c>
      <c r="BG720" s="197">
        <f t="shared" si="496"/>
        <v>248.8262</v>
      </c>
      <c r="BH720" s="197">
        <f t="shared" si="497"/>
        <v>249.2</v>
      </c>
      <c r="BI720" s="243">
        <f t="shared" si="498"/>
        <v>0</v>
      </c>
      <c r="BJ720" s="243">
        <v>0</v>
      </c>
      <c r="BK720" s="155">
        <f t="shared" si="499"/>
        <v>0</v>
      </c>
      <c r="BL720" s="47"/>
      <c r="BM720" s="48" t="str">
        <f t="shared" si="500"/>
        <v>Unloading no. 694 Bill No GST/26-27/0073 ,Deduction For Oil Deduction= 150313.405333333 ,Bardana= 0 ,F.M=  Brokerage/Rate Difference 0 ,Shortage = 0 ,Greenish=  ,Moisture= 0</v>
      </c>
      <c r="BN720" s="41"/>
      <c r="BO720" s="44" t="str">
        <f t="shared" si="501"/>
        <v xml:space="preserve"> Party Condition 42  ,F.M% 0.69 ,Greenish 5 ,Moisture 5.1 ,Shortage in KG= 0  ,Oil% 38.84</v>
      </c>
      <c r="BP720" s="45">
        <f t="shared" si="502"/>
        <v>7413.816190476191</v>
      </c>
      <c r="BQ720" s="41"/>
      <c r="BR720" s="41"/>
      <c r="BS720" s="41"/>
      <c r="BT720" s="41"/>
      <c r="BU720" s="41"/>
      <c r="BV720" s="41"/>
      <c r="BW720" s="85"/>
      <c r="BX720" s="27">
        <v>38.9</v>
      </c>
      <c r="BY720" s="27">
        <v>38.94</v>
      </c>
    </row>
    <row r="721" spans="1:77" ht="14.1" hidden="1" customHeight="1" x14ac:dyDescent="0.3">
      <c r="A721" s="138" t="s">
        <v>1465</v>
      </c>
      <c r="B721" s="146">
        <v>46172</v>
      </c>
      <c r="C721" s="138">
        <v>695</v>
      </c>
      <c r="D721" s="135" t="s">
        <v>1485</v>
      </c>
      <c r="E721" s="129">
        <v>46175</v>
      </c>
      <c r="F721" s="281" t="s">
        <v>1083</v>
      </c>
      <c r="G721" s="128" t="s">
        <v>1084</v>
      </c>
      <c r="H721" s="128" t="s">
        <v>1454</v>
      </c>
      <c r="I721" s="136"/>
      <c r="J721" s="138" t="s">
        <v>1455</v>
      </c>
      <c r="K721" s="136"/>
      <c r="L721" s="146">
        <v>46172</v>
      </c>
      <c r="M721" s="136"/>
      <c r="N721" s="128">
        <v>25</v>
      </c>
      <c r="O721" s="146">
        <v>46174</v>
      </c>
      <c r="P721" s="138">
        <v>0</v>
      </c>
      <c r="Q721" s="138">
        <v>100</v>
      </c>
      <c r="R721" s="138">
        <v>293</v>
      </c>
      <c r="S721" s="138">
        <v>393</v>
      </c>
      <c r="T721" s="138">
        <v>393</v>
      </c>
      <c r="U721" s="163">
        <v>0</v>
      </c>
      <c r="V721" s="136"/>
      <c r="W721" s="148">
        <v>273.5</v>
      </c>
      <c r="X721" s="148">
        <v>272.89999999999998</v>
      </c>
      <c r="Y721" s="148">
        <v>2188000</v>
      </c>
      <c r="Z721" s="138"/>
      <c r="AA721" s="148">
        <v>54700</v>
      </c>
      <c r="AB721" s="148">
        <v>54700</v>
      </c>
      <c r="AC721" s="148">
        <v>2297400</v>
      </c>
      <c r="AD721" s="285">
        <f t="shared" si="468"/>
        <v>2295102.6</v>
      </c>
      <c r="AE721" s="147">
        <v>38.04</v>
      </c>
      <c r="AF721" s="147">
        <v>42</v>
      </c>
      <c r="AG721" s="147">
        <v>38.04</v>
      </c>
      <c r="AH721" s="294">
        <v>7.4999999999999997E-3</v>
      </c>
      <c r="AI721" s="287">
        <v>4.1099999999999998E-2</v>
      </c>
      <c r="AJ721" s="287">
        <v>0.05</v>
      </c>
      <c r="AK721" s="155">
        <f t="shared" si="486"/>
        <v>206297.1428571429</v>
      </c>
      <c r="AL721" s="157">
        <f>100*10+293*15</f>
        <v>5395</v>
      </c>
      <c r="AM721" s="199">
        <f>Y721*AH721</f>
        <v>16410</v>
      </c>
      <c r="AN721" s="295">
        <f>W721*15</f>
        <v>4102.5</v>
      </c>
      <c r="AO721" s="156">
        <f t="shared" si="487"/>
        <v>4800</v>
      </c>
      <c r="AP721" s="157"/>
      <c r="AQ721" s="155">
        <v>0</v>
      </c>
      <c r="AR721" s="155">
        <f t="shared" si="488"/>
        <v>237004.6428571429</v>
      </c>
      <c r="AS721" s="155">
        <f t="shared" si="489"/>
        <v>248855</v>
      </c>
      <c r="AT721" s="197">
        <v>60</v>
      </c>
      <c r="AU721" s="199"/>
      <c r="AV721" s="157"/>
      <c r="AW721" s="155">
        <f t="shared" si="490"/>
        <v>27350</v>
      </c>
      <c r="AX721" s="157"/>
      <c r="AY721" s="155">
        <f t="shared" si="491"/>
        <v>27350</v>
      </c>
      <c r="AZ721" s="155">
        <f t="shared" si="492"/>
        <v>27289.999999999996</v>
      </c>
      <c r="BA721" s="242">
        <f t="shared" si="493"/>
        <v>60.000000000003638</v>
      </c>
      <c r="BB721" s="246">
        <f t="shared" si="494"/>
        <v>54.7</v>
      </c>
      <c r="BC721" s="155">
        <v>0</v>
      </c>
      <c r="BD721" s="157"/>
      <c r="BE721" s="138">
        <v>273.5</v>
      </c>
      <c r="BF721" s="197">
        <f t="shared" si="495"/>
        <v>0.41025</v>
      </c>
      <c r="BG721" s="197">
        <f t="shared" si="496"/>
        <v>273.08974999999998</v>
      </c>
      <c r="BH721" s="197">
        <f t="shared" si="497"/>
        <v>272.89999999999998</v>
      </c>
      <c r="BI721" s="243">
        <f t="shared" si="498"/>
        <v>60.000000000002274</v>
      </c>
      <c r="BJ721" s="243">
        <v>0</v>
      </c>
      <c r="BK721" s="155">
        <f t="shared" si="499"/>
        <v>60.000000000002274</v>
      </c>
      <c r="BL721" s="47"/>
      <c r="BM721" s="48" t="str">
        <f t="shared" si="500"/>
        <v>Unloading no. 695 Bill No 25 ,Deduction For Oil Deduction= 206297.142857143 ,Bardana= 5395 ,F.M= 16410 Brokerage/Rate Difference 4102.5 ,Shortage = 4800 ,Greenish=  ,Moisture= 0</v>
      </c>
      <c r="BN721" s="41"/>
      <c r="BO721" s="44" t="str">
        <f t="shared" si="501"/>
        <v xml:space="preserve"> Party Condition 42  ,F.M% 0.75 ,Greenish 4.11 ,Moisture 5 ,Shortage in KG= 60  ,Oil% 38.04</v>
      </c>
      <c r="BP721" s="45">
        <f t="shared" si="502"/>
        <v>7149.1218656755482</v>
      </c>
      <c r="BQ721" s="41"/>
      <c r="BR721" s="41"/>
      <c r="BS721" s="41"/>
      <c r="BT721" s="41"/>
      <c r="BU721" s="41"/>
      <c r="BV721" s="41"/>
      <c r="BW721" s="85"/>
      <c r="BX721" s="27">
        <v>38.04</v>
      </c>
      <c r="BY721" s="27">
        <v>38.04</v>
      </c>
    </row>
    <row r="722" spans="1:77" ht="14.1" hidden="1" customHeight="1" x14ac:dyDescent="0.3">
      <c r="A722" s="138" t="s">
        <v>1469</v>
      </c>
      <c r="B722" s="146">
        <v>46174</v>
      </c>
      <c r="C722" s="138">
        <v>696</v>
      </c>
      <c r="D722" s="135" t="s">
        <v>1486</v>
      </c>
      <c r="E722" s="129">
        <v>46175</v>
      </c>
      <c r="F722" s="281" t="s">
        <v>98</v>
      </c>
      <c r="G722" s="128" t="s">
        <v>99</v>
      </c>
      <c r="H722" s="128" t="s">
        <v>100</v>
      </c>
      <c r="I722" s="136"/>
      <c r="J722" s="138" t="s">
        <v>1455</v>
      </c>
      <c r="K722" s="136"/>
      <c r="L722" s="146">
        <v>46174</v>
      </c>
      <c r="M722" s="136"/>
      <c r="N722" s="128">
        <v>125</v>
      </c>
      <c r="O722" s="146">
        <v>46174</v>
      </c>
      <c r="P722" s="138">
        <v>0</v>
      </c>
      <c r="Q722" s="138">
        <v>400</v>
      </c>
      <c r="R722" s="138">
        <v>95</v>
      </c>
      <c r="S722" s="138">
        <v>495</v>
      </c>
      <c r="T722" s="138">
        <v>495</v>
      </c>
      <c r="U722" s="163">
        <v>0</v>
      </c>
      <c r="V722" s="136"/>
      <c r="W722" s="148">
        <v>300.2</v>
      </c>
      <c r="X722" s="148">
        <v>299.60000000000002</v>
      </c>
      <c r="Y722" s="148">
        <v>2419612</v>
      </c>
      <c r="Z722" s="138"/>
      <c r="AA722" s="148">
        <v>60490.3</v>
      </c>
      <c r="AB722" s="148">
        <v>60490.3</v>
      </c>
      <c r="AC722" s="148">
        <v>2540592.6</v>
      </c>
      <c r="AD722" s="285">
        <f t="shared" si="468"/>
        <v>2538052.0074</v>
      </c>
      <c r="AE722" s="147">
        <v>39.92</v>
      </c>
      <c r="AF722" s="147">
        <v>42</v>
      </c>
      <c r="AG722" s="147">
        <v>39.83</v>
      </c>
      <c r="AH722" s="294">
        <v>4.7999999999999996E-3</v>
      </c>
      <c r="AI722" s="287">
        <v>3.5000000000000003E-2</v>
      </c>
      <c r="AJ722" s="287">
        <v>0.05</v>
      </c>
      <c r="AK722" s="155">
        <f t="shared" si="486"/>
        <v>125013.28666666677</v>
      </c>
      <c r="AL722" s="157">
        <f>400*10+95*15</f>
        <v>5425</v>
      </c>
      <c r="AM722" s="199">
        <f>Y722*AH722</f>
        <v>11614.137599999998</v>
      </c>
      <c r="AN722" s="199">
        <v>0</v>
      </c>
      <c r="AO722" s="156">
        <f t="shared" si="487"/>
        <v>4836</v>
      </c>
      <c r="AP722" s="157"/>
      <c r="AQ722" s="155">
        <v>0</v>
      </c>
      <c r="AR722" s="155">
        <f t="shared" si="488"/>
        <v>146888.42426666676</v>
      </c>
      <c r="AS722" s="155">
        <f t="shared" si="489"/>
        <v>154233</v>
      </c>
      <c r="AT722" s="197">
        <v>60</v>
      </c>
      <c r="AU722" s="199"/>
      <c r="AV722" s="157"/>
      <c r="AW722" s="155">
        <f t="shared" si="490"/>
        <v>30020</v>
      </c>
      <c r="AX722" s="157"/>
      <c r="AY722" s="155">
        <f t="shared" si="491"/>
        <v>30020</v>
      </c>
      <c r="AZ722" s="155">
        <f t="shared" si="492"/>
        <v>29960.000000000004</v>
      </c>
      <c r="BA722" s="242">
        <f t="shared" si="493"/>
        <v>59.999999999996362</v>
      </c>
      <c r="BB722" s="246">
        <f t="shared" si="494"/>
        <v>60.04</v>
      </c>
      <c r="BC722" s="155">
        <v>0</v>
      </c>
      <c r="BD722" s="157"/>
      <c r="BE722" s="138">
        <v>300.2</v>
      </c>
      <c r="BF722" s="197">
        <f t="shared" si="495"/>
        <v>0.45029999999999992</v>
      </c>
      <c r="BG722" s="197">
        <f t="shared" si="496"/>
        <v>299.74969999999996</v>
      </c>
      <c r="BH722" s="197">
        <f t="shared" si="497"/>
        <v>299.60000000000002</v>
      </c>
      <c r="BI722" s="243">
        <f t="shared" si="498"/>
        <v>59.999999999996589</v>
      </c>
      <c r="BJ722" s="243">
        <v>0</v>
      </c>
      <c r="BK722" s="155">
        <f t="shared" si="499"/>
        <v>59.999999999996589</v>
      </c>
      <c r="BL722" s="47"/>
      <c r="BM722" s="48" t="str">
        <f t="shared" si="500"/>
        <v>Unloading no. 696 Bill No 125 ,Deduction For Oil Deduction= 125013.286666667 ,Bardana= 5425 ,F.M= 11614.1376 Brokerage/Rate Difference 0 ,Shortage = 4836 ,Greenish=  ,Moisture= 0</v>
      </c>
      <c r="BN722" s="41"/>
      <c r="BO722" s="44" t="str">
        <f t="shared" si="501"/>
        <v xml:space="preserve"> Party Condition 42  ,F.M% 0.48 ,Greenish 3.5 ,Moisture 5 ,Shortage in KG= 60  ,Oil% 39.83</v>
      </c>
      <c r="BP722" s="45">
        <f t="shared" si="502"/>
        <v>7585.8597320872268</v>
      </c>
      <c r="BQ722" s="41"/>
      <c r="BR722" s="41"/>
      <c r="BS722" s="41"/>
      <c r="BT722" s="41"/>
      <c r="BU722" s="41"/>
      <c r="BV722" s="41"/>
      <c r="BW722" s="85"/>
      <c r="BX722" s="27">
        <v>39.92</v>
      </c>
      <c r="BY722" s="27">
        <v>39.83</v>
      </c>
    </row>
    <row r="723" spans="1:77" ht="14.1" hidden="1" customHeight="1" x14ac:dyDescent="0.3">
      <c r="A723" s="138" t="s">
        <v>1470</v>
      </c>
      <c r="B723" s="146">
        <v>46174</v>
      </c>
      <c r="C723" s="138">
        <v>697</v>
      </c>
      <c r="D723" s="135" t="s">
        <v>1487</v>
      </c>
      <c r="E723" s="129">
        <v>46175</v>
      </c>
      <c r="F723" s="281" t="s">
        <v>95</v>
      </c>
      <c r="G723" s="128" t="s">
        <v>96</v>
      </c>
      <c r="H723" s="128" t="s">
        <v>97</v>
      </c>
      <c r="I723" s="136"/>
      <c r="J723" s="138" t="s">
        <v>1455</v>
      </c>
      <c r="K723" s="136"/>
      <c r="L723" s="146">
        <v>46174</v>
      </c>
      <c r="M723" s="136"/>
      <c r="N723" s="128">
        <v>193</v>
      </c>
      <c r="O723" s="146">
        <v>46174</v>
      </c>
      <c r="P723" s="138">
        <v>0</v>
      </c>
      <c r="Q723" s="138">
        <v>380</v>
      </c>
      <c r="R723" s="138">
        <v>120</v>
      </c>
      <c r="S723" s="138">
        <v>500</v>
      </c>
      <c r="T723" s="138">
        <v>500</v>
      </c>
      <c r="U723" s="163">
        <v>0</v>
      </c>
      <c r="V723" s="136"/>
      <c r="W723" s="148">
        <v>304.5</v>
      </c>
      <c r="X723" s="148">
        <v>304.5</v>
      </c>
      <c r="Y723" s="296">
        <f>2452825-1600</f>
        <v>2451225</v>
      </c>
      <c r="Z723" s="138"/>
      <c r="AA723" s="148">
        <v>61320.63</v>
      </c>
      <c r="AB723" s="148">
        <v>61320.63</v>
      </c>
      <c r="AC723" s="148">
        <v>2575466.25</v>
      </c>
      <c r="AD723" s="285">
        <f t="shared" si="468"/>
        <v>2572890.7837499999</v>
      </c>
      <c r="AE723" s="147">
        <v>40.01</v>
      </c>
      <c r="AF723" s="147">
        <v>42</v>
      </c>
      <c r="AG723" s="147">
        <v>39.82</v>
      </c>
      <c r="AH723" s="294">
        <v>4.0000000000000001E-3</v>
      </c>
      <c r="AI723" s="287">
        <v>4.9399999999999999E-2</v>
      </c>
      <c r="AJ723" s="287">
        <v>4.8000000000000001E-2</v>
      </c>
      <c r="AK723" s="155">
        <f t="shared" si="486"/>
        <v>127230.24999999999</v>
      </c>
      <c r="AL723" s="157">
        <f>380*10+120*15</f>
        <v>5600</v>
      </c>
      <c r="AM723" s="199">
        <f>Y723*AH723</f>
        <v>9804.9</v>
      </c>
      <c r="AN723" s="295">
        <v>1600</v>
      </c>
      <c r="AO723" s="156">
        <f t="shared" si="487"/>
        <v>0</v>
      </c>
      <c r="AP723" s="157"/>
      <c r="AQ723" s="155">
        <v>0</v>
      </c>
      <c r="AR723" s="155">
        <f t="shared" si="488"/>
        <v>144235.15</v>
      </c>
      <c r="AS723" s="155">
        <f t="shared" si="489"/>
        <v>151447</v>
      </c>
      <c r="AT723" s="197">
        <v>0</v>
      </c>
      <c r="AU723" s="199" t="s">
        <v>1535</v>
      </c>
      <c r="AV723" s="157"/>
      <c r="AW723" s="155">
        <f t="shared" si="490"/>
        <v>30450</v>
      </c>
      <c r="AX723" s="157"/>
      <c r="AY723" s="155">
        <f t="shared" si="491"/>
        <v>30450</v>
      </c>
      <c r="AZ723" s="155">
        <f t="shared" si="492"/>
        <v>30450</v>
      </c>
      <c r="BA723" s="242">
        <f t="shared" si="493"/>
        <v>0</v>
      </c>
      <c r="BB723" s="246">
        <f t="shared" si="494"/>
        <v>60.9</v>
      </c>
      <c r="BC723" s="155">
        <v>0</v>
      </c>
      <c r="BD723" s="157"/>
      <c r="BE723" s="138">
        <v>304.5</v>
      </c>
      <c r="BF723" s="197">
        <f t="shared" si="495"/>
        <v>0.45674999999999999</v>
      </c>
      <c r="BG723" s="197">
        <f t="shared" si="496"/>
        <v>304.04325</v>
      </c>
      <c r="BH723" s="197">
        <f t="shared" si="497"/>
        <v>304.5</v>
      </c>
      <c r="BI723" s="243">
        <f t="shared" si="498"/>
        <v>0</v>
      </c>
      <c r="BJ723" s="243">
        <v>0</v>
      </c>
      <c r="BK723" s="155">
        <f t="shared" si="499"/>
        <v>0</v>
      </c>
      <c r="BL723" s="47"/>
      <c r="BM723" s="48" t="str">
        <f t="shared" si="500"/>
        <v>Unloading no. 697 Bill No 193 ,Deduction For Oil Deduction= 127230.25 ,Bardana= 5600 ,F.M= 9804.9 Brokerage/Rate Difference 1600 ,Shortage = 0 ,Greenish=  ,Moisture= 0</v>
      </c>
      <c r="BN723" s="41"/>
      <c r="BO723" s="44" t="str">
        <f t="shared" si="501"/>
        <v xml:space="preserve"> Party Condition 42  ,F.M% 0.4 ,Greenish 4.94 ,Moisture 4.8 ,Shortage in KG= 0  ,Oil% 39.82</v>
      </c>
      <c r="BP723" s="45">
        <f t="shared" si="502"/>
        <v>7576.3213464696228</v>
      </c>
      <c r="BQ723" s="41"/>
      <c r="BR723" s="41"/>
      <c r="BS723" s="41"/>
      <c r="BT723" s="41"/>
      <c r="BU723" s="41"/>
      <c r="BV723" s="41"/>
      <c r="BW723" s="85"/>
      <c r="BX723" s="27">
        <v>40.01</v>
      </c>
      <c r="BY723" s="27">
        <v>39.82</v>
      </c>
    </row>
    <row r="724" spans="1:77" ht="14.1" hidden="1" customHeight="1" x14ac:dyDescent="0.3">
      <c r="A724" s="138" t="s">
        <v>1471</v>
      </c>
      <c r="B724" s="146">
        <v>46172</v>
      </c>
      <c r="C724" s="138">
        <v>698</v>
      </c>
      <c r="D724" s="135" t="s">
        <v>1488</v>
      </c>
      <c r="E724" s="129">
        <v>46175</v>
      </c>
      <c r="F724" s="281" t="s">
        <v>1144</v>
      </c>
      <c r="G724" s="128" t="s">
        <v>1145</v>
      </c>
      <c r="H724" s="128" t="s">
        <v>100</v>
      </c>
      <c r="I724" s="136"/>
      <c r="J724" s="138" t="s">
        <v>1146</v>
      </c>
      <c r="K724" s="136"/>
      <c r="L724" s="146">
        <v>46172</v>
      </c>
      <c r="M724" s="136"/>
      <c r="N724" s="128" t="s">
        <v>1521</v>
      </c>
      <c r="O724" s="146">
        <v>46175</v>
      </c>
      <c r="P724" s="138">
        <v>0</v>
      </c>
      <c r="Q724" s="138">
        <v>150</v>
      </c>
      <c r="R724" s="138">
        <v>17</v>
      </c>
      <c r="S724" s="138">
        <v>167</v>
      </c>
      <c r="T724" s="138">
        <v>167</v>
      </c>
      <c r="U724" s="163">
        <v>0</v>
      </c>
      <c r="V724" s="136"/>
      <c r="W724" s="148">
        <v>84.6</v>
      </c>
      <c r="X724" s="148">
        <v>84.2</v>
      </c>
      <c r="Y724" s="148">
        <v>672654.6</v>
      </c>
      <c r="Z724" s="276">
        <v>39.840000000000003</v>
      </c>
      <c r="AA724" s="148">
        <v>16816.37</v>
      </c>
      <c r="AB724" s="148">
        <v>16816.37</v>
      </c>
      <c r="AC724" s="148">
        <v>706287.33</v>
      </c>
      <c r="AD724" s="285">
        <f t="shared" si="468"/>
        <v>705581.04267</v>
      </c>
      <c r="AE724" s="147">
        <v>39.840000000000003</v>
      </c>
      <c r="AF724" s="147">
        <v>42</v>
      </c>
      <c r="AG724" s="147">
        <v>39.840000000000003</v>
      </c>
      <c r="AH724" s="287">
        <v>3.5999999999999999E-3</v>
      </c>
      <c r="AI724" s="287">
        <v>3.3500000000000002E-2</v>
      </c>
      <c r="AJ724" s="287">
        <v>5.2999999999999999E-2</v>
      </c>
      <c r="AK724" s="155">
        <f t="shared" si="486"/>
        <v>34593.665142857084</v>
      </c>
      <c r="AL724" s="157">
        <v>0</v>
      </c>
      <c r="AM724" s="199"/>
      <c r="AN724" s="199">
        <v>0</v>
      </c>
      <c r="AO724" s="156">
        <f t="shared" si="487"/>
        <v>1828.7299999999998</v>
      </c>
      <c r="AP724" s="157"/>
      <c r="AQ724" s="155">
        <v>0</v>
      </c>
      <c r="AR724" s="155">
        <f t="shared" si="488"/>
        <v>36422.395142857087</v>
      </c>
      <c r="AS724" s="155">
        <f t="shared" si="489"/>
        <v>38244</v>
      </c>
      <c r="AT724" s="197">
        <v>23</v>
      </c>
      <c r="AU724" s="199"/>
      <c r="AV724" s="157"/>
      <c r="AW724" s="155">
        <f t="shared" si="490"/>
        <v>8460</v>
      </c>
      <c r="AX724" s="157"/>
      <c r="AY724" s="155">
        <f t="shared" si="491"/>
        <v>8460</v>
      </c>
      <c r="AZ724" s="155">
        <f t="shared" si="492"/>
        <v>8420</v>
      </c>
      <c r="BA724" s="242">
        <f t="shared" si="493"/>
        <v>40</v>
      </c>
      <c r="BB724" s="246">
        <f t="shared" si="494"/>
        <v>16.920000000000002</v>
      </c>
      <c r="BC724" s="155">
        <v>0</v>
      </c>
      <c r="BD724" s="157"/>
      <c r="BE724" s="138">
        <v>84.6</v>
      </c>
      <c r="BF724" s="197">
        <f t="shared" si="495"/>
        <v>0.12689999999999999</v>
      </c>
      <c r="BG724" s="197">
        <f t="shared" si="496"/>
        <v>84.473099999999988</v>
      </c>
      <c r="BH724" s="197">
        <f t="shared" si="497"/>
        <v>84.2</v>
      </c>
      <c r="BI724" s="243">
        <f t="shared" si="498"/>
        <v>39.999999999999147</v>
      </c>
      <c r="BJ724" s="243">
        <v>0</v>
      </c>
      <c r="BK724" s="155">
        <f t="shared" si="499"/>
        <v>39.999999999999147</v>
      </c>
      <c r="BL724" s="47"/>
      <c r="BM724" s="48" t="str">
        <f t="shared" si="500"/>
        <v>Unloading no. 698 Bill No 2026-27/129 ,Deduction For Oil Deduction= 34593.6651428571 ,Bardana= 0 ,F.M=  Brokerage/Rate Difference 0 ,Shortage = 1828.73 ,Greenish=  ,Moisture= 0</v>
      </c>
      <c r="BN724" s="41"/>
      <c r="BO724" s="44" t="str">
        <f t="shared" si="501"/>
        <v xml:space="preserve"> Party Condition 42  ,F.M% 0.36 ,Greenish 3.35 ,Moisture 5.3 ,Shortage in KG= 23  ,Oil% 39.84</v>
      </c>
      <c r="BP724" s="45">
        <f t="shared" si="502"/>
        <v>7556.201957923312</v>
      </c>
      <c r="BQ724" s="41"/>
      <c r="BR724" s="41"/>
      <c r="BS724" s="41"/>
      <c r="BT724" s="41"/>
      <c r="BU724" s="41"/>
      <c r="BV724" s="41"/>
      <c r="BW724" s="85"/>
      <c r="BX724" s="27">
        <v>39.4</v>
      </c>
      <c r="BY724" s="27">
        <v>39.35</v>
      </c>
    </row>
    <row r="725" spans="1:77" ht="14.1" hidden="1" customHeight="1" x14ac:dyDescent="0.3">
      <c r="A725" s="138" t="s">
        <v>1471</v>
      </c>
      <c r="B725" s="146">
        <v>46172</v>
      </c>
      <c r="C725" s="138">
        <v>699</v>
      </c>
      <c r="D725" s="135" t="s">
        <v>1489</v>
      </c>
      <c r="E725" s="129">
        <v>46175</v>
      </c>
      <c r="F725" s="281" t="s">
        <v>1144</v>
      </c>
      <c r="G725" s="128" t="s">
        <v>1145</v>
      </c>
      <c r="H725" s="128" t="s">
        <v>100</v>
      </c>
      <c r="I725" s="136"/>
      <c r="J725" s="138" t="s">
        <v>1146</v>
      </c>
      <c r="K725" s="136"/>
      <c r="L725" s="146">
        <v>46172</v>
      </c>
      <c r="M725" s="136"/>
      <c r="N725" s="128" t="s">
        <v>1522</v>
      </c>
      <c r="O725" s="146">
        <v>46175</v>
      </c>
      <c r="P725" s="138">
        <v>0</v>
      </c>
      <c r="Q725" s="138">
        <v>100</v>
      </c>
      <c r="R725" s="138">
        <v>67</v>
      </c>
      <c r="S725" s="138">
        <v>167</v>
      </c>
      <c r="T725" s="138">
        <v>167</v>
      </c>
      <c r="U725" s="163">
        <v>0</v>
      </c>
      <c r="V725" s="136"/>
      <c r="W725" s="148">
        <v>84.8</v>
      </c>
      <c r="X725" s="148">
        <v>84.1</v>
      </c>
      <c r="Y725" s="148">
        <v>674244.8</v>
      </c>
      <c r="Z725" s="276">
        <v>39.47</v>
      </c>
      <c r="AA725" s="148">
        <v>16856.12</v>
      </c>
      <c r="AB725" s="148">
        <v>16856.12</v>
      </c>
      <c r="AC725" s="148">
        <v>707957.04</v>
      </c>
      <c r="AD725" s="285">
        <f t="shared" si="468"/>
        <v>707249.08296000003</v>
      </c>
      <c r="AE725" s="147">
        <v>39.47</v>
      </c>
      <c r="AF725" s="147">
        <v>42</v>
      </c>
      <c r="AG725" s="147">
        <v>39.47</v>
      </c>
      <c r="AH725" s="287">
        <v>3.3999999999999998E-3</v>
      </c>
      <c r="AI725" s="287">
        <v>0.03</v>
      </c>
      <c r="AJ725" s="287">
        <v>5.1999999999999998E-2</v>
      </c>
      <c r="AK725" s="155">
        <f t="shared" si="486"/>
        <v>40615.222476190494</v>
      </c>
      <c r="AL725" s="157">
        <v>0</v>
      </c>
      <c r="AM725" s="199"/>
      <c r="AN725" s="199">
        <v>0</v>
      </c>
      <c r="AO725" s="156">
        <f t="shared" si="487"/>
        <v>4214.0300000000007</v>
      </c>
      <c r="AP725" s="157"/>
      <c r="AQ725" s="155">
        <v>0</v>
      </c>
      <c r="AR725" s="155">
        <f t="shared" si="488"/>
        <v>44829.252476190493</v>
      </c>
      <c r="AS725" s="155">
        <f t="shared" si="489"/>
        <v>47071</v>
      </c>
      <c r="AT725" s="197">
        <v>53</v>
      </c>
      <c r="AU725" s="199"/>
      <c r="AV725" s="157"/>
      <c r="AW725" s="155">
        <f t="shared" si="490"/>
        <v>8480</v>
      </c>
      <c r="AX725" s="157"/>
      <c r="AY725" s="155">
        <f t="shared" si="491"/>
        <v>8480</v>
      </c>
      <c r="AZ725" s="155">
        <f t="shared" si="492"/>
        <v>8410</v>
      </c>
      <c r="BA725" s="242">
        <f t="shared" si="493"/>
        <v>70</v>
      </c>
      <c r="BB725" s="246">
        <f t="shared" si="494"/>
        <v>16.96</v>
      </c>
      <c r="BC725" s="155">
        <v>0</v>
      </c>
      <c r="BD725" s="157"/>
      <c r="BE725" s="138">
        <v>84.5</v>
      </c>
      <c r="BF725" s="197">
        <f t="shared" si="495"/>
        <v>0.12675</v>
      </c>
      <c r="BG725" s="197">
        <f t="shared" si="496"/>
        <v>84.373249999999999</v>
      </c>
      <c r="BH725" s="197">
        <f t="shared" si="497"/>
        <v>84.1</v>
      </c>
      <c r="BI725" s="243">
        <f t="shared" si="498"/>
        <v>40.000000000000568</v>
      </c>
      <c r="BJ725" s="243">
        <v>0</v>
      </c>
      <c r="BK725" s="155">
        <f t="shared" si="499"/>
        <v>40.000000000000568</v>
      </c>
      <c r="BL725" s="47"/>
      <c r="BM725" s="48" t="str">
        <f t="shared" si="500"/>
        <v>Unloading no. 699 Bill No 2026-27/130 ,Deduction For Oil Deduction= 40615.2224761905 ,Bardana= 0 ,F.M=  Brokerage/Rate Difference 0 ,Shortage = 4214.03 ,Greenish=  ,Moisture= 0</v>
      </c>
      <c r="BN725" s="41"/>
      <c r="BO725" s="44" t="str">
        <f t="shared" si="501"/>
        <v xml:space="preserve"> Party Condition 42  ,F.M% 0.34 ,Greenish 3 ,Moisture 5.2 ,Shortage in KG= 53  ,Oil% 39.47</v>
      </c>
      <c r="BP725" s="45">
        <f t="shared" si="502"/>
        <v>7484.1325508181881</v>
      </c>
      <c r="BQ725" s="41"/>
      <c r="BR725" s="41"/>
      <c r="BS725" s="41"/>
      <c r="BT725" s="41"/>
      <c r="BU725" s="41"/>
      <c r="BV725" s="41"/>
      <c r="BW725" s="85"/>
      <c r="BX725" s="27">
        <v>39.28</v>
      </c>
      <c r="BY725" s="27">
        <v>39.14</v>
      </c>
    </row>
    <row r="726" spans="1:77" ht="14.1" hidden="1" customHeight="1" x14ac:dyDescent="0.3">
      <c r="A726" s="138" t="s">
        <v>1471</v>
      </c>
      <c r="B726" s="146">
        <v>46172</v>
      </c>
      <c r="C726" s="138">
        <v>700</v>
      </c>
      <c r="D726" s="135" t="s">
        <v>1490</v>
      </c>
      <c r="E726" s="129">
        <v>46175</v>
      </c>
      <c r="F726" s="281" t="s">
        <v>1144</v>
      </c>
      <c r="G726" s="128" t="s">
        <v>1145</v>
      </c>
      <c r="H726" s="128" t="s">
        <v>100</v>
      </c>
      <c r="I726" s="136"/>
      <c r="J726" s="138" t="s">
        <v>1146</v>
      </c>
      <c r="K726" s="136"/>
      <c r="L726" s="146">
        <v>46172</v>
      </c>
      <c r="M726" s="136"/>
      <c r="N726" s="128" t="s">
        <v>1523</v>
      </c>
      <c r="O726" s="146">
        <v>46175</v>
      </c>
      <c r="P726" s="138">
        <v>0</v>
      </c>
      <c r="Q726" s="138">
        <v>145</v>
      </c>
      <c r="R726" s="138">
        <v>24</v>
      </c>
      <c r="S726" s="138">
        <v>169</v>
      </c>
      <c r="T726" s="138">
        <v>169</v>
      </c>
      <c r="U726" s="163">
        <v>0</v>
      </c>
      <c r="V726" s="136"/>
      <c r="W726" s="148">
        <v>85.3</v>
      </c>
      <c r="X726" s="148">
        <v>85.2</v>
      </c>
      <c r="Y726" s="148">
        <v>678220.3</v>
      </c>
      <c r="Z726" s="276">
        <v>39.619999999999997</v>
      </c>
      <c r="AA726" s="148">
        <v>16955.509999999998</v>
      </c>
      <c r="AB726" s="148">
        <v>16955.509999999998</v>
      </c>
      <c r="AC726" s="148">
        <v>712131.32</v>
      </c>
      <c r="AD726" s="285">
        <f t="shared" si="468"/>
        <v>711419.1886799999</v>
      </c>
      <c r="AE726" s="147">
        <v>39.619999999999997</v>
      </c>
      <c r="AF726" s="147">
        <v>42</v>
      </c>
      <c r="AG726" s="147">
        <v>39.619999999999997</v>
      </c>
      <c r="AH726" s="287">
        <v>3.7000000000000002E-3</v>
      </c>
      <c r="AI726" s="287">
        <v>3.4000000000000002E-2</v>
      </c>
      <c r="AJ726" s="287">
        <v>5.5E-2</v>
      </c>
      <c r="AK726" s="155">
        <f t="shared" si="486"/>
        <v>38432.483666666711</v>
      </c>
      <c r="AL726" s="157">
        <v>0</v>
      </c>
      <c r="AM726" s="199"/>
      <c r="AN726" s="199">
        <v>0</v>
      </c>
      <c r="AO726" s="156">
        <f t="shared" si="487"/>
        <v>0</v>
      </c>
      <c r="AP726" s="157"/>
      <c r="AQ726" s="155">
        <v>0</v>
      </c>
      <c r="AR726" s="155">
        <f t="shared" si="488"/>
        <v>38432.483666666711</v>
      </c>
      <c r="AS726" s="155">
        <f t="shared" si="489"/>
        <v>40354</v>
      </c>
      <c r="AT726" s="197">
        <v>0</v>
      </c>
      <c r="AU726" s="199"/>
      <c r="AV726" s="157"/>
      <c r="AW726" s="155">
        <f t="shared" si="490"/>
        <v>8530</v>
      </c>
      <c r="AX726" s="157"/>
      <c r="AY726" s="155">
        <f t="shared" si="491"/>
        <v>8530</v>
      </c>
      <c r="AZ726" s="155">
        <f t="shared" si="492"/>
        <v>8520</v>
      </c>
      <c r="BA726" s="242">
        <f t="shared" si="493"/>
        <v>10</v>
      </c>
      <c r="BB726" s="246">
        <f t="shared" si="494"/>
        <v>17.059999999999999</v>
      </c>
      <c r="BC726" s="155">
        <v>0</v>
      </c>
      <c r="BD726" s="157"/>
      <c r="BE726" s="138">
        <v>85.3</v>
      </c>
      <c r="BF726" s="197">
        <f t="shared" si="495"/>
        <v>0.12795000000000001</v>
      </c>
      <c r="BG726" s="197">
        <f t="shared" si="496"/>
        <v>85.172049999999999</v>
      </c>
      <c r="BH726" s="197">
        <f t="shared" si="497"/>
        <v>85.2</v>
      </c>
      <c r="BI726" s="243">
        <f t="shared" si="498"/>
        <v>9.9999999999994316</v>
      </c>
      <c r="BJ726" s="243">
        <v>0</v>
      </c>
      <c r="BK726" s="155">
        <f t="shared" si="499"/>
        <v>9.9999999999994316</v>
      </c>
      <c r="BL726" s="47"/>
      <c r="BM726" s="48" t="str">
        <f t="shared" si="500"/>
        <v>Unloading no. 700 Bill No 2026-27/132 ,Deduction For Oil Deduction= 38432.4836666667 ,Bardana= 0 ,F.M=  Brokerage/Rate Difference 0 ,Shortage = 0 ,Greenish=  ,Moisture= 0</v>
      </c>
      <c r="BN726" s="41"/>
      <c r="BO726" s="44" t="str">
        <f t="shared" si="501"/>
        <v xml:space="preserve"> Party Condition 42  ,F.M% 0.37 ,Greenish 3.4 ,Moisture 5.5 ,Shortage in KG= 0  ,Oil% 39.62</v>
      </c>
      <c r="BP726" s="45">
        <f t="shared" si="502"/>
        <v>7509.2466705790303</v>
      </c>
      <c r="BQ726" s="41"/>
      <c r="BR726" s="41"/>
      <c r="BS726" s="41"/>
      <c r="BT726" s="41"/>
      <c r="BU726" s="41"/>
      <c r="BV726" s="41"/>
      <c r="BW726" s="85"/>
      <c r="BX726" s="27">
        <v>39.6</v>
      </c>
      <c r="BY726" s="27">
        <v>39.450000000000003</v>
      </c>
    </row>
    <row r="727" spans="1:77" ht="14.1" hidden="1" customHeight="1" x14ac:dyDescent="0.3">
      <c r="A727" s="187" t="s">
        <v>1471</v>
      </c>
      <c r="B727" s="171">
        <v>46172</v>
      </c>
      <c r="C727" s="187">
        <v>701</v>
      </c>
      <c r="D727" s="164" t="s">
        <v>1491</v>
      </c>
      <c r="E727" s="162">
        <v>46175</v>
      </c>
      <c r="F727" s="282" t="s">
        <v>1144</v>
      </c>
      <c r="G727" s="163" t="s">
        <v>1145</v>
      </c>
      <c r="H727" s="163" t="s">
        <v>100</v>
      </c>
      <c r="I727" s="157"/>
      <c r="J727" s="187" t="s">
        <v>1146</v>
      </c>
      <c r="K727" s="157"/>
      <c r="L727" s="171">
        <v>46172</v>
      </c>
      <c r="M727" s="157"/>
      <c r="N727" s="163" t="s">
        <v>1524</v>
      </c>
      <c r="O727" s="146">
        <v>46175</v>
      </c>
      <c r="P727" s="138">
        <v>0</v>
      </c>
      <c r="Q727" s="138">
        <v>171</v>
      </c>
      <c r="R727" s="138">
        <v>0</v>
      </c>
      <c r="S727" s="138">
        <v>171</v>
      </c>
      <c r="T727" s="138">
        <v>171</v>
      </c>
      <c r="U727" s="163">
        <v>0</v>
      </c>
      <c r="V727" s="136"/>
      <c r="W727" s="148">
        <v>86.9</v>
      </c>
      <c r="X727" s="148">
        <v>86.6</v>
      </c>
      <c r="Y727" s="148">
        <v>690941.9</v>
      </c>
      <c r="Z727" s="276">
        <v>39.94</v>
      </c>
      <c r="AA727" s="148">
        <v>17273.55</v>
      </c>
      <c r="AB727" s="148">
        <v>17273.55</v>
      </c>
      <c r="AC727" s="148">
        <v>725489</v>
      </c>
      <c r="AD727" s="285">
        <f t="shared" si="468"/>
        <v>724763.51100000006</v>
      </c>
      <c r="AE727" s="147">
        <v>39.94</v>
      </c>
      <c r="AF727" s="147">
        <v>42</v>
      </c>
      <c r="AG727" s="147">
        <v>39.94</v>
      </c>
      <c r="AH727" s="287">
        <v>3.2000000000000002E-3</v>
      </c>
      <c r="AI727" s="287">
        <v>3.4000000000000002E-2</v>
      </c>
      <c r="AJ727" s="287">
        <v>5.6000000000000001E-2</v>
      </c>
      <c r="AK727" s="155">
        <f t="shared" si="486"/>
        <v>33889.055095238138</v>
      </c>
      <c r="AL727" s="157">
        <v>0</v>
      </c>
      <c r="AM727" s="199"/>
      <c r="AN727" s="199">
        <v>0</v>
      </c>
      <c r="AO727" s="156">
        <f t="shared" si="487"/>
        <v>1033.6300000000001</v>
      </c>
      <c r="AP727" s="157"/>
      <c r="AQ727" s="155">
        <v>0</v>
      </c>
      <c r="AR727" s="155">
        <f t="shared" si="488"/>
        <v>34922.685095238136</v>
      </c>
      <c r="AS727" s="155">
        <f t="shared" si="489"/>
        <v>36669</v>
      </c>
      <c r="AT727" s="197">
        <v>13</v>
      </c>
      <c r="AU727" s="199"/>
      <c r="AV727" s="157"/>
      <c r="AW727" s="155">
        <f t="shared" si="490"/>
        <v>8690</v>
      </c>
      <c r="AX727" s="157"/>
      <c r="AY727" s="155">
        <f t="shared" si="491"/>
        <v>8690</v>
      </c>
      <c r="AZ727" s="155">
        <f t="shared" si="492"/>
        <v>8660</v>
      </c>
      <c r="BA727" s="242">
        <f t="shared" si="493"/>
        <v>30</v>
      </c>
      <c r="BB727" s="246">
        <f t="shared" si="494"/>
        <v>17.38</v>
      </c>
      <c r="BC727" s="155">
        <v>0</v>
      </c>
      <c r="BD727" s="157"/>
      <c r="BE727" s="138">
        <v>86.9</v>
      </c>
      <c r="BF727" s="197">
        <f t="shared" si="495"/>
        <v>0.13034999999999999</v>
      </c>
      <c r="BG727" s="197">
        <f t="shared" si="496"/>
        <v>86.769649999999999</v>
      </c>
      <c r="BH727" s="197">
        <f t="shared" si="497"/>
        <v>86.6</v>
      </c>
      <c r="BI727" s="243">
        <f t="shared" si="498"/>
        <v>30.000000000001137</v>
      </c>
      <c r="BJ727" s="243">
        <v>0</v>
      </c>
      <c r="BK727" s="155">
        <f t="shared" si="499"/>
        <v>30.000000000001137</v>
      </c>
      <c r="BL727" s="47"/>
      <c r="BM727" s="48" t="str">
        <f t="shared" si="500"/>
        <v>Unloading no. 701 Bill No 2026-27/133 ,Deduction For Oil Deduction= 33889.0550952381 ,Bardana= 0 ,F.M=  Brokerage/Rate Difference 0 ,Shortage = 1033.63 ,Greenish=  ,Moisture= 0</v>
      </c>
      <c r="BN727" s="41"/>
      <c r="BO727" s="44" t="str">
        <f t="shared" si="501"/>
        <v xml:space="preserve"> Party Condition 42  ,F.M% 0.32 ,Greenish 3.4 ,Moisture 5.6 ,Shortage in KG= 13  ,Oil% 39.94</v>
      </c>
      <c r="BP727" s="45">
        <f t="shared" si="502"/>
        <v>7575.2796178378976</v>
      </c>
      <c r="BQ727" s="41"/>
      <c r="BR727" s="41"/>
      <c r="BS727" s="41"/>
      <c r="BT727" s="41"/>
      <c r="BU727" s="41"/>
      <c r="BV727" s="41"/>
      <c r="BW727" s="85"/>
      <c r="BX727" s="27">
        <v>39.909999999999997</v>
      </c>
      <c r="BY727" s="27">
        <v>39.71</v>
      </c>
    </row>
    <row r="728" spans="1:77" ht="14.1" hidden="1" customHeight="1" x14ac:dyDescent="0.3">
      <c r="A728" s="187" t="s">
        <v>1471</v>
      </c>
      <c r="B728" s="171">
        <v>46172</v>
      </c>
      <c r="C728" s="187">
        <v>702</v>
      </c>
      <c r="D728" s="164" t="s">
        <v>1492</v>
      </c>
      <c r="E728" s="162">
        <v>46175</v>
      </c>
      <c r="F728" s="282" t="s">
        <v>1144</v>
      </c>
      <c r="G728" s="163" t="s">
        <v>1145</v>
      </c>
      <c r="H728" s="163" t="s">
        <v>100</v>
      </c>
      <c r="I728" s="157"/>
      <c r="J728" s="187" t="s">
        <v>1146</v>
      </c>
      <c r="K728" s="157"/>
      <c r="L728" s="171">
        <v>46172</v>
      </c>
      <c r="M728" s="157"/>
      <c r="N728" s="163" t="s">
        <v>1525</v>
      </c>
      <c r="O728" s="146">
        <v>46175</v>
      </c>
      <c r="P728" s="138">
        <v>0</v>
      </c>
      <c r="Q728" s="138">
        <v>150</v>
      </c>
      <c r="R728" s="138">
        <v>18</v>
      </c>
      <c r="S728" s="138">
        <v>168</v>
      </c>
      <c r="T728" s="138">
        <v>168</v>
      </c>
      <c r="U728" s="163">
        <v>0</v>
      </c>
      <c r="V728" s="136"/>
      <c r="W728" s="148">
        <v>81.7</v>
      </c>
      <c r="X728" s="148">
        <v>81.400000000000006</v>
      </c>
      <c r="Y728" s="148">
        <v>649596.69999999995</v>
      </c>
      <c r="Z728" s="276">
        <v>39.14</v>
      </c>
      <c r="AA728" s="148">
        <v>16239.92</v>
      </c>
      <c r="AB728" s="148">
        <v>16239.92</v>
      </c>
      <c r="AC728" s="148">
        <v>682076.54</v>
      </c>
      <c r="AD728" s="285">
        <f t="shared" si="468"/>
        <v>681394.46346</v>
      </c>
      <c r="AE728" s="147">
        <v>39.14</v>
      </c>
      <c r="AF728" s="147">
        <v>42</v>
      </c>
      <c r="AG728" s="147">
        <v>39.14</v>
      </c>
      <c r="AH728" s="287">
        <v>4.4999999999999997E-3</v>
      </c>
      <c r="AI728" s="287">
        <v>4.1000000000000002E-2</v>
      </c>
      <c r="AJ728" s="287">
        <v>6.6000000000000003E-2</v>
      </c>
      <c r="AK728" s="155">
        <f t="shared" si="486"/>
        <v>44234.441952380941</v>
      </c>
      <c r="AL728" s="157">
        <v>0</v>
      </c>
      <c r="AM728" s="199"/>
      <c r="AN728" s="199">
        <v>0</v>
      </c>
      <c r="AO728" s="156">
        <f t="shared" si="487"/>
        <v>1113.1399999999999</v>
      </c>
      <c r="AP728" s="157"/>
      <c r="AQ728" s="155">
        <v>0</v>
      </c>
      <c r="AR728" s="155">
        <f t="shared" si="488"/>
        <v>45347.58195238094</v>
      </c>
      <c r="AS728" s="155">
        <f t="shared" si="489"/>
        <v>47615</v>
      </c>
      <c r="AT728" s="197">
        <v>14</v>
      </c>
      <c r="AU728" s="199"/>
      <c r="AV728" s="157"/>
      <c r="AW728" s="155">
        <f t="shared" si="490"/>
        <v>8170</v>
      </c>
      <c r="AX728" s="157"/>
      <c r="AY728" s="155">
        <f t="shared" si="491"/>
        <v>8170</v>
      </c>
      <c r="AZ728" s="155">
        <f t="shared" si="492"/>
        <v>8140.0000000000009</v>
      </c>
      <c r="BA728" s="242">
        <f t="shared" si="493"/>
        <v>29.999999999999091</v>
      </c>
      <c r="BB728" s="246">
        <f t="shared" si="494"/>
        <v>16.34</v>
      </c>
      <c r="BC728" s="155">
        <v>0</v>
      </c>
      <c r="BD728" s="157"/>
      <c r="BE728" s="138">
        <v>81.7</v>
      </c>
      <c r="BF728" s="197">
        <f t="shared" si="495"/>
        <v>0.12255000000000001</v>
      </c>
      <c r="BG728" s="197">
        <f t="shared" si="496"/>
        <v>81.577449999999999</v>
      </c>
      <c r="BH728" s="197">
        <f t="shared" si="497"/>
        <v>81.400000000000006</v>
      </c>
      <c r="BI728" s="243">
        <f t="shared" si="498"/>
        <v>29.999999999999716</v>
      </c>
      <c r="BJ728" s="243">
        <v>0</v>
      </c>
      <c r="BK728" s="155">
        <f t="shared" si="499"/>
        <v>29.999999999999716</v>
      </c>
      <c r="BL728" s="47"/>
      <c r="BM728" s="48" t="str">
        <f t="shared" si="500"/>
        <v>Unloading no. 702 Bill No 2026-27/134 ,Deduction For Oil Deduction= 44234.4419523809 ,Bardana= 0 ,F.M=  Brokerage/Rate Difference 0 ,Shortage = 1113.14 ,Greenish=  ,Moisture= 0</v>
      </c>
      <c r="BN728" s="41"/>
      <c r="BO728" s="44" t="str">
        <f t="shared" si="501"/>
        <v xml:space="preserve"> Party Condition 42  ,F.M% 0.45 ,Greenish 4.1 ,Moisture 6.6 ,Shortage in KG= 14  ,Oil% 39.14</v>
      </c>
      <c r="BP728" s="45">
        <f t="shared" si="502"/>
        <v>7423.2078384228371</v>
      </c>
      <c r="BQ728" s="41"/>
      <c r="BR728" s="41"/>
      <c r="BS728" s="41"/>
      <c r="BT728" s="41"/>
      <c r="BU728" s="41"/>
      <c r="BV728" s="41"/>
      <c r="BW728" s="85"/>
      <c r="BX728" s="27">
        <v>38.89</v>
      </c>
      <c r="BY728" s="27">
        <v>38.74</v>
      </c>
    </row>
    <row r="729" spans="1:77" ht="14.1" hidden="1" customHeight="1" x14ac:dyDescent="0.3">
      <c r="A729" s="138" t="s">
        <v>1471</v>
      </c>
      <c r="B729" s="146">
        <v>46172</v>
      </c>
      <c r="C729" s="138">
        <v>703</v>
      </c>
      <c r="D729" s="135" t="s">
        <v>1493</v>
      </c>
      <c r="E729" s="129">
        <v>46175</v>
      </c>
      <c r="F729" s="281" t="s">
        <v>1144</v>
      </c>
      <c r="G729" s="128" t="s">
        <v>1145</v>
      </c>
      <c r="H729" s="128" t="s">
        <v>100</v>
      </c>
      <c r="I729" s="136"/>
      <c r="J729" s="138" t="s">
        <v>1146</v>
      </c>
      <c r="K729" s="136"/>
      <c r="L729" s="146">
        <v>46172</v>
      </c>
      <c r="M729" s="136"/>
      <c r="N729" s="128" t="s">
        <v>1526</v>
      </c>
      <c r="O729" s="146">
        <v>46175</v>
      </c>
      <c r="P729" s="138">
        <v>0</v>
      </c>
      <c r="Q729" s="138">
        <v>168</v>
      </c>
      <c r="R729" s="138">
        <v>0</v>
      </c>
      <c r="S729" s="138">
        <v>168</v>
      </c>
      <c r="T729" s="138">
        <v>168</v>
      </c>
      <c r="U729" s="163">
        <v>0</v>
      </c>
      <c r="V729" s="136"/>
      <c r="W729" s="148">
        <v>83.1</v>
      </c>
      <c r="X729" s="148">
        <v>83</v>
      </c>
      <c r="Y729" s="148">
        <v>660728.1</v>
      </c>
      <c r="Z729" s="276">
        <v>39.26</v>
      </c>
      <c r="AA729" s="148">
        <v>16518.2</v>
      </c>
      <c r="AB729" s="148">
        <v>16518.2</v>
      </c>
      <c r="AC729" s="148">
        <v>693764.51</v>
      </c>
      <c r="AD729" s="285">
        <f t="shared" si="468"/>
        <v>693070.74549</v>
      </c>
      <c r="AE729" s="147">
        <v>39.26</v>
      </c>
      <c r="AF729" s="147">
        <v>42</v>
      </c>
      <c r="AG729" s="147">
        <v>39.26</v>
      </c>
      <c r="AH729" s="287">
        <v>4.1999999999999997E-3</v>
      </c>
      <c r="AI729" s="287">
        <v>4.7E-2</v>
      </c>
      <c r="AJ729" s="287">
        <v>6.3E-2</v>
      </c>
      <c r="AK729" s="155">
        <f t="shared" si="486"/>
        <v>43104.64271428575</v>
      </c>
      <c r="AL729" s="157">
        <v>0</v>
      </c>
      <c r="AM729" s="199"/>
      <c r="AN729" s="199">
        <v>0</v>
      </c>
      <c r="AO729" s="156">
        <f t="shared" si="487"/>
        <v>0</v>
      </c>
      <c r="AP729" s="157"/>
      <c r="AQ729" s="155">
        <v>0</v>
      </c>
      <c r="AR729" s="155">
        <f t="shared" si="488"/>
        <v>43104.64271428575</v>
      </c>
      <c r="AS729" s="155">
        <f t="shared" si="489"/>
        <v>45260</v>
      </c>
      <c r="AT729" s="197">
        <v>0</v>
      </c>
      <c r="AU729" s="199"/>
      <c r="AV729" s="157"/>
      <c r="AW729" s="155">
        <f t="shared" si="490"/>
        <v>8310</v>
      </c>
      <c r="AX729" s="157"/>
      <c r="AY729" s="155">
        <f t="shared" si="491"/>
        <v>8310</v>
      </c>
      <c r="AZ729" s="155">
        <f t="shared" si="492"/>
        <v>8300</v>
      </c>
      <c r="BA729" s="242">
        <f t="shared" si="493"/>
        <v>10</v>
      </c>
      <c r="BB729" s="246">
        <f t="shared" si="494"/>
        <v>16.62</v>
      </c>
      <c r="BC729" s="155">
        <v>0</v>
      </c>
      <c r="BD729" s="157"/>
      <c r="BE729" s="138">
        <v>83.1</v>
      </c>
      <c r="BF729" s="197">
        <f t="shared" si="495"/>
        <v>0.12464999999999998</v>
      </c>
      <c r="BG729" s="197">
        <f t="shared" si="496"/>
        <v>82.975349999999992</v>
      </c>
      <c r="BH729" s="197">
        <f t="shared" si="497"/>
        <v>83</v>
      </c>
      <c r="BI729" s="243">
        <f t="shared" si="498"/>
        <v>9.9999999999994316</v>
      </c>
      <c r="BJ729" s="243">
        <v>0</v>
      </c>
      <c r="BK729" s="155">
        <f t="shared" si="499"/>
        <v>9.9999999999994316</v>
      </c>
      <c r="BL729" s="47"/>
      <c r="BM729" s="48" t="str">
        <f t="shared" si="500"/>
        <v>Unloading no. 703 Bill No 2026-27/135 ,Deduction For Oil Deduction= 43104.6427142858 ,Bardana= 0 ,F.M=  Brokerage/Rate Difference 0 ,Shortage = 0 ,Greenish=  ,Moisture= 0</v>
      </c>
      <c r="BN729" s="41"/>
      <c r="BO729" s="44" t="str">
        <f t="shared" si="501"/>
        <v xml:space="preserve"> Party Condition 42  ,F.M% 0.42 ,Greenish 4.7 ,Moisture 6.3 ,Shortage in KG= 0  ,Oil% 39.26</v>
      </c>
      <c r="BP729" s="45">
        <f t="shared" si="502"/>
        <v>7441.2464733218585</v>
      </c>
      <c r="BQ729" s="41"/>
      <c r="BR729" s="41"/>
      <c r="BS729" s="41"/>
      <c r="BT729" s="41"/>
      <c r="BU729" s="41"/>
      <c r="BV729" s="41"/>
      <c r="BW729" s="85"/>
      <c r="BX729" s="30">
        <v>38.61</v>
      </c>
      <c r="BY729" s="30">
        <v>38.450000000000003</v>
      </c>
    </row>
    <row r="730" spans="1:77" ht="14.1" hidden="1" customHeight="1" x14ac:dyDescent="0.3">
      <c r="A730" s="138" t="s">
        <v>1471</v>
      </c>
      <c r="B730" s="146">
        <v>46172</v>
      </c>
      <c r="C730" s="138">
        <v>704</v>
      </c>
      <c r="D730" s="135" t="s">
        <v>1494</v>
      </c>
      <c r="E730" s="129">
        <v>46175</v>
      </c>
      <c r="F730" s="281" t="s">
        <v>1144</v>
      </c>
      <c r="G730" s="128" t="s">
        <v>1145</v>
      </c>
      <c r="H730" s="128" t="s">
        <v>100</v>
      </c>
      <c r="I730" s="136"/>
      <c r="J730" s="138" t="s">
        <v>1146</v>
      </c>
      <c r="K730" s="136"/>
      <c r="L730" s="146">
        <v>46172</v>
      </c>
      <c r="M730" s="136"/>
      <c r="N730" s="128" t="s">
        <v>1527</v>
      </c>
      <c r="O730" s="146">
        <v>46175</v>
      </c>
      <c r="P730" s="138">
        <v>0</v>
      </c>
      <c r="Q730" s="138">
        <v>150</v>
      </c>
      <c r="R730" s="138">
        <v>16</v>
      </c>
      <c r="S730" s="138">
        <v>166</v>
      </c>
      <c r="T730" s="138">
        <v>166</v>
      </c>
      <c r="U730" s="163">
        <v>0</v>
      </c>
      <c r="V730" s="136"/>
      <c r="W730" s="148">
        <v>82.9</v>
      </c>
      <c r="X730" s="148">
        <v>82.6</v>
      </c>
      <c r="Y730" s="148">
        <v>659137.9</v>
      </c>
      <c r="Z730" s="276">
        <v>39.619999999999997</v>
      </c>
      <c r="AA730" s="148">
        <v>16478.45</v>
      </c>
      <c r="AB730" s="148">
        <v>16478.45</v>
      </c>
      <c r="AC730" s="148">
        <v>692094.8</v>
      </c>
      <c r="AD730" s="285">
        <f t="shared" si="468"/>
        <v>691402.70520000008</v>
      </c>
      <c r="AE730" s="147">
        <v>39.619999999999997</v>
      </c>
      <c r="AF730" s="147">
        <v>42</v>
      </c>
      <c r="AG730" s="147">
        <v>39.619999999999997</v>
      </c>
      <c r="AH730" s="287">
        <v>4.4000000000000003E-3</v>
      </c>
      <c r="AI730" s="287">
        <v>4.65E-2</v>
      </c>
      <c r="AJ730" s="287">
        <v>6.2E-2</v>
      </c>
      <c r="AK730" s="155">
        <f t="shared" si="486"/>
        <v>37351.147666666708</v>
      </c>
      <c r="AL730" s="157">
        <v>0</v>
      </c>
      <c r="AM730" s="199"/>
      <c r="AN730" s="199">
        <v>0</v>
      </c>
      <c r="AO730" s="156">
        <f t="shared" si="487"/>
        <v>1033.6300000000001</v>
      </c>
      <c r="AP730" s="157"/>
      <c r="AQ730" s="155">
        <v>0</v>
      </c>
      <c r="AR730" s="155">
        <f t="shared" si="488"/>
        <v>38384.777666666705</v>
      </c>
      <c r="AS730" s="155">
        <f t="shared" si="489"/>
        <v>40304</v>
      </c>
      <c r="AT730" s="197">
        <v>13</v>
      </c>
      <c r="AU730" s="199"/>
      <c r="AV730" s="157"/>
      <c r="AW730" s="155">
        <f t="shared" si="490"/>
        <v>8290</v>
      </c>
      <c r="AX730" s="157"/>
      <c r="AY730" s="155">
        <f t="shared" si="491"/>
        <v>8290</v>
      </c>
      <c r="AZ730" s="155">
        <f t="shared" si="492"/>
        <v>8260</v>
      </c>
      <c r="BA730" s="242">
        <f t="shared" si="493"/>
        <v>30</v>
      </c>
      <c r="BB730" s="246">
        <f t="shared" si="494"/>
        <v>16.579999999999998</v>
      </c>
      <c r="BC730" s="155">
        <v>0</v>
      </c>
      <c r="BD730" s="157"/>
      <c r="BE730" s="138">
        <v>82.9</v>
      </c>
      <c r="BF730" s="197">
        <f t="shared" si="495"/>
        <v>0.12435</v>
      </c>
      <c r="BG730" s="197">
        <f t="shared" si="496"/>
        <v>82.775649999999999</v>
      </c>
      <c r="BH730" s="197">
        <f t="shared" si="497"/>
        <v>82.6</v>
      </c>
      <c r="BI730" s="243">
        <f t="shared" si="498"/>
        <v>30.000000000001137</v>
      </c>
      <c r="BJ730" s="243">
        <v>0</v>
      </c>
      <c r="BK730" s="155">
        <f t="shared" si="499"/>
        <v>30.000000000001137</v>
      </c>
      <c r="BL730" s="47"/>
      <c r="BM730" s="48" t="str">
        <f t="shared" si="500"/>
        <v>Unloading no. 704 Bill No 2026-27/136 ,Deduction For Oil Deduction= 37351.1476666667 ,Bardana= 0 ,F.M=  Brokerage/Rate Difference 0 ,Shortage = 1033.63 ,Greenish=  ,Moisture= 0</v>
      </c>
      <c r="BN730" s="41"/>
      <c r="BO730" s="44" t="str">
        <f t="shared" si="501"/>
        <v xml:space="preserve"> Party Condition 42  ,F.M% 0.44 ,Greenish 4.65 ,Moisture 6.2 ,Shortage in KG= 13  ,Oil% 39.62</v>
      </c>
      <c r="BP730" s="45">
        <f t="shared" si="502"/>
        <v>7515.170972558516</v>
      </c>
      <c r="BQ730" s="41"/>
      <c r="BR730" s="41"/>
      <c r="BS730" s="41"/>
      <c r="BT730" s="41"/>
      <c r="BU730" s="41"/>
      <c r="BV730" s="41"/>
      <c r="BW730" s="85"/>
      <c r="BX730" s="30">
        <v>38.700000000000003</v>
      </c>
      <c r="BY730" s="30">
        <v>38.590000000000003</v>
      </c>
    </row>
    <row r="731" spans="1:77" ht="14.1" hidden="1" customHeight="1" x14ac:dyDescent="0.3">
      <c r="A731" s="138" t="s">
        <v>1465</v>
      </c>
      <c r="B731" s="146">
        <v>46172</v>
      </c>
      <c r="C731" s="138">
        <v>705</v>
      </c>
      <c r="D731" s="135" t="s">
        <v>1495</v>
      </c>
      <c r="E731" s="129">
        <v>46175</v>
      </c>
      <c r="F731" s="281" t="s">
        <v>1083</v>
      </c>
      <c r="G731" s="128" t="s">
        <v>1084</v>
      </c>
      <c r="H731" s="128" t="s">
        <v>1454</v>
      </c>
      <c r="I731" s="136"/>
      <c r="J731" s="138" t="s">
        <v>1455</v>
      </c>
      <c r="K731" s="136"/>
      <c r="L731" s="146">
        <v>46172</v>
      </c>
      <c r="M731" s="136"/>
      <c r="N731" s="128">
        <v>24</v>
      </c>
      <c r="O731" s="146">
        <v>46174</v>
      </c>
      <c r="P731" s="138">
        <v>0</v>
      </c>
      <c r="Q731" s="138">
        <v>100</v>
      </c>
      <c r="R731" s="138">
        <v>275</v>
      </c>
      <c r="S731" s="138">
        <v>375</v>
      </c>
      <c r="T731" s="138">
        <v>375</v>
      </c>
      <c r="U731" s="163">
        <v>0</v>
      </c>
      <c r="V731" s="136"/>
      <c r="W731" s="169">
        <v>255.8</v>
      </c>
      <c r="X731" s="169">
        <v>254.9</v>
      </c>
      <c r="Y731" s="148">
        <v>2046400</v>
      </c>
      <c r="Z731" s="138"/>
      <c r="AA731" s="148">
        <v>51160</v>
      </c>
      <c r="AB731" s="148">
        <v>51160</v>
      </c>
      <c r="AC731" s="148">
        <v>2148720</v>
      </c>
      <c r="AD731" s="285">
        <f t="shared" si="468"/>
        <v>2146571.2799999998</v>
      </c>
      <c r="AE731" s="147">
        <v>39.32</v>
      </c>
      <c r="AF731" s="147">
        <v>42</v>
      </c>
      <c r="AG731" s="147">
        <v>39.4</v>
      </c>
      <c r="AH731" s="294">
        <v>9.7999999999999997E-3</v>
      </c>
      <c r="AI731" s="287">
        <v>0.05</v>
      </c>
      <c r="AJ731" s="287">
        <v>4.4999999999999998E-2</v>
      </c>
      <c r="AK731" s="155">
        <f t="shared" si="486"/>
        <v>130579.80952380951</v>
      </c>
      <c r="AL731" s="157">
        <f>100*10+275*15</f>
        <v>5125</v>
      </c>
      <c r="AM731" s="199">
        <f>Y731*AH731</f>
        <v>20054.72</v>
      </c>
      <c r="AN731" s="295">
        <f>W731*15</f>
        <v>3837</v>
      </c>
      <c r="AO731" s="156">
        <f t="shared" si="487"/>
        <v>7200</v>
      </c>
      <c r="AP731" s="157"/>
      <c r="AQ731" s="155">
        <v>0</v>
      </c>
      <c r="AR731" s="155">
        <f t="shared" si="488"/>
        <v>166796.52952380953</v>
      </c>
      <c r="AS731" s="155">
        <f t="shared" si="489"/>
        <v>175136</v>
      </c>
      <c r="AT731" s="197">
        <v>90</v>
      </c>
      <c r="AU731" s="199"/>
      <c r="AV731" s="157"/>
      <c r="AW731" s="155">
        <f t="shared" si="490"/>
        <v>25580</v>
      </c>
      <c r="AX731" s="157"/>
      <c r="AY731" s="155">
        <f t="shared" si="491"/>
        <v>25580</v>
      </c>
      <c r="AZ731" s="155">
        <f t="shared" si="492"/>
        <v>25490</v>
      </c>
      <c r="BA731" s="242">
        <f t="shared" si="493"/>
        <v>90</v>
      </c>
      <c r="BB731" s="246">
        <f t="shared" si="494"/>
        <v>51.16</v>
      </c>
      <c r="BC731" s="155">
        <v>0</v>
      </c>
      <c r="BD731" s="157"/>
      <c r="BE731" s="138">
        <v>255.8</v>
      </c>
      <c r="BF731" s="197">
        <f t="shared" si="495"/>
        <v>0.38369999999999999</v>
      </c>
      <c r="BG731" s="197">
        <f t="shared" si="496"/>
        <v>255.41630000000001</v>
      </c>
      <c r="BH731" s="197">
        <f t="shared" si="497"/>
        <v>254.9</v>
      </c>
      <c r="BI731" s="243">
        <f t="shared" si="498"/>
        <v>90.000000000000568</v>
      </c>
      <c r="BJ731" s="243">
        <v>0</v>
      </c>
      <c r="BK731" s="155">
        <f t="shared" si="499"/>
        <v>90.000000000000568</v>
      </c>
      <c r="BL731" s="47"/>
      <c r="BM731" s="48" t="str">
        <f t="shared" si="500"/>
        <v>Unloading no. 705 Bill No 24 ,Deduction For Oil Deduction= 130579.80952381 ,Bardana= 5125 ,F.M= 20054.72 Brokerage/Rate Difference 3837 ,Shortage = 7200 ,Greenish=  ,Moisture= 0</v>
      </c>
      <c r="BN731" s="41"/>
      <c r="BO731" s="44" t="str">
        <f t="shared" si="501"/>
        <v xml:space="preserve"> Party Condition 42  ,F.M% 0.98 ,Greenish 5 ,Moisture 4.5 ,Shortage in KG= 90  ,Oil% 39.32</v>
      </c>
      <c r="BP731" s="45">
        <f t="shared" si="502"/>
        <v>7373.885721758299</v>
      </c>
      <c r="BQ731" s="41"/>
      <c r="BR731" s="41"/>
      <c r="BS731" s="41"/>
      <c r="BT731" s="41"/>
      <c r="BU731" s="41"/>
      <c r="BV731" s="41"/>
      <c r="BW731" s="85"/>
      <c r="BX731" s="30">
        <v>39.32</v>
      </c>
      <c r="BY731" s="30">
        <v>39.4</v>
      </c>
    </row>
    <row r="732" spans="1:77" ht="14.1" hidden="1" customHeight="1" x14ac:dyDescent="0.3">
      <c r="A732" s="297" t="s">
        <v>1471</v>
      </c>
      <c r="B732" s="298">
        <v>46172</v>
      </c>
      <c r="C732" s="297">
        <v>706</v>
      </c>
      <c r="D732" s="299" t="s">
        <v>1496</v>
      </c>
      <c r="E732" s="300">
        <v>46175</v>
      </c>
      <c r="F732" s="301" t="s">
        <v>1144</v>
      </c>
      <c r="G732" s="302" t="s">
        <v>1145</v>
      </c>
      <c r="H732" s="302" t="s">
        <v>100</v>
      </c>
      <c r="I732" s="303"/>
      <c r="J732" s="297" t="s">
        <v>1146</v>
      </c>
      <c r="K732" s="304"/>
      <c r="L732" s="298">
        <v>46172</v>
      </c>
      <c r="M732" s="303"/>
      <c r="N732" s="302" t="s">
        <v>1528</v>
      </c>
      <c r="O732" s="298">
        <v>46175</v>
      </c>
      <c r="P732" s="297">
        <v>0</v>
      </c>
      <c r="Q732" s="297">
        <v>140</v>
      </c>
      <c r="R732" s="275">
        <v>27</v>
      </c>
      <c r="S732" s="275">
        <v>167</v>
      </c>
      <c r="T732" s="275">
        <v>167</v>
      </c>
      <c r="U732" s="209">
        <v>0</v>
      </c>
      <c r="V732" s="176"/>
      <c r="W732" s="179">
        <v>84.2</v>
      </c>
      <c r="X732" s="179">
        <v>84.1</v>
      </c>
      <c r="Y732" s="305">
        <v>669474.19999999995</v>
      </c>
      <c r="Z732" s="306">
        <v>39.659999999999997</v>
      </c>
      <c r="AA732" s="305">
        <v>16736.86</v>
      </c>
      <c r="AB732" s="305">
        <v>16736.86</v>
      </c>
      <c r="AC732" s="305">
        <v>702947.91</v>
      </c>
      <c r="AD732" s="307">
        <f t="shared" si="468"/>
        <v>702244.96209000004</v>
      </c>
      <c r="AE732" s="178">
        <v>39.659999999999997</v>
      </c>
      <c r="AF732" s="178">
        <v>42</v>
      </c>
      <c r="AG732" s="178">
        <v>39.659999999999997</v>
      </c>
      <c r="AH732" s="308">
        <v>3.5000000000000001E-3</v>
      </c>
      <c r="AI732" s="308">
        <v>3.3000000000000002E-2</v>
      </c>
      <c r="AJ732" s="308">
        <v>5.6000000000000001E-2</v>
      </c>
      <c r="AK732" s="184">
        <f t="shared" si="486"/>
        <v>37299.276857142904</v>
      </c>
      <c r="AL732" s="208">
        <v>0</v>
      </c>
      <c r="AM732" s="208"/>
      <c r="AN732" s="257">
        <v>0</v>
      </c>
      <c r="AO732" s="258">
        <f t="shared" si="487"/>
        <v>0</v>
      </c>
      <c r="AP732" s="208"/>
      <c r="AQ732" s="184">
        <v>0</v>
      </c>
      <c r="AR732" s="184">
        <f t="shared" si="488"/>
        <v>37299.276857142904</v>
      </c>
      <c r="AS732" s="184">
        <f t="shared" si="489"/>
        <v>39164</v>
      </c>
      <c r="AT732" s="210">
        <v>0</v>
      </c>
      <c r="AU732" s="257"/>
      <c r="AV732" s="208"/>
      <c r="AW732" s="184">
        <f t="shared" si="490"/>
        <v>8420</v>
      </c>
      <c r="AX732" s="208"/>
      <c r="AY732" s="184">
        <f t="shared" si="491"/>
        <v>8420</v>
      </c>
      <c r="AZ732" s="184">
        <f t="shared" si="492"/>
        <v>8410</v>
      </c>
      <c r="BA732" s="259">
        <f t="shared" si="493"/>
        <v>10</v>
      </c>
      <c r="BB732" s="260">
        <f t="shared" si="494"/>
        <v>16.84</v>
      </c>
      <c r="BC732" s="184">
        <v>0</v>
      </c>
      <c r="BD732" s="208"/>
      <c r="BE732" s="275">
        <v>84.2</v>
      </c>
      <c r="BF732" s="210">
        <f t="shared" si="495"/>
        <v>0.1263</v>
      </c>
      <c r="BG732" s="197">
        <f t="shared" si="496"/>
        <v>84.073700000000002</v>
      </c>
      <c r="BH732" s="210">
        <f t="shared" si="497"/>
        <v>84.1</v>
      </c>
      <c r="BI732" s="261">
        <f t="shared" si="498"/>
        <v>10.000000000000853</v>
      </c>
      <c r="BJ732" s="261">
        <v>0</v>
      </c>
      <c r="BK732" s="184">
        <f t="shared" si="499"/>
        <v>10.000000000000853</v>
      </c>
      <c r="BL732" s="61"/>
      <c r="BM732" s="62" t="str">
        <f t="shared" si="500"/>
        <v>Unloading no. 706 Bill No 2026-27/131 ,Deduction For Oil Deduction= 37299.2768571429 ,Bardana= 0 ,F.M=  Brokerage/Rate Difference 0 ,Shortage = 0 ,Greenish=  ,Moisture= 0</v>
      </c>
      <c r="BN732" s="52"/>
      <c r="BO732" s="53" t="str">
        <f t="shared" si="501"/>
        <v xml:space="preserve"> Party Condition 42  ,F.M% 0.35 ,Greenish 3.3 ,Moisture 5.6 ,Shortage in KG= 0  ,Oil% 39.66</v>
      </c>
      <c r="BP732" s="54">
        <f t="shared" si="502"/>
        <v>7516.9432002717849</v>
      </c>
      <c r="BQ732" s="52"/>
      <c r="BR732" s="52"/>
      <c r="BS732" s="52"/>
      <c r="BT732" s="52"/>
      <c r="BU732" s="52"/>
      <c r="BV732" s="52"/>
      <c r="BW732" s="86"/>
      <c r="BX732" s="30">
        <v>39.79</v>
      </c>
      <c r="BY732" s="30">
        <v>39.61</v>
      </c>
    </row>
    <row r="733" spans="1:77" ht="14.1" hidden="1" customHeight="1" x14ac:dyDescent="0.3">
      <c r="A733" s="309" t="s">
        <v>1536</v>
      </c>
      <c r="B733" s="310">
        <v>46174</v>
      </c>
      <c r="C733" s="309">
        <v>707</v>
      </c>
      <c r="D733" s="191" t="s">
        <v>1541</v>
      </c>
      <c r="E733" s="311">
        <v>46175</v>
      </c>
      <c r="F733" s="312" t="s">
        <v>1450</v>
      </c>
      <c r="G733" s="161" t="s">
        <v>1451</v>
      </c>
      <c r="H733" s="161" t="s">
        <v>199</v>
      </c>
      <c r="I733" s="193"/>
      <c r="J733" s="309" t="s">
        <v>113</v>
      </c>
      <c r="K733" s="193"/>
      <c r="L733" s="310">
        <v>46174</v>
      </c>
      <c r="M733" s="193"/>
      <c r="N733" s="161" t="s">
        <v>1577</v>
      </c>
      <c r="O733" s="310">
        <v>46174</v>
      </c>
      <c r="P733" s="309">
        <v>0</v>
      </c>
      <c r="Q733" s="309">
        <v>260</v>
      </c>
      <c r="R733" s="309">
        <v>0</v>
      </c>
      <c r="S733" s="309">
        <v>260</v>
      </c>
      <c r="T733" s="309">
        <v>260</v>
      </c>
      <c r="U733" s="161">
        <v>0</v>
      </c>
      <c r="V733" s="193"/>
      <c r="W733" s="313">
        <v>156</v>
      </c>
      <c r="X733" s="313">
        <v>158.1</v>
      </c>
      <c r="Y733" s="314">
        <v>1205859.72</v>
      </c>
      <c r="Z733" s="161"/>
      <c r="AA733" s="314">
        <v>30146.49</v>
      </c>
      <c r="AB733" s="314">
        <v>30146.49</v>
      </c>
      <c r="AC733" s="314">
        <v>1266152.71</v>
      </c>
      <c r="AD733" s="315">
        <f t="shared" si="468"/>
        <v>1264886.5572899999</v>
      </c>
      <c r="AE733" s="316">
        <v>39.33</v>
      </c>
      <c r="AF733" s="316">
        <v>40.200000000000003</v>
      </c>
      <c r="AG733" s="309">
        <v>39.36</v>
      </c>
      <c r="AH733" s="317">
        <v>3.8E-3</v>
      </c>
      <c r="AI733" s="317">
        <v>4.3999999999999997E-2</v>
      </c>
      <c r="AJ733" s="317">
        <v>4.8000000000000001E-2</v>
      </c>
      <c r="AK733" s="318">
        <f t="shared" ref="AK733:AK766" si="504">+IF(AF733=42,IF(MIN(AE733,AG733)&lt;AF733,Y733*((AF733-MIN(AE733,AG733))/AF733)),IF(MIN(AE733,AG733)&lt;AF733,Y733*((AF733-MIN(AE733,AG733))/AF733),0))</f>
        <v>26096.964089552373</v>
      </c>
      <c r="AL733" s="193">
        <v>0</v>
      </c>
      <c r="AM733" s="193"/>
      <c r="AN733" s="319">
        <v>0</v>
      </c>
      <c r="AO733" s="320">
        <f t="shared" ref="AO733:AO766" si="505">AT733*Y733/AW733</f>
        <v>0</v>
      </c>
      <c r="AP733" s="193"/>
      <c r="AQ733" s="318">
        <v>0</v>
      </c>
      <c r="AR733" s="318">
        <f t="shared" ref="AR733:AR766" si="506">SUM(AK733:AQ733)</f>
        <v>26096.964089552373</v>
      </c>
      <c r="AS733" s="318">
        <f t="shared" ref="AS733:AS766" si="507">ROUND(AR733*1.05,0)</f>
        <v>27402</v>
      </c>
      <c r="AT733" s="321">
        <v>0</v>
      </c>
      <c r="AU733" s="319"/>
      <c r="AV733" s="193"/>
      <c r="AW733" s="318">
        <f t="shared" ref="AW733:AW766" si="508">W733*100</f>
        <v>15600</v>
      </c>
      <c r="AX733" s="193"/>
      <c r="AY733" s="318">
        <f t="shared" ref="AY733:AY766" si="509">+AW733+AX733</f>
        <v>15600</v>
      </c>
      <c r="AZ733" s="318">
        <f t="shared" ref="AZ733:AZ766" si="510">X733*100</f>
        <v>15810</v>
      </c>
      <c r="BA733" s="318">
        <f t="shared" ref="BA733:BA766" si="511">AY733-AZ733</f>
        <v>-210</v>
      </c>
      <c r="BB733" s="318">
        <f t="shared" ref="BB733:BB766" si="512">AW733*2/1000</f>
        <v>31.2</v>
      </c>
      <c r="BC733" s="318">
        <v>0</v>
      </c>
      <c r="BD733" s="193"/>
      <c r="BE733" s="309">
        <v>158.1</v>
      </c>
      <c r="BF733" s="321">
        <f t="shared" ref="BF733:BF766" si="513">+BE733*0.15/100</f>
        <v>0.23715</v>
      </c>
      <c r="BG733" s="197">
        <f t="shared" si="496"/>
        <v>157.86284999999998</v>
      </c>
      <c r="BH733" s="321">
        <f t="shared" ref="BH733:BH766" si="514">X733</f>
        <v>158.1</v>
      </c>
      <c r="BI733" s="322">
        <f t="shared" ref="BI733:BI766" si="515">(BE733-BH733)*100</f>
        <v>0</v>
      </c>
      <c r="BJ733" s="322">
        <v>0</v>
      </c>
      <c r="BK733" s="318">
        <f t="shared" ref="BK733:BK766" si="516">BI733</f>
        <v>0</v>
      </c>
      <c r="BL733" s="67"/>
      <c r="BM733" s="68" t="str">
        <f t="shared" ref="BM733:BM766" si="517">+$C$1&amp;" "&amp;C733 &amp;" "&amp;$N$1&amp;" "&amp;N733&amp;" "&amp;$BM$1&amp;" "&amp;$AK$1&amp;" "&amp;AK733&amp;" "&amp;$AL$1&amp;" "&amp;AL733&amp;" "&amp;$AM$1&amp;" "&amp;AM733&amp;" "&amp;$AN$1&amp;" "&amp;AN733&amp;" "&amp;$AO$1&amp;" "&amp;AO733&amp;" "&amp;$AP$1&amp;" "&amp;AP733&amp;" "&amp;$AQ$1&amp;" "&amp;AQ733</f>
        <v>Unloading no. 707 Bill No ST-17 ,Deduction For Oil Deduction= 26096.9640895524 ,Bardana= 0 ,F.M=  Brokerage/Rate Difference 0 ,Shortage = 0 ,Greenish=  ,Moisture= 0</v>
      </c>
      <c r="BN733" s="69"/>
      <c r="BO733" s="70" t="str">
        <f t="shared" ref="BO733:BO766" si="518">+" "&amp;$AF$1&amp;" "&amp;AF733&amp;" "&amp;" "&amp;$AH$1&amp;" "&amp;AH733*100&amp;" "&amp;$AI$1&amp;" "&amp;AI733*100&amp;" "&amp;$AJ$1&amp;" "&amp;AJ733*100&amp;" ,"&amp;$AT$1&amp;" "&amp;AT733&amp;" "&amp;IF(AE733&gt;AG733," ,Oil%"&amp;" "&amp;AG733," ,Oil%"&amp;" "&amp;AE733)</f>
        <v xml:space="preserve"> Party Condition 40.2  ,F.M% 0.38 ,Greenish 4.4 ,Moisture 4.8 ,Shortage in KG= 0  ,Oil% 39.33</v>
      </c>
      <c r="BP733" s="71">
        <f t="shared" ref="BP733:BP766" si="519">(Y733-AR733)/X733</f>
        <v>7462.1300184089032</v>
      </c>
      <c r="BQ733" s="69"/>
      <c r="BR733" s="69"/>
      <c r="BS733" s="69"/>
      <c r="BT733" s="69"/>
      <c r="BU733" s="69"/>
      <c r="BV733" s="69"/>
      <c r="BW733" s="94"/>
      <c r="BX733" s="30">
        <v>39.33</v>
      </c>
      <c r="BY733" s="30">
        <v>39.36</v>
      </c>
    </row>
    <row r="734" spans="1:77" ht="14.1" hidden="1" customHeight="1" x14ac:dyDescent="0.3">
      <c r="A734" s="309" t="s">
        <v>1464</v>
      </c>
      <c r="B734" s="310">
        <v>46172</v>
      </c>
      <c r="C734" s="309">
        <v>708</v>
      </c>
      <c r="D734" s="191" t="s">
        <v>1542</v>
      </c>
      <c r="E734" s="311">
        <v>46176</v>
      </c>
      <c r="F734" s="312" t="s">
        <v>1509</v>
      </c>
      <c r="G734" s="161" t="s">
        <v>1510</v>
      </c>
      <c r="H734" s="161" t="s">
        <v>1511</v>
      </c>
      <c r="I734" s="193"/>
      <c r="J734" s="309" t="s">
        <v>1455</v>
      </c>
      <c r="K734" s="193"/>
      <c r="L734" s="310">
        <v>46172</v>
      </c>
      <c r="M734" s="193"/>
      <c r="N734" s="161" t="s">
        <v>1578</v>
      </c>
      <c r="O734" s="310">
        <v>46174</v>
      </c>
      <c r="P734" s="309">
        <v>0</v>
      </c>
      <c r="Q734" s="309">
        <v>80</v>
      </c>
      <c r="R734" s="309">
        <v>510</v>
      </c>
      <c r="S734" s="309">
        <v>590</v>
      </c>
      <c r="T734" s="309">
        <v>590</v>
      </c>
      <c r="U734" s="161">
        <v>0</v>
      </c>
      <c r="V734" s="193"/>
      <c r="W734" s="313">
        <v>350.4</v>
      </c>
      <c r="X734" s="313">
        <v>350.4</v>
      </c>
      <c r="Y734" s="314">
        <v>2803200</v>
      </c>
      <c r="Z734" s="161"/>
      <c r="AA734" s="314">
        <v>70080</v>
      </c>
      <c r="AB734" s="314">
        <v>70080</v>
      </c>
      <c r="AC734" s="314">
        <v>2943360</v>
      </c>
      <c r="AD734" s="315">
        <f t="shared" si="468"/>
        <v>2940416.64</v>
      </c>
      <c r="AE734" s="316">
        <v>41.01</v>
      </c>
      <c r="AF734" s="316">
        <v>42</v>
      </c>
      <c r="AG734" s="309">
        <v>40.799999999999997</v>
      </c>
      <c r="AH734" s="323">
        <v>6.4000000000000003E-3</v>
      </c>
      <c r="AI734" s="317">
        <v>4.7699999999999999E-2</v>
      </c>
      <c r="AJ734" s="317">
        <v>4.4999999999999998E-2</v>
      </c>
      <c r="AK734" s="318">
        <f t="shared" si="504"/>
        <v>80091.428571428769</v>
      </c>
      <c r="AL734" s="193">
        <f>80*10+510*15</f>
        <v>8450</v>
      </c>
      <c r="AM734" s="319">
        <f>Y734*AH734</f>
        <v>17940.48</v>
      </c>
      <c r="AN734" s="319">
        <v>0</v>
      </c>
      <c r="AO734" s="320">
        <f t="shared" si="505"/>
        <v>0</v>
      </c>
      <c r="AP734" s="193"/>
      <c r="AQ734" s="318">
        <v>0</v>
      </c>
      <c r="AR734" s="318">
        <f t="shared" si="506"/>
        <v>106481.90857142876</v>
      </c>
      <c r="AS734" s="318">
        <f t="shared" si="507"/>
        <v>111806</v>
      </c>
      <c r="AT734" s="321">
        <v>0</v>
      </c>
      <c r="AU734" s="319"/>
      <c r="AV734" s="193"/>
      <c r="AW734" s="318">
        <f t="shared" si="508"/>
        <v>35040</v>
      </c>
      <c r="AX734" s="193"/>
      <c r="AY734" s="318">
        <f t="shared" si="509"/>
        <v>35040</v>
      </c>
      <c r="AZ734" s="318">
        <f t="shared" si="510"/>
        <v>35040</v>
      </c>
      <c r="BA734" s="318">
        <f t="shared" si="511"/>
        <v>0</v>
      </c>
      <c r="BB734" s="318">
        <f t="shared" si="512"/>
        <v>70.08</v>
      </c>
      <c r="BC734" s="318">
        <v>0</v>
      </c>
      <c r="BD734" s="193"/>
      <c r="BE734" s="309">
        <v>350.4</v>
      </c>
      <c r="BF734" s="321">
        <f t="shared" si="513"/>
        <v>0.52559999999999996</v>
      </c>
      <c r="BG734" s="197">
        <f t="shared" si="496"/>
        <v>349.87439999999998</v>
      </c>
      <c r="BH734" s="321">
        <f t="shared" si="514"/>
        <v>350.4</v>
      </c>
      <c r="BI734" s="322">
        <f t="shared" si="515"/>
        <v>0</v>
      </c>
      <c r="BJ734" s="322">
        <v>0</v>
      </c>
      <c r="BK734" s="318">
        <f t="shared" si="516"/>
        <v>0</v>
      </c>
      <c r="BL734" s="67"/>
      <c r="BM734" s="68" t="str">
        <f t="shared" si="517"/>
        <v>Unloading no. 708 Bill No 2026-27/023 ,Deduction For Oil Deduction= 80091.4285714288 ,Bardana= 8450 ,F.M= 17940.48 Brokerage/Rate Difference 0 ,Shortage = 0 ,Greenish=  ,Moisture= 0</v>
      </c>
      <c r="BN734" s="69"/>
      <c r="BO734" s="70" t="str">
        <f t="shared" si="518"/>
        <v xml:space="preserve"> Party Condition 42  ,F.M% 0.64 ,Greenish 4.77 ,Moisture 4.5 ,Shortage in KG= 0  ,Oil% 40.8</v>
      </c>
      <c r="BP734" s="71">
        <f t="shared" si="519"/>
        <v>7696.1132746249186</v>
      </c>
      <c r="BQ734" s="69"/>
      <c r="BR734" s="69"/>
      <c r="BS734" s="69"/>
      <c r="BT734" s="69"/>
      <c r="BU734" s="69"/>
      <c r="BV734" s="69"/>
      <c r="BW734" s="94"/>
      <c r="BX734" s="30">
        <v>41.01</v>
      </c>
      <c r="BY734" s="30">
        <v>40.799999999999997</v>
      </c>
    </row>
    <row r="735" spans="1:77" ht="14.1" hidden="1" customHeight="1" x14ac:dyDescent="0.3">
      <c r="A735" s="309" t="s">
        <v>1537</v>
      </c>
      <c r="B735" s="310">
        <v>46175</v>
      </c>
      <c r="C735" s="309">
        <v>709</v>
      </c>
      <c r="D735" s="191" t="s">
        <v>1543</v>
      </c>
      <c r="E735" s="311">
        <v>46176</v>
      </c>
      <c r="F735" s="312" t="s">
        <v>1083</v>
      </c>
      <c r="G735" s="161" t="s">
        <v>1084</v>
      </c>
      <c r="H735" s="161" t="s">
        <v>1454</v>
      </c>
      <c r="I735" s="193"/>
      <c r="J735" s="309" t="s">
        <v>1455</v>
      </c>
      <c r="K735" s="193"/>
      <c r="L735" s="310">
        <v>46175</v>
      </c>
      <c r="M735" s="193"/>
      <c r="N735" s="161">
        <v>26</v>
      </c>
      <c r="O735" s="310">
        <v>46175</v>
      </c>
      <c r="P735" s="309">
        <v>0</v>
      </c>
      <c r="Q735" s="309">
        <v>310</v>
      </c>
      <c r="R735" s="309">
        <v>70</v>
      </c>
      <c r="S735" s="309">
        <v>380</v>
      </c>
      <c r="T735" s="309">
        <v>380</v>
      </c>
      <c r="U735" s="161">
        <v>0</v>
      </c>
      <c r="V735" s="193"/>
      <c r="W735" s="313">
        <v>254.4</v>
      </c>
      <c r="X735" s="313">
        <v>253.7</v>
      </c>
      <c r="Y735" s="314">
        <v>2067000</v>
      </c>
      <c r="Z735" s="161"/>
      <c r="AA735" s="314">
        <v>51675</v>
      </c>
      <c r="AB735" s="314">
        <v>51675</v>
      </c>
      <c r="AC735" s="314">
        <v>2170350</v>
      </c>
      <c r="AD735" s="315">
        <f t="shared" si="468"/>
        <v>2168179.65</v>
      </c>
      <c r="AE735" s="316">
        <v>39.58</v>
      </c>
      <c r="AF735" s="316">
        <v>42</v>
      </c>
      <c r="AG735" s="309">
        <v>39.4</v>
      </c>
      <c r="AH735" s="323">
        <v>5.5999999999999999E-3</v>
      </c>
      <c r="AI735" s="317">
        <v>3.32E-2</v>
      </c>
      <c r="AJ735" s="317">
        <v>4.8000000000000001E-2</v>
      </c>
      <c r="AK735" s="318">
        <f t="shared" si="504"/>
        <v>127957.14285714293</v>
      </c>
      <c r="AL735" s="193">
        <f>310*10+70*15</f>
        <v>4150</v>
      </c>
      <c r="AM735" s="319">
        <f>Y735*AH735</f>
        <v>11575.2</v>
      </c>
      <c r="AN735" s="324">
        <f>W735*15</f>
        <v>3816</v>
      </c>
      <c r="AO735" s="320">
        <f t="shared" si="505"/>
        <v>5687.5</v>
      </c>
      <c r="AP735" s="193"/>
      <c r="AQ735" s="318">
        <v>0</v>
      </c>
      <c r="AR735" s="318">
        <f t="shared" si="506"/>
        <v>153185.84285714294</v>
      </c>
      <c r="AS735" s="318">
        <f t="shared" si="507"/>
        <v>160845</v>
      </c>
      <c r="AT735" s="321">
        <v>70</v>
      </c>
      <c r="AU735" s="319"/>
      <c r="AV735" s="193"/>
      <c r="AW735" s="318">
        <f t="shared" si="508"/>
        <v>25440</v>
      </c>
      <c r="AX735" s="193"/>
      <c r="AY735" s="318">
        <f t="shared" si="509"/>
        <v>25440</v>
      </c>
      <c r="AZ735" s="318">
        <f t="shared" si="510"/>
        <v>25370</v>
      </c>
      <c r="BA735" s="318">
        <f t="shared" si="511"/>
        <v>70</v>
      </c>
      <c r="BB735" s="318">
        <f t="shared" si="512"/>
        <v>50.88</v>
      </c>
      <c r="BC735" s="318">
        <v>0</v>
      </c>
      <c r="BD735" s="193"/>
      <c r="BE735" s="309">
        <v>254.4</v>
      </c>
      <c r="BF735" s="321">
        <f t="shared" si="513"/>
        <v>0.38159999999999994</v>
      </c>
      <c r="BG735" s="197">
        <f t="shared" si="496"/>
        <v>254.01840000000001</v>
      </c>
      <c r="BH735" s="321">
        <f t="shared" si="514"/>
        <v>253.7</v>
      </c>
      <c r="BI735" s="322">
        <f t="shared" si="515"/>
        <v>70.000000000001705</v>
      </c>
      <c r="BJ735" s="322">
        <v>0</v>
      </c>
      <c r="BK735" s="318">
        <f t="shared" si="516"/>
        <v>70.000000000001705</v>
      </c>
      <c r="BL735" s="67"/>
      <c r="BM735" s="68" t="str">
        <f t="shared" si="517"/>
        <v>Unloading no. 709 Bill No 26 ,Deduction For Oil Deduction= 127957.142857143 ,Bardana= 4150 ,F.M= 11575.2 Brokerage/Rate Difference 3816 ,Shortage = 5687.5 ,Greenish=  ,Moisture= 0</v>
      </c>
      <c r="BN735" s="69"/>
      <c r="BO735" s="70" t="str">
        <f t="shared" si="518"/>
        <v xml:space="preserve"> Party Condition 42  ,F.M% 0.56 ,Greenish 3.32 ,Moisture 4.8 ,Shortage in KG= 70  ,Oil% 39.4</v>
      </c>
      <c r="BP735" s="71">
        <f t="shared" si="519"/>
        <v>7543.6111830621094</v>
      </c>
      <c r="BQ735" s="69"/>
      <c r="BR735" s="69"/>
      <c r="BS735" s="69"/>
      <c r="BT735" s="69"/>
      <c r="BU735" s="69"/>
      <c r="BV735" s="69"/>
      <c r="BW735" s="94"/>
      <c r="BX735" s="30">
        <v>39.58</v>
      </c>
      <c r="BY735" s="30">
        <v>39.4</v>
      </c>
    </row>
    <row r="736" spans="1:77" ht="14.1" hidden="1" customHeight="1" x14ac:dyDescent="0.3">
      <c r="A736" s="309" t="s">
        <v>1537</v>
      </c>
      <c r="B736" s="310">
        <v>46175</v>
      </c>
      <c r="C736" s="309">
        <v>710</v>
      </c>
      <c r="D736" s="191" t="s">
        <v>1544</v>
      </c>
      <c r="E736" s="311">
        <v>46176</v>
      </c>
      <c r="F736" s="312" t="s">
        <v>1083</v>
      </c>
      <c r="G736" s="161" t="s">
        <v>1084</v>
      </c>
      <c r="H736" s="161" t="s">
        <v>1454</v>
      </c>
      <c r="I736" s="193"/>
      <c r="J736" s="309" t="s">
        <v>1455</v>
      </c>
      <c r="K736" s="193"/>
      <c r="L736" s="310">
        <v>46175</v>
      </c>
      <c r="M736" s="193"/>
      <c r="N736" s="161">
        <v>28</v>
      </c>
      <c r="O736" s="310">
        <v>46175</v>
      </c>
      <c r="P736" s="309">
        <v>0</v>
      </c>
      <c r="Q736" s="309">
        <v>90</v>
      </c>
      <c r="R736" s="309">
        <v>290</v>
      </c>
      <c r="S736" s="309">
        <v>380</v>
      </c>
      <c r="T736" s="309">
        <v>380</v>
      </c>
      <c r="U736" s="161">
        <v>0</v>
      </c>
      <c r="V736" s="193"/>
      <c r="W736" s="313">
        <v>252.1</v>
      </c>
      <c r="X736" s="313">
        <v>251.8</v>
      </c>
      <c r="Y736" s="314">
        <v>2048312.5</v>
      </c>
      <c r="Z736" s="161"/>
      <c r="AA736" s="314">
        <v>51207.81</v>
      </c>
      <c r="AB736" s="314">
        <v>51207.81</v>
      </c>
      <c r="AC736" s="314">
        <v>2150728.13</v>
      </c>
      <c r="AD736" s="315">
        <f t="shared" si="468"/>
        <v>2148577.4018699997</v>
      </c>
      <c r="AE736" s="316">
        <v>39.76</v>
      </c>
      <c r="AF736" s="316">
        <v>42</v>
      </c>
      <c r="AG736" s="309">
        <v>39.56</v>
      </c>
      <c r="AH736" s="323">
        <v>6.0000000000000001E-3</v>
      </c>
      <c r="AI736" s="317">
        <v>3.4500000000000003E-2</v>
      </c>
      <c r="AJ736" s="317">
        <v>5.0999999999999997E-2</v>
      </c>
      <c r="AK736" s="318">
        <f t="shared" si="504"/>
        <v>118997.20238095227</v>
      </c>
      <c r="AL736" s="193">
        <f>90*10+290*15</f>
        <v>5250</v>
      </c>
      <c r="AM736" s="319">
        <f>Y736*AH736</f>
        <v>12289.875</v>
      </c>
      <c r="AN736" s="324">
        <f>W736*15</f>
        <v>3781.5</v>
      </c>
      <c r="AO736" s="320">
        <f t="shared" si="505"/>
        <v>2437.5</v>
      </c>
      <c r="AP736" s="193"/>
      <c r="AQ736" s="318">
        <v>0</v>
      </c>
      <c r="AR736" s="318">
        <f t="shared" si="506"/>
        <v>142756.07738095225</v>
      </c>
      <c r="AS736" s="318">
        <f t="shared" si="507"/>
        <v>149894</v>
      </c>
      <c r="AT736" s="321">
        <v>30</v>
      </c>
      <c r="AU736" s="319"/>
      <c r="AV736" s="193"/>
      <c r="AW736" s="318">
        <f t="shared" si="508"/>
        <v>25210</v>
      </c>
      <c r="AX736" s="193"/>
      <c r="AY736" s="318">
        <f t="shared" si="509"/>
        <v>25210</v>
      </c>
      <c r="AZ736" s="318">
        <f t="shared" si="510"/>
        <v>25180</v>
      </c>
      <c r="BA736" s="318">
        <f t="shared" si="511"/>
        <v>30</v>
      </c>
      <c r="BB736" s="318">
        <f t="shared" si="512"/>
        <v>50.42</v>
      </c>
      <c r="BC736" s="318">
        <v>0</v>
      </c>
      <c r="BD736" s="193"/>
      <c r="BE736" s="309">
        <v>252.1</v>
      </c>
      <c r="BF736" s="321">
        <f t="shared" si="513"/>
        <v>0.37814999999999999</v>
      </c>
      <c r="BG736" s="197">
        <f t="shared" si="496"/>
        <v>251.72184999999999</v>
      </c>
      <c r="BH736" s="321">
        <f t="shared" si="514"/>
        <v>251.8</v>
      </c>
      <c r="BI736" s="322">
        <f t="shared" si="515"/>
        <v>29.999999999998295</v>
      </c>
      <c r="BJ736" s="322">
        <v>0</v>
      </c>
      <c r="BK736" s="318">
        <f t="shared" si="516"/>
        <v>29.999999999998295</v>
      </c>
      <c r="BL736" s="67"/>
      <c r="BM736" s="68" t="str">
        <f t="shared" si="517"/>
        <v>Unloading no. 710 Bill No 28 ,Deduction For Oil Deduction= 118997.202380952 ,Bardana= 5250 ,F.M= 12289.875 Brokerage/Rate Difference 3781.5 ,Shortage = 2437.5 ,Greenish=  ,Moisture= 0</v>
      </c>
      <c r="BN736" s="69"/>
      <c r="BO736" s="70" t="str">
        <f t="shared" si="518"/>
        <v xml:space="preserve"> Party Condition 42  ,F.M% 0.6 ,Greenish 3.45 ,Moisture 5.1 ,Shortage in KG= 30  ,Oil% 39.56</v>
      </c>
      <c r="BP736" s="71">
        <f t="shared" si="519"/>
        <v>7567.7379770414918</v>
      </c>
      <c r="BQ736" s="69"/>
      <c r="BR736" s="69"/>
      <c r="BS736" s="69"/>
      <c r="BT736" s="69"/>
      <c r="BU736" s="69"/>
      <c r="BV736" s="69"/>
      <c r="BW736" s="94"/>
      <c r="BX736" s="30">
        <v>39.76</v>
      </c>
      <c r="BY736" s="30">
        <v>39.56</v>
      </c>
    </row>
    <row r="737" spans="1:77" ht="14.1" hidden="1" customHeight="1" x14ac:dyDescent="0.3">
      <c r="A737" s="309" t="s">
        <v>1537</v>
      </c>
      <c r="B737" s="310">
        <v>46175</v>
      </c>
      <c r="C737" s="309">
        <v>711</v>
      </c>
      <c r="D737" s="191" t="s">
        <v>1545</v>
      </c>
      <c r="E737" s="311">
        <v>46176</v>
      </c>
      <c r="F737" s="312" t="s">
        <v>1083</v>
      </c>
      <c r="G737" s="161" t="s">
        <v>1084</v>
      </c>
      <c r="H737" s="161" t="s">
        <v>1454</v>
      </c>
      <c r="I737" s="193"/>
      <c r="J737" s="309" t="s">
        <v>1455</v>
      </c>
      <c r="K737" s="193"/>
      <c r="L737" s="310">
        <v>46175</v>
      </c>
      <c r="M737" s="193"/>
      <c r="N737" s="161">
        <v>27</v>
      </c>
      <c r="O737" s="310">
        <v>46175</v>
      </c>
      <c r="P737" s="309">
        <v>0</v>
      </c>
      <c r="Q737" s="309">
        <v>280</v>
      </c>
      <c r="R737" s="309">
        <v>90</v>
      </c>
      <c r="S737" s="309">
        <v>370</v>
      </c>
      <c r="T737" s="309">
        <v>370</v>
      </c>
      <c r="U737" s="161">
        <v>0</v>
      </c>
      <c r="V737" s="193"/>
      <c r="W737" s="313">
        <v>243.45</v>
      </c>
      <c r="X737" s="313">
        <v>242.4</v>
      </c>
      <c r="Y737" s="314">
        <v>1978031.25</v>
      </c>
      <c r="Z737" s="161"/>
      <c r="AA737" s="314">
        <v>49450.78</v>
      </c>
      <c r="AB737" s="314">
        <v>49450.78</v>
      </c>
      <c r="AC737" s="314">
        <v>2076932.81</v>
      </c>
      <c r="AD737" s="315">
        <f t="shared" si="468"/>
        <v>2074855.8771900001</v>
      </c>
      <c r="AE737" s="316">
        <v>40</v>
      </c>
      <c r="AF737" s="316">
        <v>42</v>
      </c>
      <c r="AG737" s="309">
        <v>39.85</v>
      </c>
      <c r="AH737" s="323">
        <v>5.4999999999999997E-3</v>
      </c>
      <c r="AI737" s="317">
        <v>3.5000000000000003E-2</v>
      </c>
      <c r="AJ737" s="317">
        <v>4.9000000000000002E-2</v>
      </c>
      <c r="AK737" s="318">
        <f t="shared" si="504"/>
        <v>101256.36160714278</v>
      </c>
      <c r="AL737" s="193">
        <f>280*10+90*15</f>
        <v>4150</v>
      </c>
      <c r="AM737" s="319">
        <f>Y737*AH737</f>
        <v>10879.171875</v>
      </c>
      <c r="AN737" s="324">
        <f>W737*15</f>
        <v>3651.75</v>
      </c>
      <c r="AO737" s="320">
        <f t="shared" si="505"/>
        <v>8531.25</v>
      </c>
      <c r="AP737" s="193"/>
      <c r="AQ737" s="318">
        <v>0</v>
      </c>
      <c r="AR737" s="318">
        <f t="shared" si="506"/>
        <v>128468.53348214278</v>
      </c>
      <c r="AS737" s="318">
        <f t="shared" si="507"/>
        <v>134892</v>
      </c>
      <c r="AT737" s="321">
        <v>105</v>
      </c>
      <c r="AU737" s="319"/>
      <c r="AV737" s="193"/>
      <c r="AW737" s="318">
        <f t="shared" si="508"/>
        <v>24345</v>
      </c>
      <c r="AX737" s="193"/>
      <c r="AY737" s="318">
        <f t="shared" si="509"/>
        <v>24345</v>
      </c>
      <c r="AZ737" s="318">
        <f t="shared" si="510"/>
        <v>24240</v>
      </c>
      <c r="BA737" s="318">
        <f t="shared" si="511"/>
        <v>105</v>
      </c>
      <c r="BB737" s="318">
        <f t="shared" si="512"/>
        <v>48.69</v>
      </c>
      <c r="BC737" s="318">
        <v>0</v>
      </c>
      <c r="BD737" s="193"/>
      <c r="BE737" s="309">
        <v>243.45</v>
      </c>
      <c r="BF737" s="321">
        <f t="shared" si="513"/>
        <v>0.36517499999999997</v>
      </c>
      <c r="BG737" s="197">
        <f t="shared" si="496"/>
        <v>243.084825</v>
      </c>
      <c r="BH737" s="321">
        <f t="shared" si="514"/>
        <v>242.4</v>
      </c>
      <c r="BI737" s="322">
        <f t="shared" si="515"/>
        <v>104.99999999999829</v>
      </c>
      <c r="BJ737" s="322">
        <v>0</v>
      </c>
      <c r="BK737" s="318">
        <f t="shared" si="516"/>
        <v>104.99999999999829</v>
      </c>
      <c r="BL737" s="67"/>
      <c r="BM737" s="68" t="str">
        <f t="shared" si="517"/>
        <v>Unloading no. 711 Bill No 27 ,Deduction For Oil Deduction= 101256.361607143 ,Bardana= 4150 ,F.M= 10879.171875 Brokerage/Rate Difference 3651.75 ,Shortage = 8531.25 ,Greenish=  ,Moisture= 0</v>
      </c>
      <c r="BN737" s="69"/>
      <c r="BO737" s="70" t="str">
        <f t="shared" si="518"/>
        <v xml:space="preserve"> Party Condition 42  ,F.M% 0.55 ,Greenish 3.5 ,Moisture 4.9 ,Shortage in KG= 105  ,Oil% 39.85</v>
      </c>
      <c r="BP737" s="71">
        <f t="shared" si="519"/>
        <v>7630.2092265588171</v>
      </c>
      <c r="BQ737" s="69"/>
      <c r="BR737" s="69"/>
      <c r="BS737" s="69"/>
      <c r="BT737" s="69"/>
      <c r="BU737" s="69"/>
      <c r="BV737" s="69"/>
      <c r="BW737" s="94"/>
      <c r="BX737" s="30">
        <v>40</v>
      </c>
      <c r="BY737" s="30">
        <v>39.85</v>
      </c>
    </row>
    <row r="738" spans="1:77" ht="14.1" hidden="1" customHeight="1" x14ac:dyDescent="0.3">
      <c r="A738" s="309" t="s">
        <v>1538</v>
      </c>
      <c r="B738" s="310">
        <v>46174</v>
      </c>
      <c r="C738" s="309">
        <v>712</v>
      </c>
      <c r="D738" s="191" t="s">
        <v>1546</v>
      </c>
      <c r="E738" s="311">
        <v>46176</v>
      </c>
      <c r="F738" s="312" t="s">
        <v>1450</v>
      </c>
      <c r="G738" s="161" t="s">
        <v>1451</v>
      </c>
      <c r="H738" s="161" t="s">
        <v>199</v>
      </c>
      <c r="I738" s="193"/>
      <c r="J738" s="309" t="s">
        <v>1455</v>
      </c>
      <c r="K738" s="193"/>
      <c r="L738" s="310">
        <v>46174</v>
      </c>
      <c r="M738" s="193"/>
      <c r="N738" s="161" t="s">
        <v>1579</v>
      </c>
      <c r="O738" s="310">
        <v>46175</v>
      </c>
      <c r="P738" s="309">
        <v>0</v>
      </c>
      <c r="Q738" s="309">
        <v>200</v>
      </c>
      <c r="R738" s="309">
        <v>45</v>
      </c>
      <c r="S738" s="309">
        <v>245</v>
      </c>
      <c r="T738" s="309">
        <v>245</v>
      </c>
      <c r="U738" s="161">
        <v>0</v>
      </c>
      <c r="V738" s="193"/>
      <c r="W738" s="313">
        <v>149</v>
      </c>
      <c r="X738" s="313">
        <v>148.69999999999999</v>
      </c>
      <c r="Y738" s="314">
        <f>1201216-1617</f>
        <v>1199599</v>
      </c>
      <c r="Z738" s="161"/>
      <c r="AA738" s="314">
        <v>30030.400000000001</v>
      </c>
      <c r="AB738" s="314">
        <v>30030.400000000001</v>
      </c>
      <c r="AC738" s="314">
        <v>1261276.8</v>
      </c>
      <c r="AD738" s="315">
        <f t="shared" si="468"/>
        <v>1260015.5231999999</v>
      </c>
      <c r="AE738" s="316">
        <v>40.31</v>
      </c>
      <c r="AF738" s="316">
        <v>42</v>
      </c>
      <c r="AG738" s="309">
        <v>40.11</v>
      </c>
      <c r="AH738" s="323">
        <v>4.7999999999999996E-3</v>
      </c>
      <c r="AI738" s="317">
        <v>3.4000000000000002E-2</v>
      </c>
      <c r="AJ738" s="317">
        <v>0.05</v>
      </c>
      <c r="AK738" s="318">
        <f t="shared" si="504"/>
        <v>53981.955000000016</v>
      </c>
      <c r="AL738" s="193">
        <f>200*10+45*15</f>
        <v>2675</v>
      </c>
      <c r="AM738" s="319">
        <f>Y738*AH738</f>
        <v>5758.0751999999993</v>
      </c>
      <c r="AN738" s="319">
        <v>1617</v>
      </c>
      <c r="AO738" s="320">
        <f t="shared" si="505"/>
        <v>2415.3000000000002</v>
      </c>
      <c r="AP738" s="193"/>
      <c r="AQ738" s="318">
        <v>0</v>
      </c>
      <c r="AR738" s="325">
        <f t="shared" si="506"/>
        <v>66447.330200000011</v>
      </c>
      <c r="AS738" s="325">
        <f t="shared" si="507"/>
        <v>69770</v>
      </c>
      <c r="AT738" s="326">
        <v>30</v>
      </c>
      <c r="AU738" s="319"/>
      <c r="AV738" s="193"/>
      <c r="AW738" s="318">
        <f t="shared" si="508"/>
        <v>14900</v>
      </c>
      <c r="AX738" s="193"/>
      <c r="AY738" s="318">
        <f t="shared" si="509"/>
        <v>14900</v>
      </c>
      <c r="AZ738" s="318">
        <f t="shared" si="510"/>
        <v>14869.999999999998</v>
      </c>
      <c r="BA738" s="318">
        <f t="shared" si="511"/>
        <v>30.000000000001819</v>
      </c>
      <c r="BB738" s="318">
        <f t="shared" si="512"/>
        <v>29.8</v>
      </c>
      <c r="BC738" s="318">
        <v>0</v>
      </c>
      <c r="BD738" s="193"/>
      <c r="BE738" s="309">
        <v>149</v>
      </c>
      <c r="BF738" s="321">
        <f t="shared" si="513"/>
        <v>0.22349999999999998</v>
      </c>
      <c r="BG738" s="197">
        <f t="shared" si="496"/>
        <v>148.7765</v>
      </c>
      <c r="BH738" s="321">
        <f t="shared" si="514"/>
        <v>148.69999999999999</v>
      </c>
      <c r="BI738" s="322">
        <f t="shared" si="515"/>
        <v>30.000000000001137</v>
      </c>
      <c r="BJ738" s="322">
        <v>0</v>
      </c>
      <c r="BK738" s="318">
        <f t="shared" si="516"/>
        <v>30.000000000001137</v>
      </c>
      <c r="BL738" s="67"/>
      <c r="BM738" s="68" t="str">
        <f t="shared" si="517"/>
        <v>Unloading no. 712 Bill No ST-18 ,Deduction For Oil Deduction= 53981.955 ,Bardana= 2675 ,F.M= 5758.0752 Brokerage/Rate Difference 1617 ,Shortage = 2415.3 ,Greenish=  ,Moisture= 0</v>
      </c>
      <c r="BN738" s="69"/>
      <c r="BO738" s="70" t="str">
        <f t="shared" si="518"/>
        <v xml:space="preserve"> Party Condition 42  ,F.M% 0.48 ,Greenish 3.4 ,Moisture 5 ,Shortage in KG= 30  ,Oil% 40.11</v>
      </c>
      <c r="BP738" s="71">
        <f t="shared" si="519"/>
        <v>7620.3878264963023</v>
      </c>
      <c r="BQ738" s="69"/>
      <c r="BR738" s="69"/>
      <c r="BS738" s="69"/>
      <c r="BT738" s="69"/>
      <c r="BU738" s="69"/>
      <c r="BV738" s="69"/>
      <c r="BW738" s="94"/>
      <c r="BX738" s="30">
        <v>40.31</v>
      </c>
      <c r="BY738" s="30">
        <v>40.11</v>
      </c>
    </row>
    <row r="739" spans="1:77" ht="14.1" hidden="1" customHeight="1" x14ac:dyDescent="0.3">
      <c r="A739" s="161" t="s">
        <v>1471</v>
      </c>
      <c r="B739" s="310">
        <v>46172</v>
      </c>
      <c r="C739" s="309">
        <v>713</v>
      </c>
      <c r="D739" s="191" t="s">
        <v>1547</v>
      </c>
      <c r="E739" s="311">
        <v>46176</v>
      </c>
      <c r="F739" s="312" t="s">
        <v>1144</v>
      </c>
      <c r="G739" s="161" t="s">
        <v>1145</v>
      </c>
      <c r="H739" s="161" t="s">
        <v>100</v>
      </c>
      <c r="I739" s="193"/>
      <c r="J739" s="309" t="s">
        <v>1146</v>
      </c>
      <c r="K739" s="193"/>
      <c r="L739" s="310">
        <v>46172</v>
      </c>
      <c r="M739" s="193"/>
      <c r="N739" s="161" t="s">
        <v>1580</v>
      </c>
      <c r="O739" s="192">
        <v>46176</v>
      </c>
      <c r="P739" s="309">
        <v>0</v>
      </c>
      <c r="Q739" s="309">
        <v>150</v>
      </c>
      <c r="R739" s="309">
        <v>0</v>
      </c>
      <c r="S739" s="309">
        <v>150</v>
      </c>
      <c r="T739" s="309">
        <v>150</v>
      </c>
      <c r="U739" s="161">
        <v>0</v>
      </c>
      <c r="V739" s="193"/>
      <c r="W739" s="313">
        <v>89</v>
      </c>
      <c r="X739" s="313">
        <v>89</v>
      </c>
      <c r="Y739" s="314">
        <v>707639</v>
      </c>
      <c r="Z739" s="327">
        <v>39.9</v>
      </c>
      <c r="AA739" s="314">
        <v>17690.98</v>
      </c>
      <c r="AB739" s="314">
        <v>17690.98</v>
      </c>
      <c r="AC739" s="314">
        <v>743020.95</v>
      </c>
      <c r="AD739" s="315">
        <f t="shared" si="468"/>
        <v>742277.92904999992</v>
      </c>
      <c r="AE739" s="316">
        <v>39.9</v>
      </c>
      <c r="AF739" s="316">
        <v>42</v>
      </c>
      <c r="AG739" s="309">
        <v>39.9</v>
      </c>
      <c r="AH739" s="317">
        <v>4.3E-3</v>
      </c>
      <c r="AI739" s="317">
        <v>3.6999999999999998E-2</v>
      </c>
      <c r="AJ739" s="317">
        <v>4.8000000000000001E-2</v>
      </c>
      <c r="AK739" s="318">
        <f t="shared" si="504"/>
        <v>35381.950000000019</v>
      </c>
      <c r="AL739" s="193">
        <v>0</v>
      </c>
      <c r="AM739" s="193"/>
      <c r="AN739" s="319">
        <v>0</v>
      </c>
      <c r="AO739" s="320">
        <f t="shared" si="505"/>
        <v>0</v>
      </c>
      <c r="AP739" s="193"/>
      <c r="AQ739" s="318">
        <v>0</v>
      </c>
      <c r="AR739" s="318">
        <f t="shared" si="506"/>
        <v>35381.950000000019</v>
      </c>
      <c r="AS739" s="318">
        <f t="shared" si="507"/>
        <v>37151</v>
      </c>
      <c r="AT739" s="321">
        <v>0</v>
      </c>
      <c r="AU739" s="319"/>
      <c r="AV739" s="193"/>
      <c r="AW739" s="318">
        <f t="shared" si="508"/>
        <v>8900</v>
      </c>
      <c r="AX739" s="193"/>
      <c r="AY739" s="318">
        <f t="shared" si="509"/>
        <v>8900</v>
      </c>
      <c r="AZ739" s="318">
        <f t="shared" si="510"/>
        <v>8900</v>
      </c>
      <c r="BA739" s="318">
        <f t="shared" si="511"/>
        <v>0</v>
      </c>
      <c r="BB739" s="318">
        <f t="shared" si="512"/>
        <v>17.8</v>
      </c>
      <c r="BC739" s="318">
        <v>0</v>
      </c>
      <c r="BD739" s="193"/>
      <c r="BE739" s="309">
        <v>89</v>
      </c>
      <c r="BF739" s="321">
        <f t="shared" si="513"/>
        <v>0.13350000000000001</v>
      </c>
      <c r="BG739" s="197">
        <f t="shared" si="496"/>
        <v>88.866500000000002</v>
      </c>
      <c r="BH739" s="321">
        <f t="shared" si="514"/>
        <v>89</v>
      </c>
      <c r="BI739" s="322">
        <f t="shared" si="515"/>
        <v>0</v>
      </c>
      <c r="BJ739" s="322">
        <v>0</v>
      </c>
      <c r="BK739" s="318">
        <f t="shared" si="516"/>
        <v>0</v>
      </c>
      <c r="BL739" s="67"/>
      <c r="BM739" s="68" t="str">
        <f t="shared" si="517"/>
        <v>Unloading no. 713 Bill No 2026-27/137 ,Deduction For Oil Deduction= 35381.95 ,Bardana= 0 ,F.M=  Brokerage/Rate Difference 0 ,Shortage = 0 ,Greenish=  ,Moisture= 0</v>
      </c>
      <c r="BN739" s="69"/>
      <c r="BO739" s="70" t="str">
        <f t="shared" si="518"/>
        <v xml:space="preserve"> Party Condition 42  ,F.M% 0.43 ,Greenish 3.7 ,Moisture 4.8 ,Shortage in KG= 0  ,Oil% 39.9</v>
      </c>
      <c r="BP739" s="71">
        <f t="shared" si="519"/>
        <v>7553.4499999999989</v>
      </c>
      <c r="BQ739" s="69"/>
      <c r="BR739" s="69"/>
      <c r="BS739" s="69"/>
      <c r="BT739" s="69"/>
      <c r="BU739" s="69"/>
      <c r="BV739" s="69"/>
      <c r="BW739" s="94"/>
      <c r="BX739" s="30">
        <v>39.799999999999997</v>
      </c>
      <c r="BY739" s="30">
        <v>39.729999999999997</v>
      </c>
    </row>
    <row r="740" spans="1:77" ht="14.1" hidden="1" customHeight="1" x14ac:dyDescent="0.3">
      <c r="A740" s="161" t="s">
        <v>1471</v>
      </c>
      <c r="B740" s="310">
        <v>46172</v>
      </c>
      <c r="C740" s="309">
        <v>714</v>
      </c>
      <c r="D740" s="191" t="s">
        <v>1548</v>
      </c>
      <c r="E740" s="311">
        <v>46176</v>
      </c>
      <c r="F740" s="312" t="s">
        <v>1144</v>
      </c>
      <c r="G740" s="161" t="s">
        <v>1145</v>
      </c>
      <c r="H740" s="161" t="s">
        <v>100</v>
      </c>
      <c r="I740" s="193"/>
      <c r="J740" s="309" t="s">
        <v>1146</v>
      </c>
      <c r="K740" s="193"/>
      <c r="L740" s="310">
        <v>46172</v>
      </c>
      <c r="M740" s="193"/>
      <c r="N740" s="161" t="s">
        <v>1581</v>
      </c>
      <c r="O740" s="192">
        <v>46176</v>
      </c>
      <c r="P740" s="309">
        <v>0</v>
      </c>
      <c r="Q740" s="309">
        <v>140</v>
      </c>
      <c r="R740" s="309">
        <v>10</v>
      </c>
      <c r="S740" s="309">
        <v>150</v>
      </c>
      <c r="T740" s="309">
        <v>150</v>
      </c>
      <c r="U740" s="161">
        <v>0</v>
      </c>
      <c r="V740" s="193"/>
      <c r="W740" s="313">
        <v>87.3</v>
      </c>
      <c r="X740" s="313">
        <v>87.3</v>
      </c>
      <c r="Y740" s="314">
        <v>694122.3</v>
      </c>
      <c r="Z740" s="327">
        <v>40.130000000000003</v>
      </c>
      <c r="AA740" s="314">
        <v>17353.060000000001</v>
      </c>
      <c r="AB740" s="314">
        <v>17353.060000000001</v>
      </c>
      <c r="AC740" s="314">
        <v>728828.42</v>
      </c>
      <c r="AD740" s="315">
        <f t="shared" si="468"/>
        <v>728099.59158000001</v>
      </c>
      <c r="AE740" s="316">
        <v>40.130000000000003</v>
      </c>
      <c r="AF740" s="316">
        <v>42</v>
      </c>
      <c r="AG740" s="309">
        <v>40.130000000000003</v>
      </c>
      <c r="AH740" s="317">
        <v>4.4000000000000003E-3</v>
      </c>
      <c r="AI740" s="317">
        <v>3.6799999999999999E-2</v>
      </c>
      <c r="AJ740" s="317">
        <v>4.3999999999999997E-2</v>
      </c>
      <c r="AK740" s="318">
        <f t="shared" si="504"/>
        <v>30904.969071428532</v>
      </c>
      <c r="AL740" s="193">
        <v>0</v>
      </c>
      <c r="AM740" s="193"/>
      <c r="AN740" s="319">
        <v>0</v>
      </c>
      <c r="AO740" s="320">
        <f t="shared" si="505"/>
        <v>0</v>
      </c>
      <c r="AP740" s="193"/>
      <c r="AQ740" s="318">
        <v>0</v>
      </c>
      <c r="AR740" s="318">
        <f t="shared" si="506"/>
        <v>30904.969071428532</v>
      </c>
      <c r="AS740" s="318">
        <f t="shared" si="507"/>
        <v>32450</v>
      </c>
      <c r="AT740" s="321">
        <v>0</v>
      </c>
      <c r="AU740" s="319"/>
      <c r="AV740" s="193"/>
      <c r="AW740" s="318">
        <f t="shared" si="508"/>
        <v>8730</v>
      </c>
      <c r="AX740" s="193"/>
      <c r="AY740" s="318">
        <f t="shared" si="509"/>
        <v>8730</v>
      </c>
      <c r="AZ740" s="318">
        <f t="shared" si="510"/>
        <v>8730</v>
      </c>
      <c r="BA740" s="318">
        <f t="shared" si="511"/>
        <v>0</v>
      </c>
      <c r="BB740" s="318">
        <f t="shared" si="512"/>
        <v>17.46</v>
      </c>
      <c r="BC740" s="318">
        <v>0</v>
      </c>
      <c r="BD740" s="193"/>
      <c r="BE740" s="309">
        <v>87.3</v>
      </c>
      <c r="BF740" s="321">
        <f t="shared" si="513"/>
        <v>0.13094999999999998</v>
      </c>
      <c r="BG740" s="197">
        <f t="shared" si="496"/>
        <v>87.169049999999999</v>
      </c>
      <c r="BH740" s="321">
        <f t="shared" si="514"/>
        <v>87.3</v>
      </c>
      <c r="BI740" s="322">
        <f t="shared" si="515"/>
        <v>0</v>
      </c>
      <c r="BJ740" s="322">
        <v>0</v>
      </c>
      <c r="BK740" s="318">
        <f t="shared" si="516"/>
        <v>0</v>
      </c>
      <c r="BL740" s="67"/>
      <c r="BM740" s="68" t="str">
        <f t="shared" si="517"/>
        <v>Unloading no. 714 Bill No 2026-27/138 ,Deduction For Oil Deduction= 30904.9690714285 ,Bardana= 0 ,F.M=  Brokerage/Rate Difference 0 ,Shortage = 0 ,Greenish=  ,Moisture= 0</v>
      </c>
      <c r="BN740" s="69"/>
      <c r="BO740" s="70" t="str">
        <f t="shared" si="518"/>
        <v xml:space="preserve"> Party Condition 42  ,F.M% 0.44 ,Greenish 3.68 ,Moisture 4.4 ,Shortage in KG= 0  ,Oil% 40.13</v>
      </c>
      <c r="BP740" s="71">
        <f t="shared" si="519"/>
        <v>7596.9911904761921</v>
      </c>
      <c r="BQ740" s="69"/>
      <c r="BR740" s="69"/>
      <c r="BS740" s="69"/>
      <c r="BT740" s="69"/>
      <c r="BU740" s="69"/>
      <c r="BV740" s="69"/>
      <c r="BW740" s="94"/>
      <c r="BX740" s="30">
        <v>40.119999999999997</v>
      </c>
      <c r="BY740" s="30">
        <v>39.909999999999997</v>
      </c>
    </row>
    <row r="741" spans="1:77" ht="14.1" hidden="1" customHeight="1" x14ac:dyDescent="0.3">
      <c r="A741" s="161" t="s">
        <v>1470</v>
      </c>
      <c r="B741" s="310">
        <v>46174</v>
      </c>
      <c r="C741" s="309">
        <v>715</v>
      </c>
      <c r="D741" s="191" t="s">
        <v>1549</v>
      </c>
      <c r="E741" s="311">
        <v>46176</v>
      </c>
      <c r="F741" s="312" t="s">
        <v>95</v>
      </c>
      <c r="G741" s="161" t="s">
        <v>96</v>
      </c>
      <c r="H741" s="161" t="s">
        <v>97</v>
      </c>
      <c r="I741" s="193"/>
      <c r="J741" s="309" t="s">
        <v>1455</v>
      </c>
      <c r="K741" s="193"/>
      <c r="L741" s="310">
        <v>46174</v>
      </c>
      <c r="M741" s="193"/>
      <c r="N741" s="161">
        <v>194</v>
      </c>
      <c r="O741" s="192">
        <v>46175</v>
      </c>
      <c r="P741" s="309">
        <v>0</v>
      </c>
      <c r="Q741" s="309">
        <v>150</v>
      </c>
      <c r="R741" s="309">
        <v>352</v>
      </c>
      <c r="S741" s="309">
        <v>502</v>
      </c>
      <c r="T741" s="309">
        <v>502</v>
      </c>
      <c r="U741" s="161">
        <v>0</v>
      </c>
      <c r="V741" s="193"/>
      <c r="W741" s="313">
        <v>305.8</v>
      </c>
      <c r="X741" s="313">
        <v>305.60000000000002</v>
      </c>
      <c r="Y741" s="314">
        <f>2463296.4-1606.4</f>
        <v>2461690</v>
      </c>
      <c r="Z741" s="313"/>
      <c r="AA741" s="314">
        <v>61582.41</v>
      </c>
      <c r="AB741" s="314">
        <v>61582.41</v>
      </c>
      <c r="AC741" s="314">
        <v>2586461.2200000002</v>
      </c>
      <c r="AD741" s="315">
        <f t="shared" si="468"/>
        <v>2583874.7587800003</v>
      </c>
      <c r="AE741" s="316">
        <v>40.409999999999997</v>
      </c>
      <c r="AF741" s="316">
        <v>42</v>
      </c>
      <c r="AG741" s="309">
        <v>40.229999999999997</v>
      </c>
      <c r="AH741" s="323">
        <v>4.7000000000000002E-3</v>
      </c>
      <c r="AI741" s="317">
        <v>3.4000000000000002E-2</v>
      </c>
      <c r="AJ741" s="317">
        <v>5.1999999999999998E-2</v>
      </c>
      <c r="AK741" s="318">
        <f t="shared" si="504"/>
        <v>103742.65000000018</v>
      </c>
      <c r="AL741" s="193">
        <f>150*10+352*15</f>
        <v>6780</v>
      </c>
      <c r="AM741" s="319">
        <f>Y741*AH741</f>
        <v>11569.943000000001</v>
      </c>
      <c r="AN741" s="319">
        <v>0</v>
      </c>
      <c r="AO741" s="320">
        <f t="shared" si="505"/>
        <v>1610</v>
      </c>
      <c r="AP741" s="328">
        <v>1606.4</v>
      </c>
      <c r="AQ741" s="318">
        <v>0</v>
      </c>
      <c r="AR741" s="318">
        <f t="shared" si="506"/>
        <v>125308.99300000018</v>
      </c>
      <c r="AS741" s="318">
        <f t="shared" si="507"/>
        <v>131574</v>
      </c>
      <c r="AT741" s="321">
        <v>20</v>
      </c>
      <c r="AU741" s="319"/>
      <c r="AV741" s="193"/>
      <c r="AW741" s="318">
        <f t="shared" si="508"/>
        <v>30580</v>
      </c>
      <c r="AX741" s="193"/>
      <c r="AY741" s="318">
        <f t="shared" si="509"/>
        <v>30580</v>
      </c>
      <c r="AZ741" s="318">
        <f t="shared" si="510"/>
        <v>30560.000000000004</v>
      </c>
      <c r="BA741" s="318">
        <f t="shared" si="511"/>
        <v>19.999999999996362</v>
      </c>
      <c r="BB741" s="318">
        <f t="shared" si="512"/>
        <v>61.16</v>
      </c>
      <c r="BC741" s="318">
        <v>0</v>
      </c>
      <c r="BD741" s="193"/>
      <c r="BE741" s="309">
        <v>305.8</v>
      </c>
      <c r="BF741" s="321">
        <f t="shared" si="513"/>
        <v>0.4587</v>
      </c>
      <c r="BG741" s="197">
        <f t="shared" si="496"/>
        <v>305.34129999999999</v>
      </c>
      <c r="BH741" s="321">
        <f t="shared" si="514"/>
        <v>305.60000000000002</v>
      </c>
      <c r="BI741" s="322">
        <f t="shared" si="515"/>
        <v>19.999999999998863</v>
      </c>
      <c r="BJ741" s="322">
        <v>0</v>
      </c>
      <c r="BK741" s="318">
        <f t="shared" si="516"/>
        <v>19.999999999998863</v>
      </c>
      <c r="BL741" s="67"/>
      <c r="BM741" s="68" t="str">
        <f t="shared" si="517"/>
        <v>Unloading no. 715 Bill No 194 ,Deduction For Oil Deduction= 103742.65 ,Bardana= 6780 ,F.M= 11569.943 Brokerage/Rate Difference 0 ,Shortage = 1610 ,Greenish= 1606.4 ,Moisture= 0</v>
      </c>
      <c r="BN741" s="69"/>
      <c r="BO741" s="70" t="str">
        <f t="shared" si="518"/>
        <v xml:space="preserve"> Party Condition 42  ,F.M% 0.47 ,Greenish 3.4 ,Moisture 5.2 ,Shortage in KG= 20  ,Oil% 40.23</v>
      </c>
      <c r="BP741" s="71">
        <f t="shared" si="519"/>
        <v>7645.2258082460721</v>
      </c>
      <c r="BQ741" s="69"/>
      <c r="BR741" s="69"/>
      <c r="BS741" s="69"/>
      <c r="BT741" s="69"/>
      <c r="BU741" s="69"/>
      <c r="BV741" s="69"/>
      <c r="BW741" s="94"/>
      <c r="BX741" s="30">
        <v>40.409999999999997</v>
      </c>
      <c r="BY741" s="30">
        <v>40.229999999999997</v>
      </c>
    </row>
    <row r="742" spans="1:77" ht="14.1" hidden="1" customHeight="1" x14ac:dyDescent="0.3">
      <c r="A742" s="161" t="s">
        <v>1471</v>
      </c>
      <c r="B742" s="310">
        <v>46172</v>
      </c>
      <c r="C742" s="309">
        <v>716</v>
      </c>
      <c r="D742" s="191" t="s">
        <v>1550</v>
      </c>
      <c r="E742" s="311">
        <v>46176</v>
      </c>
      <c r="F742" s="312" t="s">
        <v>1144</v>
      </c>
      <c r="G742" s="161" t="s">
        <v>1145</v>
      </c>
      <c r="H742" s="161" t="s">
        <v>100</v>
      </c>
      <c r="I742" s="193"/>
      <c r="J742" s="309" t="s">
        <v>1146</v>
      </c>
      <c r="K742" s="193"/>
      <c r="L742" s="310">
        <v>46172</v>
      </c>
      <c r="M742" s="193"/>
      <c r="N742" s="161" t="s">
        <v>1582</v>
      </c>
      <c r="O742" s="192">
        <v>46176</v>
      </c>
      <c r="P742" s="309">
        <v>0</v>
      </c>
      <c r="Q742" s="309">
        <v>150</v>
      </c>
      <c r="R742" s="309">
        <v>5</v>
      </c>
      <c r="S742" s="309">
        <v>155</v>
      </c>
      <c r="T742" s="309">
        <v>155</v>
      </c>
      <c r="U742" s="161">
        <v>0</v>
      </c>
      <c r="V742" s="193"/>
      <c r="W742" s="313">
        <v>92.3</v>
      </c>
      <c r="X742" s="313">
        <v>92.1</v>
      </c>
      <c r="Y742" s="314">
        <v>733877.3</v>
      </c>
      <c r="Z742" s="327">
        <v>40.18</v>
      </c>
      <c r="AA742" s="314">
        <v>18346.93</v>
      </c>
      <c r="AB742" s="314">
        <v>18346.93</v>
      </c>
      <c r="AC742" s="314">
        <v>770571.17</v>
      </c>
      <c r="AD742" s="315">
        <f t="shared" si="468"/>
        <v>769800.59883000003</v>
      </c>
      <c r="AE742" s="316">
        <v>40.18</v>
      </c>
      <c r="AF742" s="316">
        <v>42</v>
      </c>
      <c r="AG742" s="309">
        <v>40.18</v>
      </c>
      <c r="AH742" s="317">
        <v>4.4999999999999997E-3</v>
      </c>
      <c r="AI742" s="317">
        <v>3.7999999999999999E-2</v>
      </c>
      <c r="AJ742" s="317">
        <v>4.5999999999999999E-2</v>
      </c>
      <c r="AK742" s="318">
        <f t="shared" si="504"/>
        <v>31801.349666666676</v>
      </c>
      <c r="AL742" s="193">
        <v>0</v>
      </c>
      <c r="AM742" s="193"/>
      <c r="AN742" s="319">
        <v>0</v>
      </c>
      <c r="AO742" s="320">
        <f t="shared" si="505"/>
        <v>159.02000000000001</v>
      </c>
      <c r="AP742" s="193"/>
      <c r="AQ742" s="318">
        <v>0</v>
      </c>
      <c r="AR742" s="318">
        <f t="shared" si="506"/>
        <v>31960.369666666676</v>
      </c>
      <c r="AS742" s="318">
        <f t="shared" si="507"/>
        <v>33558</v>
      </c>
      <c r="AT742" s="321">
        <v>2</v>
      </c>
      <c r="AU742" s="319"/>
      <c r="AV742" s="193"/>
      <c r="AW742" s="318">
        <f t="shared" si="508"/>
        <v>9230</v>
      </c>
      <c r="AX742" s="193"/>
      <c r="AY742" s="318">
        <f t="shared" si="509"/>
        <v>9230</v>
      </c>
      <c r="AZ742" s="318">
        <f t="shared" si="510"/>
        <v>9210</v>
      </c>
      <c r="BA742" s="318">
        <f t="shared" si="511"/>
        <v>20</v>
      </c>
      <c r="BB742" s="318">
        <f t="shared" si="512"/>
        <v>18.46</v>
      </c>
      <c r="BC742" s="318">
        <v>0</v>
      </c>
      <c r="BD742" s="193"/>
      <c r="BE742" s="309">
        <v>92.3</v>
      </c>
      <c r="BF742" s="321">
        <f t="shared" si="513"/>
        <v>0.13844999999999999</v>
      </c>
      <c r="BG742" s="197">
        <f t="shared" si="496"/>
        <v>92.161549999999991</v>
      </c>
      <c r="BH742" s="321">
        <f t="shared" si="514"/>
        <v>92.1</v>
      </c>
      <c r="BI742" s="322">
        <f t="shared" si="515"/>
        <v>20.000000000000284</v>
      </c>
      <c r="BJ742" s="322">
        <v>0</v>
      </c>
      <c r="BK742" s="318">
        <f t="shared" si="516"/>
        <v>20.000000000000284</v>
      </c>
      <c r="BL742" s="67"/>
      <c r="BM742" s="68" t="str">
        <f t="shared" si="517"/>
        <v>Unloading no. 716 Bill No 2026-27/140 ,Deduction For Oil Deduction= 31801.3496666667 ,Bardana= 0 ,F.M=  Brokerage/Rate Difference 0 ,Shortage = 159.02 ,Greenish=  ,Moisture= 0</v>
      </c>
      <c r="BN742" s="69"/>
      <c r="BO742" s="70" t="str">
        <f t="shared" si="518"/>
        <v xml:space="preserve"> Party Condition 42  ,F.M% 0.45 ,Greenish 3.8 ,Moisture 4.6 ,Shortage in KG= 2  ,Oil% 40.18</v>
      </c>
      <c r="BP742" s="71">
        <f t="shared" si="519"/>
        <v>7621.2478863554115</v>
      </c>
      <c r="BQ742" s="69"/>
      <c r="BR742" s="69"/>
      <c r="BS742" s="69"/>
      <c r="BT742" s="69"/>
      <c r="BU742" s="69"/>
      <c r="BV742" s="69"/>
      <c r="BW742" s="94"/>
      <c r="BX742" s="30">
        <v>40</v>
      </c>
      <c r="BY742" s="30">
        <v>39.85</v>
      </c>
    </row>
    <row r="743" spans="1:77" ht="14.1" hidden="1" customHeight="1" x14ac:dyDescent="0.3">
      <c r="A743" s="161" t="s">
        <v>1471</v>
      </c>
      <c r="B743" s="310">
        <v>46172</v>
      </c>
      <c r="C743" s="309">
        <v>717</v>
      </c>
      <c r="D743" s="191" t="s">
        <v>1551</v>
      </c>
      <c r="E743" s="311">
        <v>46176</v>
      </c>
      <c r="F743" s="312" t="s">
        <v>1144</v>
      </c>
      <c r="G743" s="161" t="s">
        <v>1145</v>
      </c>
      <c r="H743" s="161" t="s">
        <v>100</v>
      </c>
      <c r="I743" s="193"/>
      <c r="J743" s="309" t="s">
        <v>1146</v>
      </c>
      <c r="K743" s="193"/>
      <c r="L743" s="310">
        <v>46172</v>
      </c>
      <c r="M743" s="193"/>
      <c r="N743" s="161" t="s">
        <v>1583</v>
      </c>
      <c r="O743" s="192">
        <v>46176</v>
      </c>
      <c r="P743" s="309">
        <v>0</v>
      </c>
      <c r="Q743" s="309">
        <v>145</v>
      </c>
      <c r="R743" s="309">
        <v>5</v>
      </c>
      <c r="S743" s="309">
        <v>150</v>
      </c>
      <c r="T743" s="309">
        <v>150</v>
      </c>
      <c r="U743" s="161">
        <v>0</v>
      </c>
      <c r="V743" s="193"/>
      <c r="W743" s="313">
        <v>89.8</v>
      </c>
      <c r="X743" s="313">
        <v>89.6</v>
      </c>
      <c r="Y743" s="314">
        <v>713999.8</v>
      </c>
      <c r="Z743" s="327">
        <v>39.950000000000003</v>
      </c>
      <c r="AA743" s="314">
        <v>17850</v>
      </c>
      <c r="AB743" s="314">
        <v>17850</v>
      </c>
      <c r="AC743" s="314">
        <v>749699.79</v>
      </c>
      <c r="AD743" s="315">
        <f t="shared" si="468"/>
        <v>748950.09021000005</v>
      </c>
      <c r="AE743" s="316">
        <v>39.950000000000003</v>
      </c>
      <c r="AF743" s="316">
        <v>42</v>
      </c>
      <c r="AG743" s="309">
        <v>39.950000000000003</v>
      </c>
      <c r="AH743" s="317">
        <v>4.1999999999999997E-3</v>
      </c>
      <c r="AI743" s="317">
        <v>3.7499999999999999E-2</v>
      </c>
      <c r="AJ743" s="317">
        <v>4.8000000000000001E-2</v>
      </c>
      <c r="AK743" s="318">
        <f t="shared" si="504"/>
        <v>34849.99023809519</v>
      </c>
      <c r="AL743" s="193">
        <v>0</v>
      </c>
      <c r="AM743" s="193"/>
      <c r="AN743" s="319">
        <v>0</v>
      </c>
      <c r="AO743" s="320">
        <f t="shared" si="505"/>
        <v>159.02000000000001</v>
      </c>
      <c r="AP743" s="193"/>
      <c r="AQ743" s="318">
        <v>0</v>
      </c>
      <c r="AR743" s="318">
        <f t="shared" si="506"/>
        <v>35009.010238095187</v>
      </c>
      <c r="AS743" s="318">
        <f t="shared" si="507"/>
        <v>36759</v>
      </c>
      <c r="AT743" s="321">
        <v>2</v>
      </c>
      <c r="AU743" s="319"/>
      <c r="AV743" s="193"/>
      <c r="AW743" s="318">
        <f t="shared" si="508"/>
        <v>8980</v>
      </c>
      <c r="AX743" s="193"/>
      <c r="AY743" s="318">
        <f t="shared" si="509"/>
        <v>8980</v>
      </c>
      <c r="AZ743" s="318">
        <f t="shared" si="510"/>
        <v>8960</v>
      </c>
      <c r="BA743" s="318">
        <f t="shared" si="511"/>
        <v>20</v>
      </c>
      <c r="BB743" s="318">
        <f t="shared" si="512"/>
        <v>17.96</v>
      </c>
      <c r="BC743" s="318">
        <v>0</v>
      </c>
      <c r="BD743" s="193"/>
      <c r="BE743" s="309">
        <v>89.8</v>
      </c>
      <c r="BF743" s="321">
        <f t="shared" si="513"/>
        <v>0.13469999999999999</v>
      </c>
      <c r="BG743" s="197">
        <f t="shared" si="496"/>
        <v>89.665300000000002</v>
      </c>
      <c r="BH743" s="321">
        <f t="shared" si="514"/>
        <v>89.6</v>
      </c>
      <c r="BI743" s="322">
        <f t="shared" si="515"/>
        <v>20.000000000000284</v>
      </c>
      <c r="BJ743" s="322">
        <v>0</v>
      </c>
      <c r="BK743" s="318">
        <f t="shared" si="516"/>
        <v>20.000000000000284</v>
      </c>
      <c r="BL743" s="67"/>
      <c r="BM743" s="68" t="str">
        <f t="shared" si="517"/>
        <v>Unloading no. 717 Bill No 2026-27/139 ,Deduction For Oil Deduction= 34849.9902380952 ,Bardana= 0 ,F.M=  Brokerage/Rate Difference 0 ,Shortage = 159.02 ,Greenish=  ,Moisture= 0</v>
      </c>
      <c r="BN743" s="69"/>
      <c r="BO743" s="70" t="str">
        <f t="shared" si="518"/>
        <v xml:space="preserve"> Party Condition 42  ,F.M% 0.42 ,Greenish 3.75 ,Moisture 4.8 ,Shortage in KG= 2  ,Oil% 39.95</v>
      </c>
      <c r="BP743" s="71">
        <f t="shared" si="519"/>
        <v>7578.0222071641174</v>
      </c>
      <c r="BQ743" s="69"/>
      <c r="BR743" s="69"/>
      <c r="BS743" s="69"/>
      <c r="BT743" s="69"/>
      <c r="BU743" s="69"/>
      <c r="BV743" s="69"/>
      <c r="BW743" s="94"/>
      <c r="BX743" s="30">
        <v>39.89</v>
      </c>
      <c r="BY743" s="30">
        <v>39.799999999999997</v>
      </c>
    </row>
    <row r="744" spans="1:77" ht="14.1" hidden="1" customHeight="1" x14ac:dyDescent="0.3">
      <c r="A744" s="161" t="s">
        <v>1471</v>
      </c>
      <c r="B744" s="310">
        <v>46172</v>
      </c>
      <c r="C744" s="309">
        <v>718</v>
      </c>
      <c r="D744" s="191" t="s">
        <v>1552</v>
      </c>
      <c r="E744" s="311">
        <v>46176</v>
      </c>
      <c r="F744" s="312" t="s">
        <v>1144</v>
      </c>
      <c r="G744" s="161" t="s">
        <v>1145</v>
      </c>
      <c r="H744" s="161" t="s">
        <v>100</v>
      </c>
      <c r="I744" s="193"/>
      <c r="J744" s="309" t="s">
        <v>1146</v>
      </c>
      <c r="K744" s="193"/>
      <c r="L744" s="310">
        <v>46172</v>
      </c>
      <c r="M744" s="193"/>
      <c r="N744" s="161" t="s">
        <v>1584</v>
      </c>
      <c r="O744" s="192">
        <v>46176</v>
      </c>
      <c r="P744" s="309">
        <v>0</v>
      </c>
      <c r="Q744" s="309">
        <v>140</v>
      </c>
      <c r="R744" s="309">
        <v>15</v>
      </c>
      <c r="S744" s="309">
        <v>155</v>
      </c>
      <c r="T744" s="309">
        <v>155</v>
      </c>
      <c r="U744" s="161">
        <v>0</v>
      </c>
      <c r="V744" s="193"/>
      <c r="W744" s="313">
        <v>93.2</v>
      </c>
      <c r="X744" s="313">
        <v>93</v>
      </c>
      <c r="Y744" s="314">
        <v>741033.2</v>
      </c>
      <c r="Z744" s="327">
        <v>39.880000000000003</v>
      </c>
      <c r="AA744" s="314">
        <v>18525.830000000002</v>
      </c>
      <c r="AB744" s="314">
        <v>18525.830000000002</v>
      </c>
      <c r="AC744" s="314">
        <v>778084.86</v>
      </c>
      <c r="AD744" s="315">
        <f t="shared" si="468"/>
        <v>777306.77514000004</v>
      </c>
      <c r="AE744" s="316">
        <v>39.880000000000003</v>
      </c>
      <c r="AF744" s="316">
        <v>42</v>
      </c>
      <c r="AG744" s="309">
        <v>39.880000000000003</v>
      </c>
      <c r="AH744" s="317">
        <v>4.0000000000000001E-3</v>
      </c>
      <c r="AI744" s="317">
        <v>3.2899999999999999E-2</v>
      </c>
      <c r="AJ744" s="317">
        <v>4.2999999999999997E-2</v>
      </c>
      <c r="AK744" s="318">
        <f t="shared" si="504"/>
        <v>37404.532952380905</v>
      </c>
      <c r="AL744" s="193">
        <v>0</v>
      </c>
      <c r="AM744" s="193"/>
      <c r="AN744" s="319">
        <v>0</v>
      </c>
      <c r="AO744" s="320">
        <f t="shared" si="505"/>
        <v>79.509999999999991</v>
      </c>
      <c r="AP744" s="193"/>
      <c r="AQ744" s="318">
        <v>0</v>
      </c>
      <c r="AR744" s="318">
        <f t="shared" si="506"/>
        <v>37484.042952380907</v>
      </c>
      <c r="AS744" s="318">
        <f t="shared" si="507"/>
        <v>39358</v>
      </c>
      <c r="AT744" s="321">
        <v>1</v>
      </c>
      <c r="AU744" s="319"/>
      <c r="AV744" s="193"/>
      <c r="AW744" s="318">
        <f t="shared" si="508"/>
        <v>9320</v>
      </c>
      <c r="AX744" s="193"/>
      <c r="AY744" s="318">
        <f t="shared" si="509"/>
        <v>9320</v>
      </c>
      <c r="AZ744" s="318">
        <f t="shared" si="510"/>
        <v>9300</v>
      </c>
      <c r="BA744" s="318">
        <f t="shared" si="511"/>
        <v>20</v>
      </c>
      <c r="BB744" s="318">
        <f t="shared" si="512"/>
        <v>18.64</v>
      </c>
      <c r="BC744" s="318">
        <v>0</v>
      </c>
      <c r="BD744" s="193"/>
      <c r="BE744" s="309">
        <v>93.2</v>
      </c>
      <c r="BF744" s="321">
        <f t="shared" si="513"/>
        <v>0.13980000000000001</v>
      </c>
      <c r="BG744" s="197">
        <f t="shared" si="496"/>
        <v>93.060200000000009</v>
      </c>
      <c r="BH744" s="321">
        <f t="shared" si="514"/>
        <v>93</v>
      </c>
      <c r="BI744" s="322">
        <f t="shared" si="515"/>
        <v>20.000000000000284</v>
      </c>
      <c r="BJ744" s="322">
        <v>0</v>
      </c>
      <c r="BK744" s="318">
        <f t="shared" si="516"/>
        <v>20.000000000000284</v>
      </c>
      <c r="BL744" s="67"/>
      <c r="BM744" s="68" t="str">
        <f t="shared" si="517"/>
        <v>Unloading no. 718 Bill No 2026-27/142 ,Deduction For Oil Deduction= 37404.5329523809 ,Bardana= 0 ,F.M=  Brokerage/Rate Difference 0 ,Shortage = 79.51 ,Greenish=  ,Moisture= 0</v>
      </c>
      <c r="BN744" s="69"/>
      <c r="BO744" s="70" t="str">
        <f t="shared" si="518"/>
        <v xml:space="preserve"> Party Condition 42  ,F.M% 0.4 ,Greenish 3.29 ,Moisture 4.3 ,Shortage in KG= 1  ,Oil% 39.88</v>
      </c>
      <c r="BP744" s="71">
        <f t="shared" si="519"/>
        <v>7565.044699436763</v>
      </c>
      <c r="BQ744" s="69"/>
      <c r="BR744" s="69"/>
      <c r="BS744" s="69"/>
      <c r="BT744" s="69"/>
      <c r="BU744" s="69"/>
      <c r="BV744" s="69"/>
      <c r="BW744" s="94"/>
      <c r="BX744" s="30">
        <v>39.840000000000003</v>
      </c>
      <c r="BY744" s="30">
        <v>39.630000000000003</v>
      </c>
    </row>
    <row r="745" spans="1:77" ht="14.1" hidden="1" customHeight="1" x14ac:dyDescent="0.3">
      <c r="A745" s="161" t="s">
        <v>1471</v>
      </c>
      <c r="B745" s="310">
        <v>46172</v>
      </c>
      <c r="C745" s="309">
        <v>719</v>
      </c>
      <c r="D745" s="191" t="s">
        <v>1553</v>
      </c>
      <c r="E745" s="311">
        <v>46176</v>
      </c>
      <c r="F745" s="312" t="s">
        <v>1144</v>
      </c>
      <c r="G745" s="161" t="s">
        <v>1145</v>
      </c>
      <c r="H745" s="161" t="s">
        <v>100</v>
      </c>
      <c r="I745" s="193"/>
      <c r="J745" s="309" t="s">
        <v>1146</v>
      </c>
      <c r="K745" s="193"/>
      <c r="L745" s="310">
        <v>46172</v>
      </c>
      <c r="M745" s="193"/>
      <c r="N745" s="161" t="s">
        <v>1585</v>
      </c>
      <c r="O745" s="192">
        <v>46176</v>
      </c>
      <c r="P745" s="309">
        <v>0</v>
      </c>
      <c r="Q745" s="309">
        <v>150</v>
      </c>
      <c r="R745" s="309">
        <v>0</v>
      </c>
      <c r="S745" s="309">
        <v>150</v>
      </c>
      <c r="T745" s="309">
        <v>150</v>
      </c>
      <c r="U745" s="161">
        <v>0</v>
      </c>
      <c r="V745" s="193"/>
      <c r="W745" s="313">
        <v>88.7</v>
      </c>
      <c r="X745" s="313">
        <v>88.5</v>
      </c>
      <c r="Y745" s="314">
        <v>705253.7</v>
      </c>
      <c r="Z745" s="327">
        <v>39.909999999999997</v>
      </c>
      <c r="AA745" s="314">
        <v>17631.34</v>
      </c>
      <c r="AB745" s="314">
        <v>17631.34</v>
      </c>
      <c r="AC745" s="314">
        <v>740516.39</v>
      </c>
      <c r="AD745" s="315">
        <f t="shared" ref="AD745:AD808" si="520">SUM(AC745-AC745*0.1%)</f>
        <v>739775.87361000001</v>
      </c>
      <c r="AE745" s="316">
        <v>39.909999999999997</v>
      </c>
      <c r="AF745" s="316">
        <v>42</v>
      </c>
      <c r="AG745" s="309">
        <v>39.909999999999997</v>
      </c>
      <c r="AH745" s="317">
        <v>4.4999999999999997E-3</v>
      </c>
      <c r="AI745" s="317">
        <v>3.4000000000000002E-2</v>
      </c>
      <c r="AJ745" s="317">
        <v>4.4999999999999998E-2</v>
      </c>
      <c r="AK745" s="318">
        <f t="shared" si="504"/>
        <v>35094.767452381006</v>
      </c>
      <c r="AL745" s="193">
        <v>0</v>
      </c>
      <c r="AM745" s="193"/>
      <c r="AN745" s="319">
        <v>0</v>
      </c>
      <c r="AO745" s="320">
        <f t="shared" si="505"/>
        <v>159.01999999999998</v>
      </c>
      <c r="AP745" s="193"/>
      <c r="AQ745" s="318">
        <v>0</v>
      </c>
      <c r="AR745" s="318">
        <f t="shared" si="506"/>
        <v>35253.787452381002</v>
      </c>
      <c r="AS745" s="318">
        <f t="shared" si="507"/>
        <v>37016</v>
      </c>
      <c r="AT745" s="321">
        <v>2</v>
      </c>
      <c r="AU745" s="319"/>
      <c r="AV745" s="193"/>
      <c r="AW745" s="318">
        <f t="shared" si="508"/>
        <v>8870</v>
      </c>
      <c r="AX745" s="193"/>
      <c r="AY745" s="318">
        <f t="shared" si="509"/>
        <v>8870</v>
      </c>
      <c r="AZ745" s="318">
        <f t="shared" si="510"/>
        <v>8850</v>
      </c>
      <c r="BA745" s="318">
        <f t="shared" si="511"/>
        <v>20</v>
      </c>
      <c r="BB745" s="318">
        <f t="shared" si="512"/>
        <v>17.739999999999998</v>
      </c>
      <c r="BC745" s="318">
        <v>0</v>
      </c>
      <c r="BD745" s="193"/>
      <c r="BE745" s="309">
        <v>88.7</v>
      </c>
      <c r="BF745" s="321">
        <f t="shared" si="513"/>
        <v>0.13305</v>
      </c>
      <c r="BG745" s="197">
        <f t="shared" si="496"/>
        <v>88.566950000000006</v>
      </c>
      <c r="BH745" s="321">
        <f t="shared" si="514"/>
        <v>88.5</v>
      </c>
      <c r="BI745" s="322">
        <f t="shared" si="515"/>
        <v>20.000000000000284</v>
      </c>
      <c r="BJ745" s="322">
        <v>0</v>
      </c>
      <c r="BK745" s="318">
        <f t="shared" si="516"/>
        <v>20.000000000000284</v>
      </c>
      <c r="BL745" s="67"/>
      <c r="BM745" s="68" t="str">
        <f t="shared" si="517"/>
        <v>Unloading no. 719 Bill No 2026-27/141 ,Deduction For Oil Deduction= 35094.767452381 ,Bardana= 0 ,F.M=  Brokerage/Rate Difference 0 ,Shortage = 159.02 ,Greenish=  ,Moisture= 0</v>
      </c>
      <c r="BN745" s="69"/>
      <c r="BO745" s="70" t="str">
        <f t="shared" si="518"/>
        <v xml:space="preserve"> Party Condition 42  ,F.M% 0.45 ,Greenish 3.4 ,Moisture 4.5 ,Shortage in KG= 2  ,Oil% 39.91</v>
      </c>
      <c r="BP745" s="71">
        <f t="shared" si="519"/>
        <v>7570.6204807640561</v>
      </c>
      <c r="BQ745" s="69"/>
      <c r="BR745" s="69"/>
      <c r="BS745" s="69"/>
      <c r="BT745" s="69"/>
      <c r="BU745" s="69"/>
      <c r="BV745" s="69"/>
      <c r="BW745" s="94"/>
      <c r="BX745" s="30">
        <v>39.64</v>
      </c>
      <c r="BY745" s="30">
        <v>39.479999999999997</v>
      </c>
    </row>
    <row r="746" spans="1:77" ht="14.1" hidden="1" customHeight="1" x14ac:dyDescent="0.3">
      <c r="A746" s="161" t="s">
        <v>1471</v>
      </c>
      <c r="B746" s="310">
        <v>46172</v>
      </c>
      <c r="C746" s="309">
        <v>720</v>
      </c>
      <c r="D746" s="191" t="s">
        <v>1554</v>
      </c>
      <c r="E746" s="311">
        <v>46176</v>
      </c>
      <c r="F746" s="312" t="s">
        <v>1144</v>
      </c>
      <c r="G746" s="161" t="s">
        <v>1145</v>
      </c>
      <c r="H746" s="161" t="s">
        <v>100</v>
      </c>
      <c r="I746" s="193"/>
      <c r="J746" s="309" t="s">
        <v>1146</v>
      </c>
      <c r="K746" s="193"/>
      <c r="L746" s="310">
        <v>46172</v>
      </c>
      <c r="M746" s="193"/>
      <c r="N746" s="161" t="s">
        <v>1586</v>
      </c>
      <c r="O746" s="192">
        <v>46176</v>
      </c>
      <c r="P746" s="309">
        <v>0</v>
      </c>
      <c r="Q746" s="309">
        <v>150</v>
      </c>
      <c r="R746" s="309">
        <v>0</v>
      </c>
      <c r="S746" s="309">
        <v>150</v>
      </c>
      <c r="T746" s="309">
        <v>150</v>
      </c>
      <c r="U746" s="161">
        <v>0</v>
      </c>
      <c r="V746" s="193"/>
      <c r="W746" s="313">
        <v>89.5</v>
      </c>
      <c r="X746" s="313">
        <v>89.3</v>
      </c>
      <c r="Y746" s="314">
        <v>711614.5</v>
      </c>
      <c r="Z746" s="327">
        <v>40.36</v>
      </c>
      <c r="AA746" s="314">
        <v>17790.36</v>
      </c>
      <c r="AB746" s="314">
        <v>17790.36</v>
      </c>
      <c r="AC746" s="314">
        <v>747195.23</v>
      </c>
      <c r="AD746" s="315">
        <f t="shared" si="520"/>
        <v>746448.03477000003</v>
      </c>
      <c r="AE746" s="316">
        <v>40.36</v>
      </c>
      <c r="AF746" s="316">
        <v>42</v>
      </c>
      <c r="AG746" s="309">
        <v>40.36</v>
      </c>
      <c r="AH746" s="317">
        <v>4.3E-3</v>
      </c>
      <c r="AI746" s="317">
        <v>3.3000000000000002E-2</v>
      </c>
      <c r="AJ746" s="317">
        <v>4.3999999999999997E-2</v>
      </c>
      <c r="AK746" s="318">
        <f t="shared" si="504"/>
        <v>27786.851904761912</v>
      </c>
      <c r="AL746" s="193">
        <v>0</v>
      </c>
      <c r="AM746" s="193"/>
      <c r="AN746" s="319">
        <v>0</v>
      </c>
      <c r="AO746" s="320">
        <f t="shared" si="505"/>
        <v>159.02000000000001</v>
      </c>
      <c r="AP746" s="193"/>
      <c r="AQ746" s="318">
        <v>0</v>
      </c>
      <c r="AR746" s="318">
        <f t="shared" si="506"/>
        <v>27945.871904761912</v>
      </c>
      <c r="AS746" s="318">
        <f t="shared" si="507"/>
        <v>29343</v>
      </c>
      <c r="AT746" s="321">
        <v>2</v>
      </c>
      <c r="AU746" s="319"/>
      <c r="AV746" s="193"/>
      <c r="AW746" s="318">
        <f t="shared" si="508"/>
        <v>8950</v>
      </c>
      <c r="AX746" s="193"/>
      <c r="AY746" s="318">
        <f t="shared" si="509"/>
        <v>8950</v>
      </c>
      <c r="AZ746" s="318">
        <f t="shared" si="510"/>
        <v>8930</v>
      </c>
      <c r="BA746" s="318">
        <f t="shared" si="511"/>
        <v>20</v>
      </c>
      <c r="BB746" s="318">
        <f t="shared" si="512"/>
        <v>17.899999999999999</v>
      </c>
      <c r="BC746" s="318">
        <v>0</v>
      </c>
      <c r="BD746" s="193"/>
      <c r="BE746" s="309">
        <v>89.5</v>
      </c>
      <c r="BF746" s="321">
        <f t="shared" si="513"/>
        <v>0.13424999999999998</v>
      </c>
      <c r="BG746" s="197">
        <f t="shared" si="496"/>
        <v>89.365750000000006</v>
      </c>
      <c r="BH746" s="321">
        <f t="shared" si="514"/>
        <v>89.3</v>
      </c>
      <c r="BI746" s="322">
        <f t="shared" si="515"/>
        <v>20.000000000000284</v>
      </c>
      <c r="BJ746" s="322">
        <v>0</v>
      </c>
      <c r="BK746" s="318">
        <f t="shared" si="516"/>
        <v>20.000000000000284</v>
      </c>
      <c r="BL746" s="67"/>
      <c r="BM746" s="68" t="str">
        <f t="shared" si="517"/>
        <v>Unloading no. 720 Bill No 2026-27/143 ,Deduction For Oil Deduction= 27786.8519047619 ,Bardana= 0 ,F.M=  Brokerage/Rate Difference 0 ,Shortage = 159.02 ,Greenish=  ,Moisture= 0</v>
      </c>
      <c r="BN746" s="69"/>
      <c r="BO746" s="70" t="str">
        <f t="shared" si="518"/>
        <v xml:space="preserve"> Party Condition 42  ,F.M% 0.43 ,Greenish 3.3 ,Moisture 4.4 ,Shortage in KG= 2  ,Oil% 40.36</v>
      </c>
      <c r="BP746" s="71">
        <f t="shared" si="519"/>
        <v>7655.8636964752313</v>
      </c>
      <c r="BQ746" s="69"/>
      <c r="BR746" s="69"/>
      <c r="BS746" s="69"/>
      <c r="BT746" s="69"/>
      <c r="BU746" s="69"/>
      <c r="BV746" s="69"/>
      <c r="BW746" s="94"/>
      <c r="BX746" s="30">
        <v>40.369999999999997</v>
      </c>
      <c r="BY746" s="30">
        <v>40.17</v>
      </c>
    </row>
    <row r="747" spans="1:77" ht="14.1" hidden="1" customHeight="1" x14ac:dyDescent="0.3">
      <c r="A747" s="161" t="s">
        <v>1471</v>
      </c>
      <c r="B747" s="310">
        <v>46172</v>
      </c>
      <c r="C747" s="309">
        <v>721</v>
      </c>
      <c r="D747" s="191" t="s">
        <v>1555</v>
      </c>
      <c r="E747" s="311">
        <v>46176</v>
      </c>
      <c r="F747" s="312" t="s">
        <v>1144</v>
      </c>
      <c r="G747" s="161" t="s">
        <v>1145</v>
      </c>
      <c r="H747" s="161" t="s">
        <v>100</v>
      </c>
      <c r="I747" s="193"/>
      <c r="J747" s="309" t="s">
        <v>1146</v>
      </c>
      <c r="K747" s="193"/>
      <c r="L747" s="310">
        <v>46172</v>
      </c>
      <c r="M747" s="193"/>
      <c r="N747" s="161" t="s">
        <v>1587</v>
      </c>
      <c r="O747" s="192">
        <v>46176</v>
      </c>
      <c r="P747" s="309">
        <v>0</v>
      </c>
      <c r="Q747" s="309">
        <v>140</v>
      </c>
      <c r="R747" s="309">
        <v>10</v>
      </c>
      <c r="S747" s="309">
        <v>150</v>
      </c>
      <c r="T747" s="309">
        <v>150</v>
      </c>
      <c r="U747" s="161">
        <v>0</v>
      </c>
      <c r="V747" s="193"/>
      <c r="W747" s="313">
        <v>89.9</v>
      </c>
      <c r="X747" s="313">
        <v>89.8</v>
      </c>
      <c r="Y747" s="314">
        <v>714794.9</v>
      </c>
      <c r="Z747" s="327">
        <v>40.020000000000003</v>
      </c>
      <c r="AA747" s="314">
        <v>17869.87</v>
      </c>
      <c r="AB747" s="314">
        <v>17869.87</v>
      </c>
      <c r="AC747" s="314">
        <v>750534.65</v>
      </c>
      <c r="AD747" s="315">
        <f t="shared" si="520"/>
        <v>749784.11534999998</v>
      </c>
      <c r="AE747" s="316">
        <v>40.020000000000003</v>
      </c>
      <c r="AF747" s="316">
        <v>42</v>
      </c>
      <c r="AG747" s="309">
        <v>40.020000000000003</v>
      </c>
      <c r="AH747" s="317">
        <v>4.1999999999999997E-3</v>
      </c>
      <c r="AI747" s="317">
        <v>3.7999999999999999E-2</v>
      </c>
      <c r="AJ747" s="317">
        <v>4.5999999999999999E-2</v>
      </c>
      <c r="AK747" s="318">
        <f t="shared" si="504"/>
        <v>33697.473857142802</v>
      </c>
      <c r="AL747" s="193">
        <v>0</v>
      </c>
      <c r="AM747" s="193"/>
      <c r="AN747" s="319">
        <v>0</v>
      </c>
      <c r="AO747" s="320">
        <f t="shared" si="505"/>
        <v>0</v>
      </c>
      <c r="AP747" s="193"/>
      <c r="AQ747" s="318">
        <v>0</v>
      </c>
      <c r="AR747" s="318">
        <f t="shared" si="506"/>
        <v>33697.473857142802</v>
      </c>
      <c r="AS747" s="318">
        <f t="shared" si="507"/>
        <v>35382</v>
      </c>
      <c r="AT747" s="321">
        <v>0</v>
      </c>
      <c r="AU747" s="319"/>
      <c r="AV747" s="193"/>
      <c r="AW747" s="318">
        <f t="shared" si="508"/>
        <v>8990</v>
      </c>
      <c r="AX747" s="193"/>
      <c r="AY747" s="318">
        <f t="shared" si="509"/>
        <v>8990</v>
      </c>
      <c r="AZ747" s="318">
        <f t="shared" si="510"/>
        <v>8980</v>
      </c>
      <c r="BA747" s="318">
        <f t="shared" si="511"/>
        <v>10</v>
      </c>
      <c r="BB747" s="318">
        <f t="shared" si="512"/>
        <v>17.98</v>
      </c>
      <c r="BC747" s="318">
        <v>0</v>
      </c>
      <c r="BD747" s="193"/>
      <c r="BE747" s="309">
        <v>89.9</v>
      </c>
      <c r="BF747" s="321">
        <f t="shared" si="513"/>
        <v>0.13485000000000003</v>
      </c>
      <c r="BG747" s="197">
        <f t="shared" si="496"/>
        <v>89.765150000000006</v>
      </c>
      <c r="BH747" s="321">
        <f t="shared" si="514"/>
        <v>89.8</v>
      </c>
      <c r="BI747" s="322">
        <f t="shared" si="515"/>
        <v>10.000000000000853</v>
      </c>
      <c r="BJ747" s="322">
        <v>0</v>
      </c>
      <c r="BK747" s="318">
        <f t="shared" si="516"/>
        <v>10.000000000000853</v>
      </c>
      <c r="BL747" s="67"/>
      <c r="BM747" s="68" t="str">
        <f t="shared" si="517"/>
        <v>Unloading no. 721 Bill No 2026-27/147 ,Deduction For Oil Deduction= 33697.4738571428 ,Bardana= 0 ,F.M=  Brokerage/Rate Difference 0 ,Shortage = 0 ,Greenish=  ,Moisture= 0</v>
      </c>
      <c r="BN747" s="69"/>
      <c r="BO747" s="70" t="str">
        <f t="shared" si="518"/>
        <v xml:space="preserve"> Party Condition 42  ,F.M% 0.42 ,Greenish 3.8 ,Moisture 4.6 ,Shortage in KG= 0  ,Oil% 40.02</v>
      </c>
      <c r="BP747" s="71">
        <f t="shared" si="519"/>
        <v>7584.6038545975189</v>
      </c>
      <c r="BQ747" s="69"/>
      <c r="BR747" s="69"/>
      <c r="BS747" s="69"/>
      <c r="BT747" s="69"/>
      <c r="BU747" s="69"/>
      <c r="BV747" s="69"/>
      <c r="BW747" s="94"/>
      <c r="BX747" s="30">
        <v>39.799999999999997</v>
      </c>
      <c r="BY747" s="30">
        <v>39.659999999999997</v>
      </c>
    </row>
    <row r="748" spans="1:77" ht="14.1" hidden="1" customHeight="1" x14ac:dyDescent="0.3">
      <c r="A748" s="161" t="s">
        <v>1471</v>
      </c>
      <c r="B748" s="310">
        <v>46172</v>
      </c>
      <c r="C748" s="309">
        <v>722</v>
      </c>
      <c r="D748" s="191" t="s">
        <v>1556</v>
      </c>
      <c r="E748" s="311">
        <v>46176</v>
      </c>
      <c r="F748" s="312" t="s">
        <v>1144</v>
      </c>
      <c r="G748" s="161" t="s">
        <v>1145</v>
      </c>
      <c r="H748" s="161" t="s">
        <v>100</v>
      </c>
      <c r="I748" s="193"/>
      <c r="J748" s="309" t="s">
        <v>1146</v>
      </c>
      <c r="K748" s="193"/>
      <c r="L748" s="310">
        <v>46172</v>
      </c>
      <c r="M748" s="193"/>
      <c r="N748" s="161" t="s">
        <v>1588</v>
      </c>
      <c r="O748" s="192">
        <v>46176</v>
      </c>
      <c r="P748" s="309">
        <v>0</v>
      </c>
      <c r="Q748" s="309">
        <v>150</v>
      </c>
      <c r="R748" s="309">
        <v>0</v>
      </c>
      <c r="S748" s="309">
        <v>150</v>
      </c>
      <c r="T748" s="309">
        <v>150</v>
      </c>
      <c r="U748" s="161">
        <v>0</v>
      </c>
      <c r="V748" s="193"/>
      <c r="W748" s="313">
        <v>89.2</v>
      </c>
      <c r="X748" s="313">
        <v>89</v>
      </c>
      <c r="Y748" s="314">
        <v>709229.2</v>
      </c>
      <c r="Z748" s="327">
        <v>39.880000000000003</v>
      </c>
      <c r="AA748" s="314">
        <v>17730.73</v>
      </c>
      <c r="AB748" s="314">
        <v>17730.73</v>
      </c>
      <c r="AC748" s="314">
        <v>744690.66</v>
      </c>
      <c r="AD748" s="315">
        <f t="shared" si="520"/>
        <v>743945.96934000007</v>
      </c>
      <c r="AE748" s="316">
        <v>39.880000000000003</v>
      </c>
      <c r="AF748" s="316">
        <v>42</v>
      </c>
      <c r="AG748" s="309">
        <v>39.880000000000003</v>
      </c>
      <c r="AH748" s="317">
        <v>3.8E-3</v>
      </c>
      <c r="AI748" s="317">
        <v>0.04</v>
      </c>
      <c r="AJ748" s="317">
        <v>4.4999999999999998E-2</v>
      </c>
      <c r="AK748" s="318">
        <f t="shared" si="504"/>
        <v>35799.188190476147</v>
      </c>
      <c r="AL748" s="193">
        <v>0</v>
      </c>
      <c r="AM748" s="193"/>
      <c r="AN748" s="319">
        <v>0</v>
      </c>
      <c r="AO748" s="320">
        <f t="shared" si="505"/>
        <v>159.01999999999998</v>
      </c>
      <c r="AP748" s="193"/>
      <c r="AQ748" s="318">
        <v>0</v>
      </c>
      <c r="AR748" s="318">
        <f t="shared" si="506"/>
        <v>35958.208190476143</v>
      </c>
      <c r="AS748" s="318">
        <f t="shared" si="507"/>
        <v>37756</v>
      </c>
      <c r="AT748" s="321">
        <v>2</v>
      </c>
      <c r="AU748" s="319"/>
      <c r="AV748" s="193"/>
      <c r="AW748" s="318">
        <f t="shared" si="508"/>
        <v>8920</v>
      </c>
      <c r="AX748" s="193"/>
      <c r="AY748" s="318">
        <f t="shared" si="509"/>
        <v>8920</v>
      </c>
      <c r="AZ748" s="318">
        <f t="shared" si="510"/>
        <v>8900</v>
      </c>
      <c r="BA748" s="318">
        <f t="shared" si="511"/>
        <v>20</v>
      </c>
      <c r="BB748" s="318">
        <f t="shared" si="512"/>
        <v>17.84</v>
      </c>
      <c r="BC748" s="318">
        <v>0</v>
      </c>
      <c r="BD748" s="193"/>
      <c r="BE748" s="309">
        <v>89.2</v>
      </c>
      <c r="BF748" s="321">
        <f t="shared" si="513"/>
        <v>0.1338</v>
      </c>
      <c r="BG748" s="197">
        <f t="shared" si="496"/>
        <v>89.066200000000009</v>
      </c>
      <c r="BH748" s="321">
        <f t="shared" si="514"/>
        <v>89</v>
      </c>
      <c r="BI748" s="322">
        <f t="shared" si="515"/>
        <v>20.000000000000284</v>
      </c>
      <c r="BJ748" s="322">
        <v>0</v>
      </c>
      <c r="BK748" s="318">
        <f t="shared" si="516"/>
        <v>20.000000000000284</v>
      </c>
      <c r="BL748" s="67"/>
      <c r="BM748" s="68" t="str">
        <f t="shared" si="517"/>
        <v>Unloading no. 722 Bill No 2026-27/148 ,Deduction For Oil Deduction= 35799.1881904761 ,Bardana= 0 ,F.M=  Brokerage/Rate Difference 0 ,Shortage = 159.02 ,Greenish=  ,Moisture= 0</v>
      </c>
      <c r="BN748" s="69"/>
      <c r="BO748" s="70" t="str">
        <f t="shared" si="518"/>
        <v xml:space="preserve"> Party Condition 42  ,F.M% 0.38 ,Greenish 4 ,Moisture 4.5 ,Shortage in KG= 2  ,Oil% 39.88</v>
      </c>
      <c r="BP748" s="71">
        <f t="shared" si="519"/>
        <v>7564.842604601391</v>
      </c>
      <c r="BQ748" s="69"/>
      <c r="BR748" s="69"/>
      <c r="BS748" s="69"/>
      <c r="BT748" s="69"/>
      <c r="BU748" s="69"/>
      <c r="BV748" s="69"/>
      <c r="BW748" s="94"/>
      <c r="BX748" s="30">
        <v>39.700000000000003</v>
      </c>
      <c r="BY748" s="30">
        <v>39.729999999999997</v>
      </c>
    </row>
    <row r="749" spans="1:77" ht="14.1" hidden="1" customHeight="1" x14ac:dyDescent="0.3">
      <c r="A749" s="161" t="s">
        <v>1471</v>
      </c>
      <c r="B749" s="310">
        <v>46172</v>
      </c>
      <c r="C749" s="309">
        <v>723</v>
      </c>
      <c r="D749" s="191" t="s">
        <v>1557</v>
      </c>
      <c r="E749" s="311">
        <v>46176</v>
      </c>
      <c r="F749" s="312" t="s">
        <v>1144</v>
      </c>
      <c r="G749" s="161" t="s">
        <v>1145</v>
      </c>
      <c r="H749" s="161" t="s">
        <v>100</v>
      </c>
      <c r="I749" s="193"/>
      <c r="J749" s="309" t="s">
        <v>1146</v>
      </c>
      <c r="K749" s="193"/>
      <c r="L749" s="310">
        <v>46172</v>
      </c>
      <c r="M749" s="193"/>
      <c r="N749" s="161" t="s">
        <v>1589</v>
      </c>
      <c r="O749" s="192">
        <v>46176</v>
      </c>
      <c r="P749" s="309">
        <v>0</v>
      </c>
      <c r="Q749" s="309">
        <v>140</v>
      </c>
      <c r="R749" s="309">
        <v>10</v>
      </c>
      <c r="S749" s="309">
        <v>150</v>
      </c>
      <c r="T749" s="309">
        <v>150</v>
      </c>
      <c r="U749" s="161">
        <v>0</v>
      </c>
      <c r="V749" s="193"/>
      <c r="W749" s="313">
        <v>88.2</v>
      </c>
      <c r="X749" s="313">
        <v>88.1</v>
      </c>
      <c r="Y749" s="314">
        <v>701278.2</v>
      </c>
      <c r="Z749" s="327">
        <v>39.86</v>
      </c>
      <c r="AA749" s="314">
        <v>17531.96</v>
      </c>
      <c r="AB749" s="314">
        <v>17531.96</v>
      </c>
      <c r="AC749" s="314">
        <v>736342.11</v>
      </c>
      <c r="AD749" s="315">
        <f t="shared" si="520"/>
        <v>735605.76789000002</v>
      </c>
      <c r="AE749" s="316">
        <v>39.86</v>
      </c>
      <c r="AF749" s="316">
        <v>42</v>
      </c>
      <c r="AG749" s="309">
        <v>39.86</v>
      </c>
      <c r="AH749" s="317">
        <v>3.8E-3</v>
      </c>
      <c r="AI749" s="317">
        <v>4.4499999999999998E-2</v>
      </c>
      <c r="AJ749" s="317">
        <v>4.8000000000000001E-2</v>
      </c>
      <c r="AK749" s="318">
        <f t="shared" si="504"/>
        <v>35731.794000000009</v>
      </c>
      <c r="AL749" s="193">
        <v>0</v>
      </c>
      <c r="AM749" s="193"/>
      <c r="AN749" s="319">
        <v>0</v>
      </c>
      <c r="AO749" s="320">
        <f t="shared" si="505"/>
        <v>0</v>
      </c>
      <c r="AP749" s="193"/>
      <c r="AQ749" s="318">
        <v>0</v>
      </c>
      <c r="AR749" s="318">
        <f t="shared" si="506"/>
        <v>35731.794000000009</v>
      </c>
      <c r="AS749" s="318">
        <f t="shared" si="507"/>
        <v>37518</v>
      </c>
      <c r="AT749" s="321">
        <v>0</v>
      </c>
      <c r="AU749" s="319"/>
      <c r="AV749" s="193"/>
      <c r="AW749" s="318">
        <f t="shared" si="508"/>
        <v>8820</v>
      </c>
      <c r="AX749" s="193"/>
      <c r="AY749" s="318">
        <f t="shared" si="509"/>
        <v>8820</v>
      </c>
      <c r="AZ749" s="318">
        <f t="shared" si="510"/>
        <v>8810</v>
      </c>
      <c r="BA749" s="318">
        <f t="shared" si="511"/>
        <v>10</v>
      </c>
      <c r="BB749" s="318">
        <f t="shared" si="512"/>
        <v>17.64</v>
      </c>
      <c r="BC749" s="318">
        <v>0</v>
      </c>
      <c r="BD749" s="193"/>
      <c r="BE749" s="309">
        <v>88.2</v>
      </c>
      <c r="BF749" s="321">
        <f t="shared" si="513"/>
        <v>0.1323</v>
      </c>
      <c r="BG749" s="197">
        <f t="shared" si="496"/>
        <v>88.067700000000002</v>
      </c>
      <c r="BH749" s="321">
        <f t="shared" si="514"/>
        <v>88.1</v>
      </c>
      <c r="BI749" s="322">
        <f t="shared" si="515"/>
        <v>10.000000000000853</v>
      </c>
      <c r="BJ749" s="322">
        <v>0</v>
      </c>
      <c r="BK749" s="318">
        <f t="shared" si="516"/>
        <v>10.000000000000853</v>
      </c>
      <c r="BL749" s="67"/>
      <c r="BM749" s="68" t="str">
        <f t="shared" si="517"/>
        <v>Unloading no. 723 Bill No 2026-27/145 ,Deduction For Oil Deduction= 35731.794 ,Bardana= 0 ,F.M=  Brokerage/Rate Difference 0 ,Shortage = 0 ,Greenish=  ,Moisture= 0</v>
      </c>
      <c r="BN749" s="69"/>
      <c r="BO749" s="70" t="str">
        <f t="shared" si="518"/>
        <v xml:space="preserve"> Party Condition 42  ,F.M% 0.38 ,Greenish 4.45 ,Moisture 4.8 ,Shortage in KG= 0  ,Oil% 39.86</v>
      </c>
      <c r="BP749" s="71">
        <f t="shared" si="519"/>
        <v>7554.442746878547</v>
      </c>
      <c r="BQ749" s="69"/>
      <c r="BR749" s="69"/>
      <c r="BS749" s="69"/>
      <c r="BT749" s="69"/>
      <c r="BU749" s="69"/>
      <c r="BV749" s="69"/>
      <c r="BW749" s="94"/>
      <c r="BX749" s="30">
        <v>39.79</v>
      </c>
      <c r="BY749" s="30">
        <v>39.69</v>
      </c>
    </row>
    <row r="750" spans="1:77" ht="14.1" hidden="1" customHeight="1" x14ac:dyDescent="0.3">
      <c r="A750" s="161" t="s">
        <v>1471</v>
      </c>
      <c r="B750" s="310">
        <v>46172</v>
      </c>
      <c r="C750" s="309">
        <v>724</v>
      </c>
      <c r="D750" s="191" t="s">
        <v>1558</v>
      </c>
      <c r="E750" s="311">
        <v>46176</v>
      </c>
      <c r="F750" s="312" t="s">
        <v>1144</v>
      </c>
      <c r="G750" s="161" t="s">
        <v>1145</v>
      </c>
      <c r="H750" s="161" t="s">
        <v>100</v>
      </c>
      <c r="I750" s="193"/>
      <c r="J750" s="309" t="s">
        <v>1146</v>
      </c>
      <c r="K750" s="193"/>
      <c r="L750" s="310">
        <v>46172</v>
      </c>
      <c r="M750" s="193"/>
      <c r="N750" s="161" t="s">
        <v>1590</v>
      </c>
      <c r="O750" s="192">
        <v>46176</v>
      </c>
      <c r="P750" s="309">
        <v>0</v>
      </c>
      <c r="Q750" s="309">
        <v>155</v>
      </c>
      <c r="R750" s="309">
        <v>0</v>
      </c>
      <c r="S750" s="309">
        <v>155</v>
      </c>
      <c r="T750" s="309">
        <v>155</v>
      </c>
      <c r="U750" s="161">
        <v>0</v>
      </c>
      <c r="V750" s="193"/>
      <c r="W750" s="313">
        <v>90.3</v>
      </c>
      <c r="X750" s="313">
        <v>90.2</v>
      </c>
      <c r="Y750" s="314">
        <v>717975.3</v>
      </c>
      <c r="Z750" s="327">
        <v>40.15</v>
      </c>
      <c r="AA750" s="314">
        <v>17949.38</v>
      </c>
      <c r="AB750" s="314">
        <v>17949.38</v>
      </c>
      <c r="AC750" s="314">
        <v>753874.07</v>
      </c>
      <c r="AD750" s="315">
        <f t="shared" si="520"/>
        <v>753120.19592999993</v>
      </c>
      <c r="AE750" s="316">
        <v>40.15</v>
      </c>
      <c r="AF750" s="316">
        <v>42</v>
      </c>
      <c r="AG750" s="309">
        <v>40.15</v>
      </c>
      <c r="AH750" s="317">
        <v>3.3999999999999998E-3</v>
      </c>
      <c r="AI750" s="317">
        <v>4.3999999999999997E-2</v>
      </c>
      <c r="AJ750" s="317">
        <v>4.4999999999999998E-2</v>
      </c>
      <c r="AK750" s="318">
        <f t="shared" si="504"/>
        <v>31625.102500000023</v>
      </c>
      <c r="AL750" s="193">
        <v>0</v>
      </c>
      <c r="AM750" s="193"/>
      <c r="AN750" s="319">
        <v>0</v>
      </c>
      <c r="AO750" s="320">
        <f t="shared" si="505"/>
        <v>0</v>
      </c>
      <c r="AP750" s="193"/>
      <c r="AQ750" s="318">
        <v>0</v>
      </c>
      <c r="AR750" s="318">
        <f t="shared" si="506"/>
        <v>31625.102500000023</v>
      </c>
      <c r="AS750" s="318">
        <f t="shared" si="507"/>
        <v>33206</v>
      </c>
      <c r="AT750" s="321">
        <v>0</v>
      </c>
      <c r="AU750" s="319"/>
      <c r="AV750" s="193"/>
      <c r="AW750" s="318">
        <f t="shared" si="508"/>
        <v>9030</v>
      </c>
      <c r="AX750" s="193"/>
      <c r="AY750" s="318">
        <f t="shared" si="509"/>
        <v>9030</v>
      </c>
      <c r="AZ750" s="318">
        <f t="shared" si="510"/>
        <v>9020</v>
      </c>
      <c r="BA750" s="318">
        <f t="shared" si="511"/>
        <v>10</v>
      </c>
      <c r="BB750" s="318">
        <f t="shared" si="512"/>
        <v>18.059999999999999</v>
      </c>
      <c r="BC750" s="318">
        <v>0</v>
      </c>
      <c r="BD750" s="193"/>
      <c r="BE750" s="309">
        <v>90.3</v>
      </c>
      <c r="BF750" s="321">
        <f t="shared" si="513"/>
        <v>0.13544999999999999</v>
      </c>
      <c r="BG750" s="197">
        <f t="shared" si="496"/>
        <v>90.164549999999991</v>
      </c>
      <c r="BH750" s="321">
        <f t="shared" si="514"/>
        <v>90.2</v>
      </c>
      <c r="BI750" s="322">
        <f t="shared" si="515"/>
        <v>9.9999999999994316</v>
      </c>
      <c r="BJ750" s="322">
        <v>0</v>
      </c>
      <c r="BK750" s="318">
        <f t="shared" si="516"/>
        <v>9.9999999999994316</v>
      </c>
      <c r="BL750" s="67"/>
      <c r="BM750" s="68" t="str">
        <f t="shared" si="517"/>
        <v>Unloading no. 724 Bill No 2026-27/144 ,Deduction For Oil Deduction= 31625.1025 ,Bardana= 0 ,F.M=  Brokerage/Rate Difference 0 ,Shortage = 0 ,Greenish=  ,Moisture= 0</v>
      </c>
      <c r="BN750" s="69"/>
      <c r="BO750" s="70" t="str">
        <f t="shared" si="518"/>
        <v xml:space="preserve"> Party Condition 42  ,F.M% 0.34 ,Greenish 4.4 ,Moisture 4.5 ,Shortage in KG= 0  ,Oil% 40.15</v>
      </c>
      <c r="BP750" s="71">
        <f t="shared" si="519"/>
        <v>7609.203963414634</v>
      </c>
      <c r="BQ750" s="69"/>
      <c r="BR750" s="69"/>
      <c r="BS750" s="69"/>
      <c r="BT750" s="69"/>
      <c r="BU750" s="69"/>
      <c r="BV750" s="69"/>
      <c r="BW750" s="94"/>
      <c r="BX750" s="30">
        <v>40.49</v>
      </c>
      <c r="BY750" s="30">
        <v>40.32</v>
      </c>
    </row>
    <row r="751" spans="1:77" ht="14.1" hidden="1" customHeight="1" x14ac:dyDescent="0.3">
      <c r="A751" s="161" t="s">
        <v>1471</v>
      </c>
      <c r="B751" s="310">
        <v>46172</v>
      </c>
      <c r="C751" s="309">
        <v>725</v>
      </c>
      <c r="D751" s="191" t="s">
        <v>1559</v>
      </c>
      <c r="E751" s="311">
        <v>46176</v>
      </c>
      <c r="F751" s="312" t="s">
        <v>1144</v>
      </c>
      <c r="G751" s="161" t="s">
        <v>1145</v>
      </c>
      <c r="H751" s="161" t="s">
        <v>100</v>
      </c>
      <c r="I751" s="193"/>
      <c r="J751" s="309" t="s">
        <v>1146</v>
      </c>
      <c r="K751" s="193"/>
      <c r="L751" s="310">
        <v>46172</v>
      </c>
      <c r="M751" s="193"/>
      <c r="N751" s="161" t="s">
        <v>1591</v>
      </c>
      <c r="O751" s="192">
        <v>46176</v>
      </c>
      <c r="P751" s="309">
        <v>0</v>
      </c>
      <c r="Q751" s="309">
        <v>140</v>
      </c>
      <c r="R751" s="309">
        <v>15</v>
      </c>
      <c r="S751" s="309">
        <v>155</v>
      </c>
      <c r="T751" s="309">
        <v>155</v>
      </c>
      <c r="U751" s="161">
        <v>0</v>
      </c>
      <c r="V751" s="193"/>
      <c r="W751" s="313">
        <v>89.6</v>
      </c>
      <c r="X751" s="313">
        <v>89.6</v>
      </c>
      <c r="Y751" s="314">
        <v>712409.59999999998</v>
      </c>
      <c r="Z751" s="327">
        <v>39.97</v>
      </c>
      <c r="AA751" s="314">
        <v>17810.240000000002</v>
      </c>
      <c r="AB751" s="314">
        <v>17810.240000000002</v>
      </c>
      <c r="AC751" s="314">
        <v>748030.08</v>
      </c>
      <c r="AD751" s="315">
        <f t="shared" si="520"/>
        <v>747282.0499199999</v>
      </c>
      <c r="AE751" s="316">
        <v>39.97</v>
      </c>
      <c r="AF751" s="316">
        <v>42</v>
      </c>
      <c r="AG751" s="309">
        <v>39.97</v>
      </c>
      <c r="AH751" s="317">
        <v>4.3E-3</v>
      </c>
      <c r="AI751" s="317">
        <v>4.1000000000000002E-2</v>
      </c>
      <c r="AJ751" s="317">
        <v>4.4999999999999998E-2</v>
      </c>
      <c r="AK751" s="318">
        <f t="shared" si="504"/>
        <v>34433.130666666686</v>
      </c>
      <c r="AL751" s="193">
        <v>0</v>
      </c>
      <c r="AM751" s="193"/>
      <c r="AN751" s="319">
        <v>0</v>
      </c>
      <c r="AO751" s="320">
        <f t="shared" si="505"/>
        <v>0</v>
      </c>
      <c r="AP751" s="193"/>
      <c r="AQ751" s="318">
        <v>0</v>
      </c>
      <c r="AR751" s="318">
        <f t="shared" si="506"/>
        <v>34433.130666666686</v>
      </c>
      <c r="AS751" s="318">
        <f t="shared" si="507"/>
        <v>36155</v>
      </c>
      <c r="AT751" s="321">
        <v>0</v>
      </c>
      <c r="AU751" s="319"/>
      <c r="AV751" s="193"/>
      <c r="AW751" s="318">
        <f t="shared" si="508"/>
        <v>8960</v>
      </c>
      <c r="AX751" s="193"/>
      <c r="AY751" s="318">
        <f t="shared" si="509"/>
        <v>8960</v>
      </c>
      <c r="AZ751" s="318">
        <f t="shared" si="510"/>
        <v>8960</v>
      </c>
      <c r="BA751" s="318">
        <f t="shared" si="511"/>
        <v>0</v>
      </c>
      <c r="BB751" s="318">
        <f t="shared" si="512"/>
        <v>17.920000000000002</v>
      </c>
      <c r="BC751" s="318">
        <v>0</v>
      </c>
      <c r="BD751" s="193"/>
      <c r="BE751" s="309">
        <v>89.6</v>
      </c>
      <c r="BF751" s="321">
        <f t="shared" si="513"/>
        <v>0.13439999999999999</v>
      </c>
      <c r="BG751" s="197">
        <f t="shared" si="496"/>
        <v>89.465599999999995</v>
      </c>
      <c r="BH751" s="321">
        <f t="shared" si="514"/>
        <v>89.6</v>
      </c>
      <c r="BI751" s="322">
        <f t="shared" si="515"/>
        <v>0</v>
      </c>
      <c r="BJ751" s="322">
        <v>0</v>
      </c>
      <c r="BK751" s="318">
        <f t="shared" si="516"/>
        <v>0</v>
      </c>
      <c r="BL751" s="67"/>
      <c r="BM751" s="68" t="str">
        <f t="shared" si="517"/>
        <v>Unloading no. 725 Bill No 2026-27/146 ,Deduction For Oil Deduction= 34433.1306666667 ,Bardana= 0 ,F.M=  Brokerage/Rate Difference 0 ,Shortage = 0 ,Greenish=  ,Moisture= 0</v>
      </c>
      <c r="BN751" s="69"/>
      <c r="BO751" s="70" t="str">
        <f t="shared" si="518"/>
        <v xml:space="preserve"> Party Condition 42  ,F.M% 0.43 ,Greenish 4.1 ,Moisture 4.5 ,Shortage in KG= 0  ,Oil% 39.97</v>
      </c>
      <c r="BP751" s="71">
        <f t="shared" si="519"/>
        <v>7566.7016666666668</v>
      </c>
      <c r="BQ751" s="69"/>
      <c r="BR751" s="69"/>
      <c r="BS751" s="69"/>
      <c r="BT751" s="69"/>
      <c r="BU751" s="69"/>
      <c r="BV751" s="69"/>
      <c r="BW751" s="94"/>
      <c r="BX751" s="30">
        <v>39.83</v>
      </c>
      <c r="BY751" s="30">
        <v>39.770000000000003</v>
      </c>
    </row>
    <row r="752" spans="1:77" ht="14.1" hidden="1" customHeight="1" x14ac:dyDescent="0.3">
      <c r="A752" s="161" t="s">
        <v>1471</v>
      </c>
      <c r="B752" s="310">
        <v>46172</v>
      </c>
      <c r="C752" s="309">
        <v>726</v>
      </c>
      <c r="D752" s="191" t="s">
        <v>1560</v>
      </c>
      <c r="E752" s="311">
        <v>46176</v>
      </c>
      <c r="F752" s="312" t="s">
        <v>1144</v>
      </c>
      <c r="G752" s="161" t="s">
        <v>1145</v>
      </c>
      <c r="H752" s="161" t="s">
        <v>100</v>
      </c>
      <c r="I752" s="193"/>
      <c r="J752" s="309" t="s">
        <v>1146</v>
      </c>
      <c r="K752" s="193"/>
      <c r="L752" s="310">
        <v>46172</v>
      </c>
      <c r="M752" s="193"/>
      <c r="N752" s="161" t="s">
        <v>1592</v>
      </c>
      <c r="O752" s="192">
        <v>46176</v>
      </c>
      <c r="P752" s="309">
        <v>0</v>
      </c>
      <c r="Q752" s="309">
        <v>140</v>
      </c>
      <c r="R752" s="309">
        <v>15</v>
      </c>
      <c r="S752" s="309">
        <v>155</v>
      </c>
      <c r="T752" s="309">
        <v>155</v>
      </c>
      <c r="U752" s="161">
        <v>0</v>
      </c>
      <c r="V752" s="193"/>
      <c r="W752" s="313">
        <v>90.2</v>
      </c>
      <c r="X752" s="313">
        <v>90.2</v>
      </c>
      <c r="Y752" s="314">
        <v>717180.2</v>
      </c>
      <c r="Z752" s="327">
        <v>39.92</v>
      </c>
      <c r="AA752" s="314">
        <v>17929.509999999998</v>
      </c>
      <c r="AB752" s="314">
        <v>17929.509999999998</v>
      </c>
      <c r="AC752" s="314">
        <v>753039.21</v>
      </c>
      <c r="AD752" s="315">
        <f t="shared" si="520"/>
        <v>752286.17079</v>
      </c>
      <c r="AE752" s="316">
        <v>39.92</v>
      </c>
      <c r="AF752" s="316">
        <v>42</v>
      </c>
      <c r="AG752" s="309">
        <v>39.92</v>
      </c>
      <c r="AH752" s="317">
        <v>3.5000000000000001E-3</v>
      </c>
      <c r="AI752" s="317">
        <v>0.04</v>
      </c>
      <c r="AJ752" s="317">
        <v>4.3999999999999997E-2</v>
      </c>
      <c r="AK752" s="318">
        <f t="shared" si="504"/>
        <v>35517.495619047586</v>
      </c>
      <c r="AL752" s="193">
        <v>0</v>
      </c>
      <c r="AM752" s="193"/>
      <c r="AN752" s="319">
        <v>0</v>
      </c>
      <c r="AO752" s="320">
        <f t="shared" si="505"/>
        <v>0</v>
      </c>
      <c r="AP752" s="193"/>
      <c r="AQ752" s="318">
        <v>0</v>
      </c>
      <c r="AR752" s="318">
        <f t="shared" si="506"/>
        <v>35517.495619047586</v>
      </c>
      <c r="AS752" s="318">
        <f t="shared" si="507"/>
        <v>37293</v>
      </c>
      <c r="AT752" s="321">
        <v>0</v>
      </c>
      <c r="AU752" s="319"/>
      <c r="AV752" s="193"/>
      <c r="AW752" s="318">
        <f t="shared" si="508"/>
        <v>9020</v>
      </c>
      <c r="AX752" s="193"/>
      <c r="AY752" s="318">
        <f t="shared" si="509"/>
        <v>9020</v>
      </c>
      <c r="AZ752" s="318">
        <f t="shared" si="510"/>
        <v>9020</v>
      </c>
      <c r="BA752" s="318">
        <f t="shared" si="511"/>
        <v>0</v>
      </c>
      <c r="BB752" s="318">
        <f t="shared" si="512"/>
        <v>18.04</v>
      </c>
      <c r="BC752" s="318">
        <v>0</v>
      </c>
      <c r="BD752" s="193"/>
      <c r="BE752" s="309">
        <v>90.2</v>
      </c>
      <c r="BF752" s="321">
        <f t="shared" si="513"/>
        <v>0.1353</v>
      </c>
      <c r="BG752" s="197">
        <f t="shared" si="496"/>
        <v>90.064700000000002</v>
      </c>
      <c r="BH752" s="321">
        <f t="shared" si="514"/>
        <v>90.2</v>
      </c>
      <c r="BI752" s="322">
        <f t="shared" si="515"/>
        <v>0</v>
      </c>
      <c r="BJ752" s="322">
        <v>0</v>
      </c>
      <c r="BK752" s="318">
        <f t="shared" si="516"/>
        <v>0</v>
      </c>
      <c r="BL752" s="67"/>
      <c r="BM752" s="68" t="str">
        <f t="shared" si="517"/>
        <v>Unloading no. 726 Bill No 2026-27/149 ,Deduction For Oil Deduction= 35517.4956190476 ,Bardana= 0 ,F.M=  Brokerage/Rate Difference 0 ,Shortage = 0 ,Greenish=  ,Moisture= 0</v>
      </c>
      <c r="BN752" s="69"/>
      <c r="BO752" s="70" t="str">
        <f t="shared" si="518"/>
        <v xml:space="preserve"> Party Condition 42  ,F.M% 0.35 ,Greenish 4 ,Moisture 4.4 ,Shortage in KG= 0  ,Oil% 39.92</v>
      </c>
      <c r="BP752" s="71">
        <f t="shared" si="519"/>
        <v>7557.2361904761901</v>
      </c>
      <c r="BQ752" s="69"/>
      <c r="BR752" s="69"/>
      <c r="BS752" s="69"/>
      <c r="BT752" s="69"/>
      <c r="BU752" s="69"/>
      <c r="BV752" s="69"/>
      <c r="BW752" s="94"/>
      <c r="BX752" s="30">
        <v>39.880000000000003</v>
      </c>
      <c r="BY752" s="30">
        <v>39.74</v>
      </c>
    </row>
    <row r="753" spans="1:77" ht="14.1" hidden="1" customHeight="1" x14ac:dyDescent="0.3">
      <c r="A753" s="161" t="s">
        <v>1539</v>
      </c>
      <c r="B753" s="310">
        <v>46174</v>
      </c>
      <c r="C753" s="309">
        <v>727</v>
      </c>
      <c r="D753" s="191" t="s">
        <v>1561</v>
      </c>
      <c r="E753" s="311">
        <v>46176</v>
      </c>
      <c r="F753" s="312" t="s">
        <v>1144</v>
      </c>
      <c r="G753" s="161" t="s">
        <v>1145</v>
      </c>
      <c r="H753" s="161" t="s">
        <v>100</v>
      </c>
      <c r="I753" s="193"/>
      <c r="J753" s="309" t="s">
        <v>1146</v>
      </c>
      <c r="K753" s="193"/>
      <c r="L753" s="310">
        <v>46174</v>
      </c>
      <c r="M753" s="193"/>
      <c r="N753" s="161" t="s">
        <v>1593</v>
      </c>
      <c r="O753" s="192">
        <v>46176</v>
      </c>
      <c r="P753" s="309">
        <v>0</v>
      </c>
      <c r="Q753" s="309">
        <v>145</v>
      </c>
      <c r="R753" s="309">
        <v>5</v>
      </c>
      <c r="S753" s="309">
        <v>150</v>
      </c>
      <c r="T753" s="309">
        <v>150</v>
      </c>
      <c r="U753" s="161">
        <v>0</v>
      </c>
      <c r="V753" s="193"/>
      <c r="W753" s="313">
        <v>89</v>
      </c>
      <c r="X753" s="313">
        <v>88.8</v>
      </c>
      <c r="Y753" s="314">
        <v>712000</v>
      </c>
      <c r="Z753" s="327">
        <v>39.880000000000003</v>
      </c>
      <c r="AA753" s="314">
        <v>17800</v>
      </c>
      <c r="AB753" s="314">
        <v>17800</v>
      </c>
      <c r="AC753" s="314">
        <v>747600</v>
      </c>
      <c r="AD753" s="315">
        <f t="shared" si="520"/>
        <v>746852.4</v>
      </c>
      <c r="AE753" s="316">
        <v>39.880000000000003</v>
      </c>
      <c r="AF753" s="316">
        <v>42</v>
      </c>
      <c r="AG753" s="309">
        <v>39.880000000000003</v>
      </c>
      <c r="AH753" s="317">
        <v>3.3999999999999998E-3</v>
      </c>
      <c r="AI753" s="317">
        <v>4.36E-2</v>
      </c>
      <c r="AJ753" s="317">
        <v>4.7E-2</v>
      </c>
      <c r="AK753" s="318">
        <f t="shared" si="504"/>
        <v>35939.047619047575</v>
      </c>
      <c r="AL753" s="193">
        <v>0</v>
      </c>
      <c r="AM753" s="193"/>
      <c r="AN753" s="319">
        <v>0</v>
      </c>
      <c r="AO753" s="320">
        <f t="shared" si="505"/>
        <v>160</v>
      </c>
      <c r="AP753" s="193"/>
      <c r="AQ753" s="318">
        <v>0</v>
      </c>
      <c r="AR753" s="318">
        <f t="shared" si="506"/>
        <v>36099.047619047575</v>
      </c>
      <c r="AS753" s="318">
        <f t="shared" si="507"/>
        <v>37904</v>
      </c>
      <c r="AT753" s="321">
        <v>2</v>
      </c>
      <c r="AU753" s="319"/>
      <c r="AV753" s="193"/>
      <c r="AW753" s="318">
        <f t="shared" si="508"/>
        <v>8900</v>
      </c>
      <c r="AX753" s="193"/>
      <c r="AY753" s="318">
        <f t="shared" si="509"/>
        <v>8900</v>
      </c>
      <c r="AZ753" s="318">
        <f t="shared" si="510"/>
        <v>8880</v>
      </c>
      <c r="BA753" s="318">
        <f t="shared" si="511"/>
        <v>20</v>
      </c>
      <c r="BB753" s="318">
        <f t="shared" si="512"/>
        <v>17.8</v>
      </c>
      <c r="BC753" s="318">
        <v>0</v>
      </c>
      <c r="BD753" s="193"/>
      <c r="BE753" s="309">
        <v>89</v>
      </c>
      <c r="BF753" s="321">
        <f t="shared" si="513"/>
        <v>0.13350000000000001</v>
      </c>
      <c r="BG753" s="197">
        <f t="shared" si="496"/>
        <v>88.866500000000002</v>
      </c>
      <c r="BH753" s="321">
        <f t="shared" si="514"/>
        <v>88.8</v>
      </c>
      <c r="BI753" s="322">
        <f t="shared" si="515"/>
        <v>20.000000000000284</v>
      </c>
      <c r="BJ753" s="322">
        <v>0</v>
      </c>
      <c r="BK753" s="318">
        <f t="shared" si="516"/>
        <v>20.000000000000284</v>
      </c>
      <c r="BL753" s="67"/>
      <c r="BM753" s="68" t="str">
        <f t="shared" si="517"/>
        <v>Unloading no. 727 Bill No 2026-27/150 ,Deduction For Oil Deduction= 35939.0476190475 ,Bardana= 0 ,F.M=  Brokerage/Rate Difference 0 ,Shortage = 160 ,Greenish=  ,Moisture= 0</v>
      </c>
      <c r="BN753" s="69"/>
      <c r="BO753" s="70" t="str">
        <f t="shared" si="518"/>
        <v xml:space="preserve"> Party Condition 42  ,F.M% 0.34 ,Greenish 4.36 ,Moisture 4.7 ,Shortage in KG= 2  ,Oil% 39.88</v>
      </c>
      <c r="BP753" s="71">
        <f t="shared" si="519"/>
        <v>7611.4972114972124</v>
      </c>
      <c r="BQ753" s="69"/>
      <c r="BR753" s="69"/>
      <c r="BS753" s="69"/>
      <c r="BT753" s="69"/>
      <c r="BU753" s="69"/>
      <c r="BV753" s="69"/>
      <c r="BW753" s="94"/>
      <c r="BX753" s="30">
        <v>39.61</v>
      </c>
      <c r="BY753" s="30">
        <v>39.54</v>
      </c>
    </row>
    <row r="754" spans="1:77" ht="14.1" hidden="1" customHeight="1" x14ac:dyDescent="0.3">
      <c r="A754" s="161" t="s">
        <v>1540</v>
      </c>
      <c r="B754" s="310">
        <v>46175</v>
      </c>
      <c r="C754" s="309">
        <v>728</v>
      </c>
      <c r="D754" s="191" t="s">
        <v>1562</v>
      </c>
      <c r="E754" s="311">
        <v>46176</v>
      </c>
      <c r="F754" s="312" t="s">
        <v>1575</v>
      </c>
      <c r="G754" s="161" t="s">
        <v>1576</v>
      </c>
      <c r="H754" s="161" t="s">
        <v>103</v>
      </c>
      <c r="I754" s="193"/>
      <c r="J754" s="309" t="s">
        <v>1455</v>
      </c>
      <c r="K754" s="193"/>
      <c r="L754" s="310">
        <v>46175</v>
      </c>
      <c r="M754" s="193"/>
      <c r="N754" s="161" t="s">
        <v>1594</v>
      </c>
      <c r="O754" s="192">
        <v>46176</v>
      </c>
      <c r="P754" s="309">
        <v>0</v>
      </c>
      <c r="Q754" s="309">
        <v>100</v>
      </c>
      <c r="R754" s="309">
        <v>90</v>
      </c>
      <c r="S754" s="309">
        <v>190</v>
      </c>
      <c r="T754" s="309">
        <v>190</v>
      </c>
      <c r="U754" s="161">
        <v>0</v>
      </c>
      <c r="V754" s="193"/>
      <c r="W754" s="313">
        <v>93.9</v>
      </c>
      <c r="X754" s="313">
        <v>93.8</v>
      </c>
      <c r="Y754" s="314">
        <v>760590</v>
      </c>
      <c r="Z754" s="313"/>
      <c r="AA754" s="314">
        <v>19014.75</v>
      </c>
      <c r="AB754" s="314">
        <v>19014.75</v>
      </c>
      <c r="AC754" s="314">
        <v>798619.5</v>
      </c>
      <c r="AD754" s="315">
        <f t="shared" si="520"/>
        <v>797820.88049999997</v>
      </c>
      <c r="AE754" s="316">
        <v>40.090000000000003</v>
      </c>
      <c r="AF754" s="316">
        <v>42</v>
      </c>
      <c r="AG754" s="309">
        <v>39.909999999999997</v>
      </c>
      <c r="AH754" s="323">
        <v>4.0000000000000001E-3</v>
      </c>
      <c r="AI754" s="317">
        <v>3.7999999999999999E-2</v>
      </c>
      <c r="AJ754" s="317">
        <v>4.5999999999999999E-2</v>
      </c>
      <c r="AK754" s="318">
        <f t="shared" si="504"/>
        <v>37848.407142857206</v>
      </c>
      <c r="AL754" s="193">
        <f>100*10+90*15</f>
        <v>2350</v>
      </c>
      <c r="AM754" s="319">
        <f>Y754*AH754</f>
        <v>3042.36</v>
      </c>
      <c r="AN754" s="319">
        <v>0</v>
      </c>
      <c r="AO754" s="320">
        <f t="shared" si="505"/>
        <v>810</v>
      </c>
      <c r="AP754" s="193"/>
      <c r="AQ754" s="318">
        <v>0</v>
      </c>
      <c r="AR754" s="318">
        <f t="shared" si="506"/>
        <v>44050.767142857207</v>
      </c>
      <c r="AS754" s="318">
        <f t="shared" si="507"/>
        <v>46253</v>
      </c>
      <c r="AT754" s="321">
        <v>10</v>
      </c>
      <c r="AU754" s="319"/>
      <c r="AV754" s="193"/>
      <c r="AW754" s="318">
        <f t="shared" si="508"/>
        <v>9390</v>
      </c>
      <c r="AX754" s="193"/>
      <c r="AY754" s="318">
        <f t="shared" si="509"/>
        <v>9390</v>
      </c>
      <c r="AZ754" s="318">
        <f t="shared" si="510"/>
        <v>9380</v>
      </c>
      <c r="BA754" s="318">
        <f t="shared" si="511"/>
        <v>10</v>
      </c>
      <c r="BB754" s="318">
        <f t="shared" si="512"/>
        <v>18.78</v>
      </c>
      <c r="BC754" s="318">
        <v>0</v>
      </c>
      <c r="BD754" s="193"/>
      <c r="BE754" s="309">
        <v>93.9</v>
      </c>
      <c r="BF754" s="321">
        <f t="shared" si="513"/>
        <v>0.14085</v>
      </c>
      <c r="BG754" s="197">
        <f t="shared" si="496"/>
        <v>93.759150000000005</v>
      </c>
      <c r="BH754" s="321">
        <f t="shared" si="514"/>
        <v>93.8</v>
      </c>
      <c r="BI754" s="322">
        <f t="shared" si="515"/>
        <v>10.000000000000853</v>
      </c>
      <c r="BJ754" s="322">
        <v>0</v>
      </c>
      <c r="BK754" s="318">
        <f t="shared" si="516"/>
        <v>10.000000000000853</v>
      </c>
      <c r="BL754" s="67"/>
      <c r="BM754" s="68" t="str">
        <f t="shared" si="517"/>
        <v>Unloading no. 728 Bill No 2026-27/0080 ,Deduction For Oil Deduction= 37848.4071428572 ,Bardana= 2350 ,F.M= 3042.36 Brokerage/Rate Difference 0 ,Shortage = 810 ,Greenish=  ,Moisture= 0</v>
      </c>
      <c r="BN754" s="69"/>
      <c r="BO754" s="70" t="str">
        <f t="shared" si="518"/>
        <v xml:space="preserve"> Party Condition 42  ,F.M% 0.4 ,Greenish 3.8 ,Moisture 4.6 ,Shortage in KG= 10  ,Oil% 39.91</v>
      </c>
      <c r="BP754" s="71">
        <f t="shared" si="519"/>
        <v>7639.0110112701796</v>
      </c>
      <c r="BQ754" s="69"/>
      <c r="BR754" s="69"/>
      <c r="BS754" s="69"/>
      <c r="BT754" s="69"/>
      <c r="BU754" s="69"/>
      <c r="BV754" s="69"/>
      <c r="BW754" s="94"/>
      <c r="BX754" s="30">
        <v>40.090000000000003</v>
      </c>
      <c r="BY754" s="30">
        <v>39.909999999999997</v>
      </c>
    </row>
    <row r="755" spans="1:77" ht="14.1" hidden="1" customHeight="1" x14ac:dyDescent="0.3">
      <c r="A755" s="161" t="s">
        <v>1539</v>
      </c>
      <c r="B755" s="310">
        <v>46174</v>
      </c>
      <c r="C755" s="309">
        <v>729</v>
      </c>
      <c r="D755" s="191" t="s">
        <v>1563</v>
      </c>
      <c r="E755" s="311">
        <v>46176</v>
      </c>
      <c r="F755" s="312" t="s">
        <v>1144</v>
      </c>
      <c r="G755" s="161" t="s">
        <v>1145</v>
      </c>
      <c r="H755" s="161" t="s">
        <v>100</v>
      </c>
      <c r="I755" s="193"/>
      <c r="J755" s="309" t="s">
        <v>1146</v>
      </c>
      <c r="K755" s="193"/>
      <c r="L755" s="310">
        <v>46174</v>
      </c>
      <c r="M755" s="193"/>
      <c r="N755" s="161" t="s">
        <v>1595</v>
      </c>
      <c r="O755" s="192">
        <v>46176</v>
      </c>
      <c r="P755" s="309">
        <v>0</v>
      </c>
      <c r="Q755" s="309">
        <v>150</v>
      </c>
      <c r="R755" s="309">
        <v>5</v>
      </c>
      <c r="S755" s="309">
        <v>155</v>
      </c>
      <c r="T755" s="309">
        <v>155</v>
      </c>
      <c r="U755" s="161">
        <v>0</v>
      </c>
      <c r="V755" s="193"/>
      <c r="W755" s="313">
        <v>91.1</v>
      </c>
      <c r="X755" s="313">
        <v>91</v>
      </c>
      <c r="Y755" s="314">
        <v>728800</v>
      </c>
      <c r="Z755" s="327">
        <v>40.32</v>
      </c>
      <c r="AA755" s="314">
        <v>18220</v>
      </c>
      <c r="AB755" s="314">
        <v>18220</v>
      </c>
      <c r="AC755" s="314">
        <v>765240</v>
      </c>
      <c r="AD755" s="315">
        <f t="shared" si="520"/>
        <v>764474.76</v>
      </c>
      <c r="AE755" s="316">
        <v>40.32</v>
      </c>
      <c r="AF755" s="316">
        <v>42</v>
      </c>
      <c r="AG755" s="309">
        <v>40.32</v>
      </c>
      <c r="AH755" s="317">
        <v>3.7000000000000002E-3</v>
      </c>
      <c r="AI755" s="317">
        <v>4.5699999999999998E-2</v>
      </c>
      <c r="AJ755" s="317">
        <v>4.8000000000000001E-2</v>
      </c>
      <c r="AK755" s="318">
        <f t="shared" si="504"/>
        <v>29151.999999999996</v>
      </c>
      <c r="AL755" s="193">
        <v>0</v>
      </c>
      <c r="AM755" s="193"/>
      <c r="AN755" s="319">
        <v>0</v>
      </c>
      <c r="AO755" s="320">
        <f t="shared" si="505"/>
        <v>0</v>
      </c>
      <c r="AP755" s="193"/>
      <c r="AQ755" s="318">
        <v>0</v>
      </c>
      <c r="AR755" s="318">
        <f t="shared" si="506"/>
        <v>29151.999999999996</v>
      </c>
      <c r="AS755" s="318">
        <f t="shared" si="507"/>
        <v>30610</v>
      </c>
      <c r="AT755" s="321">
        <v>0</v>
      </c>
      <c r="AU755" s="319"/>
      <c r="AV755" s="193"/>
      <c r="AW755" s="318">
        <f t="shared" si="508"/>
        <v>9110</v>
      </c>
      <c r="AX755" s="193"/>
      <c r="AY755" s="318">
        <f t="shared" si="509"/>
        <v>9110</v>
      </c>
      <c r="AZ755" s="318">
        <f t="shared" si="510"/>
        <v>9100</v>
      </c>
      <c r="BA755" s="318">
        <f t="shared" si="511"/>
        <v>10</v>
      </c>
      <c r="BB755" s="318">
        <f t="shared" si="512"/>
        <v>18.22</v>
      </c>
      <c r="BC755" s="318">
        <v>0</v>
      </c>
      <c r="BD755" s="193"/>
      <c r="BE755" s="309">
        <v>91.1</v>
      </c>
      <c r="BF755" s="321">
        <f t="shared" si="513"/>
        <v>0.13664999999999999</v>
      </c>
      <c r="BG755" s="197">
        <f t="shared" si="496"/>
        <v>90.963349999999991</v>
      </c>
      <c r="BH755" s="321">
        <f t="shared" si="514"/>
        <v>91</v>
      </c>
      <c r="BI755" s="322">
        <f t="shared" si="515"/>
        <v>9.9999999999994316</v>
      </c>
      <c r="BJ755" s="322">
        <v>0</v>
      </c>
      <c r="BK755" s="318">
        <f t="shared" si="516"/>
        <v>9.9999999999994316</v>
      </c>
      <c r="BL755" s="67"/>
      <c r="BM755" s="68" t="str">
        <f t="shared" si="517"/>
        <v>Unloading no. 729 Bill No 2026-27/151 ,Deduction For Oil Deduction= 29152 ,Bardana= 0 ,F.M=  Brokerage/Rate Difference 0 ,Shortage = 0 ,Greenish=  ,Moisture= 0</v>
      </c>
      <c r="BN755" s="69"/>
      <c r="BO755" s="70" t="str">
        <f t="shared" si="518"/>
        <v xml:space="preserve"> Party Condition 42  ,F.M% 0.37 ,Greenish 4.57 ,Moisture 4.8 ,Shortage in KG= 0  ,Oil% 40.32</v>
      </c>
      <c r="BP755" s="71">
        <f t="shared" si="519"/>
        <v>7688.4395604395604</v>
      </c>
      <c r="BQ755" s="69"/>
      <c r="BR755" s="69"/>
      <c r="BS755" s="69"/>
      <c r="BT755" s="69"/>
      <c r="BU755" s="69"/>
      <c r="BV755" s="69"/>
      <c r="BW755" s="94"/>
      <c r="BX755" s="30">
        <v>40.06</v>
      </c>
      <c r="BY755" s="30">
        <v>40.090000000000003</v>
      </c>
    </row>
    <row r="756" spans="1:77" ht="14.1" hidden="1" customHeight="1" x14ac:dyDescent="0.3">
      <c r="A756" s="161" t="s">
        <v>1540</v>
      </c>
      <c r="B756" s="310">
        <v>46175</v>
      </c>
      <c r="C756" s="309">
        <v>730</v>
      </c>
      <c r="D756" s="191" t="s">
        <v>1564</v>
      </c>
      <c r="E756" s="311">
        <v>46176</v>
      </c>
      <c r="F756" s="312" t="s">
        <v>1575</v>
      </c>
      <c r="G756" s="161" t="s">
        <v>1576</v>
      </c>
      <c r="H756" s="161" t="s">
        <v>103</v>
      </c>
      <c r="I756" s="193"/>
      <c r="J756" s="309" t="s">
        <v>1455</v>
      </c>
      <c r="K756" s="193"/>
      <c r="L756" s="310">
        <v>46175</v>
      </c>
      <c r="M756" s="193"/>
      <c r="N756" s="161" t="s">
        <v>1596</v>
      </c>
      <c r="O756" s="192">
        <v>46176</v>
      </c>
      <c r="P756" s="309">
        <v>0</v>
      </c>
      <c r="Q756" s="309">
        <v>95</v>
      </c>
      <c r="R756" s="309">
        <v>95</v>
      </c>
      <c r="S756" s="309">
        <v>190</v>
      </c>
      <c r="T756" s="309">
        <v>190</v>
      </c>
      <c r="U756" s="161">
        <v>0</v>
      </c>
      <c r="V756" s="193"/>
      <c r="W756" s="313">
        <v>94.3</v>
      </c>
      <c r="X756" s="313">
        <v>94.3</v>
      </c>
      <c r="Y756" s="314">
        <v>763830</v>
      </c>
      <c r="Z756" s="313"/>
      <c r="AA756" s="314">
        <v>19095.75</v>
      </c>
      <c r="AB756" s="314">
        <v>19095.75</v>
      </c>
      <c r="AC756" s="314">
        <v>802021.5</v>
      </c>
      <c r="AD756" s="315">
        <f t="shared" si="520"/>
        <v>801219.47849999997</v>
      </c>
      <c r="AE756" s="316">
        <v>39.799999999999997</v>
      </c>
      <c r="AF756" s="316">
        <v>42</v>
      </c>
      <c r="AG756" s="309">
        <v>39.65</v>
      </c>
      <c r="AH756" s="323">
        <v>4.0000000000000001E-3</v>
      </c>
      <c r="AI756" s="317">
        <v>4.7699999999999999E-2</v>
      </c>
      <c r="AJ756" s="317">
        <v>4.5999999999999999E-2</v>
      </c>
      <c r="AK756" s="318">
        <f t="shared" si="504"/>
        <v>42738.107142857174</v>
      </c>
      <c r="AL756" s="193">
        <f>95*10+95*15</f>
        <v>2375</v>
      </c>
      <c r="AM756" s="319">
        <f>Y756*AH756</f>
        <v>3055.32</v>
      </c>
      <c r="AN756" s="319">
        <v>0</v>
      </c>
      <c r="AO756" s="320">
        <f t="shared" si="505"/>
        <v>0</v>
      </c>
      <c r="AP756" s="193"/>
      <c r="AQ756" s="318">
        <v>0</v>
      </c>
      <c r="AR756" s="318">
        <f t="shared" si="506"/>
        <v>48168.427142857174</v>
      </c>
      <c r="AS756" s="318">
        <f t="shared" si="507"/>
        <v>50577</v>
      </c>
      <c r="AT756" s="321">
        <v>0</v>
      </c>
      <c r="AU756" s="319"/>
      <c r="AV756" s="193"/>
      <c r="AW756" s="318">
        <f t="shared" si="508"/>
        <v>9430</v>
      </c>
      <c r="AX756" s="193"/>
      <c r="AY756" s="318">
        <f t="shared" si="509"/>
        <v>9430</v>
      </c>
      <c r="AZ756" s="318">
        <f t="shared" si="510"/>
        <v>9430</v>
      </c>
      <c r="BA756" s="318">
        <f t="shared" si="511"/>
        <v>0</v>
      </c>
      <c r="BB756" s="318">
        <f t="shared" si="512"/>
        <v>18.86</v>
      </c>
      <c r="BC756" s="318">
        <v>0</v>
      </c>
      <c r="BD756" s="193"/>
      <c r="BE756" s="309">
        <v>94.3</v>
      </c>
      <c r="BF756" s="321">
        <f t="shared" si="513"/>
        <v>0.14144999999999999</v>
      </c>
      <c r="BG756" s="197">
        <f t="shared" si="496"/>
        <v>94.158549999999991</v>
      </c>
      <c r="BH756" s="321">
        <f t="shared" si="514"/>
        <v>94.3</v>
      </c>
      <c r="BI756" s="322">
        <f t="shared" si="515"/>
        <v>0</v>
      </c>
      <c r="BJ756" s="322">
        <v>0</v>
      </c>
      <c r="BK756" s="318">
        <f t="shared" si="516"/>
        <v>0</v>
      </c>
      <c r="BL756" s="67"/>
      <c r="BM756" s="68" t="str">
        <f t="shared" si="517"/>
        <v>Unloading no. 730 Bill No 2026-27/0081 ,Deduction For Oil Deduction= 42738.1071428572 ,Bardana= 2375 ,F.M= 3055.32 Brokerage/Rate Difference 0 ,Shortage = 0 ,Greenish=  ,Moisture= 0</v>
      </c>
      <c r="BN756" s="69"/>
      <c r="BO756" s="70" t="str">
        <f t="shared" si="518"/>
        <v xml:space="preserve"> Party Condition 42  ,F.M% 0.4 ,Greenish 4.77 ,Moisture 4.6 ,Shortage in KG= 0  ,Oil% 39.65</v>
      </c>
      <c r="BP756" s="71">
        <f t="shared" si="519"/>
        <v>7589.2001363429781</v>
      </c>
      <c r="BQ756" s="69"/>
      <c r="BR756" s="69"/>
      <c r="BS756" s="69"/>
      <c r="BT756" s="69"/>
      <c r="BU756" s="69"/>
      <c r="BV756" s="69"/>
      <c r="BW756" s="94"/>
      <c r="BX756" s="30">
        <v>39.799999999999997</v>
      </c>
      <c r="BY756" s="30">
        <v>39.65</v>
      </c>
    </row>
    <row r="757" spans="1:77" ht="14.1" hidden="1" customHeight="1" x14ac:dyDescent="0.3">
      <c r="A757" s="161" t="s">
        <v>1471</v>
      </c>
      <c r="B757" s="310">
        <v>46172</v>
      </c>
      <c r="C757" s="309">
        <v>731</v>
      </c>
      <c r="D757" s="191" t="s">
        <v>1565</v>
      </c>
      <c r="E757" s="311">
        <v>46176</v>
      </c>
      <c r="F757" s="312" t="s">
        <v>1144</v>
      </c>
      <c r="G757" s="161" t="s">
        <v>1145</v>
      </c>
      <c r="H757" s="161" t="s">
        <v>100</v>
      </c>
      <c r="I757" s="193"/>
      <c r="J757" s="309" t="s">
        <v>1146</v>
      </c>
      <c r="K757" s="193"/>
      <c r="L757" s="310">
        <v>46172</v>
      </c>
      <c r="M757" s="193"/>
      <c r="N757" s="161" t="s">
        <v>1597</v>
      </c>
      <c r="O757" s="192">
        <v>46176</v>
      </c>
      <c r="P757" s="309">
        <v>0</v>
      </c>
      <c r="Q757" s="309">
        <v>135</v>
      </c>
      <c r="R757" s="309">
        <v>0</v>
      </c>
      <c r="S757" s="309">
        <v>135</v>
      </c>
      <c r="T757" s="309">
        <v>135</v>
      </c>
      <c r="U757" s="161">
        <v>0</v>
      </c>
      <c r="V757" s="193"/>
      <c r="W757" s="313">
        <v>79.2</v>
      </c>
      <c r="X757" s="313">
        <v>79.099999999999994</v>
      </c>
      <c r="Y757" s="314">
        <v>629719.19999999995</v>
      </c>
      <c r="Z757" s="327">
        <v>40.119999999999997</v>
      </c>
      <c r="AA757" s="314">
        <v>15742.98</v>
      </c>
      <c r="AB757" s="314">
        <v>15742.98</v>
      </c>
      <c r="AC757" s="314">
        <v>661205.16</v>
      </c>
      <c r="AD757" s="315">
        <f t="shared" si="520"/>
        <v>660543.95484000002</v>
      </c>
      <c r="AE757" s="316">
        <v>40.119999999999997</v>
      </c>
      <c r="AF757" s="316">
        <v>42</v>
      </c>
      <c r="AG757" s="309">
        <v>40.119999999999997</v>
      </c>
      <c r="AH757" s="317">
        <v>4.5999999999999999E-3</v>
      </c>
      <c r="AI757" s="317">
        <v>4.3799999999999999E-2</v>
      </c>
      <c r="AJ757" s="317">
        <v>4.5999999999999999E-2</v>
      </c>
      <c r="AK757" s="318">
        <f t="shared" si="504"/>
        <v>28187.430857142892</v>
      </c>
      <c r="AL757" s="193">
        <v>0</v>
      </c>
      <c r="AM757" s="193"/>
      <c r="AN757" s="319">
        <v>0</v>
      </c>
      <c r="AO757" s="320">
        <f t="shared" si="505"/>
        <v>0</v>
      </c>
      <c r="AP757" s="193"/>
      <c r="AQ757" s="318">
        <v>0</v>
      </c>
      <c r="AR757" s="318">
        <f t="shared" si="506"/>
        <v>28187.430857142892</v>
      </c>
      <c r="AS757" s="318">
        <f t="shared" si="507"/>
        <v>29597</v>
      </c>
      <c r="AT757" s="321">
        <v>0</v>
      </c>
      <c r="AU757" s="319"/>
      <c r="AV757" s="193"/>
      <c r="AW757" s="318">
        <f t="shared" si="508"/>
        <v>7920</v>
      </c>
      <c r="AX757" s="193"/>
      <c r="AY757" s="318">
        <f t="shared" si="509"/>
        <v>7920</v>
      </c>
      <c r="AZ757" s="318">
        <f t="shared" si="510"/>
        <v>7909.9999999999991</v>
      </c>
      <c r="BA757" s="318">
        <f t="shared" si="511"/>
        <v>10.000000000000909</v>
      </c>
      <c r="BB757" s="318">
        <f t="shared" si="512"/>
        <v>15.84</v>
      </c>
      <c r="BC757" s="318">
        <v>0</v>
      </c>
      <c r="BD757" s="193"/>
      <c r="BE757" s="309">
        <v>79.2</v>
      </c>
      <c r="BF757" s="321">
        <f t="shared" si="513"/>
        <v>0.1188</v>
      </c>
      <c r="BG757" s="197">
        <f t="shared" si="496"/>
        <v>79.08120000000001</v>
      </c>
      <c r="BH757" s="321">
        <f t="shared" si="514"/>
        <v>79.099999999999994</v>
      </c>
      <c r="BI757" s="322">
        <f t="shared" si="515"/>
        <v>10.000000000000853</v>
      </c>
      <c r="BJ757" s="322">
        <v>0</v>
      </c>
      <c r="BK757" s="318">
        <f t="shared" si="516"/>
        <v>10.000000000000853</v>
      </c>
      <c r="BL757" s="67"/>
      <c r="BM757" s="68" t="str">
        <f t="shared" si="517"/>
        <v>Unloading no. 731 Bill No 2026-27/152 ,Deduction For Oil Deduction= 28187.4308571429 ,Bardana= 0 ,F.M=  Brokerage/Rate Difference 0 ,Shortage = 0 ,Greenish=  ,Moisture= 0</v>
      </c>
      <c r="BN757" s="69"/>
      <c r="BO757" s="70" t="str">
        <f t="shared" si="518"/>
        <v xml:space="preserve"> Party Condition 42  ,F.M% 0.46 ,Greenish 4.38 ,Moisture 4.6 ,Shortage in KG= 0  ,Oil% 40.12</v>
      </c>
      <c r="BP757" s="71">
        <f t="shared" si="519"/>
        <v>7604.6999891638061</v>
      </c>
      <c r="BQ757" s="69"/>
      <c r="BR757" s="69"/>
      <c r="BS757" s="69"/>
      <c r="BT757" s="69"/>
      <c r="BU757" s="69"/>
      <c r="BV757" s="69"/>
      <c r="BW757" s="94"/>
      <c r="BX757" s="30">
        <v>40</v>
      </c>
      <c r="BY757" s="30">
        <v>39.770000000000003</v>
      </c>
    </row>
    <row r="758" spans="1:77" ht="14.1" hidden="1" customHeight="1" x14ac:dyDescent="0.3">
      <c r="A758" s="161" t="s">
        <v>1471</v>
      </c>
      <c r="B758" s="310">
        <v>46172</v>
      </c>
      <c r="C758" s="309">
        <v>732</v>
      </c>
      <c r="D758" s="191" t="s">
        <v>1566</v>
      </c>
      <c r="E758" s="311">
        <v>46176</v>
      </c>
      <c r="F758" s="312" t="s">
        <v>1144</v>
      </c>
      <c r="G758" s="161" t="s">
        <v>1145</v>
      </c>
      <c r="H758" s="161" t="s">
        <v>100</v>
      </c>
      <c r="I758" s="193"/>
      <c r="J758" s="309" t="s">
        <v>1146</v>
      </c>
      <c r="K758" s="193"/>
      <c r="L758" s="310">
        <v>46172</v>
      </c>
      <c r="M758" s="193"/>
      <c r="N758" s="161" t="s">
        <v>1598</v>
      </c>
      <c r="O758" s="192">
        <v>46176</v>
      </c>
      <c r="P758" s="309">
        <v>0</v>
      </c>
      <c r="Q758" s="309">
        <v>135</v>
      </c>
      <c r="R758" s="309">
        <v>0</v>
      </c>
      <c r="S758" s="309">
        <v>135</v>
      </c>
      <c r="T758" s="309">
        <v>135</v>
      </c>
      <c r="U758" s="161">
        <v>0</v>
      </c>
      <c r="V758" s="193"/>
      <c r="W758" s="313">
        <v>80.2</v>
      </c>
      <c r="X758" s="313">
        <v>80.099999999999994</v>
      </c>
      <c r="Y758" s="314">
        <v>637670.19999999995</v>
      </c>
      <c r="Z758" s="327">
        <v>40.83</v>
      </c>
      <c r="AA758" s="314">
        <v>15941.76</v>
      </c>
      <c r="AB758" s="314">
        <v>15941.76</v>
      </c>
      <c r="AC758" s="314">
        <v>669553.71</v>
      </c>
      <c r="AD758" s="315">
        <f t="shared" si="520"/>
        <v>668884.15628999996</v>
      </c>
      <c r="AE758" s="316">
        <v>40.83</v>
      </c>
      <c r="AF758" s="316">
        <v>42</v>
      </c>
      <c r="AG758" s="309">
        <v>40.83</v>
      </c>
      <c r="AH758" s="317">
        <v>3.5000000000000001E-3</v>
      </c>
      <c r="AI758" s="317">
        <v>4.6800000000000001E-2</v>
      </c>
      <c r="AJ758" s="317">
        <v>4.8000000000000001E-2</v>
      </c>
      <c r="AK758" s="318">
        <f t="shared" si="504"/>
        <v>17763.669857142882</v>
      </c>
      <c r="AL758" s="193">
        <v>0</v>
      </c>
      <c r="AM758" s="193"/>
      <c r="AN758" s="319">
        <v>0</v>
      </c>
      <c r="AO758" s="320">
        <f t="shared" si="505"/>
        <v>0</v>
      </c>
      <c r="AP758" s="193"/>
      <c r="AQ758" s="318">
        <v>0</v>
      </c>
      <c r="AR758" s="318">
        <f t="shared" si="506"/>
        <v>17763.669857142882</v>
      </c>
      <c r="AS758" s="318">
        <f t="shared" si="507"/>
        <v>18652</v>
      </c>
      <c r="AT758" s="321">
        <v>0</v>
      </c>
      <c r="AU758" s="319"/>
      <c r="AV758" s="193"/>
      <c r="AW758" s="318">
        <f t="shared" si="508"/>
        <v>8020</v>
      </c>
      <c r="AX758" s="193"/>
      <c r="AY758" s="318">
        <f t="shared" si="509"/>
        <v>8020</v>
      </c>
      <c r="AZ758" s="318">
        <f t="shared" si="510"/>
        <v>8009.9999999999991</v>
      </c>
      <c r="BA758" s="318">
        <f t="shared" si="511"/>
        <v>10.000000000000909</v>
      </c>
      <c r="BB758" s="318">
        <f t="shared" si="512"/>
        <v>16.04</v>
      </c>
      <c r="BC758" s="318">
        <v>0</v>
      </c>
      <c r="BD758" s="193"/>
      <c r="BE758" s="309">
        <v>80.2</v>
      </c>
      <c r="BF758" s="321">
        <f t="shared" si="513"/>
        <v>0.12029999999999999</v>
      </c>
      <c r="BG758" s="197">
        <f t="shared" si="496"/>
        <v>80.079700000000003</v>
      </c>
      <c r="BH758" s="321">
        <f t="shared" si="514"/>
        <v>80.099999999999994</v>
      </c>
      <c r="BI758" s="322">
        <f t="shared" si="515"/>
        <v>10.000000000000853</v>
      </c>
      <c r="BJ758" s="322">
        <v>0</v>
      </c>
      <c r="BK758" s="318">
        <f t="shared" si="516"/>
        <v>10.000000000000853</v>
      </c>
      <c r="BL758" s="67"/>
      <c r="BM758" s="68" t="str">
        <f t="shared" si="517"/>
        <v>Unloading no. 732 Bill No 2026-27/153 ,Deduction For Oil Deduction= 17763.6698571429 ,Bardana= 0 ,F.M=  Brokerage/Rate Difference 0 ,Shortage = 0 ,Greenish=  ,Moisture= 0</v>
      </c>
      <c r="BN758" s="69"/>
      <c r="BO758" s="70" t="str">
        <f t="shared" si="518"/>
        <v xml:space="preserve"> Party Condition 42  ,F.M% 0.35 ,Greenish 4.68 ,Moisture 4.8 ,Shortage in KG= 0  ,Oil% 40.83</v>
      </c>
      <c r="BP758" s="71">
        <f t="shared" si="519"/>
        <v>7739.1576796861073</v>
      </c>
      <c r="BQ758" s="69"/>
      <c r="BR758" s="69"/>
      <c r="BS758" s="69"/>
      <c r="BT758" s="69"/>
      <c r="BU758" s="69"/>
      <c r="BV758" s="69"/>
      <c r="BW758" s="94"/>
      <c r="BX758" s="30">
        <v>40.82</v>
      </c>
      <c r="BY758" s="30">
        <v>40.61</v>
      </c>
    </row>
    <row r="759" spans="1:77" ht="14.1" hidden="1" customHeight="1" x14ac:dyDescent="0.3">
      <c r="A759" s="161" t="s">
        <v>1539</v>
      </c>
      <c r="B759" s="310">
        <v>46174</v>
      </c>
      <c r="C759" s="309">
        <v>733</v>
      </c>
      <c r="D759" s="191" t="s">
        <v>1567</v>
      </c>
      <c r="E759" s="311">
        <v>46176</v>
      </c>
      <c r="F759" s="312" t="s">
        <v>1144</v>
      </c>
      <c r="G759" s="161" t="s">
        <v>1145</v>
      </c>
      <c r="H759" s="161" t="s">
        <v>100</v>
      </c>
      <c r="I759" s="193"/>
      <c r="J759" s="309" t="s">
        <v>1146</v>
      </c>
      <c r="K759" s="193"/>
      <c r="L759" s="310">
        <v>46174</v>
      </c>
      <c r="M759" s="193"/>
      <c r="N759" s="161" t="s">
        <v>1599</v>
      </c>
      <c r="O759" s="192">
        <v>46176</v>
      </c>
      <c r="P759" s="309">
        <v>0</v>
      </c>
      <c r="Q759" s="309">
        <v>150</v>
      </c>
      <c r="R759" s="309">
        <v>5</v>
      </c>
      <c r="S759" s="309">
        <v>155</v>
      </c>
      <c r="T759" s="309">
        <v>155</v>
      </c>
      <c r="U759" s="161">
        <v>0</v>
      </c>
      <c r="V759" s="193"/>
      <c r="W759" s="313">
        <v>91.2</v>
      </c>
      <c r="X759" s="313">
        <v>91</v>
      </c>
      <c r="Y759" s="314">
        <v>729600</v>
      </c>
      <c r="Z759" s="327">
        <v>40.22</v>
      </c>
      <c r="AA759" s="314">
        <v>18240</v>
      </c>
      <c r="AB759" s="314">
        <v>18240</v>
      </c>
      <c r="AC759" s="314">
        <v>766080</v>
      </c>
      <c r="AD759" s="315">
        <f t="shared" si="520"/>
        <v>765313.92</v>
      </c>
      <c r="AE759" s="316">
        <v>40.22</v>
      </c>
      <c r="AF759" s="316">
        <v>42</v>
      </c>
      <c r="AG759" s="309">
        <v>40.22</v>
      </c>
      <c r="AH759" s="317">
        <v>3.8999999999999998E-3</v>
      </c>
      <c r="AI759" s="317">
        <v>4.4999999999999998E-2</v>
      </c>
      <c r="AJ759" s="317">
        <v>4.9000000000000002E-2</v>
      </c>
      <c r="AK759" s="318">
        <f t="shared" si="504"/>
        <v>30921.142857142877</v>
      </c>
      <c r="AL759" s="193">
        <v>0</v>
      </c>
      <c r="AM759" s="193"/>
      <c r="AN759" s="319">
        <v>0</v>
      </c>
      <c r="AO759" s="320">
        <f t="shared" si="505"/>
        <v>160</v>
      </c>
      <c r="AP759" s="193"/>
      <c r="AQ759" s="318">
        <v>0</v>
      </c>
      <c r="AR759" s="318">
        <f t="shared" si="506"/>
        <v>31081.142857142877</v>
      </c>
      <c r="AS759" s="318">
        <f t="shared" si="507"/>
        <v>32635</v>
      </c>
      <c r="AT759" s="321">
        <v>2</v>
      </c>
      <c r="AU759" s="319"/>
      <c r="AV759" s="193"/>
      <c r="AW759" s="318">
        <f t="shared" si="508"/>
        <v>9120</v>
      </c>
      <c r="AX759" s="193"/>
      <c r="AY759" s="318">
        <f t="shared" si="509"/>
        <v>9120</v>
      </c>
      <c r="AZ759" s="318">
        <f t="shared" si="510"/>
        <v>9100</v>
      </c>
      <c r="BA759" s="318">
        <f t="shared" si="511"/>
        <v>20</v>
      </c>
      <c r="BB759" s="318">
        <f t="shared" si="512"/>
        <v>18.239999999999998</v>
      </c>
      <c r="BC759" s="318">
        <v>0</v>
      </c>
      <c r="BD759" s="193"/>
      <c r="BE759" s="309">
        <v>91.2</v>
      </c>
      <c r="BF759" s="321">
        <f t="shared" si="513"/>
        <v>0.1368</v>
      </c>
      <c r="BG759" s="197">
        <f t="shared" si="496"/>
        <v>91.063200000000009</v>
      </c>
      <c r="BH759" s="321">
        <f t="shared" si="514"/>
        <v>91</v>
      </c>
      <c r="BI759" s="322">
        <f t="shared" si="515"/>
        <v>20.000000000000284</v>
      </c>
      <c r="BJ759" s="322">
        <v>0</v>
      </c>
      <c r="BK759" s="318">
        <f t="shared" si="516"/>
        <v>20.000000000000284</v>
      </c>
      <c r="BL759" s="67"/>
      <c r="BM759" s="68" t="str">
        <f t="shared" si="517"/>
        <v>Unloading no. 733 Bill No 2026-27/154 ,Deduction For Oil Deduction= 30921.1428571429 ,Bardana= 0 ,F.M=  Brokerage/Rate Difference 0 ,Shortage = 160 ,Greenish=  ,Moisture= 0</v>
      </c>
      <c r="BN759" s="69"/>
      <c r="BO759" s="70" t="str">
        <f t="shared" si="518"/>
        <v xml:space="preserve"> Party Condition 42  ,F.M% 0.39 ,Greenish 4.5 ,Moisture 4.9 ,Shortage in KG= 2  ,Oil% 40.22</v>
      </c>
      <c r="BP759" s="71">
        <f t="shared" si="519"/>
        <v>7676.0313971742544</v>
      </c>
      <c r="BQ759" s="69"/>
      <c r="BR759" s="69"/>
      <c r="BS759" s="69"/>
      <c r="BT759" s="69"/>
      <c r="BU759" s="69"/>
      <c r="BV759" s="69"/>
      <c r="BW759" s="94"/>
      <c r="BX759" s="30">
        <v>40.06</v>
      </c>
      <c r="BY759" s="30">
        <v>39.86</v>
      </c>
    </row>
    <row r="760" spans="1:77" ht="14.1" hidden="1" customHeight="1" x14ac:dyDescent="0.3">
      <c r="A760" s="161" t="s">
        <v>1539</v>
      </c>
      <c r="B760" s="310">
        <v>46174</v>
      </c>
      <c r="C760" s="309">
        <v>734</v>
      </c>
      <c r="D760" s="191" t="s">
        <v>1568</v>
      </c>
      <c r="E760" s="311">
        <v>46176</v>
      </c>
      <c r="F760" s="312" t="s">
        <v>1144</v>
      </c>
      <c r="G760" s="161" t="s">
        <v>1145</v>
      </c>
      <c r="H760" s="161" t="s">
        <v>100</v>
      </c>
      <c r="I760" s="193"/>
      <c r="J760" s="309" t="s">
        <v>1146</v>
      </c>
      <c r="K760" s="193"/>
      <c r="L760" s="310">
        <v>46174</v>
      </c>
      <c r="M760" s="193"/>
      <c r="N760" s="161" t="s">
        <v>1600</v>
      </c>
      <c r="O760" s="192">
        <v>46176</v>
      </c>
      <c r="P760" s="309">
        <v>0</v>
      </c>
      <c r="Q760" s="309">
        <v>150</v>
      </c>
      <c r="R760" s="309">
        <v>0</v>
      </c>
      <c r="S760" s="309">
        <v>150</v>
      </c>
      <c r="T760" s="309">
        <v>150</v>
      </c>
      <c r="U760" s="161">
        <v>0</v>
      </c>
      <c r="V760" s="193"/>
      <c r="W760" s="313">
        <v>77.8</v>
      </c>
      <c r="X760" s="313">
        <v>77.7</v>
      </c>
      <c r="Y760" s="314">
        <v>622400</v>
      </c>
      <c r="Z760" s="327">
        <v>40.520000000000003</v>
      </c>
      <c r="AA760" s="314">
        <v>15560</v>
      </c>
      <c r="AB760" s="314">
        <v>15560</v>
      </c>
      <c r="AC760" s="314">
        <v>653520</v>
      </c>
      <c r="AD760" s="315">
        <f t="shared" si="520"/>
        <v>652866.48</v>
      </c>
      <c r="AE760" s="316">
        <v>40.520000000000003</v>
      </c>
      <c r="AF760" s="316">
        <v>42</v>
      </c>
      <c r="AG760" s="309">
        <v>40.520000000000003</v>
      </c>
      <c r="AH760" s="317">
        <v>3.5999999999999999E-3</v>
      </c>
      <c r="AI760" s="317">
        <v>4.3999999999999997E-2</v>
      </c>
      <c r="AJ760" s="317">
        <v>4.7E-2</v>
      </c>
      <c r="AK760" s="318">
        <f t="shared" si="504"/>
        <v>21932.19047619043</v>
      </c>
      <c r="AL760" s="193">
        <v>0</v>
      </c>
      <c r="AM760" s="193"/>
      <c r="AN760" s="319">
        <v>0</v>
      </c>
      <c r="AO760" s="320">
        <f t="shared" si="505"/>
        <v>0</v>
      </c>
      <c r="AP760" s="193"/>
      <c r="AQ760" s="318">
        <v>0</v>
      </c>
      <c r="AR760" s="318">
        <f t="shared" si="506"/>
        <v>21932.19047619043</v>
      </c>
      <c r="AS760" s="318">
        <f t="shared" si="507"/>
        <v>23029</v>
      </c>
      <c r="AT760" s="321">
        <v>0</v>
      </c>
      <c r="AU760" s="319"/>
      <c r="AV760" s="193"/>
      <c r="AW760" s="318">
        <f t="shared" si="508"/>
        <v>7780</v>
      </c>
      <c r="AX760" s="193"/>
      <c r="AY760" s="318">
        <f t="shared" si="509"/>
        <v>7780</v>
      </c>
      <c r="AZ760" s="318">
        <f t="shared" si="510"/>
        <v>7770</v>
      </c>
      <c r="BA760" s="318">
        <f t="shared" si="511"/>
        <v>10</v>
      </c>
      <c r="BB760" s="318">
        <f t="shared" si="512"/>
        <v>15.56</v>
      </c>
      <c r="BC760" s="318">
        <v>0</v>
      </c>
      <c r="BD760" s="193"/>
      <c r="BE760" s="309">
        <v>77.8</v>
      </c>
      <c r="BF760" s="321">
        <f t="shared" si="513"/>
        <v>0.1167</v>
      </c>
      <c r="BG760" s="197">
        <f t="shared" si="496"/>
        <v>77.683300000000003</v>
      </c>
      <c r="BH760" s="321">
        <f t="shared" si="514"/>
        <v>77.7</v>
      </c>
      <c r="BI760" s="322">
        <f t="shared" si="515"/>
        <v>9.9999999999994316</v>
      </c>
      <c r="BJ760" s="322">
        <v>0</v>
      </c>
      <c r="BK760" s="318">
        <f t="shared" si="516"/>
        <v>9.9999999999994316</v>
      </c>
      <c r="BL760" s="67"/>
      <c r="BM760" s="68" t="str">
        <f t="shared" si="517"/>
        <v>Unloading no. 734 Bill No 2026-27/155 ,Deduction For Oil Deduction= 21932.1904761904 ,Bardana= 0 ,F.M=  Brokerage/Rate Difference 0 ,Shortage = 0 ,Greenish=  ,Moisture= 0</v>
      </c>
      <c r="BN760" s="69"/>
      <c r="BO760" s="70" t="str">
        <f t="shared" si="518"/>
        <v xml:space="preserve"> Party Condition 42  ,F.M% 0.36 ,Greenish 4.4 ,Moisture 4.7 ,Shortage in KG= 0  ,Oil% 40.52</v>
      </c>
      <c r="BP760" s="71">
        <f t="shared" si="519"/>
        <v>7728.0284365998659</v>
      </c>
      <c r="BQ760" s="69"/>
      <c r="BR760" s="69"/>
      <c r="BS760" s="69"/>
      <c r="BT760" s="69"/>
      <c r="BU760" s="69"/>
      <c r="BV760" s="69"/>
      <c r="BW760" s="94"/>
      <c r="BX760" s="30">
        <v>40.25</v>
      </c>
      <c r="BY760" s="30">
        <v>40.090000000000003</v>
      </c>
    </row>
    <row r="761" spans="1:77" ht="14.1" hidden="1" customHeight="1" x14ac:dyDescent="0.3">
      <c r="A761" s="161" t="s">
        <v>1540</v>
      </c>
      <c r="B761" s="310">
        <v>46174</v>
      </c>
      <c r="C761" s="309">
        <v>735</v>
      </c>
      <c r="D761" s="191" t="s">
        <v>1569</v>
      </c>
      <c r="E761" s="311">
        <v>46176</v>
      </c>
      <c r="F761" s="312" t="s">
        <v>1575</v>
      </c>
      <c r="G761" s="161" t="s">
        <v>1576</v>
      </c>
      <c r="H761" s="161" t="s">
        <v>103</v>
      </c>
      <c r="I761" s="193"/>
      <c r="J761" s="309" t="s">
        <v>1455</v>
      </c>
      <c r="K761" s="193"/>
      <c r="L761" s="310">
        <v>46174</v>
      </c>
      <c r="M761" s="193"/>
      <c r="N761" s="161" t="s">
        <v>1601</v>
      </c>
      <c r="O761" s="192">
        <v>46176</v>
      </c>
      <c r="P761" s="309">
        <v>0</v>
      </c>
      <c r="Q761" s="309">
        <v>120</v>
      </c>
      <c r="R761" s="309">
        <v>70</v>
      </c>
      <c r="S761" s="309">
        <v>190</v>
      </c>
      <c r="T761" s="309">
        <v>190</v>
      </c>
      <c r="U761" s="161">
        <v>0</v>
      </c>
      <c r="V761" s="193"/>
      <c r="W761" s="313">
        <v>94.2</v>
      </c>
      <c r="X761" s="313">
        <v>94.2</v>
      </c>
      <c r="Y761" s="314">
        <v>763020</v>
      </c>
      <c r="Z761" s="313"/>
      <c r="AA761" s="314">
        <v>19075.5</v>
      </c>
      <c r="AB761" s="314">
        <v>19075.5</v>
      </c>
      <c r="AC761" s="314">
        <v>801171</v>
      </c>
      <c r="AD761" s="315">
        <f t="shared" si="520"/>
        <v>800369.82900000003</v>
      </c>
      <c r="AE761" s="316">
        <v>39.700000000000003</v>
      </c>
      <c r="AF761" s="316">
        <v>42</v>
      </c>
      <c r="AG761" s="309">
        <v>39.549999999999997</v>
      </c>
      <c r="AH761" s="323">
        <v>4.4999999999999997E-3</v>
      </c>
      <c r="AI761" s="317">
        <v>4.2999999999999997E-2</v>
      </c>
      <c r="AJ761" s="317">
        <v>4.5999999999999999E-2</v>
      </c>
      <c r="AK761" s="318">
        <f t="shared" si="504"/>
        <v>44509.500000000051</v>
      </c>
      <c r="AL761" s="193">
        <f>120*10+70*15</f>
        <v>2250</v>
      </c>
      <c r="AM761" s="319">
        <f>Y761*AH761</f>
        <v>3433.5899999999997</v>
      </c>
      <c r="AN761" s="319">
        <v>0</v>
      </c>
      <c r="AO761" s="320">
        <f t="shared" si="505"/>
        <v>0</v>
      </c>
      <c r="AP761" s="193"/>
      <c r="AQ761" s="318">
        <v>0</v>
      </c>
      <c r="AR761" s="318">
        <f t="shared" si="506"/>
        <v>50193.090000000047</v>
      </c>
      <c r="AS761" s="318">
        <f t="shared" si="507"/>
        <v>52703</v>
      </c>
      <c r="AT761" s="321">
        <v>0</v>
      </c>
      <c r="AU761" s="319"/>
      <c r="AV761" s="193"/>
      <c r="AW761" s="318">
        <f t="shared" si="508"/>
        <v>9420</v>
      </c>
      <c r="AX761" s="193"/>
      <c r="AY761" s="318">
        <f t="shared" si="509"/>
        <v>9420</v>
      </c>
      <c r="AZ761" s="318">
        <f t="shared" si="510"/>
        <v>9420</v>
      </c>
      <c r="BA761" s="318">
        <f t="shared" si="511"/>
        <v>0</v>
      </c>
      <c r="BB761" s="318">
        <f t="shared" si="512"/>
        <v>18.84</v>
      </c>
      <c r="BC761" s="318">
        <v>0</v>
      </c>
      <c r="BD761" s="193"/>
      <c r="BE761" s="309">
        <v>94.2</v>
      </c>
      <c r="BF761" s="321">
        <f t="shared" si="513"/>
        <v>0.14130000000000001</v>
      </c>
      <c r="BG761" s="197">
        <f t="shared" si="496"/>
        <v>94.058700000000002</v>
      </c>
      <c r="BH761" s="321">
        <f t="shared" si="514"/>
        <v>94.2</v>
      </c>
      <c r="BI761" s="322">
        <f t="shared" si="515"/>
        <v>0</v>
      </c>
      <c r="BJ761" s="322">
        <v>0</v>
      </c>
      <c r="BK761" s="318">
        <f t="shared" si="516"/>
        <v>0</v>
      </c>
      <c r="BL761" s="67"/>
      <c r="BM761" s="68" t="str">
        <f t="shared" si="517"/>
        <v>Unloading no. 735 Bill No 2026-27/0082 ,Deduction For Oil Deduction= 44509.5000000001 ,Bardana= 2250 ,F.M= 3433.59 Brokerage/Rate Difference 0 ,Shortage = 0 ,Greenish=  ,Moisture= 0</v>
      </c>
      <c r="BN761" s="69"/>
      <c r="BO761" s="70" t="str">
        <f t="shared" si="518"/>
        <v xml:space="preserve"> Party Condition 42  ,F.M% 0.45 ,Greenish 4.3 ,Moisture 4.6 ,Shortage in KG= 0  ,Oil% 39.55</v>
      </c>
      <c r="BP761" s="71">
        <f t="shared" si="519"/>
        <v>7567.1646496815274</v>
      </c>
      <c r="BQ761" s="69"/>
      <c r="BR761" s="69"/>
      <c r="BS761" s="69"/>
      <c r="BT761" s="69"/>
      <c r="BU761" s="69"/>
      <c r="BV761" s="69"/>
      <c r="BW761" s="94"/>
      <c r="BX761" s="30">
        <v>39.700000000000003</v>
      </c>
      <c r="BY761" s="30">
        <v>39.549999999999997</v>
      </c>
    </row>
    <row r="762" spans="1:77" ht="14.1" hidden="1" customHeight="1" x14ac:dyDescent="0.3">
      <c r="A762" s="161" t="s">
        <v>1540</v>
      </c>
      <c r="B762" s="310">
        <v>46174</v>
      </c>
      <c r="C762" s="309">
        <v>736</v>
      </c>
      <c r="D762" s="191" t="s">
        <v>1570</v>
      </c>
      <c r="E762" s="311">
        <v>46176</v>
      </c>
      <c r="F762" s="312" t="s">
        <v>1575</v>
      </c>
      <c r="G762" s="161" t="s">
        <v>1576</v>
      </c>
      <c r="H762" s="161" t="s">
        <v>103</v>
      </c>
      <c r="I762" s="193"/>
      <c r="J762" s="309" t="s">
        <v>1455</v>
      </c>
      <c r="K762" s="193"/>
      <c r="L762" s="310">
        <v>46174</v>
      </c>
      <c r="M762" s="193"/>
      <c r="N762" s="161" t="s">
        <v>1602</v>
      </c>
      <c r="O762" s="192">
        <v>46176</v>
      </c>
      <c r="P762" s="309">
        <v>0</v>
      </c>
      <c r="Q762" s="309">
        <v>170</v>
      </c>
      <c r="R762" s="309">
        <v>20</v>
      </c>
      <c r="S762" s="309">
        <v>190</v>
      </c>
      <c r="T762" s="309">
        <v>190</v>
      </c>
      <c r="U762" s="161">
        <v>0</v>
      </c>
      <c r="V762" s="193"/>
      <c r="W762" s="313">
        <v>94.3</v>
      </c>
      <c r="X762" s="313">
        <v>94.2</v>
      </c>
      <c r="Y762" s="314">
        <v>763830</v>
      </c>
      <c r="Z762" s="313"/>
      <c r="AA762" s="314">
        <v>19095.75</v>
      </c>
      <c r="AB762" s="314">
        <v>19095.75</v>
      </c>
      <c r="AC762" s="314">
        <v>802021.5</v>
      </c>
      <c r="AD762" s="315">
        <f t="shared" si="520"/>
        <v>801219.47849999997</v>
      </c>
      <c r="AE762" s="316">
        <v>40.01</v>
      </c>
      <c r="AF762" s="316">
        <v>42</v>
      </c>
      <c r="AG762" s="309">
        <v>39.93</v>
      </c>
      <c r="AH762" s="323">
        <v>4.7999999999999996E-3</v>
      </c>
      <c r="AI762" s="317">
        <v>4.4999999999999998E-2</v>
      </c>
      <c r="AJ762" s="317">
        <v>4.5999999999999999E-2</v>
      </c>
      <c r="AK762" s="318">
        <f t="shared" si="504"/>
        <v>37645.907142857148</v>
      </c>
      <c r="AL762" s="193">
        <f>170*10+20*15</f>
        <v>2000</v>
      </c>
      <c r="AM762" s="319">
        <f>Y762*AH762</f>
        <v>3666.3839999999996</v>
      </c>
      <c r="AN762" s="319">
        <v>0</v>
      </c>
      <c r="AO762" s="320">
        <f t="shared" si="505"/>
        <v>810</v>
      </c>
      <c r="AP762" s="193"/>
      <c r="AQ762" s="318">
        <v>0</v>
      </c>
      <c r="AR762" s="318">
        <f t="shared" si="506"/>
        <v>44122.291142857146</v>
      </c>
      <c r="AS762" s="318">
        <f t="shared" si="507"/>
        <v>46328</v>
      </c>
      <c r="AT762" s="321">
        <v>10</v>
      </c>
      <c r="AU762" s="319"/>
      <c r="AV762" s="193"/>
      <c r="AW762" s="318">
        <f t="shared" si="508"/>
        <v>9430</v>
      </c>
      <c r="AX762" s="193"/>
      <c r="AY762" s="318">
        <f t="shared" si="509"/>
        <v>9430</v>
      </c>
      <c r="AZ762" s="318">
        <f t="shared" si="510"/>
        <v>9420</v>
      </c>
      <c r="BA762" s="318">
        <f t="shared" si="511"/>
        <v>10</v>
      </c>
      <c r="BB762" s="318">
        <f t="shared" si="512"/>
        <v>18.86</v>
      </c>
      <c r="BC762" s="318">
        <v>0</v>
      </c>
      <c r="BD762" s="193"/>
      <c r="BE762" s="309">
        <v>94.3</v>
      </c>
      <c r="BF762" s="321">
        <f t="shared" si="513"/>
        <v>0.14144999999999999</v>
      </c>
      <c r="BG762" s="197">
        <f t="shared" ref="BG762:BG825" si="521">BE762-BF762</f>
        <v>94.158549999999991</v>
      </c>
      <c r="BH762" s="321">
        <f t="shared" si="514"/>
        <v>94.2</v>
      </c>
      <c r="BI762" s="322">
        <f t="shared" si="515"/>
        <v>9.9999999999994316</v>
      </c>
      <c r="BJ762" s="322">
        <v>0</v>
      </c>
      <c r="BK762" s="318">
        <f t="shared" si="516"/>
        <v>9.9999999999994316</v>
      </c>
      <c r="BL762" s="67"/>
      <c r="BM762" s="68" t="str">
        <f t="shared" si="517"/>
        <v>Unloading no. 736 Bill No 2026-27/0083 ,Deduction For Oil Deduction= 37645.9071428571 ,Bardana= 2000 ,F.M= 3666.384 Brokerage/Rate Difference 0 ,Shortage = 810 ,Greenish=  ,Moisture= 0</v>
      </c>
      <c r="BN762" s="69"/>
      <c r="BO762" s="70" t="str">
        <f t="shared" si="518"/>
        <v xml:space="preserve"> Party Condition 42  ,F.M% 0.48 ,Greenish 4.5 ,Moisture 4.6 ,Shortage in KG= 10  ,Oil% 39.93</v>
      </c>
      <c r="BP762" s="71">
        <f t="shared" si="519"/>
        <v>7640.2092235365481</v>
      </c>
      <c r="BQ762" s="69"/>
      <c r="BR762" s="69"/>
      <c r="BS762" s="69"/>
      <c r="BT762" s="69"/>
      <c r="BU762" s="69"/>
      <c r="BV762" s="69"/>
      <c r="BW762" s="94"/>
      <c r="BX762" s="30">
        <v>40.01</v>
      </c>
      <c r="BY762" s="30">
        <v>39.93</v>
      </c>
    </row>
    <row r="763" spans="1:77" ht="14.1" hidden="1" customHeight="1" x14ac:dyDescent="0.3">
      <c r="A763" s="161" t="s">
        <v>1539</v>
      </c>
      <c r="B763" s="310">
        <v>46174</v>
      </c>
      <c r="C763" s="309">
        <v>737</v>
      </c>
      <c r="D763" s="191" t="s">
        <v>1571</v>
      </c>
      <c r="E763" s="311">
        <v>46176</v>
      </c>
      <c r="F763" s="312" t="s">
        <v>1144</v>
      </c>
      <c r="G763" s="161" t="s">
        <v>1145</v>
      </c>
      <c r="H763" s="161" t="s">
        <v>100</v>
      </c>
      <c r="I763" s="193"/>
      <c r="J763" s="309" t="s">
        <v>1146</v>
      </c>
      <c r="K763" s="193"/>
      <c r="L763" s="310">
        <v>46174</v>
      </c>
      <c r="M763" s="193"/>
      <c r="N763" s="161" t="s">
        <v>1603</v>
      </c>
      <c r="O763" s="192">
        <v>46176</v>
      </c>
      <c r="P763" s="309">
        <v>0</v>
      </c>
      <c r="Q763" s="309">
        <v>150</v>
      </c>
      <c r="R763" s="309">
        <v>30</v>
      </c>
      <c r="S763" s="309">
        <v>180</v>
      </c>
      <c r="T763" s="309">
        <v>180</v>
      </c>
      <c r="U763" s="161">
        <v>0</v>
      </c>
      <c r="V763" s="193"/>
      <c r="W763" s="313">
        <v>90.9</v>
      </c>
      <c r="X763" s="313">
        <v>90.8</v>
      </c>
      <c r="Y763" s="314">
        <v>727200</v>
      </c>
      <c r="Z763" s="327">
        <v>39.85</v>
      </c>
      <c r="AA763" s="314">
        <v>18180</v>
      </c>
      <c r="AB763" s="314">
        <v>18180</v>
      </c>
      <c r="AC763" s="314">
        <v>763560</v>
      </c>
      <c r="AD763" s="315">
        <f t="shared" si="520"/>
        <v>762796.44</v>
      </c>
      <c r="AE763" s="316">
        <v>39.85</v>
      </c>
      <c r="AF763" s="316">
        <v>42</v>
      </c>
      <c r="AG763" s="309">
        <v>39.85</v>
      </c>
      <c r="AH763" s="317">
        <v>3.8E-3</v>
      </c>
      <c r="AI763" s="317">
        <v>4.4400000000000002E-2</v>
      </c>
      <c r="AJ763" s="317">
        <v>4.8000000000000001E-2</v>
      </c>
      <c r="AK763" s="318">
        <f t="shared" si="504"/>
        <v>37225.714285714261</v>
      </c>
      <c r="AL763" s="193">
        <v>0</v>
      </c>
      <c r="AM763" s="193"/>
      <c r="AN763" s="319">
        <v>0</v>
      </c>
      <c r="AO763" s="320">
        <f t="shared" si="505"/>
        <v>0</v>
      </c>
      <c r="AP763" s="193"/>
      <c r="AQ763" s="318">
        <v>0</v>
      </c>
      <c r="AR763" s="318">
        <f t="shared" si="506"/>
        <v>37225.714285714261</v>
      </c>
      <c r="AS763" s="318">
        <f t="shared" si="507"/>
        <v>39087</v>
      </c>
      <c r="AT763" s="321">
        <v>0</v>
      </c>
      <c r="AU763" s="319"/>
      <c r="AV763" s="193"/>
      <c r="AW763" s="318">
        <f t="shared" si="508"/>
        <v>9090</v>
      </c>
      <c r="AX763" s="193"/>
      <c r="AY763" s="318">
        <f t="shared" si="509"/>
        <v>9090</v>
      </c>
      <c r="AZ763" s="318">
        <f t="shared" si="510"/>
        <v>9080</v>
      </c>
      <c r="BA763" s="318">
        <f t="shared" si="511"/>
        <v>10</v>
      </c>
      <c r="BB763" s="318">
        <f t="shared" si="512"/>
        <v>18.18</v>
      </c>
      <c r="BC763" s="318">
        <v>0</v>
      </c>
      <c r="BD763" s="193"/>
      <c r="BE763" s="309">
        <v>90.9</v>
      </c>
      <c r="BF763" s="321">
        <f t="shared" si="513"/>
        <v>0.13635</v>
      </c>
      <c r="BG763" s="197">
        <f t="shared" si="521"/>
        <v>90.763650000000013</v>
      </c>
      <c r="BH763" s="321">
        <f t="shared" si="514"/>
        <v>90.8</v>
      </c>
      <c r="BI763" s="322">
        <f t="shared" si="515"/>
        <v>10.000000000000853</v>
      </c>
      <c r="BJ763" s="322">
        <v>0</v>
      </c>
      <c r="BK763" s="318">
        <f t="shared" si="516"/>
        <v>10.000000000000853</v>
      </c>
      <c r="BL763" s="67"/>
      <c r="BM763" s="68" t="str">
        <f t="shared" si="517"/>
        <v>Unloading no. 737 Bill No 2026-27/158 ,Deduction For Oil Deduction= 37225.7142857143 ,Bardana= 0 ,F.M=  Brokerage/Rate Difference 0 ,Shortage = 0 ,Greenish=  ,Moisture= 0</v>
      </c>
      <c r="BN763" s="69"/>
      <c r="BO763" s="70" t="str">
        <f t="shared" si="518"/>
        <v xml:space="preserve"> Party Condition 42  ,F.M% 0.38 ,Greenish 4.44 ,Moisture 4.8 ,Shortage in KG= 0  ,Oil% 39.85</v>
      </c>
      <c r="BP763" s="71">
        <f t="shared" si="519"/>
        <v>7598.8357457520451</v>
      </c>
      <c r="BQ763" s="69"/>
      <c r="BR763" s="69"/>
      <c r="BS763" s="69"/>
      <c r="BT763" s="69"/>
      <c r="BU763" s="69"/>
      <c r="BV763" s="69"/>
      <c r="BW763" s="94"/>
      <c r="BX763" s="30">
        <v>39.85</v>
      </c>
      <c r="BY763" s="30">
        <v>39.590000000000003</v>
      </c>
    </row>
    <row r="764" spans="1:77" ht="14.1" hidden="1" customHeight="1" x14ac:dyDescent="0.3">
      <c r="A764" s="161" t="s">
        <v>1539</v>
      </c>
      <c r="B764" s="310">
        <v>46174</v>
      </c>
      <c r="C764" s="309">
        <v>738</v>
      </c>
      <c r="D764" s="191" t="s">
        <v>1572</v>
      </c>
      <c r="E764" s="311">
        <v>46176</v>
      </c>
      <c r="F764" s="312" t="s">
        <v>1144</v>
      </c>
      <c r="G764" s="161" t="s">
        <v>1145</v>
      </c>
      <c r="H764" s="161" t="s">
        <v>100</v>
      </c>
      <c r="I764" s="193"/>
      <c r="J764" s="309" t="s">
        <v>1146</v>
      </c>
      <c r="K764" s="193"/>
      <c r="L764" s="310">
        <v>46174</v>
      </c>
      <c r="M764" s="193"/>
      <c r="N764" s="161" t="s">
        <v>1604</v>
      </c>
      <c r="O764" s="192">
        <v>46176</v>
      </c>
      <c r="P764" s="309">
        <v>0</v>
      </c>
      <c r="Q764" s="309">
        <v>150</v>
      </c>
      <c r="R764" s="309">
        <v>30</v>
      </c>
      <c r="S764" s="309">
        <v>180</v>
      </c>
      <c r="T764" s="309">
        <v>180</v>
      </c>
      <c r="U764" s="161">
        <v>0</v>
      </c>
      <c r="V764" s="193"/>
      <c r="W764" s="313">
        <v>90.9</v>
      </c>
      <c r="X764" s="313">
        <v>90.8</v>
      </c>
      <c r="Y764" s="314">
        <v>727200</v>
      </c>
      <c r="Z764" s="327">
        <v>39.409999999999997</v>
      </c>
      <c r="AA764" s="314">
        <v>18180</v>
      </c>
      <c r="AB764" s="314">
        <v>18180</v>
      </c>
      <c r="AC764" s="314">
        <v>763560</v>
      </c>
      <c r="AD764" s="315">
        <f t="shared" si="520"/>
        <v>762796.44</v>
      </c>
      <c r="AE764" s="316">
        <v>39.409999999999997</v>
      </c>
      <c r="AF764" s="316">
        <v>42</v>
      </c>
      <c r="AG764" s="309">
        <v>39.409999999999997</v>
      </c>
      <c r="AH764" s="317">
        <v>3.5999999999999999E-3</v>
      </c>
      <c r="AI764" s="317">
        <v>4.8399999999999999E-2</v>
      </c>
      <c r="AJ764" s="317">
        <v>0.05</v>
      </c>
      <c r="AK764" s="318">
        <f t="shared" si="504"/>
        <v>44844.000000000058</v>
      </c>
      <c r="AL764" s="193">
        <v>0</v>
      </c>
      <c r="AM764" s="193"/>
      <c r="AN764" s="319">
        <v>0</v>
      </c>
      <c r="AO764" s="320">
        <f t="shared" si="505"/>
        <v>0</v>
      </c>
      <c r="AP764" s="193"/>
      <c r="AQ764" s="318">
        <v>0</v>
      </c>
      <c r="AR764" s="318">
        <f t="shared" si="506"/>
        <v>44844.000000000058</v>
      </c>
      <c r="AS764" s="318">
        <f t="shared" si="507"/>
        <v>47086</v>
      </c>
      <c r="AT764" s="321">
        <v>0</v>
      </c>
      <c r="AU764" s="319"/>
      <c r="AV764" s="193"/>
      <c r="AW764" s="318">
        <f t="shared" si="508"/>
        <v>9090</v>
      </c>
      <c r="AX764" s="193"/>
      <c r="AY764" s="318">
        <f t="shared" si="509"/>
        <v>9090</v>
      </c>
      <c r="AZ764" s="318">
        <f t="shared" si="510"/>
        <v>9080</v>
      </c>
      <c r="BA764" s="318">
        <f t="shared" si="511"/>
        <v>10</v>
      </c>
      <c r="BB764" s="318">
        <f t="shared" si="512"/>
        <v>18.18</v>
      </c>
      <c r="BC764" s="318">
        <v>0</v>
      </c>
      <c r="BD764" s="193"/>
      <c r="BE764" s="309">
        <v>90.9</v>
      </c>
      <c r="BF764" s="321">
        <f t="shared" si="513"/>
        <v>0.13635</v>
      </c>
      <c r="BG764" s="197">
        <f t="shared" si="521"/>
        <v>90.763650000000013</v>
      </c>
      <c r="BH764" s="321">
        <f t="shared" si="514"/>
        <v>90.8</v>
      </c>
      <c r="BI764" s="322">
        <f t="shared" si="515"/>
        <v>10.000000000000853</v>
      </c>
      <c r="BJ764" s="322">
        <v>0</v>
      </c>
      <c r="BK764" s="318">
        <f t="shared" si="516"/>
        <v>10.000000000000853</v>
      </c>
      <c r="BL764" s="67"/>
      <c r="BM764" s="68" t="str">
        <f t="shared" si="517"/>
        <v>Unloading no. 738 Bill No 2026-27/159 ,Deduction For Oil Deduction= 44844.0000000001 ,Bardana= 0 ,F.M=  Brokerage/Rate Difference 0 ,Shortage = 0 ,Greenish=  ,Moisture= 0</v>
      </c>
      <c r="BN764" s="69"/>
      <c r="BO764" s="70" t="str">
        <f t="shared" si="518"/>
        <v xml:space="preserve"> Party Condition 42  ,F.M% 0.36 ,Greenish 4.84 ,Moisture 5 ,Shortage in KG= 0  ,Oil% 39.41</v>
      </c>
      <c r="BP764" s="71">
        <f t="shared" si="519"/>
        <v>7514.9339207048461</v>
      </c>
      <c r="BQ764" s="69"/>
      <c r="BR764" s="69"/>
      <c r="BS764" s="69"/>
      <c r="BT764" s="69"/>
      <c r="BU764" s="69"/>
      <c r="BV764" s="69"/>
      <c r="BW764" s="94"/>
      <c r="BX764" s="30">
        <v>39.07</v>
      </c>
      <c r="BY764" s="30">
        <v>39.119999999999997</v>
      </c>
    </row>
    <row r="765" spans="1:77" ht="14.1" hidden="1" customHeight="1" x14ac:dyDescent="0.3">
      <c r="A765" s="161" t="s">
        <v>1539</v>
      </c>
      <c r="B765" s="310">
        <v>46174</v>
      </c>
      <c r="C765" s="309">
        <v>739</v>
      </c>
      <c r="D765" s="191" t="s">
        <v>1573</v>
      </c>
      <c r="E765" s="311">
        <v>46176</v>
      </c>
      <c r="F765" s="312" t="s">
        <v>1144</v>
      </c>
      <c r="G765" s="161" t="s">
        <v>1145</v>
      </c>
      <c r="H765" s="161" t="s">
        <v>100</v>
      </c>
      <c r="I765" s="193"/>
      <c r="J765" s="309" t="s">
        <v>1146</v>
      </c>
      <c r="K765" s="193"/>
      <c r="L765" s="310">
        <v>46174</v>
      </c>
      <c r="M765" s="193"/>
      <c r="N765" s="161" t="s">
        <v>1605</v>
      </c>
      <c r="O765" s="192">
        <v>46176</v>
      </c>
      <c r="P765" s="309">
        <v>0</v>
      </c>
      <c r="Q765" s="309">
        <v>150</v>
      </c>
      <c r="R765" s="309">
        <v>0</v>
      </c>
      <c r="S765" s="309">
        <v>150</v>
      </c>
      <c r="T765" s="309">
        <v>150</v>
      </c>
      <c r="U765" s="161">
        <v>0</v>
      </c>
      <c r="V765" s="193"/>
      <c r="W765" s="313">
        <v>89</v>
      </c>
      <c r="X765" s="313">
        <v>88.8</v>
      </c>
      <c r="Y765" s="314">
        <v>712000</v>
      </c>
      <c r="Z765" s="327">
        <v>40.19</v>
      </c>
      <c r="AA765" s="314">
        <v>17800</v>
      </c>
      <c r="AB765" s="314">
        <v>17800</v>
      </c>
      <c r="AC765" s="314">
        <v>747600</v>
      </c>
      <c r="AD765" s="315">
        <f t="shared" si="520"/>
        <v>746852.4</v>
      </c>
      <c r="AE765" s="316">
        <v>40.19</v>
      </c>
      <c r="AF765" s="316">
        <v>42</v>
      </c>
      <c r="AG765" s="309">
        <v>40.19</v>
      </c>
      <c r="AH765" s="317">
        <v>4.4000000000000003E-3</v>
      </c>
      <c r="AI765" s="317">
        <v>4.3400000000000001E-2</v>
      </c>
      <c r="AJ765" s="317">
        <v>4.8000000000000001E-2</v>
      </c>
      <c r="AK765" s="318">
        <f t="shared" si="504"/>
        <v>30683.809523809563</v>
      </c>
      <c r="AL765" s="193">
        <v>0</v>
      </c>
      <c r="AM765" s="193"/>
      <c r="AN765" s="319">
        <v>0</v>
      </c>
      <c r="AO765" s="320">
        <f t="shared" si="505"/>
        <v>160</v>
      </c>
      <c r="AP765" s="193"/>
      <c r="AQ765" s="318">
        <v>0</v>
      </c>
      <c r="AR765" s="318">
        <f t="shared" si="506"/>
        <v>30843.809523809563</v>
      </c>
      <c r="AS765" s="318">
        <f t="shared" si="507"/>
        <v>32386</v>
      </c>
      <c r="AT765" s="321">
        <v>2</v>
      </c>
      <c r="AU765" s="319"/>
      <c r="AV765" s="193"/>
      <c r="AW765" s="318">
        <f t="shared" si="508"/>
        <v>8900</v>
      </c>
      <c r="AX765" s="193"/>
      <c r="AY765" s="318">
        <f t="shared" si="509"/>
        <v>8900</v>
      </c>
      <c r="AZ765" s="318">
        <f t="shared" si="510"/>
        <v>8880</v>
      </c>
      <c r="BA765" s="318">
        <f t="shared" si="511"/>
        <v>20</v>
      </c>
      <c r="BB765" s="318">
        <f t="shared" si="512"/>
        <v>17.8</v>
      </c>
      <c r="BC765" s="318">
        <v>0</v>
      </c>
      <c r="BD765" s="193"/>
      <c r="BE765" s="309">
        <v>89</v>
      </c>
      <c r="BF765" s="321">
        <f t="shared" si="513"/>
        <v>0.13350000000000001</v>
      </c>
      <c r="BG765" s="197">
        <f t="shared" si="521"/>
        <v>88.866500000000002</v>
      </c>
      <c r="BH765" s="321">
        <f t="shared" si="514"/>
        <v>88.8</v>
      </c>
      <c r="BI765" s="322">
        <f t="shared" si="515"/>
        <v>20.000000000000284</v>
      </c>
      <c r="BJ765" s="322">
        <v>0</v>
      </c>
      <c r="BK765" s="318">
        <f t="shared" si="516"/>
        <v>20.000000000000284</v>
      </c>
      <c r="BL765" s="67"/>
      <c r="BM765" s="68" t="str">
        <f t="shared" si="517"/>
        <v>Unloading no. 739 Bill No 2026-27/156 ,Deduction For Oil Deduction= 30683.8095238096 ,Bardana= 0 ,F.M=  Brokerage/Rate Difference 0 ,Shortage = 160 ,Greenish=  ,Moisture= 0</v>
      </c>
      <c r="BN765" s="69"/>
      <c r="BO765" s="70" t="str">
        <f t="shared" si="518"/>
        <v xml:space="preserve"> Party Condition 42  ,F.M% 0.44 ,Greenish 4.34 ,Moisture 4.8 ,Shortage in KG= 2  ,Oil% 40.19</v>
      </c>
      <c r="BP765" s="71">
        <f t="shared" si="519"/>
        <v>7670.6778206778199</v>
      </c>
      <c r="BQ765" s="69"/>
      <c r="BR765" s="69"/>
      <c r="BS765" s="69"/>
      <c r="BT765" s="69"/>
      <c r="BU765" s="69"/>
      <c r="BV765" s="69"/>
      <c r="BW765" s="94"/>
      <c r="BX765" s="30">
        <v>39.51</v>
      </c>
      <c r="BY765" s="30">
        <v>39.409999999999997</v>
      </c>
    </row>
    <row r="766" spans="1:77" ht="14.1" hidden="1" customHeight="1" x14ac:dyDescent="0.3">
      <c r="A766" s="329" t="s">
        <v>1539</v>
      </c>
      <c r="B766" s="330">
        <v>46174</v>
      </c>
      <c r="C766" s="329">
        <v>740</v>
      </c>
      <c r="D766" s="331" t="s">
        <v>1574</v>
      </c>
      <c r="E766" s="332">
        <v>46176</v>
      </c>
      <c r="F766" s="333" t="s">
        <v>1144</v>
      </c>
      <c r="G766" s="334" t="s">
        <v>1145</v>
      </c>
      <c r="H766" s="334" t="s">
        <v>100</v>
      </c>
      <c r="I766" s="335"/>
      <c r="J766" s="329" t="s">
        <v>1146</v>
      </c>
      <c r="K766" s="335"/>
      <c r="L766" s="330">
        <v>46174</v>
      </c>
      <c r="M766" s="335"/>
      <c r="N766" s="334" t="s">
        <v>1606</v>
      </c>
      <c r="O766" s="330">
        <v>46176</v>
      </c>
      <c r="P766" s="329">
        <v>0</v>
      </c>
      <c r="Q766" s="329">
        <v>173</v>
      </c>
      <c r="R766" s="329">
        <v>0</v>
      </c>
      <c r="S766" s="329">
        <v>173</v>
      </c>
      <c r="T766" s="329">
        <v>173</v>
      </c>
      <c r="U766" s="334">
        <v>0</v>
      </c>
      <c r="V766" s="335"/>
      <c r="W766" s="336">
        <v>102.1</v>
      </c>
      <c r="X766" s="336">
        <v>102</v>
      </c>
      <c r="Y766" s="337">
        <v>816800</v>
      </c>
      <c r="Z766" s="338">
        <v>40.159999999999997</v>
      </c>
      <c r="AA766" s="337">
        <v>20420</v>
      </c>
      <c r="AB766" s="337">
        <v>20420</v>
      </c>
      <c r="AC766" s="337">
        <v>857640</v>
      </c>
      <c r="AD766" s="339">
        <f t="shared" si="520"/>
        <v>856782.36</v>
      </c>
      <c r="AE766" s="340">
        <v>40.159999999999997</v>
      </c>
      <c r="AF766" s="340">
        <v>42</v>
      </c>
      <c r="AG766" s="329">
        <v>40.159999999999997</v>
      </c>
      <c r="AH766" s="341">
        <v>4.7000000000000002E-3</v>
      </c>
      <c r="AI766" s="341">
        <v>4.4499999999999998E-2</v>
      </c>
      <c r="AJ766" s="341">
        <v>4.4999999999999998E-2</v>
      </c>
      <c r="AK766" s="342">
        <f t="shared" si="504"/>
        <v>35783.619047619111</v>
      </c>
      <c r="AL766" s="335">
        <v>0</v>
      </c>
      <c r="AM766" s="335"/>
      <c r="AN766" s="343">
        <v>0</v>
      </c>
      <c r="AO766" s="344">
        <f t="shared" si="505"/>
        <v>0</v>
      </c>
      <c r="AP766" s="335"/>
      <c r="AQ766" s="342">
        <v>0</v>
      </c>
      <c r="AR766" s="342">
        <f t="shared" si="506"/>
        <v>35783.619047619111</v>
      </c>
      <c r="AS766" s="342">
        <f t="shared" si="507"/>
        <v>37573</v>
      </c>
      <c r="AT766" s="345">
        <v>0</v>
      </c>
      <c r="AU766" s="343"/>
      <c r="AV766" s="335"/>
      <c r="AW766" s="342">
        <f t="shared" si="508"/>
        <v>10210</v>
      </c>
      <c r="AX766" s="335"/>
      <c r="AY766" s="342">
        <f t="shared" si="509"/>
        <v>10210</v>
      </c>
      <c r="AZ766" s="342">
        <f t="shared" si="510"/>
        <v>10200</v>
      </c>
      <c r="BA766" s="342">
        <f t="shared" si="511"/>
        <v>10</v>
      </c>
      <c r="BB766" s="342">
        <f t="shared" si="512"/>
        <v>20.420000000000002</v>
      </c>
      <c r="BC766" s="342">
        <v>0</v>
      </c>
      <c r="BD766" s="335"/>
      <c r="BE766" s="329">
        <v>102.1</v>
      </c>
      <c r="BF766" s="345">
        <f t="shared" si="513"/>
        <v>0.15314999999999998</v>
      </c>
      <c r="BG766" s="197">
        <f t="shared" si="521"/>
        <v>101.94685</v>
      </c>
      <c r="BH766" s="345">
        <f t="shared" si="514"/>
        <v>102</v>
      </c>
      <c r="BI766" s="346">
        <f t="shared" si="515"/>
        <v>9.9999999999994316</v>
      </c>
      <c r="BJ766" s="346">
        <v>0</v>
      </c>
      <c r="BK766" s="342">
        <f t="shared" si="516"/>
        <v>9.9999999999994316</v>
      </c>
      <c r="BL766" s="73"/>
      <c r="BM766" s="74" t="str">
        <f t="shared" si="517"/>
        <v>Unloading no. 740 Bill No 2026-27/157 ,Deduction For Oil Deduction= 35783.6190476191 ,Bardana= 0 ,F.M=  Brokerage/Rate Difference 0 ,Shortage = 0 ,Greenish=  ,Moisture= 0</v>
      </c>
      <c r="BN766" s="69"/>
      <c r="BO766" s="70" t="str">
        <f t="shared" si="518"/>
        <v xml:space="preserve"> Party Condition 42  ,F.M% 0.47 ,Greenish 4.45 ,Moisture 4.5 ,Shortage in KG= 0  ,Oil% 40.16</v>
      </c>
      <c r="BP766" s="71">
        <f t="shared" si="519"/>
        <v>7657.0233426703999</v>
      </c>
      <c r="BQ766" s="69"/>
      <c r="BR766" s="69"/>
      <c r="BS766" s="69"/>
      <c r="BT766" s="69"/>
      <c r="BU766" s="69"/>
      <c r="BV766" s="69"/>
      <c r="BW766" s="94"/>
      <c r="BX766" s="30">
        <v>40.03</v>
      </c>
      <c r="BY766" s="30">
        <v>40.020000000000003</v>
      </c>
    </row>
    <row r="767" spans="1:77" ht="14.1" hidden="1" customHeight="1" x14ac:dyDescent="0.3">
      <c r="A767" s="347" t="s">
        <v>1537</v>
      </c>
      <c r="B767" s="168">
        <v>46175</v>
      </c>
      <c r="C767" s="347">
        <v>741</v>
      </c>
      <c r="D767" s="348" t="s">
        <v>1626</v>
      </c>
      <c r="E767" s="349">
        <v>46177</v>
      </c>
      <c r="F767" s="347" t="s">
        <v>1083</v>
      </c>
      <c r="G767" s="167" t="s">
        <v>1084</v>
      </c>
      <c r="H767" s="167" t="s">
        <v>1454</v>
      </c>
      <c r="I767" s="136"/>
      <c r="J767" s="347" t="s">
        <v>1455</v>
      </c>
      <c r="K767" s="136"/>
      <c r="L767" s="168">
        <v>46175</v>
      </c>
      <c r="M767" s="136"/>
      <c r="N767" s="167">
        <v>29</v>
      </c>
      <c r="O767" s="168">
        <v>46175</v>
      </c>
      <c r="P767" s="347">
        <v>0</v>
      </c>
      <c r="Q767" s="347">
        <v>60</v>
      </c>
      <c r="R767" s="347">
        <v>340</v>
      </c>
      <c r="S767" s="347">
        <v>400</v>
      </c>
      <c r="T767" s="347">
        <v>400</v>
      </c>
      <c r="U767" s="136"/>
      <c r="V767" s="136"/>
      <c r="W767" s="173">
        <v>265.75</v>
      </c>
      <c r="X767" s="173">
        <v>265.3</v>
      </c>
      <c r="Y767" s="350">
        <v>2159218.75</v>
      </c>
      <c r="Z767" s="167"/>
      <c r="AA767" s="350">
        <v>53980.47</v>
      </c>
      <c r="AB767" s="350">
        <v>53980.47</v>
      </c>
      <c r="AC767" s="350">
        <v>2267179.69</v>
      </c>
      <c r="AD767" s="315">
        <f t="shared" si="520"/>
        <v>2264912.5103099998</v>
      </c>
      <c r="AE767" s="347">
        <v>38.729999999999997</v>
      </c>
      <c r="AF767" s="173">
        <v>42</v>
      </c>
      <c r="AG767" s="347">
        <v>38.76</v>
      </c>
      <c r="AH767" s="292">
        <v>6.0000000000000001E-3</v>
      </c>
      <c r="AI767" s="351">
        <v>3.1E-2</v>
      </c>
      <c r="AJ767" s="351">
        <v>4.8000000000000001E-2</v>
      </c>
      <c r="AK767" s="318">
        <f t="shared" ref="AK767:AK830" si="522">+IF(AF767=42,IF(MIN(AE767,AG767)&lt;AF767,Y767*((AF767-MIN(AE767,AG767))/AF767)),IF(MIN(AE767,AG767)&lt;AF767,Y767*((AF767-MIN(AE767,AG767))/AF767),0))</f>
        <v>168110.60267857159</v>
      </c>
      <c r="AL767" s="193">
        <f>60*10+340*15</f>
        <v>5700</v>
      </c>
      <c r="AM767" s="193">
        <f t="shared" ref="AM767:AM772" si="523">AH767*Y767</f>
        <v>12955.3125</v>
      </c>
      <c r="AN767" s="319">
        <f>W767*15</f>
        <v>3986.25</v>
      </c>
      <c r="AO767" s="320">
        <f t="shared" ref="AO767:AO830" si="524">AT767*Y767/AW767</f>
        <v>3656.25</v>
      </c>
      <c r="AP767" s="193"/>
      <c r="AQ767" s="318">
        <v>0</v>
      </c>
      <c r="AR767" s="318">
        <f t="shared" ref="AR767:AR827" si="525">SUM(AK767:AQ767)</f>
        <v>194408.41517857159</v>
      </c>
      <c r="AS767" s="318">
        <f t="shared" ref="AS767:AS827" si="526">ROUND(AR767*1.05,0)</f>
        <v>204129</v>
      </c>
      <c r="AT767" s="321">
        <v>45</v>
      </c>
      <c r="AU767" s="136"/>
      <c r="AV767" s="136"/>
      <c r="AW767" s="318">
        <f t="shared" ref="AW767:AW827" si="527">W767*100</f>
        <v>26575</v>
      </c>
      <c r="AX767" s="193"/>
      <c r="AY767" s="318">
        <f t="shared" ref="AY767:AY827" si="528">+AW767+AX767</f>
        <v>26575</v>
      </c>
      <c r="AZ767" s="318">
        <f t="shared" ref="AZ767:AZ827" si="529">X767*100</f>
        <v>26530</v>
      </c>
      <c r="BA767" s="318">
        <f t="shared" ref="BA767:BA827" si="530">AY767-AZ767</f>
        <v>45</v>
      </c>
      <c r="BB767" s="318">
        <f t="shared" ref="BB767:BB827" si="531">AW767*2/1000</f>
        <v>53.15</v>
      </c>
      <c r="BC767" s="318">
        <v>0</v>
      </c>
      <c r="BD767" s="193"/>
      <c r="BE767" s="309">
        <v>102.1</v>
      </c>
      <c r="BF767" s="321">
        <f t="shared" ref="BF767:BF827" si="532">+BE767*0.15/100</f>
        <v>0.15314999999999998</v>
      </c>
      <c r="BG767" s="197">
        <f t="shared" si="521"/>
        <v>101.94685</v>
      </c>
      <c r="BH767" s="321">
        <f t="shared" ref="BH767:BH827" si="533">X767</f>
        <v>265.3</v>
      </c>
      <c r="BI767" s="322">
        <f t="shared" ref="BI767:BI827" si="534">(BE767-BH767)*100</f>
        <v>-16320.000000000002</v>
      </c>
      <c r="BJ767" s="322">
        <v>0</v>
      </c>
      <c r="BK767" s="318">
        <f t="shared" ref="BK767:BK827" si="535">BI767</f>
        <v>-16320.000000000002</v>
      </c>
      <c r="BL767" s="67"/>
      <c r="BM767" s="68" t="str">
        <f t="shared" ref="BM767:BM827" si="536">+$C$1&amp;" "&amp;C767 &amp;" "&amp;$N$1&amp;" "&amp;N767&amp;" "&amp;$BM$1&amp;" "&amp;$AK$1&amp;" "&amp;AK767&amp;" "&amp;$AL$1&amp;" "&amp;AL767&amp;" "&amp;$AM$1&amp;" "&amp;AM767&amp;" "&amp;$AN$1&amp;" "&amp;AN767&amp;" "&amp;$AO$1&amp;" "&amp;AO767&amp;" "&amp;$AP$1&amp;" "&amp;AP767&amp;" "&amp;$AQ$1&amp;" "&amp;AQ767</f>
        <v>Unloading no. 741 Bill No 29 ,Deduction For Oil Deduction= 168110.602678572 ,Bardana= 5700 ,F.M= 12955.3125 Brokerage/Rate Difference 3986.25 ,Shortage = 3656.25 ,Greenish=  ,Moisture= 0</v>
      </c>
      <c r="BN767" s="69"/>
      <c r="BO767" s="70" t="str">
        <f t="shared" ref="BO767:BO827" si="537">+" "&amp;$AF$1&amp;" "&amp;AF767&amp;" "&amp;" "&amp;$AH$1&amp;" "&amp;AH767*100&amp;" "&amp;$AI$1&amp;" "&amp;AI767*100&amp;" "&amp;$AJ$1&amp;" "&amp;AJ767*100&amp;" ,"&amp;$AT$1&amp;" "&amp;AT767&amp;" "&amp;IF(AE767&gt;AG767," ,Oil%"&amp;" "&amp;AG767," ,Oil%"&amp;" "&amp;AE767)</f>
        <v xml:space="preserve"> Party Condition 42  ,F.M% 0.6 ,Greenish 3.1 ,Moisture 4.8 ,Shortage in KG= 45  ,Oil% 38.73</v>
      </c>
      <c r="BP767" s="71">
        <f t="shared" ref="BP767:BP827" si="538">(Y767-AR767)/X767</f>
        <v>7405.9944772763974</v>
      </c>
      <c r="BQ767" s="69"/>
      <c r="BX767" s="30">
        <v>38.729999999999997</v>
      </c>
      <c r="BY767" s="30">
        <v>38.76</v>
      </c>
    </row>
    <row r="768" spans="1:77" ht="14.1" hidden="1" customHeight="1" x14ac:dyDescent="0.3">
      <c r="A768" s="347" t="s">
        <v>1462</v>
      </c>
      <c r="B768" s="168">
        <v>46171</v>
      </c>
      <c r="C768" s="347">
        <v>742</v>
      </c>
      <c r="D768" s="348" t="s">
        <v>1627</v>
      </c>
      <c r="E768" s="349">
        <v>46177</v>
      </c>
      <c r="F768" s="347" t="s">
        <v>1382</v>
      </c>
      <c r="G768" s="167" t="s">
        <v>1383</v>
      </c>
      <c r="H768" s="167" t="s">
        <v>1384</v>
      </c>
      <c r="I768" s="136"/>
      <c r="J768" s="347" t="s">
        <v>1455</v>
      </c>
      <c r="K768" s="136"/>
      <c r="L768" s="168">
        <v>46171</v>
      </c>
      <c r="M768" s="136"/>
      <c r="N768" s="167">
        <v>12</v>
      </c>
      <c r="O768" s="168">
        <v>46174</v>
      </c>
      <c r="P768" s="347">
        <v>0</v>
      </c>
      <c r="Q768" s="347">
        <v>420</v>
      </c>
      <c r="R768" s="347">
        <v>105</v>
      </c>
      <c r="S768" s="347">
        <v>525</v>
      </c>
      <c r="T768" s="347">
        <v>525</v>
      </c>
      <c r="U768" s="136"/>
      <c r="V768" s="136"/>
      <c r="W768" s="173">
        <v>322.8</v>
      </c>
      <c r="X768" s="173">
        <v>322.60000000000002</v>
      </c>
      <c r="Y768" s="350">
        <v>2582400</v>
      </c>
      <c r="Z768" s="167"/>
      <c r="AA768" s="350">
        <v>64560</v>
      </c>
      <c r="AB768" s="350">
        <v>64560</v>
      </c>
      <c r="AC768" s="350">
        <v>2711520</v>
      </c>
      <c r="AD768" s="315">
        <f t="shared" si="520"/>
        <v>2708808.48</v>
      </c>
      <c r="AE768" s="347">
        <v>41.72</v>
      </c>
      <c r="AF768" s="173">
        <v>42</v>
      </c>
      <c r="AG768" s="347">
        <v>41.52</v>
      </c>
      <c r="AH768" s="292">
        <v>4.5999999999999999E-3</v>
      </c>
      <c r="AI768" s="351">
        <v>3.6499999999999998E-2</v>
      </c>
      <c r="AJ768" s="351">
        <v>4.5999999999999999E-2</v>
      </c>
      <c r="AK768" s="318">
        <f t="shared" si="522"/>
        <v>29513.142857142666</v>
      </c>
      <c r="AL768" s="193">
        <f>420*10+105*15</f>
        <v>5775</v>
      </c>
      <c r="AM768" s="193">
        <f t="shared" si="523"/>
        <v>11879.039999999999</v>
      </c>
      <c r="AN768" s="319">
        <v>0</v>
      </c>
      <c r="AO768" s="320">
        <f t="shared" si="524"/>
        <v>1600</v>
      </c>
      <c r="AP768" s="193"/>
      <c r="AQ768" s="318">
        <v>0</v>
      </c>
      <c r="AR768" s="318">
        <f t="shared" si="525"/>
        <v>48767.182857142667</v>
      </c>
      <c r="AS768" s="318">
        <f t="shared" si="526"/>
        <v>51206</v>
      </c>
      <c r="AT768" s="321">
        <v>20</v>
      </c>
      <c r="AU768" s="136"/>
      <c r="AV768" s="136"/>
      <c r="AW768" s="318">
        <f t="shared" si="527"/>
        <v>32280</v>
      </c>
      <c r="AX768" s="193"/>
      <c r="AY768" s="318">
        <f t="shared" si="528"/>
        <v>32280</v>
      </c>
      <c r="AZ768" s="318">
        <f t="shared" si="529"/>
        <v>32260.000000000004</v>
      </c>
      <c r="BA768" s="318">
        <f t="shared" si="530"/>
        <v>19.999999999996362</v>
      </c>
      <c r="BB768" s="318">
        <f t="shared" si="531"/>
        <v>64.56</v>
      </c>
      <c r="BC768" s="318">
        <v>0</v>
      </c>
      <c r="BD768" s="193"/>
      <c r="BE768" s="309">
        <v>102.1</v>
      </c>
      <c r="BF768" s="321">
        <f t="shared" si="532"/>
        <v>0.15314999999999998</v>
      </c>
      <c r="BG768" s="197">
        <f t="shared" si="521"/>
        <v>101.94685</v>
      </c>
      <c r="BH768" s="321">
        <f t="shared" si="533"/>
        <v>322.60000000000002</v>
      </c>
      <c r="BI768" s="322">
        <f t="shared" si="534"/>
        <v>-22050.000000000004</v>
      </c>
      <c r="BJ768" s="322">
        <v>0</v>
      </c>
      <c r="BK768" s="318">
        <f t="shared" si="535"/>
        <v>-22050.000000000004</v>
      </c>
      <c r="BL768" s="67"/>
      <c r="BM768" s="68" t="str">
        <f t="shared" si="536"/>
        <v>Unloading no. 742 Bill No 12 ,Deduction For Oil Deduction= 29513.1428571427 ,Bardana= 5775 ,F.M= 11879.04 Brokerage/Rate Difference 0 ,Shortage = 1600 ,Greenish=  ,Moisture= 0</v>
      </c>
      <c r="BN768" s="69"/>
      <c r="BO768" s="70" t="str">
        <f t="shared" si="537"/>
        <v xml:space="preserve"> Party Condition 42  ,F.M% 0.46 ,Greenish 3.65 ,Moisture 4.6 ,Shortage in KG= 20  ,Oil% 41.52</v>
      </c>
      <c r="BP768" s="71">
        <f t="shared" si="538"/>
        <v>7853.7905057125145</v>
      </c>
      <c r="BQ768" s="69"/>
      <c r="BX768" s="30">
        <v>41.72</v>
      </c>
      <c r="BY768" s="30">
        <v>41.52</v>
      </c>
    </row>
    <row r="769" spans="1:77" ht="14.1" hidden="1" customHeight="1" x14ac:dyDescent="0.3">
      <c r="A769" s="347" t="s">
        <v>1607</v>
      </c>
      <c r="B769" s="168">
        <v>46175</v>
      </c>
      <c r="C769" s="347">
        <v>743</v>
      </c>
      <c r="D769" s="348" t="s">
        <v>1628</v>
      </c>
      <c r="E769" s="349">
        <v>46177</v>
      </c>
      <c r="F769" s="347" t="s">
        <v>1686</v>
      </c>
      <c r="G769" s="167" t="s">
        <v>1687</v>
      </c>
      <c r="H769" s="167" t="s">
        <v>1688</v>
      </c>
      <c r="I769" s="136"/>
      <c r="J769" s="347" t="s">
        <v>1455</v>
      </c>
      <c r="K769" s="136"/>
      <c r="L769" s="168">
        <v>46175</v>
      </c>
      <c r="M769" s="136"/>
      <c r="N769" s="167" t="s">
        <v>1694</v>
      </c>
      <c r="O769" s="168">
        <v>46176</v>
      </c>
      <c r="P769" s="347">
        <v>0</v>
      </c>
      <c r="Q769" s="347">
        <v>190</v>
      </c>
      <c r="R769" s="347">
        <v>35</v>
      </c>
      <c r="S769" s="347">
        <v>225</v>
      </c>
      <c r="T769" s="347">
        <v>225</v>
      </c>
      <c r="U769" s="136"/>
      <c r="V769" s="136"/>
      <c r="W769" s="173">
        <v>136.30000000000001</v>
      </c>
      <c r="X769" s="173">
        <v>135.4</v>
      </c>
      <c r="Y769" s="350">
        <v>1104030</v>
      </c>
      <c r="Z769" s="167"/>
      <c r="AA769" s="350">
        <v>27600.75</v>
      </c>
      <c r="AB769" s="350">
        <v>27600.75</v>
      </c>
      <c r="AC769" s="350">
        <v>1159231.5</v>
      </c>
      <c r="AD769" s="315">
        <f t="shared" si="520"/>
        <v>1158072.2685</v>
      </c>
      <c r="AE769" s="347">
        <v>40.049999999999997</v>
      </c>
      <c r="AF769" s="173">
        <v>42</v>
      </c>
      <c r="AG769" s="347">
        <v>39.83</v>
      </c>
      <c r="AH769" s="292">
        <v>4.0000000000000001E-3</v>
      </c>
      <c r="AI769" s="351">
        <v>3.2599999999999997E-2</v>
      </c>
      <c r="AJ769" s="351">
        <v>4.9000000000000002E-2</v>
      </c>
      <c r="AK769" s="318">
        <f t="shared" si="522"/>
        <v>57041.550000000047</v>
      </c>
      <c r="AL769" s="193">
        <f>190*10+35*15</f>
        <v>2425</v>
      </c>
      <c r="AM769" s="193">
        <f t="shared" si="523"/>
        <v>4416.12</v>
      </c>
      <c r="AN769" s="319">
        <v>0</v>
      </c>
      <c r="AO769" s="320">
        <f t="shared" si="524"/>
        <v>7289.9999999999991</v>
      </c>
      <c r="AP769" s="193"/>
      <c r="AQ769" s="318">
        <v>0</v>
      </c>
      <c r="AR769" s="318">
        <f t="shared" si="525"/>
        <v>71172.670000000042</v>
      </c>
      <c r="AS769" s="318">
        <f t="shared" si="526"/>
        <v>74731</v>
      </c>
      <c r="AT769" s="321">
        <v>90</v>
      </c>
      <c r="AU769" s="136"/>
      <c r="AV769" s="136"/>
      <c r="AW769" s="318">
        <f t="shared" si="527"/>
        <v>13630.000000000002</v>
      </c>
      <c r="AX769" s="193"/>
      <c r="AY769" s="318">
        <f t="shared" si="528"/>
        <v>13630.000000000002</v>
      </c>
      <c r="AZ769" s="318">
        <f t="shared" si="529"/>
        <v>13540</v>
      </c>
      <c r="BA769" s="318">
        <f t="shared" si="530"/>
        <v>90.000000000001819</v>
      </c>
      <c r="BB769" s="318">
        <f t="shared" si="531"/>
        <v>27.260000000000005</v>
      </c>
      <c r="BC769" s="318">
        <v>0</v>
      </c>
      <c r="BD769" s="193"/>
      <c r="BE769" s="309">
        <v>102.1</v>
      </c>
      <c r="BF769" s="321">
        <f t="shared" si="532"/>
        <v>0.15314999999999998</v>
      </c>
      <c r="BG769" s="197">
        <f t="shared" si="521"/>
        <v>101.94685</v>
      </c>
      <c r="BH769" s="321">
        <f t="shared" si="533"/>
        <v>135.4</v>
      </c>
      <c r="BI769" s="322">
        <f t="shared" si="534"/>
        <v>-3330.0000000000009</v>
      </c>
      <c r="BJ769" s="322">
        <v>0</v>
      </c>
      <c r="BK769" s="318">
        <f t="shared" si="535"/>
        <v>-3330.0000000000009</v>
      </c>
      <c r="BL769" s="67"/>
      <c r="BM769" s="68" t="str">
        <f t="shared" si="536"/>
        <v>Unloading no. 743 Bill No KAI/2026-27/107 ,Deduction For Oil Deduction= 57041.55 ,Bardana= 2425 ,F.M= 4416.12 Brokerage/Rate Difference 0 ,Shortage = 7290 ,Greenish=  ,Moisture= 0</v>
      </c>
      <c r="BN769" s="69"/>
      <c r="BO769" s="70" t="str">
        <f t="shared" si="537"/>
        <v xml:space="preserve"> Party Condition 42  ,F.M% 0.4 ,Greenish 3.26 ,Moisture 4.9 ,Shortage in KG= 90  ,Oil% 39.83</v>
      </c>
      <c r="BP769" s="71">
        <f t="shared" si="538"/>
        <v>7628.1929837518455</v>
      </c>
      <c r="BQ769" s="69"/>
      <c r="BX769" s="30">
        <v>40.049999999999997</v>
      </c>
      <c r="BY769" s="30">
        <v>39.83</v>
      </c>
    </row>
    <row r="770" spans="1:77" ht="14.1" hidden="1" customHeight="1" x14ac:dyDescent="0.3">
      <c r="A770" s="347" t="s">
        <v>1607</v>
      </c>
      <c r="B770" s="168">
        <v>46175</v>
      </c>
      <c r="C770" s="347">
        <v>744</v>
      </c>
      <c r="D770" s="348" t="s">
        <v>1629</v>
      </c>
      <c r="E770" s="349">
        <v>46177</v>
      </c>
      <c r="F770" s="347" t="s">
        <v>1686</v>
      </c>
      <c r="G770" s="159" t="s">
        <v>1687</v>
      </c>
      <c r="H770" s="167" t="s">
        <v>1688</v>
      </c>
      <c r="I770" s="136"/>
      <c r="J770" s="347" t="s">
        <v>1455</v>
      </c>
      <c r="K770" s="136"/>
      <c r="L770" s="168">
        <v>46175</v>
      </c>
      <c r="M770" s="136"/>
      <c r="N770" s="167" t="s">
        <v>1695</v>
      </c>
      <c r="O770" s="168">
        <v>46176</v>
      </c>
      <c r="P770" s="347">
        <v>0</v>
      </c>
      <c r="Q770" s="347">
        <v>250</v>
      </c>
      <c r="R770" s="347">
        <v>30</v>
      </c>
      <c r="S770" s="347">
        <v>280</v>
      </c>
      <c r="T770" s="347">
        <v>280</v>
      </c>
      <c r="U770" s="136"/>
      <c r="V770" s="136"/>
      <c r="W770" s="173">
        <v>170.2</v>
      </c>
      <c r="X770" s="173">
        <v>169.6</v>
      </c>
      <c r="Y770" s="350">
        <v>1378620</v>
      </c>
      <c r="Z770" s="167"/>
      <c r="AA770" s="350">
        <v>34465.5</v>
      </c>
      <c r="AB770" s="350">
        <v>34465.5</v>
      </c>
      <c r="AC770" s="350">
        <v>1447551</v>
      </c>
      <c r="AD770" s="315">
        <f t="shared" si="520"/>
        <v>1446103.449</v>
      </c>
      <c r="AE770" s="347">
        <v>40.25</v>
      </c>
      <c r="AF770" s="173">
        <v>42</v>
      </c>
      <c r="AG770" s="347">
        <v>40.049999999999997</v>
      </c>
      <c r="AH770" s="292">
        <v>4.1000000000000003E-3</v>
      </c>
      <c r="AI770" s="351">
        <v>3.4299999999999997E-2</v>
      </c>
      <c r="AJ770" s="351">
        <v>0.05</v>
      </c>
      <c r="AK770" s="318">
        <f t="shared" si="522"/>
        <v>64007.35714285724</v>
      </c>
      <c r="AL770" s="193">
        <f>250*10+30*15</f>
        <v>2950</v>
      </c>
      <c r="AM770" s="193">
        <f t="shared" si="523"/>
        <v>5652.3420000000006</v>
      </c>
      <c r="AN770" s="319">
        <v>0</v>
      </c>
      <c r="AO770" s="320">
        <f t="shared" si="524"/>
        <v>4860</v>
      </c>
      <c r="AP770" s="193"/>
      <c r="AQ770" s="318">
        <v>0</v>
      </c>
      <c r="AR770" s="318">
        <f t="shared" si="525"/>
        <v>77469.699142857251</v>
      </c>
      <c r="AS770" s="318">
        <f t="shared" si="526"/>
        <v>81343</v>
      </c>
      <c r="AT770" s="321">
        <v>60</v>
      </c>
      <c r="AU770" s="136"/>
      <c r="AV770" s="136"/>
      <c r="AW770" s="318">
        <f t="shared" si="527"/>
        <v>17020</v>
      </c>
      <c r="AX770" s="193"/>
      <c r="AY770" s="318">
        <f t="shared" si="528"/>
        <v>17020</v>
      </c>
      <c r="AZ770" s="318">
        <f t="shared" si="529"/>
        <v>16960</v>
      </c>
      <c r="BA770" s="318">
        <f t="shared" si="530"/>
        <v>60</v>
      </c>
      <c r="BB770" s="318">
        <f t="shared" si="531"/>
        <v>34.04</v>
      </c>
      <c r="BC770" s="318">
        <v>0</v>
      </c>
      <c r="BD770" s="193"/>
      <c r="BE770" s="309">
        <v>102.1</v>
      </c>
      <c r="BF770" s="321">
        <f t="shared" si="532"/>
        <v>0.15314999999999998</v>
      </c>
      <c r="BG770" s="197">
        <f t="shared" si="521"/>
        <v>101.94685</v>
      </c>
      <c r="BH770" s="321">
        <f t="shared" si="533"/>
        <v>169.6</v>
      </c>
      <c r="BI770" s="322">
        <f t="shared" si="534"/>
        <v>-6750</v>
      </c>
      <c r="BJ770" s="322">
        <v>0</v>
      </c>
      <c r="BK770" s="318">
        <f t="shared" si="535"/>
        <v>-6750</v>
      </c>
      <c r="BL770" s="67"/>
      <c r="BM770" s="68" t="str">
        <f t="shared" si="536"/>
        <v>Unloading no. 744 Bill No KAI/2026-27/106 ,Deduction For Oil Deduction= 64007.3571428572 ,Bardana= 2950 ,F.M= 5652.342 Brokerage/Rate Difference 0 ,Shortage = 4860 ,Greenish=  ,Moisture= 0</v>
      </c>
      <c r="BN770" s="69"/>
      <c r="BO770" s="70" t="str">
        <f t="shared" si="537"/>
        <v xml:space="preserve"> Party Condition 42  ,F.M% 0.41 ,Greenish 3.43 ,Moisture 5 ,Shortage in KG= 60  ,Oil% 40.05</v>
      </c>
      <c r="BP770" s="71">
        <f t="shared" si="538"/>
        <v>7671.8767739218329</v>
      </c>
      <c r="BQ770" s="69"/>
      <c r="BX770" s="30">
        <v>40.25</v>
      </c>
      <c r="BY770" s="30">
        <v>40.049999999999997</v>
      </c>
    </row>
    <row r="771" spans="1:77" ht="14.1" hidden="1" customHeight="1" x14ac:dyDescent="0.3">
      <c r="A771" s="347" t="s">
        <v>1608</v>
      </c>
      <c r="B771" s="168">
        <v>46175</v>
      </c>
      <c r="C771" s="347">
        <v>745</v>
      </c>
      <c r="D771" s="348" t="s">
        <v>1630</v>
      </c>
      <c r="E771" s="349">
        <v>46177</v>
      </c>
      <c r="F771" s="347" t="s">
        <v>1083</v>
      </c>
      <c r="G771" s="167" t="s">
        <v>1084</v>
      </c>
      <c r="H771" s="167" t="s">
        <v>1454</v>
      </c>
      <c r="I771" s="136"/>
      <c r="J771" s="347" t="s">
        <v>1455</v>
      </c>
      <c r="K771" s="136"/>
      <c r="L771" s="168">
        <v>46175</v>
      </c>
      <c r="M771" s="136"/>
      <c r="N771" s="167">
        <v>30</v>
      </c>
      <c r="O771" s="168">
        <v>46176</v>
      </c>
      <c r="P771" s="347">
        <v>0</v>
      </c>
      <c r="Q771" s="347">
        <v>318</v>
      </c>
      <c r="R771" s="347">
        <v>50</v>
      </c>
      <c r="S771" s="347">
        <v>368</v>
      </c>
      <c r="T771" s="347">
        <v>368</v>
      </c>
      <c r="U771" s="136"/>
      <c r="V771" s="136"/>
      <c r="W771" s="173">
        <v>243.85</v>
      </c>
      <c r="X771" s="173">
        <v>243</v>
      </c>
      <c r="Y771" s="350">
        <v>1980062</v>
      </c>
      <c r="Z771" s="167"/>
      <c r="AA771" s="350">
        <v>49501.55</v>
      </c>
      <c r="AB771" s="350">
        <v>49501.55</v>
      </c>
      <c r="AC771" s="350">
        <v>2079065.1</v>
      </c>
      <c r="AD771" s="315">
        <f t="shared" si="520"/>
        <v>2076986.0349000001</v>
      </c>
      <c r="AE771" s="347">
        <v>39.46</v>
      </c>
      <c r="AF771" s="173">
        <v>42</v>
      </c>
      <c r="AG771" s="347">
        <v>39.409999999999997</v>
      </c>
      <c r="AH771" s="292">
        <v>4.7999999999999996E-3</v>
      </c>
      <c r="AI771" s="351">
        <v>0.04</v>
      </c>
      <c r="AJ771" s="351">
        <v>4.8000000000000001E-2</v>
      </c>
      <c r="AK771" s="318">
        <f t="shared" si="522"/>
        <v>122103.82333333349</v>
      </c>
      <c r="AL771" s="193">
        <f>318*10+50*15</f>
        <v>3930</v>
      </c>
      <c r="AM771" s="193">
        <f t="shared" si="523"/>
        <v>9504.2975999999999</v>
      </c>
      <c r="AN771" s="319">
        <f>W771*15</f>
        <v>3657.75</v>
      </c>
      <c r="AO771" s="320">
        <f t="shared" si="524"/>
        <v>6902</v>
      </c>
      <c r="AP771" s="193"/>
      <c r="AQ771" s="318">
        <v>0</v>
      </c>
      <c r="AR771" s="318">
        <f t="shared" si="525"/>
        <v>146097.8709333335</v>
      </c>
      <c r="AS771" s="318">
        <f t="shared" si="526"/>
        <v>153403</v>
      </c>
      <c r="AT771" s="321">
        <v>85</v>
      </c>
      <c r="AU771" s="136"/>
      <c r="AV771" s="136"/>
      <c r="AW771" s="318">
        <f t="shared" si="527"/>
        <v>24385</v>
      </c>
      <c r="AX771" s="193"/>
      <c r="AY771" s="318">
        <f t="shared" si="528"/>
        <v>24385</v>
      </c>
      <c r="AZ771" s="318">
        <f t="shared" si="529"/>
        <v>24300</v>
      </c>
      <c r="BA771" s="318">
        <f t="shared" si="530"/>
        <v>85</v>
      </c>
      <c r="BB771" s="318">
        <f t="shared" si="531"/>
        <v>48.77</v>
      </c>
      <c r="BC771" s="318">
        <v>0</v>
      </c>
      <c r="BD771" s="193"/>
      <c r="BE771" s="309">
        <v>102.1</v>
      </c>
      <c r="BF771" s="321">
        <f t="shared" si="532"/>
        <v>0.15314999999999998</v>
      </c>
      <c r="BG771" s="197">
        <f t="shared" si="521"/>
        <v>101.94685</v>
      </c>
      <c r="BH771" s="321">
        <f t="shared" si="533"/>
        <v>243</v>
      </c>
      <c r="BI771" s="322">
        <f t="shared" si="534"/>
        <v>-14090</v>
      </c>
      <c r="BJ771" s="322">
        <v>0</v>
      </c>
      <c r="BK771" s="318">
        <f t="shared" si="535"/>
        <v>-14090</v>
      </c>
      <c r="BL771" s="67"/>
      <c r="BM771" s="68" t="str">
        <f t="shared" si="536"/>
        <v>Unloading no. 745 Bill No 30 ,Deduction For Oil Deduction= 122103.823333333 ,Bardana= 3930 ,F.M= 9504.2976 Brokerage/Rate Difference 3657.75 ,Shortage = 6902 ,Greenish=  ,Moisture= 0</v>
      </c>
      <c r="BN771" s="69"/>
      <c r="BO771" s="70" t="str">
        <f t="shared" si="537"/>
        <v xml:space="preserve"> Party Condition 42  ,F.M% 0.48 ,Greenish 4 ,Moisture 4.8 ,Shortage in KG= 85  ,Oil% 39.41</v>
      </c>
      <c r="BP771" s="71">
        <f t="shared" si="538"/>
        <v>7547.177485871056</v>
      </c>
      <c r="BQ771" s="69"/>
      <c r="BX771" s="30">
        <v>39.46</v>
      </c>
      <c r="BY771" s="30">
        <v>39.409999999999997</v>
      </c>
    </row>
    <row r="772" spans="1:77" ht="14.1" hidden="1" customHeight="1" x14ac:dyDescent="0.3">
      <c r="A772" s="347" t="s">
        <v>1608</v>
      </c>
      <c r="B772" s="168">
        <v>46175</v>
      </c>
      <c r="C772" s="347">
        <v>746</v>
      </c>
      <c r="D772" s="348" t="s">
        <v>1631</v>
      </c>
      <c r="E772" s="349">
        <v>46177</v>
      </c>
      <c r="F772" s="347" t="s">
        <v>1083</v>
      </c>
      <c r="G772" s="167" t="s">
        <v>1084</v>
      </c>
      <c r="H772" s="167" t="s">
        <v>1454</v>
      </c>
      <c r="I772" s="136"/>
      <c r="J772" s="347" t="s">
        <v>1455</v>
      </c>
      <c r="K772" s="136"/>
      <c r="L772" s="168">
        <v>46175</v>
      </c>
      <c r="M772" s="136"/>
      <c r="N772" s="167">
        <v>31</v>
      </c>
      <c r="O772" s="168">
        <v>46176</v>
      </c>
      <c r="P772" s="347">
        <v>0</v>
      </c>
      <c r="Q772" s="347">
        <v>50</v>
      </c>
      <c r="R772" s="347">
        <v>350</v>
      </c>
      <c r="S772" s="347">
        <v>400</v>
      </c>
      <c r="T772" s="347">
        <v>400</v>
      </c>
      <c r="U772" s="136"/>
      <c r="V772" s="136"/>
      <c r="W772" s="173">
        <v>261.5</v>
      </c>
      <c r="X772" s="173">
        <v>260.89999999999998</v>
      </c>
      <c r="Y772" s="350">
        <v>2123380</v>
      </c>
      <c r="Z772" s="167"/>
      <c r="AA772" s="350">
        <v>53084.5</v>
      </c>
      <c r="AB772" s="350">
        <v>53084.5</v>
      </c>
      <c r="AC772" s="350">
        <v>2229549</v>
      </c>
      <c r="AD772" s="315">
        <f t="shared" si="520"/>
        <v>2227319.4509999999</v>
      </c>
      <c r="AE772" s="347">
        <v>38.79</v>
      </c>
      <c r="AF772" s="173">
        <v>42</v>
      </c>
      <c r="AG772" s="347">
        <v>38.79</v>
      </c>
      <c r="AH772" s="292">
        <v>4.7999999999999996E-3</v>
      </c>
      <c r="AI772" s="351">
        <v>3.5499999999999997E-2</v>
      </c>
      <c r="AJ772" s="351">
        <v>4.4999999999999998E-2</v>
      </c>
      <c r="AK772" s="318">
        <f t="shared" si="522"/>
        <v>162286.90000000002</v>
      </c>
      <c r="AL772" s="193">
        <f>50*10+350*15</f>
        <v>5750</v>
      </c>
      <c r="AM772" s="193">
        <f t="shared" si="523"/>
        <v>10192.223999999998</v>
      </c>
      <c r="AN772" s="319">
        <f>W772*15</f>
        <v>3922.5</v>
      </c>
      <c r="AO772" s="320">
        <f t="shared" si="524"/>
        <v>4872</v>
      </c>
      <c r="AP772" s="193"/>
      <c r="AQ772" s="318">
        <v>0</v>
      </c>
      <c r="AR772" s="318">
        <f t="shared" si="525"/>
        <v>187023.62400000001</v>
      </c>
      <c r="AS772" s="318">
        <f t="shared" si="526"/>
        <v>196375</v>
      </c>
      <c r="AT772" s="321">
        <v>60</v>
      </c>
      <c r="AU772" s="136"/>
      <c r="AV772" s="136"/>
      <c r="AW772" s="318">
        <f t="shared" si="527"/>
        <v>26150</v>
      </c>
      <c r="AX772" s="193"/>
      <c r="AY772" s="318">
        <f t="shared" si="528"/>
        <v>26150</v>
      </c>
      <c r="AZ772" s="318">
        <f t="shared" si="529"/>
        <v>26089.999999999996</v>
      </c>
      <c r="BA772" s="318">
        <f t="shared" si="530"/>
        <v>60.000000000003638</v>
      </c>
      <c r="BB772" s="318">
        <f t="shared" si="531"/>
        <v>52.3</v>
      </c>
      <c r="BC772" s="318">
        <v>0</v>
      </c>
      <c r="BD772" s="193"/>
      <c r="BE772" s="309">
        <v>102.1</v>
      </c>
      <c r="BF772" s="321">
        <f t="shared" si="532"/>
        <v>0.15314999999999998</v>
      </c>
      <c r="BG772" s="197">
        <f t="shared" si="521"/>
        <v>101.94685</v>
      </c>
      <c r="BH772" s="321">
        <f t="shared" si="533"/>
        <v>260.89999999999998</v>
      </c>
      <c r="BI772" s="322">
        <f t="shared" si="534"/>
        <v>-15879.999999999998</v>
      </c>
      <c r="BJ772" s="322">
        <v>0</v>
      </c>
      <c r="BK772" s="318">
        <f t="shared" si="535"/>
        <v>-15879.999999999998</v>
      </c>
      <c r="BL772" s="67"/>
      <c r="BM772" s="68" t="str">
        <f t="shared" si="536"/>
        <v>Unloading no. 746 Bill No 31 ,Deduction For Oil Deduction= 162286.9 ,Bardana= 5750 ,F.M= 10192.224 Brokerage/Rate Difference 3922.5 ,Shortage = 4872 ,Greenish=  ,Moisture= 0</v>
      </c>
      <c r="BN772" s="69"/>
      <c r="BO772" s="70" t="str">
        <f t="shared" si="537"/>
        <v xml:space="preserve"> Party Condition 42  ,F.M% 0.48 ,Greenish 3.55 ,Moisture 4.5 ,Shortage in KG= 60  ,Oil% 38.79</v>
      </c>
      <c r="BP772" s="71">
        <f t="shared" si="538"/>
        <v>7421.8335607512463</v>
      </c>
      <c r="BQ772" s="69"/>
      <c r="BX772" s="30">
        <v>38.79</v>
      </c>
      <c r="BY772" s="30">
        <v>38.79</v>
      </c>
    </row>
    <row r="773" spans="1:77" ht="14.1" hidden="1" customHeight="1" x14ac:dyDescent="0.3">
      <c r="A773" s="347" t="s">
        <v>1609</v>
      </c>
      <c r="B773" s="168">
        <v>46175</v>
      </c>
      <c r="C773" s="347">
        <v>747</v>
      </c>
      <c r="D773" s="348" t="s">
        <v>1632</v>
      </c>
      <c r="E773" s="349">
        <v>46177</v>
      </c>
      <c r="F773" s="347" t="s">
        <v>101</v>
      </c>
      <c r="G773" s="167" t="s">
        <v>102</v>
      </c>
      <c r="H773" s="167" t="s">
        <v>103</v>
      </c>
      <c r="I773" s="136"/>
      <c r="J773" s="347" t="s">
        <v>113</v>
      </c>
      <c r="K773" s="136"/>
      <c r="L773" s="168">
        <v>46175</v>
      </c>
      <c r="M773" s="136"/>
      <c r="N773" s="167" t="s">
        <v>1696</v>
      </c>
      <c r="O773" s="168">
        <v>46175</v>
      </c>
      <c r="P773" s="347">
        <v>0</v>
      </c>
      <c r="Q773" s="347">
        <v>300</v>
      </c>
      <c r="R773" s="347">
        <v>59</v>
      </c>
      <c r="S773" s="347">
        <v>359</v>
      </c>
      <c r="T773" s="347">
        <v>359</v>
      </c>
      <c r="U773" s="136"/>
      <c r="V773" s="136"/>
      <c r="W773" s="173">
        <v>215.4</v>
      </c>
      <c r="X773" s="173">
        <v>217.4</v>
      </c>
      <c r="Y773" s="350">
        <v>1657737.79</v>
      </c>
      <c r="Z773" s="167"/>
      <c r="AA773" s="350">
        <v>41443.440000000002</v>
      </c>
      <c r="AB773" s="350">
        <v>41443.440000000002</v>
      </c>
      <c r="AC773" s="350">
        <v>1740624.68</v>
      </c>
      <c r="AD773" s="315">
        <f t="shared" si="520"/>
        <v>1738884.05532</v>
      </c>
      <c r="AE773" s="347">
        <v>39.479999999999997</v>
      </c>
      <c r="AF773" s="173">
        <v>39.950000000000003</v>
      </c>
      <c r="AG773" s="347">
        <v>39.53</v>
      </c>
      <c r="AH773" s="292">
        <v>4.7000000000000002E-3</v>
      </c>
      <c r="AI773" s="351">
        <v>3.49E-2</v>
      </c>
      <c r="AJ773" s="351">
        <v>4.8000000000000001E-2</v>
      </c>
      <c r="AK773" s="318">
        <f t="shared" si="522"/>
        <v>19502.797529412011</v>
      </c>
      <c r="AL773" s="193">
        <v>0</v>
      </c>
      <c r="AM773" s="193"/>
      <c r="AN773" s="319">
        <v>0</v>
      </c>
      <c r="AO773" s="320">
        <f t="shared" si="524"/>
        <v>2693.6315064995356</v>
      </c>
      <c r="AP773" s="193"/>
      <c r="AQ773" s="318">
        <v>0</v>
      </c>
      <c r="AR773" s="318">
        <f t="shared" si="525"/>
        <v>22196.429035911548</v>
      </c>
      <c r="AS773" s="318">
        <f t="shared" si="526"/>
        <v>23306</v>
      </c>
      <c r="AT773" s="321">
        <v>35</v>
      </c>
      <c r="AU773" s="136" t="s">
        <v>664</v>
      </c>
      <c r="AV773" s="136"/>
      <c r="AW773" s="318">
        <f t="shared" si="527"/>
        <v>21540</v>
      </c>
      <c r="AX773" s="193"/>
      <c r="AY773" s="318">
        <f t="shared" si="528"/>
        <v>21540</v>
      </c>
      <c r="AZ773" s="318">
        <f t="shared" si="529"/>
        <v>21740</v>
      </c>
      <c r="BA773" s="318">
        <f t="shared" si="530"/>
        <v>-200</v>
      </c>
      <c r="BB773" s="318">
        <f t="shared" si="531"/>
        <v>43.08</v>
      </c>
      <c r="BC773" s="318">
        <v>0</v>
      </c>
      <c r="BD773" s="193"/>
      <c r="BE773" s="309">
        <v>102.1</v>
      </c>
      <c r="BF773" s="321">
        <f t="shared" si="532"/>
        <v>0.15314999999999998</v>
      </c>
      <c r="BG773" s="197">
        <f t="shared" si="521"/>
        <v>101.94685</v>
      </c>
      <c r="BH773" s="321">
        <f t="shared" si="533"/>
        <v>217.4</v>
      </c>
      <c r="BI773" s="322">
        <f t="shared" si="534"/>
        <v>-11530.000000000002</v>
      </c>
      <c r="BJ773" s="322">
        <v>0</v>
      </c>
      <c r="BK773" s="318">
        <f t="shared" si="535"/>
        <v>-11530.000000000002</v>
      </c>
      <c r="BL773" s="67"/>
      <c r="BM773" s="68" t="str">
        <f t="shared" si="536"/>
        <v>Unloading no. 747 Bill No L/PB/26-27/96 ,Deduction For Oil Deduction= 19502.797529412 ,Bardana= 0 ,F.M=  Brokerage/Rate Difference 0 ,Shortage = 2693.63150649954 ,Greenish=  ,Moisture= 0</v>
      </c>
      <c r="BN773" s="69"/>
      <c r="BO773" s="70" t="str">
        <f t="shared" si="537"/>
        <v xml:space="preserve"> Party Condition 39.95  ,F.M% 0.47 ,Greenish 3.49 ,Moisture 4.8 ,Shortage in KG= 35  ,Oil% 39.48</v>
      </c>
      <c r="BP773" s="71">
        <f t="shared" si="538"/>
        <v>7523.1893328614924</v>
      </c>
      <c r="BQ773" s="69"/>
      <c r="BX773" s="30">
        <v>39.479999999999997</v>
      </c>
      <c r="BY773" s="30">
        <v>39.53</v>
      </c>
    </row>
    <row r="774" spans="1:77" ht="14.1" hidden="1" customHeight="1" x14ac:dyDescent="0.3">
      <c r="A774" s="347" t="s">
        <v>1610</v>
      </c>
      <c r="B774" s="168">
        <v>46176</v>
      </c>
      <c r="C774" s="347">
        <v>748</v>
      </c>
      <c r="D774" s="348" t="s">
        <v>1633</v>
      </c>
      <c r="E774" s="349">
        <v>46177</v>
      </c>
      <c r="F774" s="347" t="s">
        <v>98</v>
      </c>
      <c r="G774" s="159" t="s">
        <v>99</v>
      </c>
      <c r="H774" s="167" t="s">
        <v>100</v>
      </c>
      <c r="I774" s="136"/>
      <c r="J774" s="347" t="s">
        <v>1455</v>
      </c>
      <c r="K774" s="136"/>
      <c r="L774" s="168">
        <v>46176</v>
      </c>
      <c r="M774" s="136"/>
      <c r="N774" s="167">
        <v>126</v>
      </c>
      <c r="O774" s="168">
        <v>46176</v>
      </c>
      <c r="P774" s="347">
        <v>0</v>
      </c>
      <c r="Q774" s="347">
        <v>150</v>
      </c>
      <c r="R774" s="347">
        <v>347</v>
      </c>
      <c r="S774" s="347">
        <v>497</v>
      </c>
      <c r="T774" s="347">
        <v>497</v>
      </c>
      <c r="U774" s="136"/>
      <c r="V774" s="136"/>
      <c r="W774" s="173">
        <v>299.5</v>
      </c>
      <c r="X774" s="173">
        <v>298.5</v>
      </c>
      <c r="Y774" s="350">
        <v>2403487.5</v>
      </c>
      <c r="Z774" s="167"/>
      <c r="AA774" s="350">
        <v>60087.19</v>
      </c>
      <c r="AB774" s="350">
        <v>60087.19</v>
      </c>
      <c r="AC774" s="350">
        <v>2523661.88</v>
      </c>
      <c r="AD774" s="315">
        <f t="shared" si="520"/>
        <v>2521138.2181199999</v>
      </c>
      <c r="AE774" s="347">
        <v>40.520000000000003</v>
      </c>
      <c r="AF774" s="173">
        <v>42</v>
      </c>
      <c r="AG774" s="347">
        <v>40.29</v>
      </c>
      <c r="AH774" s="292">
        <v>4.7000000000000002E-3</v>
      </c>
      <c r="AI774" s="351">
        <v>3.4000000000000002E-2</v>
      </c>
      <c r="AJ774" s="351">
        <v>5.0999999999999997E-2</v>
      </c>
      <c r="AK774" s="318">
        <f t="shared" si="522"/>
        <v>97856.276785714348</v>
      </c>
      <c r="AL774" s="193">
        <f>150*10+347*15</f>
        <v>6705</v>
      </c>
      <c r="AM774" s="193">
        <f>AH774*Y774</f>
        <v>11296.391250000001</v>
      </c>
      <c r="AN774" s="319">
        <v>0</v>
      </c>
      <c r="AO774" s="320">
        <f t="shared" si="524"/>
        <v>8025</v>
      </c>
      <c r="AP774" s="193"/>
      <c r="AQ774" s="318">
        <v>0</v>
      </c>
      <c r="AR774" s="318">
        <f t="shared" si="525"/>
        <v>123882.66803571435</v>
      </c>
      <c r="AS774" s="318">
        <f t="shared" si="526"/>
        <v>130077</v>
      </c>
      <c r="AT774" s="321">
        <v>100</v>
      </c>
      <c r="AU774" s="136"/>
      <c r="AV774" s="136"/>
      <c r="AW774" s="318">
        <f t="shared" si="527"/>
        <v>29950</v>
      </c>
      <c r="AX774" s="193"/>
      <c r="AY774" s="318">
        <f t="shared" si="528"/>
        <v>29950</v>
      </c>
      <c r="AZ774" s="318">
        <f t="shared" si="529"/>
        <v>29850</v>
      </c>
      <c r="BA774" s="318">
        <f t="shared" si="530"/>
        <v>100</v>
      </c>
      <c r="BB774" s="318">
        <f t="shared" si="531"/>
        <v>59.9</v>
      </c>
      <c r="BC774" s="318">
        <v>0</v>
      </c>
      <c r="BD774" s="193"/>
      <c r="BE774" s="309">
        <v>102.1</v>
      </c>
      <c r="BF774" s="321">
        <f t="shared" si="532"/>
        <v>0.15314999999999998</v>
      </c>
      <c r="BG774" s="197">
        <f t="shared" si="521"/>
        <v>101.94685</v>
      </c>
      <c r="BH774" s="321">
        <f t="shared" si="533"/>
        <v>298.5</v>
      </c>
      <c r="BI774" s="322">
        <f t="shared" si="534"/>
        <v>-19640</v>
      </c>
      <c r="BJ774" s="322">
        <v>0</v>
      </c>
      <c r="BK774" s="318">
        <f t="shared" si="535"/>
        <v>-19640</v>
      </c>
      <c r="BL774" s="67"/>
      <c r="BM774" s="68" t="str">
        <f t="shared" si="536"/>
        <v>Unloading no. 748 Bill No 126 ,Deduction For Oil Deduction= 97856.2767857143 ,Bardana= 6705 ,F.M= 11296.39125 Brokerage/Rate Difference 0 ,Shortage = 8025 ,Greenish=  ,Moisture= 0</v>
      </c>
      <c r="BN774" s="69"/>
      <c r="BO774" s="70" t="str">
        <f t="shared" si="537"/>
        <v xml:space="preserve"> Party Condition 42  ,F.M% 0.47 ,Greenish 3.4 ,Moisture 5.1 ,Shortage in KG= 100  ,Oil% 40.29</v>
      </c>
      <c r="BP774" s="71">
        <f t="shared" si="538"/>
        <v>7636.867108758076</v>
      </c>
      <c r="BQ774" s="69"/>
      <c r="BX774" s="30">
        <v>40.520000000000003</v>
      </c>
      <c r="BY774" s="30">
        <v>40.29</v>
      </c>
    </row>
    <row r="775" spans="1:77" ht="14.1" hidden="1" customHeight="1" x14ac:dyDescent="0.3">
      <c r="A775" s="347" t="s">
        <v>1611</v>
      </c>
      <c r="B775" s="168">
        <v>46176</v>
      </c>
      <c r="C775" s="347">
        <v>749</v>
      </c>
      <c r="D775" s="348" t="s">
        <v>1634</v>
      </c>
      <c r="E775" s="349">
        <v>46177</v>
      </c>
      <c r="F775" s="347" t="s">
        <v>1080</v>
      </c>
      <c r="G775" s="159" t="s">
        <v>1081</v>
      </c>
      <c r="H775" s="167" t="s">
        <v>1082</v>
      </c>
      <c r="I775" s="136"/>
      <c r="J775" s="347" t="s">
        <v>1455</v>
      </c>
      <c r="K775" s="136"/>
      <c r="L775" s="168">
        <v>46176</v>
      </c>
      <c r="M775" s="136"/>
      <c r="N775" s="167">
        <v>120</v>
      </c>
      <c r="O775" s="168">
        <v>46176</v>
      </c>
      <c r="P775" s="347">
        <v>0</v>
      </c>
      <c r="Q775" s="347">
        <v>800</v>
      </c>
      <c r="R775" s="347">
        <v>101</v>
      </c>
      <c r="S775" s="347">
        <v>901</v>
      </c>
      <c r="T775" s="347">
        <v>901</v>
      </c>
      <c r="U775" s="136"/>
      <c r="V775" s="136"/>
      <c r="W775" s="173">
        <v>449.1</v>
      </c>
      <c r="X775" s="173">
        <v>448.4</v>
      </c>
      <c r="Y775" s="350">
        <v>3615255</v>
      </c>
      <c r="Z775" s="167"/>
      <c r="AA775" s="350">
        <v>90381.38</v>
      </c>
      <c r="AB775" s="350">
        <v>90381.38</v>
      </c>
      <c r="AC775" s="350">
        <v>3796017.75</v>
      </c>
      <c r="AD775" s="315">
        <f t="shared" si="520"/>
        <v>3792221.7322499999</v>
      </c>
      <c r="AE775" s="347">
        <v>41.22</v>
      </c>
      <c r="AF775" s="173">
        <v>42</v>
      </c>
      <c r="AG775" s="347">
        <v>41.05</v>
      </c>
      <c r="AH775" s="292">
        <v>4.7999999999999996E-3</v>
      </c>
      <c r="AI775" s="351">
        <v>3.1800000000000002E-2</v>
      </c>
      <c r="AJ775" s="351">
        <v>4.7E-2</v>
      </c>
      <c r="AK775" s="318">
        <f t="shared" si="522"/>
        <v>81773.625000000247</v>
      </c>
      <c r="AL775" s="193">
        <f>800*10+101*15</f>
        <v>9515</v>
      </c>
      <c r="AM775" s="193">
        <f>AH775*Y775</f>
        <v>17353.223999999998</v>
      </c>
      <c r="AN775" s="319">
        <f>W775*14</f>
        <v>6287.4000000000005</v>
      </c>
      <c r="AO775" s="320">
        <f t="shared" si="524"/>
        <v>5635</v>
      </c>
      <c r="AP775" s="193"/>
      <c r="AQ775" s="318">
        <v>0</v>
      </c>
      <c r="AR775" s="318">
        <f t="shared" si="525"/>
        <v>120564.24900000024</v>
      </c>
      <c r="AS775" s="318">
        <f t="shared" si="526"/>
        <v>126592</v>
      </c>
      <c r="AT775" s="321">
        <v>70</v>
      </c>
      <c r="AU775" s="136"/>
      <c r="AV775" s="136"/>
      <c r="AW775" s="318">
        <f t="shared" si="527"/>
        <v>44910</v>
      </c>
      <c r="AX775" s="193"/>
      <c r="AY775" s="318">
        <f t="shared" si="528"/>
        <v>44910</v>
      </c>
      <c r="AZ775" s="318">
        <f t="shared" si="529"/>
        <v>44840</v>
      </c>
      <c r="BA775" s="318">
        <f t="shared" si="530"/>
        <v>70</v>
      </c>
      <c r="BB775" s="318">
        <f t="shared" si="531"/>
        <v>89.82</v>
      </c>
      <c r="BC775" s="318">
        <v>0</v>
      </c>
      <c r="BD775" s="193"/>
      <c r="BE775" s="309">
        <v>102.1</v>
      </c>
      <c r="BF775" s="321">
        <f t="shared" si="532"/>
        <v>0.15314999999999998</v>
      </c>
      <c r="BG775" s="197">
        <f t="shared" si="521"/>
        <v>101.94685</v>
      </c>
      <c r="BH775" s="321">
        <f t="shared" si="533"/>
        <v>448.4</v>
      </c>
      <c r="BI775" s="322">
        <f t="shared" si="534"/>
        <v>-34629.999999999993</v>
      </c>
      <c r="BJ775" s="322">
        <v>0</v>
      </c>
      <c r="BK775" s="318">
        <f t="shared" si="535"/>
        <v>-34629.999999999993</v>
      </c>
      <c r="BL775" s="67"/>
      <c r="BM775" s="68" t="str">
        <f t="shared" si="536"/>
        <v>Unloading no. 749 Bill No 120 ,Deduction For Oil Deduction= 81773.6250000002 ,Bardana= 9515 ,F.M= 17353.224 Brokerage/Rate Difference 6287.4 ,Shortage = 5635 ,Greenish=  ,Moisture= 0</v>
      </c>
      <c r="BN775" s="69"/>
      <c r="BO775" s="70" t="str">
        <f t="shared" si="537"/>
        <v xml:space="preserve"> Party Condition 42  ,F.M% 0.48 ,Greenish 3.18 ,Moisture 4.7 ,Shortage in KG= 70  ,Oil% 41.05</v>
      </c>
      <c r="BP775" s="71">
        <f t="shared" si="538"/>
        <v>7793.6903456735054</v>
      </c>
      <c r="BQ775" s="69"/>
      <c r="BX775" s="30">
        <v>41.22</v>
      </c>
      <c r="BY775" s="30">
        <v>41.05</v>
      </c>
    </row>
    <row r="776" spans="1:77" ht="14.1" hidden="1" customHeight="1" x14ac:dyDescent="0.3">
      <c r="A776" s="347" t="s">
        <v>1539</v>
      </c>
      <c r="B776" s="168">
        <v>46174</v>
      </c>
      <c r="C776" s="347">
        <v>750</v>
      </c>
      <c r="D776" s="348" t="s">
        <v>1635</v>
      </c>
      <c r="E776" s="349">
        <v>46177</v>
      </c>
      <c r="F776" s="347" t="s">
        <v>1144</v>
      </c>
      <c r="G776" s="167" t="s">
        <v>1145</v>
      </c>
      <c r="H776" s="167" t="s">
        <v>100</v>
      </c>
      <c r="I776" s="136"/>
      <c r="J776" s="347" t="s">
        <v>1146</v>
      </c>
      <c r="K776" s="136"/>
      <c r="L776" s="168">
        <v>46174</v>
      </c>
      <c r="M776" s="136"/>
      <c r="N776" s="167" t="s">
        <v>1697</v>
      </c>
      <c r="O776" s="168">
        <v>46177</v>
      </c>
      <c r="P776" s="347">
        <v>0</v>
      </c>
      <c r="Q776" s="347">
        <v>150</v>
      </c>
      <c r="R776" s="347">
        <v>40</v>
      </c>
      <c r="S776" s="347">
        <v>190</v>
      </c>
      <c r="T776" s="347">
        <v>190</v>
      </c>
      <c r="U776" s="136"/>
      <c r="V776" s="136"/>
      <c r="W776" s="173">
        <v>96.3</v>
      </c>
      <c r="X776" s="173">
        <v>96.1</v>
      </c>
      <c r="Y776" s="350">
        <v>770400</v>
      </c>
      <c r="Z776" s="236">
        <v>39.729999999999997</v>
      </c>
      <c r="AA776" s="350">
        <v>19260</v>
      </c>
      <c r="AB776" s="350">
        <v>19260</v>
      </c>
      <c r="AC776" s="350">
        <v>808920</v>
      </c>
      <c r="AD776" s="315">
        <f t="shared" si="520"/>
        <v>808111.08</v>
      </c>
      <c r="AE776" s="347">
        <v>39.729999999999997</v>
      </c>
      <c r="AF776" s="173">
        <v>42</v>
      </c>
      <c r="AG776" s="347">
        <v>39.729999999999997</v>
      </c>
      <c r="AH776" s="351">
        <v>4.1000000000000003E-3</v>
      </c>
      <c r="AI776" s="351">
        <v>3.49E-2</v>
      </c>
      <c r="AJ776" s="351">
        <v>4.9000000000000002E-2</v>
      </c>
      <c r="AK776" s="318">
        <f t="shared" si="522"/>
        <v>41638.285714285768</v>
      </c>
      <c r="AL776" s="193">
        <v>0</v>
      </c>
      <c r="AM776" s="193"/>
      <c r="AN776" s="319">
        <v>0</v>
      </c>
      <c r="AO776" s="320">
        <f t="shared" si="524"/>
        <v>80</v>
      </c>
      <c r="AP776" s="193"/>
      <c r="AQ776" s="318">
        <v>0</v>
      </c>
      <c r="AR776" s="318">
        <f t="shared" si="525"/>
        <v>41718.285714285768</v>
      </c>
      <c r="AS776" s="318">
        <f t="shared" si="526"/>
        <v>43804</v>
      </c>
      <c r="AT776" s="321">
        <v>1</v>
      </c>
      <c r="AU776" s="136"/>
      <c r="AV776" s="136"/>
      <c r="AW776" s="318">
        <f t="shared" si="527"/>
        <v>9630</v>
      </c>
      <c r="AX776" s="193"/>
      <c r="AY776" s="318">
        <f t="shared" si="528"/>
        <v>9630</v>
      </c>
      <c r="AZ776" s="318">
        <f t="shared" si="529"/>
        <v>9610</v>
      </c>
      <c r="BA776" s="318">
        <f t="shared" si="530"/>
        <v>20</v>
      </c>
      <c r="BB776" s="318">
        <f t="shared" si="531"/>
        <v>19.260000000000002</v>
      </c>
      <c r="BC776" s="318">
        <v>0</v>
      </c>
      <c r="BD776" s="193"/>
      <c r="BE776" s="309">
        <v>102.1</v>
      </c>
      <c r="BF776" s="321">
        <f t="shared" si="532"/>
        <v>0.15314999999999998</v>
      </c>
      <c r="BG776" s="197">
        <f t="shared" si="521"/>
        <v>101.94685</v>
      </c>
      <c r="BH776" s="321">
        <f t="shared" si="533"/>
        <v>96.1</v>
      </c>
      <c r="BI776" s="322">
        <f t="shared" si="534"/>
        <v>600</v>
      </c>
      <c r="BJ776" s="322">
        <v>0</v>
      </c>
      <c r="BK776" s="318">
        <f t="shared" si="535"/>
        <v>600</v>
      </c>
      <c r="BL776" s="67"/>
      <c r="BM776" s="68" t="str">
        <f t="shared" si="536"/>
        <v>Unloading no. 750 Bill No 2026-27/163 ,Deduction For Oil Deduction= 41638.2857142858 ,Bardana= 0 ,F.M=  Brokerage/Rate Difference 0 ,Shortage = 80 ,Greenish=  ,Moisture= 0</v>
      </c>
      <c r="BN776" s="69"/>
      <c r="BO776" s="70" t="str">
        <f t="shared" si="537"/>
        <v xml:space="preserve"> Party Condition 42  ,F.M% 0.41 ,Greenish 3.49 ,Moisture 4.9 ,Shortage in KG= 1  ,Oil% 39.73</v>
      </c>
      <c r="BP776" s="71">
        <f t="shared" si="538"/>
        <v>7582.5360487587332</v>
      </c>
      <c r="BQ776" s="69"/>
      <c r="BX776" s="30">
        <v>39.57</v>
      </c>
      <c r="BY776" s="30">
        <v>39.39</v>
      </c>
    </row>
    <row r="777" spans="1:77" ht="14.1" hidden="1" customHeight="1" x14ac:dyDescent="0.3">
      <c r="A777" s="347" t="s">
        <v>1539</v>
      </c>
      <c r="B777" s="168">
        <v>46174</v>
      </c>
      <c r="C777" s="347">
        <v>751</v>
      </c>
      <c r="D777" s="348" t="s">
        <v>1636</v>
      </c>
      <c r="E777" s="349">
        <v>46177</v>
      </c>
      <c r="F777" s="347" t="s">
        <v>1144</v>
      </c>
      <c r="G777" s="167" t="s">
        <v>1145</v>
      </c>
      <c r="H777" s="167" t="s">
        <v>100</v>
      </c>
      <c r="I777" s="136"/>
      <c r="J777" s="347" t="s">
        <v>1146</v>
      </c>
      <c r="K777" s="136"/>
      <c r="L777" s="168">
        <v>46174</v>
      </c>
      <c r="M777" s="136"/>
      <c r="N777" s="167" t="s">
        <v>1698</v>
      </c>
      <c r="O777" s="168">
        <v>46177</v>
      </c>
      <c r="P777" s="347">
        <v>0</v>
      </c>
      <c r="Q777" s="347">
        <v>20</v>
      </c>
      <c r="R777" s="347">
        <v>135</v>
      </c>
      <c r="S777" s="347">
        <v>155</v>
      </c>
      <c r="T777" s="347">
        <v>155</v>
      </c>
      <c r="U777" s="136"/>
      <c r="V777" s="136"/>
      <c r="W777" s="173">
        <v>88.3</v>
      </c>
      <c r="X777" s="173">
        <v>88.1</v>
      </c>
      <c r="Y777" s="350">
        <v>706400</v>
      </c>
      <c r="Z777" s="236">
        <v>38.99</v>
      </c>
      <c r="AA777" s="350">
        <v>17660</v>
      </c>
      <c r="AB777" s="350">
        <v>17660</v>
      </c>
      <c r="AC777" s="350">
        <v>741720</v>
      </c>
      <c r="AD777" s="315">
        <f t="shared" si="520"/>
        <v>740978.28</v>
      </c>
      <c r="AE777" s="347">
        <v>38.99</v>
      </c>
      <c r="AF777" s="173">
        <v>42</v>
      </c>
      <c r="AG777" s="347">
        <v>38.99</v>
      </c>
      <c r="AH777" s="351">
        <v>4.1000000000000003E-3</v>
      </c>
      <c r="AI777" s="351">
        <v>3.44E-2</v>
      </c>
      <c r="AJ777" s="351">
        <v>4.9000000000000002E-2</v>
      </c>
      <c r="AK777" s="318">
        <f t="shared" si="522"/>
        <v>50625.333333333299</v>
      </c>
      <c r="AL777" s="193">
        <v>0</v>
      </c>
      <c r="AM777" s="193"/>
      <c r="AN777" s="319">
        <v>0</v>
      </c>
      <c r="AO777" s="320">
        <f t="shared" si="524"/>
        <v>160</v>
      </c>
      <c r="AP777" s="193"/>
      <c r="AQ777" s="318">
        <v>0</v>
      </c>
      <c r="AR777" s="318">
        <f t="shared" si="525"/>
        <v>50785.333333333299</v>
      </c>
      <c r="AS777" s="318">
        <f t="shared" si="526"/>
        <v>53325</v>
      </c>
      <c r="AT777" s="321">
        <v>2</v>
      </c>
      <c r="AU777" s="136"/>
      <c r="AV777" s="136"/>
      <c r="AW777" s="318">
        <f t="shared" si="527"/>
        <v>8830</v>
      </c>
      <c r="AX777" s="193"/>
      <c r="AY777" s="318">
        <f t="shared" si="528"/>
        <v>8830</v>
      </c>
      <c r="AZ777" s="318">
        <f t="shared" si="529"/>
        <v>8810</v>
      </c>
      <c r="BA777" s="318">
        <f t="shared" si="530"/>
        <v>20</v>
      </c>
      <c r="BB777" s="318">
        <f t="shared" si="531"/>
        <v>17.66</v>
      </c>
      <c r="BC777" s="318">
        <v>0</v>
      </c>
      <c r="BD777" s="193"/>
      <c r="BE777" s="309">
        <v>102.1</v>
      </c>
      <c r="BF777" s="321">
        <f t="shared" si="532"/>
        <v>0.15314999999999998</v>
      </c>
      <c r="BG777" s="197">
        <f t="shared" si="521"/>
        <v>101.94685</v>
      </c>
      <c r="BH777" s="321">
        <f t="shared" si="533"/>
        <v>88.1</v>
      </c>
      <c r="BI777" s="322">
        <f t="shared" si="534"/>
        <v>1400</v>
      </c>
      <c r="BJ777" s="322">
        <v>0</v>
      </c>
      <c r="BK777" s="318">
        <f t="shared" si="535"/>
        <v>1400</v>
      </c>
      <c r="BL777" s="67"/>
      <c r="BM777" s="68" t="str">
        <f t="shared" si="536"/>
        <v>Unloading no. 751 Bill No 2026-27/162 ,Deduction For Oil Deduction= 50625.3333333333 ,Bardana= 0 ,F.M=  Brokerage/Rate Difference 0 ,Shortage = 160 ,Greenish=  ,Moisture= 0</v>
      </c>
      <c r="BN777" s="69"/>
      <c r="BO777" s="70" t="str">
        <f t="shared" si="537"/>
        <v xml:space="preserve"> Party Condition 42  ,F.M% 0.41 ,Greenish 3.44 ,Moisture 4.9 ,Shortage in KG= 2  ,Oil% 38.99</v>
      </c>
      <c r="BP777" s="71">
        <f t="shared" si="538"/>
        <v>7441.7101778282267</v>
      </c>
      <c r="BQ777" s="69"/>
      <c r="BX777" s="30">
        <v>38.9</v>
      </c>
      <c r="BY777" s="30">
        <v>38.869999999999997</v>
      </c>
    </row>
    <row r="778" spans="1:77" ht="14.1" hidden="1" customHeight="1" x14ac:dyDescent="0.3">
      <c r="A778" s="347" t="s">
        <v>1539</v>
      </c>
      <c r="B778" s="168">
        <v>46174</v>
      </c>
      <c r="C778" s="347">
        <v>752</v>
      </c>
      <c r="D778" s="348" t="s">
        <v>1637</v>
      </c>
      <c r="E778" s="349">
        <v>46177</v>
      </c>
      <c r="F778" s="347" t="s">
        <v>1144</v>
      </c>
      <c r="G778" s="167" t="s">
        <v>1145</v>
      </c>
      <c r="H778" s="167" t="s">
        <v>100</v>
      </c>
      <c r="I778" s="136"/>
      <c r="J778" s="347" t="s">
        <v>1146</v>
      </c>
      <c r="K778" s="136"/>
      <c r="L778" s="168">
        <v>46174</v>
      </c>
      <c r="M778" s="136"/>
      <c r="N778" s="167" t="s">
        <v>1699</v>
      </c>
      <c r="O778" s="168">
        <v>46177</v>
      </c>
      <c r="P778" s="347">
        <v>0</v>
      </c>
      <c r="Q778" s="347">
        <v>130</v>
      </c>
      <c r="R778" s="347">
        <v>25</v>
      </c>
      <c r="S778" s="347">
        <v>155</v>
      </c>
      <c r="T778" s="347">
        <v>155</v>
      </c>
      <c r="U778" s="136"/>
      <c r="V778" s="136"/>
      <c r="W778" s="173">
        <v>89.5</v>
      </c>
      <c r="X778" s="173">
        <v>89.4</v>
      </c>
      <c r="Y778" s="350">
        <v>716000</v>
      </c>
      <c r="Z778" s="236">
        <v>39.29</v>
      </c>
      <c r="AA778" s="350">
        <v>17900</v>
      </c>
      <c r="AB778" s="350">
        <v>17900</v>
      </c>
      <c r="AC778" s="350">
        <v>751800</v>
      </c>
      <c r="AD778" s="315">
        <f t="shared" si="520"/>
        <v>751048.2</v>
      </c>
      <c r="AE778" s="347">
        <v>39.29</v>
      </c>
      <c r="AF778" s="173">
        <v>42</v>
      </c>
      <c r="AG778" s="347">
        <v>39.29</v>
      </c>
      <c r="AH778" s="351">
        <v>4.4000000000000003E-3</v>
      </c>
      <c r="AI778" s="351">
        <v>3.56E-2</v>
      </c>
      <c r="AJ778" s="351">
        <v>4.5999999999999999E-2</v>
      </c>
      <c r="AK778" s="318">
        <f t="shared" si="522"/>
        <v>46199.047619047633</v>
      </c>
      <c r="AL778" s="193">
        <v>0</v>
      </c>
      <c r="AM778" s="193"/>
      <c r="AN778" s="319">
        <v>0</v>
      </c>
      <c r="AO778" s="320">
        <f t="shared" si="524"/>
        <v>0</v>
      </c>
      <c r="AP778" s="193"/>
      <c r="AQ778" s="318">
        <v>0</v>
      </c>
      <c r="AR778" s="318">
        <f t="shared" si="525"/>
        <v>46199.047619047633</v>
      </c>
      <c r="AS778" s="318">
        <f t="shared" si="526"/>
        <v>48509</v>
      </c>
      <c r="AT778" s="321">
        <v>0</v>
      </c>
      <c r="AU778" s="136"/>
      <c r="AV778" s="136"/>
      <c r="AW778" s="318">
        <f t="shared" si="527"/>
        <v>8950</v>
      </c>
      <c r="AX778" s="193"/>
      <c r="AY778" s="318">
        <f t="shared" si="528"/>
        <v>8950</v>
      </c>
      <c r="AZ778" s="318">
        <f t="shared" si="529"/>
        <v>8940</v>
      </c>
      <c r="BA778" s="318">
        <f t="shared" si="530"/>
        <v>10</v>
      </c>
      <c r="BB778" s="318">
        <f t="shared" si="531"/>
        <v>17.899999999999999</v>
      </c>
      <c r="BC778" s="318">
        <v>0</v>
      </c>
      <c r="BD778" s="193"/>
      <c r="BE778" s="309">
        <v>102.1</v>
      </c>
      <c r="BF778" s="321">
        <f t="shared" si="532"/>
        <v>0.15314999999999998</v>
      </c>
      <c r="BG778" s="197">
        <f t="shared" si="521"/>
        <v>101.94685</v>
      </c>
      <c r="BH778" s="321">
        <f t="shared" si="533"/>
        <v>89.4</v>
      </c>
      <c r="BI778" s="322">
        <f t="shared" si="534"/>
        <v>1269.9999999999989</v>
      </c>
      <c r="BJ778" s="322">
        <v>0</v>
      </c>
      <c r="BK778" s="318">
        <f t="shared" si="535"/>
        <v>1269.9999999999989</v>
      </c>
      <c r="BL778" s="67"/>
      <c r="BM778" s="68" t="str">
        <f t="shared" si="536"/>
        <v>Unloading no. 752 Bill No 2026-27/164 ,Deduction For Oil Deduction= 46199.0476190476 ,Bardana= 0 ,F.M=  Brokerage/Rate Difference 0 ,Shortage = 0 ,Greenish=  ,Moisture= 0</v>
      </c>
      <c r="BN778" s="69"/>
      <c r="BO778" s="70" t="str">
        <f t="shared" si="537"/>
        <v xml:space="preserve"> Party Condition 42  ,F.M% 0.44 ,Greenish 3.56 ,Moisture 4.6 ,Shortage in KG= 0  ,Oil% 39.29</v>
      </c>
      <c r="BP778" s="71">
        <f t="shared" si="538"/>
        <v>7492.1806754021518</v>
      </c>
      <c r="BQ778" s="69"/>
      <c r="BX778" s="30">
        <v>38.72</v>
      </c>
      <c r="BY778" s="30">
        <v>38.71</v>
      </c>
    </row>
    <row r="779" spans="1:77" ht="14.1" hidden="1" customHeight="1" x14ac:dyDescent="0.3">
      <c r="A779" s="187" t="s">
        <v>1539</v>
      </c>
      <c r="B779" s="171">
        <v>46174</v>
      </c>
      <c r="C779" s="187">
        <v>753</v>
      </c>
      <c r="D779" s="164" t="s">
        <v>1638</v>
      </c>
      <c r="E779" s="162">
        <v>46177</v>
      </c>
      <c r="F779" s="187" t="s">
        <v>1144</v>
      </c>
      <c r="G779" s="163" t="s">
        <v>1145</v>
      </c>
      <c r="H779" s="163" t="s">
        <v>100</v>
      </c>
      <c r="I779" s="157"/>
      <c r="J779" s="187" t="s">
        <v>1146</v>
      </c>
      <c r="K779" s="157"/>
      <c r="L779" s="171">
        <v>46174</v>
      </c>
      <c r="M779" s="157"/>
      <c r="N779" s="163" t="s">
        <v>1700</v>
      </c>
      <c r="O779" s="168">
        <v>46177</v>
      </c>
      <c r="P779" s="347">
        <v>0</v>
      </c>
      <c r="Q779" s="347">
        <v>190</v>
      </c>
      <c r="R779" s="347">
        <v>0</v>
      </c>
      <c r="S779" s="347">
        <v>190</v>
      </c>
      <c r="T779" s="347">
        <v>190</v>
      </c>
      <c r="U779" s="136"/>
      <c r="V779" s="136"/>
      <c r="W779" s="173">
        <v>96.2</v>
      </c>
      <c r="X779" s="173">
        <v>96</v>
      </c>
      <c r="Y779" s="350">
        <v>769600</v>
      </c>
      <c r="Z779" s="236">
        <v>39.21</v>
      </c>
      <c r="AA779" s="350">
        <v>19240</v>
      </c>
      <c r="AB779" s="350">
        <v>19240</v>
      </c>
      <c r="AC779" s="350">
        <v>808080</v>
      </c>
      <c r="AD779" s="315">
        <f t="shared" si="520"/>
        <v>807271.92</v>
      </c>
      <c r="AE779" s="347">
        <v>39.21</v>
      </c>
      <c r="AF779" s="173">
        <v>42</v>
      </c>
      <c r="AG779" s="347">
        <v>39.21</v>
      </c>
      <c r="AH779" s="351">
        <v>4.1000000000000003E-3</v>
      </c>
      <c r="AI779" s="351">
        <v>3.4200000000000001E-2</v>
      </c>
      <c r="AJ779" s="351">
        <v>4.7E-2</v>
      </c>
      <c r="AK779" s="318">
        <f t="shared" si="522"/>
        <v>51123.428571428551</v>
      </c>
      <c r="AL779" s="193">
        <v>0</v>
      </c>
      <c r="AM779" s="193"/>
      <c r="AN779" s="319">
        <v>0</v>
      </c>
      <c r="AO779" s="320">
        <f t="shared" si="524"/>
        <v>80</v>
      </c>
      <c r="AP779" s="193"/>
      <c r="AQ779" s="318">
        <v>0</v>
      </c>
      <c r="AR779" s="318">
        <f t="shared" si="525"/>
        <v>51203.428571428551</v>
      </c>
      <c r="AS779" s="318">
        <f t="shared" si="526"/>
        <v>53764</v>
      </c>
      <c r="AT779" s="321">
        <v>1</v>
      </c>
      <c r="AU779" s="136"/>
      <c r="AV779" s="136"/>
      <c r="AW779" s="318">
        <f t="shared" si="527"/>
        <v>9620</v>
      </c>
      <c r="AX779" s="193"/>
      <c r="AY779" s="318">
        <f t="shared" si="528"/>
        <v>9620</v>
      </c>
      <c r="AZ779" s="318">
        <f t="shared" si="529"/>
        <v>9600</v>
      </c>
      <c r="BA779" s="318">
        <f t="shared" si="530"/>
        <v>20</v>
      </c>
      <c r="BB779" s="318">
        <f t="shared" si="531"/>
        <v>19.239999999999998</v>
      </c>
      <c r="BC779" s="318">
        <v>0</v>
      </c>
      <c r="BD779" s="193"/>
      <c r="BE779" s="309">
        <v>102.1</v>
      </c>
      <c r="BF779" s="321">
        <f t="shared" si="532"/>
        <v>0.15314999999999998</v>
      </c>
      <c r="BG779" s="197">
        <f t="shared" si="521"/>
        <v>101.94685</v>
      </c>
      <c r="BH779" s="321">
        <f t="shared" si="533"/>
        <v>96</v>
      </c>
      <c r="BI779" s="322">
        <f t="shared" si="534"/>
        <v>609.99999999999943</v>
      </c>
      <c r="BJ779" s="322">
        <v>0</v>
      </c>
      <c r="BK779" s="318">
        <f t="shared" si="535"/>
        <v>609.99999999999943</v>
      </c>
      <c r="BL779" s="67"/>
      <c r="BM779" s="68" t="str">
        <f t="shared" si="536"/>
        <v>Unloading no. 753 Bill No 2026-27/165 ,Deduction For Oil Deduction= 51123.4285714286 ,Bardana= 0 ,F.M=  Brokerage/Rate Difference 0 ,Shortage = 80 ,Greenish=  ,Moisture= 0</v>
      </c>
      <c r="BN779" s="69"/>
      <c r="BO779" s="70" t="str">
        <f t="shared" si="537"/>
        <v xml:space="preserve"> Party Condition 42  ,F.M% 0.41 ,Greenish 3.42 ,Moisture 4.7 ,Shortage in KG= 1  ,Oil% 39.21</v>
      </c>
      <c r="BP779" s="71">
        <f t="shared" si="538"/>
        <v>7483.2976190476193</v>
      </c>
      <c r="BQ779" s="69"/>
      <c r="BX779" s="30">
        <v>39.200000000000003</v>
      </c>
      <c r="BY779" s="30">
        <v>39.14</v>
      </c>
    </row>
    <row r="780" spans="1:77" ht="14.1" hidden="1" customHeight="1" x14ac:dyDescent="0.3">
      <c r="A780" s="187" t="s">
        <v>1539</v>
      </c>
      <c r="B780" s="171">
        <v>46174</v>
      </c>
      <c r="C780" s="187">
        <v>754</v>
      </c>
      <c r="D780" s="164" t="s">
        <v>1639</v>
      </c>
      <c r="E780" s="162">
        <v>46177</v>
      </c>
      <c r="F780" s="187" t="s">
        <v>1144</v>
      </c>
      <c r="G780" s="163" t="s">
        <v>1145</v>
      </c>
      <c r="H780" s="163" t="s">
        <v>100</v>
      </c>
      <c r="I780" s="157"/>
      <c r="J780" s="187" t="s">
        <v>1146</v>
      </c>
      <c r="K780" s="157"/>
      <c r="L780" s="171">
        <v>46174</v>
      </c>
      <c r="M780" s="157"/>
      <c r="N780" s="163" t="s">
        <v>1701</v>
      </c>
      <c r="O780" s="168">
        <v>46177</v>
      </c>
      <c r="P780" s="347">
        <v>0</v>
      </c>
      <c r="Q780" s="347">
        <v>60</v>
      </c>
      <c r="R780" s="347">
        <v>95</v>
      </c>
      <c r="S780" s="347">
        <v>155</v>
      </c>
      <c r="T780" s="347">
        <v>155</v>
      </c>
      <c r="U780" s="136"/>
      <c r="V780" s="136"/>
      <c r="W780" s="173">
        <v>91.3</v>
      </c>
      <c r="X780" s="173">
        <v>91.2</v>
      </c>
      <c r="Y780" s="350">
        <v>730400</v>
      </c>
      <c r="Z780" s="236">
        <v>39.92</v>
      </c>
      <c r="AA780" s="350">
        <v>18260</v>
      </c>
      <c r="AB780" s="350">
        <v>18260</v>
      </c>
      <c r="AC780" s="350">
        <v>766920</v>
      </c>
      <c r="AD780" s="315">
        <f t="shared" si="520"/>
        <v>766153.08</v>
      </c>
      <c r="AE780" s="347">
        <v>39.92</v>
      </c>
      <c r="AF780" s="173">
        <v>42</v>
      </c>
      <c r="AG780" s="347">
        <v>39.92</v>
      </c>
      <c r="AH780" s="351">
        <v>4.3E-3</v>
      </c>
      <c r="AI780" s="351">
        <v>3.5000000000000003E-2</v>
      </c>
      <c r="AJ780" s="351">
        <v>0.05</v>
      </c>
      <c r="AK780" s="318">
        <f t="shared" si="522"/>
        <v>36172.190476190444</v>
      </c>
      <c r="AL780" s="193">
        <v>0</v>
      </c>
      <c r="AM780" s="193"/>
      <c r="AN780" s="319">
        <v>0</v>
      </c>
      <c r="AO780" s="320">
        <f t="shared" si="524"/>
        <v>0</v>
      </c>
      <c r="AP780" s="193"/>
      <c r="AQ780" s="318">
        <v>0</v>
      </c>
      <c r="AR780" s="318">
        <f t="shared" si="525"/>
        <v>36172.190476190444</v>
      </c>
      <c r="AS780" s="318">
        <f t="shared" si="526"/>
        <v>37981</v>
      </c>
      <c r="AT780" s="321">
        <v>0</v>
      </c>
      <c r="AU780" s="136"/>
      <c r="AV780" s="136"/>
      <c r="AW780" s="318">
        <f t="shared" si="527"/>
        <v>9130</v>
      </c>
      <c r="AX780" s="193"/>
      <c r="AY780" s="318">
        <f t="shared" si="528"/>
        <v>9130</v>
      </c>
      <c r="AZ780" s="318">
        <f t="shared" si="529"/>
        <v>9120</v>
      </c>
      <c r="BA780" s="318">
        <f t="shared" si="530"/>
        <v>10</v>
      </c>
      <c r="BB780" s="318">
        <f t="shared" si="531"/>
        <v>18.260000000000002</v>
      </c>
      <c r="BC780" s="318">
        <v>0</v>
      </c>
      <c r="BD780" s="193"/>
      <c r="BE780" s="309">
        <v>102.1</v>
      </c>
      <c r="BF780" s="321">
        <f t="shared" si="532"/>
        <v>0.15314999999999998</v>
      </c>
      <c r="BG780" s="197">
        <f t="shared" si="521"/>
        <v>101.94685</v>
      </c>
      <c r="BH780" s="321">
        <f t="shared" si="533"/>
        <v>91.2</v>
      </c>
      <c r="BI780" s="322">
        <f t="shared" si="534"/>
        <v>1089.9999999999991</v>
      </c>
      <c r="BJ780" s="322">
        <v>0</v>
      </c>
      <c r="BK780" s="318">
        <f t="shared" si="535"/>
        <v>1089.9999999999991</v>
      </c>
      <c r="BL780" s="67"/>
      <c r="BM780" s="68" t="str">
        <f t="shared" si="536"/>
        <v>Unloading no. 754 Bill No 2026-27/166 ,Deduction For Oil Deduction= 36172.1904761904 ,Bardana= 0 ,F.M=  Brokerage/Rate Difference 0 ,Shortage = 0 ,Greenish=  ,Moisture= 0</v>
      </c>
      <c r="BN780" s="69"/>
      <c r="BO780" s="70" t="str">
        <f t="shared" si="537"/>
        <v xml:space="preserve"> Party Condition 42  ,F.M% 0.43 ,Greenish 3.5 ,Moisture 5 ,Shortage in KG= 0  ,Oil% 39.92</v>
      </c>
      <c r="BP780" s="71">
        <f t="shared" si="538"/>
        <v>7612.147034252298</v>
      </c>
      <c r="BQ780" s="69"/>
      <c r="BX780" s="30">
        <v>39.72</v>
      </c>
      <c r="BY780" s="30">
        <v>39.67</v>
      </c>
    </row>
    <row r="781" spans="1:77" ht="14.1" hidden="1" customHeight="1" x14ac:dyDescent="0.3">
      <c r="A781" s="187" t="s">
        <v>1539</v>
      </c>
      <c r="B781" s="171">
        <v>46174</v>
      </c>
      <c r="C781" s="187">
        <v>755</v>
      </c>
      <c r="D781" s="164" t="s">
        <v>1640</v>
      </c>
      <c r="E781" s="162">
        <v>46177</v>
      </c>
      <c r="F781" s="187" t="s">
        <v>1144</v>
      </c>
      <c r="G781" s="163" t="s">
        <v>1145</v>
      </c>
      <c r="H781" s="163" t="s">
        <v>100</v>
      </c>
      <c r="I781" s="157"/>
      <c r="J781" s="187" t="s">
        <v>1146</v>
      </c>
      <c r="K781" s="157"/>
      <c r="L781" s="171">
        <v>46174</v>
      </c>
      <c r="M781" s="157"/>
      <c r="N781" s="163" t="s">
        <v>1702</v>
      </c>
      <c r="O781" s="146">
        <v>46177</v>
      </c>
      <c r="P781" s="138">
        <v>0</v>
      </c>
      <c r="Q781" s="138">
        <v>190</v>
      </c>
      <c r="R781" s="138">
        <v>0</v>
      </c>
      <c r="S781" s="138">
        <v>190</v>
      </c>
      <c r="T781" s="138">
        <v>190</v>
      </c>
      <c r="U781" s="136"/>
      <c r="V781" s="136"/>
      <c r="W781" s="147">
        <v>96.4</v>
      </c>
      <c r="X781" s="147">
        <v>96.2</v>
      </c>
      <c r="Y781" s="148">
        <v>771200</v>
      </c>
      <c r="Z781" s="236">
        <v>39.549999999999997</v>
      </c>
      <c r="AA781" s="148">
        <v>19280</v>
      </c>
      <c r="AB781" s="148">
        <v>19280</v>
      </c>
      <c r="AC781" s="148">
        <v>809760</v>
      </c>
      <c r="AD781" s="315">
        <f t="shared" si="520"/>
        <v>808950.24</v>
      </c>
      <c r="AE781" s="138">
        <v>39.549999999999997</v>
      </c>
      <c r="AF781" s="147">
        <v>42</v>
      </c>
      <c r="AG781" s="138">
        <v>39.549999999999997</v>
      </c>
      <c r="AH781" s="287">
        <v>4.0000000000000001E-3</v>
      </c>
      <c r="AI781" s="287">
        <v>3.3599999999999998E-2</v>
      </c>
      <c r="AJ781" s="287">
        <v>4.9000000000000002E-2</v>
      </c>
      <c r="AK781" s="318">
        <f t="shared" si="522"/>
        <v>44986.666666666722</v>
      </c>
      <c r="AL781" s="193">
        <v>0</v>
      </c>
      <c r="AM781" s="193"/>
      <c r="AN781" s="319">
        <v>0</v>
      </c>
      <c r="AO781" s="320">
        <f t="shared" si="524"/>
        <v>80</v>
      </c>
      <c r="AP781" s="193"/>
      <c r="AQ781" s="318">
        <v>0</v>
      </c>
      <c r="AR781" s="318">
        <f t="shared" si="525"/>
        <v>45066.666666666722</v>
      </c>
      <c r="AS781" s="318">
        <f t="shared" si="526"/>
        <v>47320</v>
      </c>
      <c r="AT781" s="321">
        <v>1</v>
      </c>
      <c r="AU781" s="136"/>
      <c r="AV781" s="136"/>
      <c r="AW781" s="318">
        <f t="shared" si="527"/>
        <v>9640</v>
      </c>
      <c r="AX781" s="193"/>
      <c r="AY781" s="318">
        <f t="shared" si="528"/>
        <v>9640</v>
      </c>
      <c r="AZ781" s="318">
        <f t="shared" si="529"/>
        <v>9620</v>
      </c>
      <c r="BA781" s="318">
        <f t="shared" si="530"/>
        <v>20</v>
      </c>
      <c r="BB781" s="318">
        <f t="shared" si="531"/>
        <v>19.28</v>
      </c>
      <c r="BC781" s="318">
        <v>0</v>
      </c>
      <c r="BD781" s="193"/>
      <c r="BE781" s="309">
        <v>102.1</v>
      </c>
      <c r="BF781" s="321">
        <f t="shared" si="532"/>
        <v>0.15314999999999998</v>
      </c>
      <c r="BG781" s="197">
        <f t="shared" si="521"/>
        <v>101.94685</v>
      </c>
      <c r="BH781" s="321">
        <f t="shared" si="533"/>
        <v>96.2</v>
      </c>
      <c r="BI781" s="322">
        <f t="shared" si="534"/>
        <v>589.99999999999909</v>
      </c>
      <c r="BJ781" s="322">
        <v>0</v>
      </c>
      <c r="BK781" s="318">
        <f t="shared" si="535"/>
        <v>589.99999999999909</v>
      </c>
      <c r="BL781" s="67"/>
      <c r="BM781" s="68" t="str">
        <f t="shared" si="536"/>
        <v>Unloading no. 755 Bill No 2026-27/167 ,Deduction For Oil Deduction= 44986.6666666667 ,Bardana= 0 ,F.M=  Brokerage/Rate Difference 0 ,Shortage = 80 ,Greenish=  ,Moisture= 0</v>
      </c>
      <c r="BN781" s="69"/>
      <c r="BO781" s="70" t="str">
        <f t="shared" si="537"/>
        <v xml:space="preserve"> Party Condition 42  ,F.M% 0.4 ,Greenish 3.36 ,Moisture 4.9 ,Shortage in KG= 1  ,Oil% 39.55</v>
      </c>
      <c r="BP781" s="71">
        <f t="shared" si="538"/>
        <v>7548.1635481635467</v>
      </c>
      <c r="BQ781" s="69"/>
      <c r="BX781" s="27">
        <v>39.450000000000003</v>
      </c>
      <c r="BY781" s="27">
        <v>39.35</v>
      </c>
    </row>
    <row r="782" spans="1:77" ht="14.1" hidden="1" customHeight="1" x14ac:dyDescent="0.3">
      <c r="A782" s="187" t="s">
        <v>1539</v>
      </c>
      <c r="B782" s="171">
        <v>46174</v>
      </c>
      <c r="C782" s="187">
        <v>756</v>
      </c>
      <c r="D782" s="164" t="s">
        <v>1641</v>
      </c>
      <c r="E782" s="162">
        <v>46177</v>
      </c>
      <c r="F782" s="187" t="s">
        <v>1144</v>
      </c>
      <c r="G782" s="163" t="s">
        <v>1145</v>
      </c>
      <c r="H782" s="163" t="s">
        <v>100</v>
      </c>
      <c r="I782" s="157"/>
      <c r="J782" s="187" t="s">
        <v>1146</v>
      </c>
      <c r="K782" s="157"/>
      <c r="L782" s="171">
        <v>46174</v>
      </c>
      <c r="M782" s="157"/>
      <c r="N782" s="163" t="s">
        <v>1703</v>
      </c>
      <c r="O782" s="146">
        <v>46177</v>
      </c>
      <c r="P782" s="138">
        <v>0</v>
      </c>
      <c r="Q782" s="138">
        <v>150</v>
      </c>
      <c r="R782" s="138">
        <v>10</v>
      </c>
      <c r="S782" s="138">
        <v>160</v>
      </c>
      <c r="T782" s="138">
        <v>160</v>
      </c>
      <c r="U782" s="136"/>
      <c r="V782" s="136"/>
      <c r="W782" s="147">
        <v>95.3</v>
      </c>
      <c r="X782" s="147">
        <v>95.1</v>
      </c>
      <c r="Y782" s="148">
        <v>762400</v>
      </c>
      <c r="Z782" s="236">
        <v>40.1</v>
      </c>
      <c r="AA782" s="148">
        <v>19060</v>
      </c>
      <c r="AB782" s="148">
        <v>19060</v>
      </c>
      <c r="AC782" s="148">
        <v>800520</v>
      </c>
      <c r="AD782" s="315">
        <f t="shared" si="520"/>
        <v>799719.48</v>
      </c>
      <c r="AE782" s="147">
        <v>40.1</v>
      </c>
      <c r="AF782" s="147">
        <v>42</v>
      </c>
      <c r="AG782" s="147">
        <v>40.1</v>
      </c>
      <c r="AH782" s="287">
        <v>4.4999999999999997E-3</v>
      </c>
      <c r="AI782" s="287">
        <v>3.7499999999999999E-2</v>
      </c>
      <c r="AJ782" s="287">
        <v>4.8000000000000001E-2</v>
      </c>
      <c r="AK782" s="318">
        <f t="shared" si="522"/>
        <v>34489.52380952378</v>
      </c>
      <c r="AL782" s="193">
        <v>0</v>
      </c>
      <c r="AM782" s="193"/>
      <c r="AN782" s="319">
        <v>0</v>
      </c>
      <c r="AO782" s="320">
        <f t="shared" si="524"/>
        <v>80</v>
      </c>
      <c r="AP782" s="193"/>
      <c r="AQ782" s="318">
        <v>0</v>
      </c>
      <c r="AR782" s="318">
        <f t="shared" si="525"/>
        <v>34569.52380952378</v>
      </c>
      <c r="AS782" s="318">
        <f t="shared" si="526"/>
        <v>36298</v>
      </c>
      <c r="AT782" s="321">
        <v>1</v>
      </c>
      <c r="AU782" s="136"/>
      <c r="AV782" s="136"/>
      <c r="AW782" s="318">
        <f t="shared" si="527"/>
        <v>9530</v>
      </c>
      <c r="AX782" s="193"/>
      <c r="AY782" s="318">
        <f t="shared" si="528"/>
        <v>9530</v>
      </c>
      <c r="AZ782" s="318">
        <f t="shared" si="529"/>
        <v>9510</v>
      </c>
      <c r="BA782" s="318">
        <f t="shared" si="530"/>
        <v>20</v>
      </c>
      <c r="BB782" s="318">
        <f t="shared" si="531"/>
        <v>19.059999999999999</v>
      </c>
      <c r="BC782" s="318">
        <v>0</v>
      </c>
      <c r="BD782" s="193"/>
      <c r="BE782" s="309">
        <v>102.1</v>
      </c>
      <c r="BF782" s="321">
        <f t="shared" si="532"/>
        <v>0.15314999999999998</v>
      </c>
      <c r="BG782" s="197">
        <f t="shared" si="521"/>
        <v>101.94685</v>
      </c>
      <c r="BH782" s="321">
        <f t="shared" si="533"/>
        <v>95.1</v>
      </c>
      <c r="BI782" s="322">
        <f t="shared" si="534"/>
        <v>700</v>
      </c>
      <c r="BJ782" s="322">
        <v>0</v>
      </c>
      <c r="BK782" s="318">
        <f t="shared" si="535"/>
        <v>700</v>
      </c>
      <c r="BL782" s="67"/>
      <c r="BM782" s="68" t="str">
        <f t="shared" si="536"/>
        <v>Unloading no. 756 Bill No 2026-27/168 ,Deduction For Oil Deduction= 34489.5238095238 ,Bardana= 0 ,F.M=  Brokerage/Rate Difference 0 ,Shortage = 80 ,Greenish=  ,Moisture= 0</v>
      </c>
      <c r="BN782" s="69"/>
      <c r="BO782" s="70" t="str">
        <f t="shared" si="537"/>
        <v xml:space="preserve"> Party Condition 42  ,F.M% 0.45 ,Greenish 3.75 ,Moisture 4.8 ,Shortage in KG= 1  ,Oil% 40.1</v>
      </c>
      <c r="BP782" s="71">
        <f t="shared" si="538"/>
        <v>7653.3173100996455</v>
      </c>
      <c r="BQ782" s="69"/>
      <c r="BX782" s="27">
        <v>40.090000000000003</v>
      </c>
      <c r="BY782" s="27">
        <v>39.9</v>
      </c>
    </row>
    <row r="783" spans="1:77" ht="14.1" hidden="1" customHeight="1" x14ac:dyDescent="0.3">
      <c r="A783" s="187" t="s">
        <v>1612</v>
      </c>
      <c r="B783" s="171">
        <v>46175</v>
      </c>
      <c r="C783" s="187">
        <v>757</v>
      </c>
      <c r="D783" s="164" t="s">
        <v>1642</v>
      </c>
      <c r="E783" s="162">
        <v>46177</v>
      </c>
      <c r="F783" s="187" t="s">
        <v>1450</v>
      </c>
      <c r="G783" s="163" t="s">
        <v>1451</v>
      </c>
      <c r="H783" s="163" t="s">
        <v>199</v>
      </c>
      <c r="I783" s="157"/>
      <c r="J783" s="187" t="s">
        <v>113</v>
      </c>
      <c r="K783" s="157"/>
      <c r="L783" s="171">
        <v>46175</v>
      </c>
      <c r="M783" s="157"/>
      <c r="N783" s="163" t="s">
        <v>1704</v>
      </c>
      <c r="O783" s="146">
        <v>46176</v>
      </c>
      <c r="P783" s="138">
        <v>0</v>
      </c>
      <c r="Q783" s="138">
        <v>210</v>
      </c>
      <c r="R783" s="138">
        <v>42</v>
      </c>
      <c r="S783" s="138">
        <v>252</v>
      </c>
      <c r="T783" s="138">
        <v>252</v>
      </c>
      <c r="U783" s="136"/>
      <c r="V783" s="136"/>
      <c r="W783" s="147">
        <v>151.19999999999999</v>
      </c>
      <c r="X783" s="147">
        <v>152.80000000000001</v>
      </c>
      <c r="Y783" s="148">
        <v>1181396.6599999999</v>
      </c>
      <c r="Z783" s="169"/>
      <c r="AA783" s="148">
        <v>29534.92</v>
      </c>
      <c r="AB783" s="148">
        <v>29534.92</v>
      </c>
      <c r="AC783" s="148">
        <v>1240466.49</v>
      </c>
      <c r="AD783" s="315">
        <f t="shared" si="520"/>
        <v>1239226.02351</v>
      </c>
      <c r="AE783" s="173">
        <v>41.35</v>
      </c>
      <c r="AF783" s="147">
        <v>40.299999999999997</v>
      </c>
      <c r="AG783" s="173">
        <v>41.15</v>
      </c>
      <c r="AH783" s="292">
        <v>4.5999999999999999E-3</v>
      </c>
      <c r="AI783" s="287">
        <v>4.5999999999999999E-2</v>
      </c>
      <c r="AJ783" s="287">
        <v>0.05</v>
      </c>
      <c r="AK783" s="318">
        <f t="shared" si="522"/>
        <v>0</v>
      </c>
      <c r="AL783" s="193">
        <v>0</v>
      </c>
      <c r="AM783" s="193"/>
      <c r="AN783" s="319">
        <v>0</v>
      </c>
      <c r="AO783" s="320">
        <f t="shared" si="524"/>
        <v>390.67349867724869</v>
      </c>
      <c r="AP783" s="193"/>
      <c r="AQ783" s="318">
        <v>0</v>
      </c>
      <c r="AR783" s="318">
        <f t="shared" si="525"/>
        <v>390.67349867724869</v>
      </c>
      <c r="AS783" s="318">
        <f t="shared" si="526"/>
        <v>410</v>
      </c>
      <c r="AT783" s="321">
        <v>5</v>
      </c>
      <c r="AU783" s="136" t="s">
        <v>664</v>
      </c>
      <c r="AV783" s="136"/>
      <c r="AW783" s="318">
        <f t="shared" si="527"/>
        <v>15119.999999999998</v>
      </c>
      <c r="AX783" s="193"/>
      <c r="AY783" s="318">
        <f t="shared" si="528"/>
        <v>15119.999999999998</v>
      </c>
      <c r="AZ783" s="318">
        <f t="shared" si="529"/>
        <v>15280.000000000002</v>
      </c>
      <c r="BA783" s="318">
        <f t="shared" si="530"/>
        <v>-160.00000000000364</v>
      </c>
      <c r="BB783" s="318">
        <f t="shared" si="531"/>
        <v>30.239999999999995</v>
      </c>
      <c r="BC783" s="318">
        <v>0</v>
      </c>
      <c r="BD783" s="193"/>
      <c r="BE783" s="309">
        <v>102.1</v>
      </c>
      <c r="BF783" s="321">
        <f t="shared" si="532"/>
        <v>0.15314999999999998</v>
      </c>
      <c r="BG783" s="197">
        <f t="shared" si="521"/>
        <v>101.94685</v>
      </c>
      <c r="BH783" s="321">
        <f t="shared" si="533"/>
        <v>152.80000000000001</v>
      </c>
      <c r="BI783" s="322">
        <f t="shared" si="534"/>
        <v>-5070.0000000000018</v>
      </c>
      <c r="BJ783" s="322">
        <v>0</v>
      </c>
      <c r="BK783" s="318">
        <f t="shared" si="535"/>
        <v>-5070.0000000000018</v>
      </c>
      <c r="BL783" s="67"/>
      <c r="BM783" s="68" t="str">
        <f t="shared" si="536"/>
        <v>Unloading no. 757 Bill No ST-19 ,Deduction For Oil Deduction= 0 ,Bardana= 0 ,F.M=  Brokerage/Rate Difference 0 ,Shortage = 390.673498677249 ,Greenish=  ,Moisture= 0</v>
      </c>
      <c r="BN783" s="69"/>
      <c r="BO783" s="70" t="str">
        <f t="shared" si="537"/>
        <v xml:space="preserve"> Party Condition 40.3  ,F.M% 0.46 ,Greenish 4.6 ,Moisture 5 ,Shortage in KG= 5  ,Oil% 41.15</v>
      </c>
      <c r="BP783" s="71">
        <f t="shared" si="538"/>
        <v>7729.0967702966136</v>
      </c>
      <c r="BQ783" s="69"/>
      <c r="BX783" s="30">
        <v>41.35</v>
      </c>
      <c r="BY783" s="30">
        <v>41.15</v>
      </c>
    </row>
    <row r="784" spans="1:77" ht="14.1" hidden="1" customHeight="1" x14ac:dyDescent="0.3">
      <c r="A784" s="187" t="s">
        <v>1539</v>
      </c>
      <c r="B784" s="171">
        <v>46174</v>
      </c>
      <c r="C784" s="187">
        <v>758</v>
      </c>
      <c r="D784" s="164" t="s">
        <v>1643</v>
      </c>
      <c r="E784" s="162">
        <v>46177</v>
      </c>
      <c r="F784" s="187" t="s">
        <v>1144</v>
      </c>
      <c r="G784" s="163" t="s">
        <v>1145</v>
      </c>
      <c r="H784" s="163" t="s">
        <v>100</v>
      </c>
      <c r="I784" s="157"/>
      <c r="J784" s="187" t="s">
        <v>1146</v>
      </c>
      <c r="K784" s="157"/>
      <c r="L784" s="171">
        <v>46174</v>
      </c>
      <c r="M784" s="157"/>
      <c r="N784" s="163" t="s">
        <v>1705</v>
      </c>
      <c r="O784" s="146">
        <v>46177</v>
      </c>
      <c r="P784" s="138">
        <v>0</v>
      </c>
      <c r="Q784" s="138">
        <v>90</v>
      </c>
      <c r="R784" s="138">
        <v>100</v>
      </c>
      <c r="S784" s="138">
        <v>190</v>
      </c>
      <c r="T784" s="138">
        <v>190</v>
      </c>
      <c r="U784" s="136"/>
      <c r="V784" s="136"/>
      <c r="W784" s="147">
        <v>96.5</v>
      </c>
      <c r="X784" s="147">
        <v>96.3</v>
      </c>
      <c r="Y784" s="148">
        <v>772000</v>
      </c>
      <c r="Z784" s="236">
        <v>39.979999999999997</v>
      </c>
      <c r="AA784" s="148">
        <v>19300</v>
      </c>
      <c r="AB784" s="148">
        <v>19300</v>
      </c>
      <c r="AC784" s="148">
        <v>810600</v>
      </c>
      <c r="AD784" s="315">
        <f t="shared" si="520"/>
        <v>809789.4</v>
      </c>
      <c r="AE784" s="147">
        <v>39.979999999999997</v>
      </c>
      <c r="AF784" s="147">
        <v>42</v>
      </c>
      <c r="AG784" s="147">
        <v>39.979999999999997</v>
      </c>
      <c r="AH784" s="287">
        <v>4.0000000000000001E-3</v>
      </c>
      <c r="AI784" s="287">
        <v>3.3000000000000002E-2</v>
      </c>
      <c r="AJ784" s="287">
        <v>4.4999999999999998E-2</v>
      </c>
      <c r="AK784" s="318">
        <f t="shared" si="522"/>
        <v>37129.523809523867</v>
      </c>
      <c r="AL784" s="193">
        <v>0</v>
      </c>
      <c r="AM784" s="193"/>
      <c r="AN784" s="319">
        <v>0</v>
      </c>
      <c r="AO784" s="320">
        <f t="shared" si="524"/>
        <v>80</v>
      </c>
      <c r="AP784" s="193"/>
      <c r="AQ784" s="318">
        <v>0</v>
      </c>
      <c r="AR784" s="318">
        <f t="shared" si="525"/>
        <v>37209.523809523867</v>
      </c>
      <c r="AS784" s="318">
        <f t="shared" si="526"/>
        <v>39070</v>
      </c>
      <c r="AT784" s="321">
        <v>1</v>
      </c>
      <c r="AU784" s="136"/>
      <c r="AV784" s="136"/>
      <c r="AW784" s="318">
        <f t="shared" si="527"/>
        <v>9650</v>
      </c>
      <c r="AX784" s="193"/>
      <c r="AY784" s="318">
        <f t="shared" si="528"/>
        <v>9650</v>
      </c>
      <c r="AZ784" s="318">
        <f t="shared" si="529"/>
        <v>9630</v>
      </c>
      <c r="BA784" s="318">
        <f t="shared" si="530"/>
        <v>20</v>
      </c>
      <c r="BB784" s="318">
        <f t="shared" si="531"/>
        <v>19.3</v>
      </c>
      <c r="BC784" s="318">
        <v>0</v>
      </c>
      <c r="BD784" s="193"/>
      <c r="BE784" s="309">
        <v>102.1</v>
      </c>
      <c r="BF784" s="321">
        <f t="shared" si="532"/>
        <v>0.15314999999999998</v>
      </c>
      <c r="BG784" s="197">
        <f t="shared" si="521"/>
        <v>101.94685</v>
      </c>
      <c r="BH784" s="321">
        <f t="shared" si="533"/>
        <v>96.3</v>
      </c>
      <c r="BI784" s="322">
        <f t="shared" si="534"/>
        <v>579.99999999999977</v>
      </c>
      <c r="BJ784" s="322">
        <v>0</v>
      </c>
      <c r="BK784" s="318">
        <f t="shared" si="535"/>
        <v>579.99999999999977</v>
      </c>
      <c r="BL784" s="67"/>
      <c r="BM784" s="68" t="str">
        <f t="shared" si="536"/>
        <v>Unloading no. 758 Bill No 2026-27/169 ,Deduction For Oil Deduction= 37129.5238095239 ,Bardana= 0 ,F.M=  Brokerage/Rate Difference 0 ,Shortage = 80 ,Greenish=  ,Moisture= 0</v>
      </c>
      <c r="BN784" s="69"/>
      <c r="BO784" s="70" t="str">
        <f t="shared" si="537"/>
        <v xml:space="preserve"> Party Condition 42  ,F.M% 0.4 ,Greenish 3.3 ,Moisture 4.5 ,Shortage in KG= 1  ,Oil% 39.98</v>
      </c>
      <c r="BP784" s="71">
        <f t="shared" si="538"/>
        <v>7630.2230134005831</v>
      </c>
      <c r="BQ784" s="69"/>
      <c r="BX784" s="27">
        <v>40.020000000000003</v>
      </c>
      <c r="BY784" s="27">
        <v>39.840000000000003</v>
      </c>
    </row>
    <row r="785" spans="1:77" ht="14.1" hidden="1" customHeight="1" x14ac:dyDescent="0.3">
      <c r="A785" s="187" t="s">
        <v>1539</v>
      </c>
      <c r="B785" s="171">
        <v>46174</v>
      </c>
      <c r="C785" s="187">
        <v>759</v>
      </c>
      <c r="D785" s="164" t="s">
        <v>1644</v>
      </c>
      <c r="E785" s="162">
        <v>46177</v>
      </c>
      <c r="F785" s="187" t="s">
        <v>1144</v>
      </c>
      <c r="G785" s="163" t="s">
        <v>1145</v>
      </c>
      <c r="H785" s="163" t="s">
        <v>100</v>
      </c>
      <c r="I785" s="157"/>
      <c r="J785" s="187" t="s">
        <v>1146</v>
      </c>
      <c r="K785" s="157"/>
      <c r="L785" s="171">
        <v>46174</v>
      </c>
      <c r="M785" s="157"/>
      <c r="N785" s="163" t="s">
        <v>1706</v>
      </c>
      <c r="O785" s="146">
        <v>46177</v>
      </c>
      <c r="P785" s="138">
        <v>0</v>
      </c>
      <c r="Q785" s="138">
        <v>150</v>
      </c>
      <c r="R785" s="138">
        <v>10</v>
      </c>
      <c r="S785" s="138">
        <v>160</v>
      </c>
      <c r="T785" s="138">
        <v>160</v>
      </c>
      <c r="U785" s="136"/>
      <c r="V785" s="136"/>
      <c r="W785" s="147">
        <v>95.2</v>
      </c>
      <c r="X785" s="147">
        <v>95.1</v>
      </c>
      <c r="Y785" s="148">
        <v>761600</v>
      </c>
      <c r="Z785" s="236">
        <v>39.369999999999997</v>
      </c>
      <c r="AA785" s="148">
        <v>19040</v>
      </c>
      <c r="AB785" s="148">
        <v>19040</v>
      </c>
      <c r="AC785" s="148">
        <v>799680</v>
      </c>
      <c r="AD785" s="315">
        <f t="shared" si="520"/>
        <v>798880.32</v>
      </c>
      <c r="AE785" s="147">
        <v>39.369999999999997</v>
      </c>
      <c r="AF785" s="147">
        <v>42</v>
      </c>
      <c r="AG785" s="147">
        <v>39.369999999999997</v>
      </c>
      <c r="AH785" s="287">
        <v>3.2000000000000002E-3</v>
      </c>
      <c r="AI785" s="287">
        <v>3.7400000000000003E-2</v>
      </c>
      <c r="AJ785" s="287">
        <v>4.7E-2</v>
      </c>
      <c r="AK785" s="318">
        <f t="shared" si="522"/>
        <v>47690.666666666715</v>
      </c>
      <c r="AL785" s="193">
        <v>0</v>
      </c>
      <c r="AM785" s="193"/>
      <c r="AN785" s="319">
        <v>0</v>
      </c>
      <c r="AO785" s="320">
        <f t="shared" si="524"/>
        <v>0</v>
      </c>
      <c r="AP785" s="193"/>
      <c r="AQ785" s="318">
        <v>0</v>
      </c>
      <c r="AR785" s="318">
        <f t="shared" si="525"/>
        <v>47690.666666666715</v>
      </c>
      <c r="AS785" s="318">
        <f t="shared" si="526"/>
        <v>50075</v>
      </c>
      <c r="AT785" s="321">
        <v>0</v>
      </c>
      <c r="AU785" s="136"/>
      <c r="AV785" s="136"/>
      <c r="AW785" s="318">
        <f t="shared" si="527"/>
        <v>9520</v>
      </c>
      <c r="AX785" s="193"/>
      <c r="AY785" s="318">
        <f t="shared" si="528"/>
        <v>9520</v>
      </c>
      <c r="AZ785" s="318">
        <f t="shared" si="529"/>
        <v>9510</v>
      </c>
      <c r="BA785" s="318">
        <f t="shared" si="530"/>
        <v>10</v>
      </c>
      <c r="BB785" s="318">
        <f t="shared" si="531"/>
        <v>19.04</v>
      </c>
      <c r="BC785" s="318">
        <v>0</v>
      </c>
      <c r="BD785" s="193"/>
      <c r="BE785" s="309">
        <v>102.1</v>
      </c>
      <c r="BF785" s="321">
        <f t="shared" si="532"/>
        <v>0.15314999999999998</v>
      </c>
      <c r="BG785" s="197">
        <f t="shared" si="521"/>
        <v>101.94685</v>
      </c>
      <c r="BH785" s="321">
        <f t="shared" si="533"/>
        <v>95.1</v>
      </c>
      <c r="BI785" s="322">
        <f t="shared" si="534"/>
        <v>700</v>
      </c>
      <c r="BJ785" s="322">
        <v>0</v>
      </c>
      <c r="BK785" s="318">
        <f t="shared" si="535"/>
        <v>700</v>
      </c>
      <c r="BL785" s="67"/>
      <c r="BM785" s="68" t="str">
        <f t="shared" si="536"/>
        <v>Unloading no. 759 Bill No 2026-27/170 ,Deduction For Oil Deduction= 47690.6666666667 ,Bardana= 0 ,F.M=  Brokerage/Rate Difference 0 ,Shortage = 0 ,Greenish=  ,Moisture= 0</v>
      </c>
      <c r="BN785" s="69"/>
      <c r="BO785" s="70" t="str">
        <f t="shared" si="537"/>
        <v xml:space="preserve"> Party Condition 42  ,F.M% 0.32 ,Greenish 3.74 ,Moisture 4.7 ,Shortage in KG= 0  ,Oil% 39.37</v>
      </c>
      <c r="BP785" s="71">
        <f t="shared" si="538"/>
        <v>7506.9330529267436</v>
      </c>
      <c r="BQ785" s="69"/>
      <c r="BX785" s="27">
        <v>39.020000000000003</v>
      </c>
      <c r="BY785" s="27">
        <v>38.880000000000003</v>
      </c>
    </row>
    <row r="786" spans="1:77" ht="14.1" hidden="1" customHeight="1" x14ac:dyDescent="0.3">
      <c r="A786" s="187" t="s">
        <v>1539</v>
      </c>
      <c r="B786" s="171">
        <v>46174</v>
      </c>
      <c r="C786" s="187">
        <v>760</v>
      </c>
      <c r="D786" s="164" t="s">
        <v>1645</v>
      </c>
      <c r="E786" s="162">
        <v>46177</v>
      </c>
      <c r="F786" s="187" t="s">
        <v>1144</v>
      </c>
      <c r="G786" s="163" t="s">
        <v>1145</v>
      </c>
      <c r="H786" s="163" t="s">
        <v>100</v>
      </c>
      <c r="I786" s="157"/>
      <c r="J786" s="187" t="s">
        <v>1146</v>
      </c>
      <c r="K786" s="157"/>
      <c r="L786" s="171">
        <v>46174</v>
      </c>
      <c r="M786" s="157"/>
      <c r="N786" s="163" t="s">
        <v>1707</v>
      </c>
      <c r="O786" s="146">
        <v>46177</v>
      </c>
      <c r="P786" s="138">
        <v>0</v>
      </c>
      <c r="Q786" s="138">
        <v>160</v>
      </c>
      <c r="R786" s="138">
        <v>0</v>
      </c>
      <c r="S786" s="138">
        <v>160</v>
      </c>
      <c r="T786" s="138">
        <v>160</v>
      </c>
      <c r="U786" s="136"/>
      <c r="V786" s="136"/>
      <c r="W786" s="147">
        <v>96.3</v>
      </c>
      <c r="X786" s="147">
        <v>96.2</v>
      </c>
      <c r="Y786" s="148">
        <v>770400</v>
      </c>
      <c r="Z786" s="236">
        <v>39.99</v>
      </c>
      <c r="AA786" s="148">
        <v>19260</v>
      </c>
      <c r="AB786" s="148">
        <v>19260</v>
      </c>
      <c r="AC786" s="148">
        <v>808920</v>
      </c>
      <c r="AD786" s="315">
        <f t="shared" si="520"/>
        <v>808111.08</v>
      </c>
      <c r="AE786" s="147">
        <v>39.99</v>
      </c>
      <c r="AF786" s="147">
        <v>42</v>
      </c>
      <c r="AG786" s="147">
        <v>39.99</v>
      </c>
      <c r="AH786" s="287">
        <v>4.4999999999999997E-3</v>
      </c>
      <c r="AI786" s="287">
        <v>3.7999999999999999E-2</v>
      </c>
      <c r="AJ786" s="287">
        <v>4.3999999999999997E-2</v>
      </c>
      <c r="AK786" s="318">
        <f t="shared" si="522"/>
        <v>36869.142857142819</v>
      </c>
      <c r="AL786" s="193">
        <v>0</v>
      </c>
      <c r="AM786" s="193"/>
      <c r="AN786" s="319">
        <v>0</v>
      </c>
      <c r="AO786" s="320">
        <f t="shared" si="524"/>
        <v>0</v>
      </c>
      <c r="AP786" s="193"/>
      <c r="AQ786" s="318">
        <v>0</v>
      </c>
      <c r="AR786" s="318">
        <f t="shared" si="525"/>
        <v>36869.142857142819</v>
      </c>
      <c r="AS786" s="318">
        <f t="shared" si="526"/>
        <v>38713</v>
      </c>
      <c r="AT786" s="321">
        <v>0</v>
      </c>
      <c r="AU786" s="136"/>
      <c r="AV786" s="136"/>
      <c r="AW786" s="318">
        <f t="shared" si="527"/>
        <v>9630</v>
      </c>
      <c r="AX786" s="193"/>
      <c r="AY786" s="318">
        <f t="shared" si="528"/>
        <v>9630</v>
      </c>
      <c r="AZ786" s="318">
        <f t="shared" si="529"/>
        <v>9620</v>
      </c>
      <c r="BA786" s="318">
        <f t="shared" si="530"/>
        <v>10</v>
      </c>
      <c r="BB786" s="318">
        <f t="shared" si="531"/>
        <v>19.260000000000002</v>
      </c>
      <c r="BC786" s="318">
        <v>0</v>
      </c>
      <c r="BD786" s="193"/>
      <c r="BE786" s="309">
        <v>102.1</v>
      </c>
      <c r="BF786" s="321">
        <f t="shared" si="532"/>
        <v>0.15314999999999998</v>
      </c>
      <c r="BG786" s="197">
        <f t="shared" si="521"/>
        <v>101.94685</v>
      </c>
      <c r="BH786" s="321">
        <f t="shared" si="533"/>
        <v>96.2</v>
      </c>
      <c r="BI786" s="322">
        <f t="shared" si="534"/>
        <v>589.99999999999909</v>
      </c>
      <c r="BJ786" s="322">
        <v>0</v>
      </c>
      <c r="BK786" s="318">
        <f t="shared" si="535"/>
        <v>589.99999999999909</v>
      </c>
      <c r="BL786" s="67"/>
      <c r="BM786" s="68" t="str">
        <f t="shared" si="536"/>
        <v>Unloading no. 760 Bill No 2026-27/174 ,Deduction For Oil Deduction= 36869.1428571428 ,Bardana= 0 ,F.M=  Brokerage/Rate Difference 0 ,Shortage = 0 ,Greenish=  ,Moisture= 0</v>
      </c>
      <c r="BN786" s="69"/>
      <c r="BO786" s="70" t="str">
        <f t="shared" si="537"/>
        <v xml:space="preserve"> Party Condition 42  ,F.M% 0.45 ,Greenish 3.8 ,Moisture 4.4 ,Shortage in KG= 0  ,Oil% 39.99</v>
      </c>
      <c r="BP786" s="71">
        <f t="shared" si="538"/>
        <v>7625.0608850608851</v>
      </c>
      <c r="BQ786" s="69"/>
      <c r="BX786" s="27">
        <v>39.619999999999997</v>
      </c>
      <c r="BY786" s="27">
        <v>39.51</v>
      </c>
    </row>
    <row r="787" spans="1:77" ht="14.1" hidden="1" customHeight="1" x14ac:dyDescent="0.3">
      <c r="A787" s="187" t="s">
        <v>1539</v>
      </c>
      <c r="B787" s="171">
        <v>46174</v>
      </c>
      <c r="C787" s="187">
        <v>761</v>
      </c>
      <c r="D787" s="164" t="s">
        <v>1646</v>
      </c>
      <c r="E787" s="162">
        <v>46177</v>
      </c>
      <c r="F787" s="187" t="s">
        <v>1144</v>
      </c>
      <c r="G787" s="159" t="s">
        <v>1145</v>
      </c>
      <c r="H787" s="163" t="s">
        <v>100</v>
      </c>
      <c r="I787" s="157"/>
      <c r="J787" s="187" t="s">
        <v>1146</v>
      </c>
      <c r="K787" s="157"/>
      <c r="L787" s="171">
        <v>46174</v>
      </c>
      <c r="M787" s="157"/>
      <c r="N787" s="163" t="s">
        <v>1708</v>
      </c>
      <c r="O787" s="146">
        <v>46177</v>
      </c>
      <c r="P787" s="138">
        <v>0</v>
      </c>
      <c r="Q787" s="138">
        <v>140</v>
      </c>
      <c r="R787" s="138">
        <v>20</v>
      </c>
      <c r="S787" s="138">
        <v>160</v>
      </c>
      <c r="T787" s="138">
        <v>160</v>
      </c>
      <c r="U787" s="136"/>
      <c r="V787" s="136"/>
      <c r="W787" s="147">
        <v>95.8</v>
      </c>
      <c r="X787" s="147">
        <v>95.7</v>
      </c>
      <c r="Y787" s="148">
        <v>766400</v>
      </c>
      <c r="Z787" s="236">
        <v>39.49</v>
      </c>
      <c r="AA787" s="148">
        <v>19160</v>
      </c>
      <c r="AB787" s="148">
        <v>19160</v>
      </c>
      <c r="AC787" s="148">
        <v>804720</v>
      </c>
      <c r="AD787" s="315">
        <f t="shared" si="520"/>
        <v>803915.28</v>
      </c>
      <c r="AE787" s="147">
        <v>39.49</v>
      </c>
      <c r="AF787" s="147">
        <v>42</v>
      </c>
      <c r="AG787" s="147">
        <v>39.49</v>
      </c>
      <c r="AH787" s="287">
        <v>4.1999999999999997E-3</v>
      </c>
      <c r="AI787" s="287">
        <v>3.9E-2</v>
      </c>
      <c r="AJ787" s="287">
        <v>4.4999999999999998E-2</v>
      </c>
      <c r="AK787" s="318">
        <f t="shared" si="522"/>
        <v>45801.523809523773</v>
      </c>
      <c r="AL787" s="193">
        <v>0</v>
      </c>
      <c r="AM787" s="193"/>
      <c r="AN787" s="319">
        <v>0</v>
      </c>
      <c r="AO787" s="320">
        <f t="shared" si="524"/>
        <v>0</v>
      </c>
      <c r="AP787" s="193"/>
      <c r="AQ787" s="318">
        <v>0</v>
      </c>
      <c r="AR787" s="318">
        <f t="shared" si="525"/>
        <v>45801.523809523773</v>
      </c>
      <c r="AS787" s="318">
        <f t="shared" si="526"/>
        <v>48092</v>
      </c>
      <c r="AT787" s="321">
        <v>0</v>
      </c>
      <c r="AU787" s="136"/>
      <c r="AV787" s="136"/>
      <c r="AW787" s="318">
        <f t="shared" si="527"/>
        <v>9580</v>
      </c>
      <c r="AX787" s="193"/>
      <c r="AY787" s="318">
        <f t="shared" si="528"/>
        <v>9580</v>
      </c>
      <c r="AZ787" s="318">
        <f t="shared" si="529"/>
        <v>9570</v>
      </c>
      <c r="BA787" s="318">
        <f t="shared" si="530"/>
        <v>10</v>
      </c>
      <c r="BB787" s="318">
        <f t="shared" si="531"/>
        <v>19.16</v>
      </c>
      <c r="BC787" s="318">
        <v>0</v>
      </c>
      <c r="BD787" s="193"/>
      <c r="BE787" s="309">
        <v>102.1</v>
      </c>
      <c r="BF787" s="321">
        <f t="shared" si="532"/>
        <v>0.15314999999999998</v>
      </c>
      <c r="BG787" s="197">
        <f t="shared" si="521"/>
        <v>101.94685</v>
      </c>
      <c r="BH787" s="321">
        <f t="shared" si="533"/>
        <v>95.7</v>
      </c>
      <c r="BI787" s="322">
        <f t="shared" si="534"/>
        <v>639.99999999999909</v>
      </c>
      <c r="BJ787" s="322">
        <v>0</v>
      </c>
      <c r="BK787" s="318">
        <f t="shared" si="535"/>
        <v>639.99999999999909</v>
      </c>
      <c r="BL787" s="67"/>
      <c r="BM787" s="68" t="str">
        <f t="shared" si="536"/>
        <v>Unloading no. 761 Bill No 2026-27/172 ,Deduction For Oil Deduction= 45801.5238095238 ,Bardana= 0 ,F.M=  Brokerage/Rate Difference 0 ,Shortage = 0 ,Greenish=  ,Moisture= 0</v>
      </c>
      <c r="BN787" s="69"/>
      <c r="BO787" s="70" t="str">
        <f t="shared" si="537"/>
        <v xml:space="preserve"> Party Condition 42  ,F.M% 0.42 ,Greenish 3.9 ,Moisture 4.5 ,Shortage in KG= 0  ,Oil% 39.49</v>
      </c>
      <c r="BP787" s="71">
        <f t="shared" si="538"/>
        <v>7529.7646414887795</v>
      </c>
      <c r="BQ787" s="69"/>
      <c r="BX787" s="27">
        <v>39.24</v>
      </c>
      <c r="BY787" s="27">
        <v>39.049999999999997</v>
      </c>
    </row>
    <row r="788" spans="1:77" ht="14.1" hidden="1" customHeight="1" x14ac:dyDescent="0.3">
      <c r="A788" s="187" t="s">
        <v>1539</v>
      </c>
      <c r="B788" s="171">
        <v>46174</v>
      </c>
      <c r="C788" s="187">
        <v>762</v>
      </c>
      <c r="D788" s="164" t="s">
        <v>1647</v>
      </c>
      <c r="E788" s="162">
        <v>46177</v>
      </c>
      <c r="F788" s="187" t="s">
        <v>1144</v>
      </c>
      <c r="G788" s="163" t="s">
        <v>1145</v>
      </c>
      <c r="H788" s="163" t="s">
        <v>100</v>
      </c>
      <c r="I788" s="157"/>
      <c r="J788" s="187" t="s">
        <v>1146</v>
      </c>
      <c r="K788" s="157"/>
      <c r="L788" s="171">
        <v>46174</v>
      </c>
      <c r="M788" s="157"/>
      <c r="N788" s="163" t="s">
        <v>1709</v>
      </c>
      <c r="O788" s="146">
        <v>46177</v>
      </c>
      <c r="P788" s="138">
        <v>0</v>
      </c>
      <c r="Q788" s="138">
        <v>190</v>
      </c>
      <c r="R788" s="138">
        <v>0</v>
      </c>
      <c r="S788" s="138">
        <v>190</v>
      </c>
      <c r="T788" s="138">
        <v>190</v>
      </c>
      <c r="U788" s="136"/>
      <c r="V788" s="136"/>
      <c r="W788" s="147">
        <v>96.1</v>
      </c>
      <c r="X788" s="147">
        <v>96</v>
      </c>
      <c r="Y788" s="148">
        <v>768800</v>
      </c>
      <c r="Z788" s="236">
        <v>40.06</v>
      </c>
      <c r="AA788" s="148">
        <v>19220</v>
      </c>
      <c r="AB788" s="148">
        <v>19220</v>
      </c>
      <c r="AC788" s="148">
        <v>807240</v>
      </c>
      <c r="AD788" s="315">
        <f t="shared" si="520"/>
        <v>806432.76</v>
      </c>
      <c r="AE788" s="147">
        <v>40.06</v>
      </c>
      <c r="AF788" s="147">
        <v>42</v>
      </c>
      <c r="AG788" s="147">
        <v>40.06</v>
      </c>
      <c r="AH788" s="287">
        <v>4.7999999999999996E-3</v>
      </c>
      <c r="AI788" s="287">
        <v>3.6999999999999998E-2</v>
      </c>
      <c r="AJ788" s="287">
        <v>4.3999999999999997E-2</v>
      </c>
      <c r="AK788" s="318">
        <f t="shared" si="522"/>
        <v>35511.238095238055</v>
      </c>
      <c r="AL788" s="193">
        <v>0</v>
      </c>
      <c r="AM788" s="193"/>
      <c r="AN788" s="319">
        <v>0</v>
      </c>
      <c r="AO788" s="320">
        <f t="shared" si="524"/>
        <v>0</v>
      </c>
      <c r="AP788" s="193"/>
      <c r="AQ788" s="318">
        <v>0</v>
      </c>
      <c r="AR788" s="318">
        <f t="shared" si="525"/>
        <v>35511.238095238055</v>
      </c>
      <c r="AS788" s="318">
        <f t="shared" si="526"/>
        <v>37287</v>
      </c>
      <c r="AT788" s="321">
        <v>0</v>
      </c>
      <c r="AU788" s="136"/>
      <c r="AV788" s="136"/>
      <c r="AW788" s="318">
        <f t="shared" si="527"/>
        <v>9610</v>
      </c>
      <c r="AX788" s="193"/>
      <c r="AY788" s="318">
        <f t="shared" si="528"/>
        <v>9610</v>
      </c>
      <c r="AZ788" s="318">
        <f t="shared" si="529"/>
        <v>9600</v>
      </c>
      <c r="BA788" s="318">
        <f t="shared" si="530"/>
        <v>10</v>
      </c>
      <c r="BB788" s="318">
        <f t="shared" si="531"/>
        <v>19.22</v>
      </c>
      <c r="BC788" s="318">
        <v>0</v>
      </c>
      <c r="BD788" s="193"/>
      <c r="BE788" s="309">
        <v>102.1</v>
      </c>
      <c r="BF788" s="321">
        <f t="shared" si="532"/>
        <v>0.15314999999999998</v>
      </c>
      <c r="BG788" s="197">
        <f t="shared" si="521"/>
        <v>101.94685</v>
      </c>
      <c r="BH788" s="321">
        <f t="shared" si="533"/>
        <v>96</v>
      </c>
      <c r="BI788" s="322">
        <f t="shared" si="534"/>
        <v>609.99999999999943</v>
      </c>
      <c r="BJ788" s="322">
        <v>0</v>
      </c>
      <c r="BK788" s="318">
        <f t="shared" si="535"/>
        <v>609.99999999999943</v>
      </c>
      <c r="BL788" s="67"/>
      <c r="BM788" s="68" t="str">
        <f t="shared" si="536"/>
        <v>Unloading no. 762 Bill No 2026-27/173 ,Deduction For Oil Deduction= 35511.2380952381 ,Bardana= 0 ,F.M=  Brokerage/Rate Difference 0 ,Shortage = 0 ,Greenish=  ,Moisture= 0</v>
      </c>
      <c r="BN788" s="69"/>
      <c r="BO788" s="70" t="str">
        <f t="shared" si="537"/>
        <v xml:space="preserve"> Party Condition 42  ,F.M% 0.48 ,Greenish 3.7 ,Moisture 4.4 ,Shortage in KG= 0  ,Oil% 40.06</v>
      </c>
      <c r="BP788" s="71">
        <f t="shared" si="538"/>
        <v>7638.4246031746034</v>
      </c>
      <c r="BQ788" s="69"/>
      <c r="BX788" s="27">
        <v>40.619999999999997</v>
      </c>
      <c r="BY788" s="27">
        <v>40.49</v>
      </c>
    </row>
    <row r="789" spans="1:77" ht="14.1" hidden="1" customHeight="1" x14ac:dyDescent="0.3">
      <c r="A789" s="187" t="s">
        <v>1608</v>
      </c>
      <c r="B789" s="171">
        <v>46175</v>
      </c>
      <c r="C789" s="187">
        <v>763</v>
      </c>
      <c r="D789" s="164" t="s">
        <v>1648</v>
      </c>
      <c r="E789" s="162">
        <v>46177</v>
      </c>
      <c r="F789" s="187" t="s">
        <v>1083</v>
      </c>
      <c r="G789" s="163" t="s">
        <v>1084</v>
      </c>
      <c r="H789" s="163" t="s">
        <v>1454</v>
      </c>
      <c r="I789" s="157"/>
      <c r="J789" s="187" t="s">
        <v>1455</v>
      </c>
      <c r="K789" s="157"/>
      <c r="L789" s="171">
        <v>46175</v>
      </c>
      <c r="M789" s="157"/>
      <c r="N789" s="163">
        <v>32</v>
      </c>
      <c r="O789" s="146">
        <v>46176</v>
      </c>
      <c r="P789" s="138">
        <v>0</v>
      </c>
      <c r="Q789" s="138">
        <v>300</v>
      </c>
      <c r="R789" s="138">
        <v>75</v>
      </c>
      <c r="S789" s="138">
        <v>375</v>
      </c>
      <c r="T789" s="138">
        <v>375</v>
      </c>
      <c r="U789" s="136"/>
      <c r="V789" s="136"/>
      <c r="W789" s="147">
        <v>257.05</v>
      </c>
      <c r="X789" s="147">
        <v>256.3</v>
      </c>
      <c r="Y789" s="148">
        <v>2087246</v>
      </c>
      <c r="Z789" s="169"/>
      <c r="AA789" s="148">
        <v>52181.15</v>
      </c>
      <c r="AB789" s="148">
        <v>52181.15</v>
      </c>
      <c r="AC789" s="148">
        <v>2191608.2999999998</v>
      </c>
      <c r="AD789" s="315">
        <f t="shared" si="520"/>
        <v>2189416.6916999999</v>
      </c>
      <c r="AE789" s="238">
        <v>39.630000000000003</v>
      </c>
      <c r="AF789" s="238">
        <v>42</v>
      </c>
      <c r="AG789" s="238">
        <v>39.56</v>
      </c>
      <c r="AH789" s="292">
        <v>7.0000000000000001E-3</v>
      </c>
      <c r="AI789" s="287">
        <v>3.1E-2</v>
      </c>
      <c r="AJ789" s="287">
        <v>4.9000000000000002E-2</v>
      </c>
      <c r="AK789" s="318">
        <f t="shared" si="522"/>
        <v>121259.05333333321</v>
      </c>
      <c r="AL789" s="193">
        <f>300*10+75*15</f>
        <v>4125</v>
      </c>
      <c r="AM789" s="193">
        <f>AH789*Y789</f>
        <v>14610.722</v>
      </c>
      <c r="AN789" s="319">
        <f>W789*15</f>
        <v>3855.75</v>
      </c>
      <c r="AO789" s="320">
        <f t="shared" si="524"/>
        <v>6090</v>
      </c>
      <c r="AP789" s="193"/>
      <c r="AQ789" s="318">
        <v>0</v>
      </c>
      <c r="AR789" s="318">
        <f t="shared" si="525"/>
        <v>149940.52533333321</v>
      </c>
      <c r="AS789" s="318">
        <f t="shared" si="526"/>
        <v>157438</v>
      </c>
      <c r="AT789" s="321">
        <v>75</v>
      </c>
      <c r="AU789" s="136"/>
      <c r="AV789" s="136"/>
      <c r="AW789" s="318">
        <f t="shared" si="527"/>
        <v>25705</v>
      </c>
      <c r="AX789" s="193"/>
      <c r="AY789" s="318">
        <f t="shared" si="528"/>
        <v>25705</v>
      </c>
      <c r="AZ789" s="318">
        <f t="shared" si="529"/>
        <v>25630</v>
      </c>
      <c r="BA789" s="318">
        <f t="shared" si="530"/>
        <v>75</v>
      </c>
      <c r="BB789" s="318">
        <f t="shared" si="531"/>
        <v>51.41</v>
      </c>
      <c r="BC789" s="318">
        <v>0</v>
      </c>
      <c r="BD789" s="193"/>
      <c r="BE789" s="309">
        <v>102.1</v>
      </c>
      <c r="BF789" s="321">
        <f t="shared" si="532"/>
        <v>0.15314999999999998</v>
      </c>
      <c r="BG789" s="197">
        <f t="shared" si="521"/>
        <v>101.94685</v>
      </c>
      <c r="BH789" s="321">
        <f t="shared" si="533"/>
        <v>256.3</v>
      </c>
      <c r="BI789" s="322">
        <f t="shared" si="534"/>
        <v>-15420.000000000002</v>
      </c>
      <c r="BJ789" s="322">
        <v>0</v>
      </c>
      <c r="BK789" s="318">
        <f t="shared" si="535"/>
        <v>-15420.000000000002</v>
      </c>
      <c r="BL789" s="67"/>
      <c r="BM789" s="68" t="str">
        <f t="shared" si="536"/>
        <v>Unloading no. 763 Bill No 32 ,Deduction For Oil Deduction= 121259.053333333 ,Bardana= 4125 ,F.M= 14610.722 Brokerage/Rate Difference 3855.75 ,Shortage = 6090 ,Greenish=  ,Moisture= 0</v>
      </c>
      <c r="BN789" s="69"/>
      <c r="BO789" s="70" t="str">
        <f t="shared" si="537"/>
        <v xml:space="preserve"> Party Condition 42  ,F.M% 0.7 ,Greenish 3.1 ,Moisture 4.9 ,Shortage in KG= 75  ,Oil% 39.56</v>
      </c>
      <c r="BP789" s="71">
        <f t="shared" si="538"/>
        <v>7558.7416100923392</v>
      </c>
      <c r="BQ789" s="69"/>
      <c r="BX789" s="27">
        <v>39.630000000000003</v>
      </c>
      <c r="BY789" s="27">
        <v>39.56</v>
      </c>
    </row>
    <row r="790" spans="1:77" ht="14.1" hidden="1" customHeight="1" x14ac:dyDescent="0.3">
      <c r="A790" s="187" t="s">
        <v>1540</v>
      </c>
      <c r="B790" s="171">
        <v>46175</v>
      </c>
      <c r="C790" s="187">
        <v>764</v>
      </c>
      <c r="D790" s="164" t="s">
        <v>1649</v>
      </c>
      <c r="E790" s="162">
        <v>46177</v>
      </c>
      <c r="F790" s="187" t="s">
        <v>1575</v>
      </c>
      <c r="G790" s="163" t="s">
        <v>1576</v>
      </c>
      <c r="H790" s="163" t="s">
        <v>103</v>
      </c>
      <c r="I790" s="157"/>
      <c r="J790" s="187" t="s">
        <v>1455</v>
      </c>
      <c r="K790" s="157"/>
      <c r="L790" s="171">
        <v>46175</v>
      </c>
      <c r="M790" s="157"/>
      <c r="N790" s="163" t="s">
        <v>1710</v>
      </c>
      <c r="O790" s="146">
        <v>46177</v>
      </c>
      <c r="P790" s="138">
        <v>0</v>
      </c>
      <c r="Q790" s="138">
        <v>150</v>
      </c>
      <c r="R790" s="138">
        <v>40</v>
      </c>
      <c r="S790" s="138">
        <v>190</v>
      </c>
      <c r="T790" s="138">
        <v>190</v>
      </c>
      <c r="U790" s="136"/>
      <c r="V790" s="136"/>
      <c r="W790" s="147">
        <v>94</v>
      </c>
      <c r="X790" s="147">
        <v>93.4</v>
      </c>
      <c r="Y790" s="148">
        <v>761400</v>
      </c>
      <c r="Z790" s="169"/>
      <c r="AA790" s="148">
        <v>19035</v>
      </c>
      <c r="AB790" s="148">
        <v>19035</v>
      </c>
      <c r="AC790" s="148">
        <v>799470</v>
      </c>
      <c r="AD790" s="315">
        <f t="shared" si="520"/>
        <v>798670.53</v>
      </c>
      <c r="AE790" s="238">
        <v>40.19</v>
      </c>
      <c r="AF790" s="238">
        <v>42</v>
      </c>
      <c r="AG790" s="238">
        <v>39.99</v>
      </c>
      <c r="AH790" s="292">
        <v>4.5999999999999999E-3</v>
      </c>
      <c r="AI790" s="287">
        <v>0.04</v>
      </c>
      <c r="AJ790" s="287">
        <v>4.5999999999999999E-2</v>
      </c>
      <c r="AK790" s="318">
        <f t="shared" si="522"/>
        <v>36438.428571428536</v>
      </c>
      <c r="AL790" s="193">
        <f>150*10+40*15</f>
        <v>2100</v>
      </c>
      <c r="AM790" s="193">
        <f>AH790*Y790</f>
        <v>3502.44</v>
      </c>
      <c r="AN790" s="319">
        <v>0</v>
      </c>
      <c r="AO790" s="320">
        <f t="shared" si="524"/>
        <v>4860</v>
      </c>
      <c r="AP790" s="193"/>
      <c r="AQ790" s="318">
        <v>0</v>
      </c>
      <c r="AR790" s="318">
        <f t="shared" si="525"/>
        <v>46900.868571428538</v>
      </c>
      <c r="AS790" s="318">
        <f t="shared" si="526"/>
        <v>49246</v>
      </c>
      <c r="AT790" s="321">
        <v>60</v>
      </c>
      <c r="AU790" s="136"/>
      <c r="AV790" s="136"/>
      <c r="AW790" s="318">
        <f t="shared" si="527"/>
        <v>9400</v>
      </c>
      <c r="AX790" s="193"/>
      <c r="AY790" s="318">
        <f t="shared" si="528"/>
        <v>9400</v>
      </c>
      <c r="AZ790" s="318">
        <f t="shared" si="529"/>
        <v>9340</v>
      </c>
      <c r="BA790" s="318">
        <f t="shared" si="530"/>
        <v>60</v>
      </c>
      <c r="BB790" s="318">
        <f t="shared" si="531"/>
        <v>18.8</v>
      </c>
      <c r="BC790" s="318">
        <v>0</v>
      </c>
      <c r="BD790" s="193"/>
      <c r="BE790" s="309">
        <v>102.1</v>
      </c>
      <c r="BF790" s="321">
        <f t="shared" si="532"/>
        <v>0.15314999999999998</v>
      </c>
      <c r="BG790" s="197">
        <f t="shared" si="521"/>
        <v>101.94685</v>
      </c>
      <c r="BH790" s="321">
        <f t="shared" si="533"/>
        <v>93.4</v>
      </c>
      <c r="BI790" s="322">
        <f t="shared" si="534"/>
        <v>869.99999999999886</v>
      </c>
      <c r="BJ790" s="322">
        <v>0</v>
      </c>
      <c r="BK790" s="318">
        <f t="shared" si="535"/>
        <v>869.99999999999886</v>
      </c>
      <c r="BL790" s="67"/>
      <c r="BM790" s="68" t="str">
        <f t="shared" si="536"/>
        <v>Unloading no. 764 Bill No 2026-27/0085 ,Deduction For Oil Deduction= 36438.4285714285 ,Bardana= 2100 ,F.M= 3502.44 Brokerage/Rate Difference 0 ,Shortage = 4860 ,Greenish=  ,Moisture= 0</v>
      </c>
      <c r="BN790" s="69"/>
      <c r="BO790" s="70" t="str">
        <f t="shared" si="537"/>
        <v xml:space="preserve"> Party Condition 42  ,F.M% 0.46 ,Greenish 4 ,Moisture 4.6 ,Shortage in KG= 60  ,Oil% 39.99</v>
      </c>
      <c r="BP790" s="71">
        <f t="shared" si="538"/>
        <v>7649.8836341388796</v>
      </c>
      <c r="BQ790" s="69"/>
      <c r="BX790" s="27">
        <v>40.19</v>
      </c>
      <c r="BY790" s="27">
        <v>39.99</v>
      </c>
    </row>
    <row r="791" spans="1:77" ht="14.1" hidden="1" customHeight="1" x14ac:dyDescent="0.3">
      <c r="A791" s="138" t="s">
        <v>1539</v>
      </c>
      <c r="B791" s="146">
        <v>46174</v>
      </c>
      <c r="C791" s="138">
        <v>765</v>
      </c>
      <c r="D791" s="352" t="s">
        <v>1650</v>
      </c>
      <c r="E791" s="353">
        <v>46177</v>
      </c>
      <c r="F791" s="354" t="s">
        <v>1144</v>
      </c>
      <c r="G791" s="160" t="s">
        <v>1145</v>
      </c>
      <c r="H791" s="160" t="s">
        <v>100</v>
      </c>
      <c r="I791" s="355"/>
      <c r="J791" s="138" t="s">
        <v>1146</v>
      </c>
      <c r="K791" s="136"/>
      <c r="L791" s="146">
        <v>46174</v>
      </c>
      <c r="M791" s="136"/>
      <c r="N791" s="128" t="s">
        <v>1711</v>
      </c>
      <c r="O791" s="146">
        <v>46177</v>
      </c>
      <c r="P791" s="138">
        <v>0</v>
      </c>
      <c r="Q791" s="138">
        <v>140</v>
      </c>
      <c r="R791" s="138">
        <v>20</v>
      </c>
      <c r="S791" s="138">
        <v>160</v>
      </c>
      <c r="T791" s="138">
        <v>160</v>
      </c>
      <c r="U791" s="136"/>
      <c r="V791" s="136"/>
      <c r="W791" s="147">
        <v>95.1</v>
      </c>
      <c r="X791" s="147">
        <v>94.7</v>
      </c>
      <c r="Y791" s="148">
        <v>760800</v>
      </c>
      <c r="Z791" s="236">
        <v>40.01</v>
      </c>
      <c r="AA791" s="148">
        <v>19020</v>
      </c>
      <c r="AB791" s="148">
        <v>19020</v>
      </c>
      <c r="AC791" s="148">
        <v>798840</v>
      </c>
      <c r="AD791" s="315">
        <f t="shared" si="520"/>
        <v>798041.16</v>
      </c>
      <c r="AE791" s="238">
        <v>40.01</v>
      </c>
      <c r="AF791" s="238">
        <v>42</v>
      </c>
      <c r="AG791" s="238">
        <v>40.01</v>
      </c>
      <c r="AH791" s="291">
        <v>3.5000000000000001E-3</v>
      </c>
      <c r="AI791" s="287">
        <v>3.4000000000000002E-2</v>
      </c>
      <c r="AJ791" s="287">
        <v>4.5999999999999999E-2</v>
      </c>
      <c r="AK791" s="318">
        <f t="shared" si="522"/>
        <v>36047.428571428609</v>
      </c>
      <c r="AL791" s="193">
        <v>0</v>
      </c>
      <c r="AM791" s="193"/>
      <c r="AN791" s="319">
        <v>0</v>
      </c>
      <c r="AO791" s="320">
        <f t="shared" si="524"/>
        <v>1680</v>
      </c>
      <c r="AP791" s="193"/>
      <c r="AQ791" s="318">
        <v>0</v>
      </c>
      <c r="AR791" s="318">
        <f t="shared" si="525"/>
        <v>37727.428571428609</v>
      </c>
      <c r="AS791" s="318">
        <f t="shared" si="526"/>
        <v>39614</v>
      </c>
      <c r="AT791" s="321">
        <v>21</v>
      </c>
      <c r="AU791" s="136"/>
      <c r="AV791" s="136"/>
      <c r="AW791" s="318">
        <f t="shared" si="527"/>
        <v>9510</v>
      </c>
      <c r="AX791" s="193"/>
      <c r="AY791" s="318">
        <f t="shared" si="528"/>
        <v>9510</v>
      </c>
      <c r="AZ791" s="318">
        <f t="shared" si="529"/>
        <v>9470</v>
      </c>
      <c r="BA791" s="318">
        <f t="shared" si="530"/>
        <v>40</v>
      </c>
      <c r="BB791" s="318">
        <f t="shared" si="531"/>
        <v>19.02</v>
      </c>
      <c r="BC791" s="318">
        <v>0</v>
      </c>
      <c r="BD791" s="193"/>
      <c r="BE791" s="309">
        <v>102.1</v>
      </c>
      <c r="BF791" s="321">
        <f t="shared" si="532"/>
        <v>0.15314999999999998</v>
      </c>
      <c r="BG791" s="197">
        <f t="shared" si="521"/>
        <v>101.94685</v>
      </c>
      <c r="BH791" s="321">
        <f t="shared" si="533"/>
        <v>94.7</v>
      </c>
      <c r="BI791" s="322">
        <f t="shared" si="534"/>
        <v>739.99999999999909</v>
      </c>
      <c r="BJ791" s="322">
        <v>0</v>
      </c>
      <c r="BK791" s="318">
        <f t="shared" si="535"/>
        <v>739.99999999999909</v>
      </c>
      <c r="BL791" s="67"/>
      <c r="BM791" s="68" t="str">
        <f t="shared" si="536"/>
        <v>Unloading no. 765 Bill No 2026-27/176 ,Deduction For Oil Deduction= 36047.4285714286 ,Bardana= 0 ,F.M=  Brokerage/Rate Difference 0 ,Shortage = 1680 ,Greenish=  ,Moisture= 0</v>
      </c>
      <c r="BN791" s="69"/>
      <c r="BO791" s="70" t="str">
        <f t="shared" si="537"/>
        <v xml:space="preserve"> Party Condition 42  ,F.M% 0.35 ,Greenish 3.4 ,Moisture 4.6 ,Shortage in KG= 21  ,Oil% 40.01</v>
      </c>
      <c r="BP791" s="71">
        <f t="shared" si="538"/>
        <v>7635.4020214210277</v>
      </c>
      <c r="BQ791" s="69"/>
      <c r="BX791" s="100"/>
      <c r="BY791" s="100"/>
    </row>
    <row r="792" spans="1:77" ht="14.1" hidden="1" customHeight="1" x14ac:dyDescent="0.3">
      <c r="A792" s="138" t="s">
        <v>1539</v>
      </c>
      <c r="B792" s="146">
        <v>46174</v>
      </c>
      <c r="C792" s="138">
        <v>766</v>
      </c>
      <c r="D792" s="356" t="s">
        <v>1651</v>
      </c>
      <c r="E792" s="357">
        <v>46177</v>
      </c>
      <c r="F792" s="358" t="s">
        <v>1144</v>
      </c>
      <c r="G792" s="161" t="s">
        <v>1145</v>
      </c>
      <c r="H792" s="158" t="s">
        <v>100</v>
      </c>
      <c r="I792" s="359"/>
      <c r="J792" s="138" t="s">
        <v>1146</v>
      </c>
      <c r="K792" s="136"/>
      <c r="L792" s="146">
        <v>46174</v>
      </c>
      <c r="M792" s="136"/>
      <c r="N792" s="128" t="s">
        <v>1712</v>
      </c>
      <c r="O792" s="146">
        <v>46177</v>
      </c>
      <c r="P792" s="138">
        <v>0</v>
      </c>
      <c r="Q792" s="138">
        <v>190</v>
      </c>
      <c r="R792" s="138">
        <v>0</v>
      </c>
      <c r="S792" s="138">
        <v>190</v>
      </c>
      <c r="T792" s="138">
        <v>190</v>
      </c>
      <c r="U792" s="136"/>
      <c r="V792" s="136"/>
      <c r="W792" s="147">
        <v>96</v>
      </c>
      <c r="X792" s="147">
        <v>96</v>
      </c>
      <c r="Y792" s="148">
        <v>768000</v>
      </c>
      <c r="Z792" s="236">
        <v>40.11</v>
      </c>
      <c r="AA792" s="148">
        <v>19200</v>
      </c>
      <c r="AB792" s="148">
        <v>19200</v>
      </c>
      <c r="AC792" s="148">
        <v>806400</v>
      </c>
      <c r="AD792" s="315">
        <f t="shared" si="520"/>
        <v>805593.59999999998</v>
      </c>
      <c r="AE792" s="238">
        <v>40.11</v>
      </c>
      <c r="AF792" s="238">
        <v>42</v>
      </c>
      <c r="AG792" s="238">
        <v>40.11</v>
      </c>
      <c r="AH792" s="291">
        <v>4.0000000000000001E-3</v>
      </c>
      <c r="AI792" s="287">
        <v>3.9E-2</v>
      </c>
      <c r="AJ792" s="287">
        <v>4.8000000000000001E-2</v>
      </c>
      <c r="AK792" s="318">
        <f t="shared" si="522"/>
        <v>34560.000000000007</v>
      </c>
      <c r="AL792" s="193">
        <v>0</v>
      </c>
      <c r="AM792" s="193"/>
      <c r="AN792" s="319">
        <v>0</v>
      </c>
      <c r="AO792" s="320">
        <f t="shared" si="524"/>
        <v>0</v>
      </c>
      <c r="AP792" s="193"/>
      <c r="AQ792" s="318">
        <v>0</v>
      </c>
      <c r="AR792" s="318">
        <f t="shared" si="525"/>
        <v>34560.000000000007</v>
      </c>
      <c r="AS792" s="318">
        <f t="shared" si="526"/>
        <v>36288</v>
      </c>
      <c r="AT792" s="321">
        <v>0</v>
      </c>
      <c r="AU792" s="136"/>
      <c r="AV792" s="136"/>
      <c r="AW792" s="318">
        <f t="shared" si="527"/>
        <v>9600</v>
      </c>
      <c r="AX792" s="193"/>
      <c r="AY792" s="318">
        <f t="shared" si="528"/>
        <v>9600</v>
      </c>
      <c r="AZ792" s="318">
        <f t="shared" si="529"/>
        <v>9600</v>
      </c>
      <c r="BA792" s="318">
        <f t="shared" si="530"/>
        <v>0</v>
      </c>
      <c r="BB792" s="318">
        <f t="shared" si="531"/>
        <v>19.2</v>
      </c>
      <c r="BC792" s="318">
        <v>0</v>
      </c>
      <c r="BD792" s="193"/>
      <c r="BE792" s="309">
        <v>102.1</v>
      </c>
      <c r="BF792" s="321">
        <f t="shared" si="532"/>
        <v>0.15314999999999998</v>
      </c>
      <c r="BG792" s="197">
        <f t="shared" si="521"/>
        <v>101.94685</v>
      </c>
      <c r="BH792" s="321">
        <f t="shared" si="533"/>
        <v>96</v>
      </c>
      <c r="BI792" s="322">
        <f t="shared" si="534"/>
        <v>609.99999999999943</v>
      </c>
      <c r="BJ792" s="322">
        <v>0</v>
      </c>
      <c r="BK792" s="318">
        <f t="shared" si="535"/>
        <v>609.99999999999943</v>
      </c>
      <c r="BL792" s="67"/>
      <c r="BM792" s="68" t="str">
        <f t="shared" si="536"/>
        <v>Unloading no. 766 Bill No 2026-27/171 ,Deduction For Oil Deduction= 34560 ,Bardana= 0 ,F.M=  Brokerage/Rate Difference 0 ,Shortage = 0 ,Greenish=  ,Moisture= 0</v>
      </c>
      <c r="BN792" s="69"/>
      <c r="BO792" s="70" t="str">
        <f t="shared" si="537"/>
        <v xml:space="preserve"> Party Condition 42  ,F.M% 0.4 ,Greenish 3.9 ,Moisture 4.8 ,Shortage in KG= 0  ,Oil% 40.11</v>
      </c>
      <c r="BP792" s="71">
        <f t="shared" si="538"/>
        <v>7640</v>
      </c>
      <c r="BQ792" s="69"/>
      <c r="BX792" s="27">
        <v>40.28</v>
      </c>
      <c r="BY792" s="27">
        <v>40.090000000000003</v>
      </c>
    </row>
    <row r="793" spans="1:77" ht="14.1" hidden="1" customHeight="1" x14ac:dyDescent="0.3">
      <c r="A793" s="138" t="s">
        <v>1539</v>
      </c>
      <c r="B793" s="146">
        <v>46174</v>
      </c>
      <c r="C793" s="138">
        <v>767</v>
      </c>
      <c r="D793" s="135" t="s">
        <v>1652</v>
      </c>
      <c r="E793" s="129">
        <v>46177</v>
      </c>
      <c r="F793" s="138" t="s">
        <v>1144</v>
      </c>
      <c r="G793" s="163" t="s">
        <v>1145</v>
      </c>
      <c r="H793" s="128" t="s">
        <v>100</v>
      </c>
      <c r="I793" s="136"/>
      <c r="J793" s="138" t="s">
        <v>1146</v>
      </c>
      <c r="K793" s="136"/>
      <c r="L793" s="146">
        <v>46174</v>
      </c>
      <c r="M793" s="136"/>
      <c r="N793" s="128" t="s">
        <v>1713</v>
      </c>
      <c r="O793" s="146">
        <v>46177</v>
      </c>
      <c r="P793" s="138">
        <v>0</v>
      </c>
      <c r="Q793" s="138">
        <v>190</v>
      </c>
      <c r="R793" s="138">
        <v>0</v>
      </c>
      <c r="S793" s="138">
        <v>190</v>
      </c>
      <c r="T793" s="138">
        <v>190</v>
      </c>
      <c r="U793" s="136"/>
      <c r="V793" s="136"/>
      <c r="W793" s="147">
        <v>95.8</v>
      </c>
      <c r="X793" s="147">
        <v>95.7</v>
      </c>
      <c r="Y793" s="148">
        <v>766400</v>
      </c>
      <c r="Z793" s="236">
        <v>39.81</v>
      </c>
      <c r="AA793" s="148">
        <v>19160</v>
      </c>
      <c r="AB793" s="148">
        <v>19160</v>
      </c>
      <c r="AC793" s="148">
        <v>804720</v>
      </c>
      <c r="AD793" s="315">
        <f t="shared" si="520"/>
        <v>803915.28</v>
      </c>
      <c r="AE793" s="238">
        <v>39.81</v>
      </c>
      <c r="AF793" s="238">
        <v>42</v>
      </c>
      <c r="AG793" s="238">
        <v>39.81</v>
      </c>
      <c r="AH793" s="291">
        <v>3.3999999999999998E-3</v>
      </c>
      <c r="AI793" s="287">
        <v>0.04</v>
      </c>
      <c r="AJ793" s="287">
        <v>4.4999999999999998E-2</v>
      </c>
      <c r="AK793" s="318">
        <f t="shared" si="522"/>
        <v>39962.285714285674</v>
      </c>
      <c r="AL793" s="193">
        <v>0</v>
      </c>
      <c r="AM793" s="193"/>
      <c r="AN793" s="319">
        <v>0</v>
      </c>
      <c r="AO793" s="320">
        <f t="shared" si="524"/>
        <v>0</v>
      </c>
      <c r="AP793" s="193"/>
      <c r="AQ793" s="318">
        <v>0</v>
      </c>
      <c r="AR793" s="318">
        <f t="shared" si="525"/>
        <v>39962.285714285674</v>
      </c>
      <c r="AS793" s="318">
        <f t="shared" si="526"/>
        <v>41960</v>
      </c>
      <c r="AT793" s="321">
        <v>0</v>
      </c>
      <c r="AU793" s="136"/>
      <c r="AV793" s="136"/>
      <c r="AW793" s="318">
        <f t="shared" si="527"/>
        <v>9580</v>
      </c>
      <c r="AX793" s="193"/>
      <c r="AY793" s="318">
        <f t="shared" si="528"/>
        <v>9580</v>
      </c>
      <c r="AZ793" s="318">
        <f t="shared" si="529"/>
        <v>9570</v>
      </c>
      <c r="BA793" s="318">
        <f t="shared" si="530"/>
        <v>10</v>
      </c>
      <c r="BB793" s="318">
        <f t="shared" si="531"/>
        <v>19.16</v>
      </c>
      <c r="BC793" s="318">
        <v>0</v>
      </c>
      <c r="BD793" s="193"/>
      <c r="BE793" s="309">
        <v>102.1</v>
      </c>
      <c r="BF793" s="321">
        <f t="shared" si="532"/>
        <v>0.15314999999999998</v>
      </c>
      <c r="BG793" s="197">
        <f t="shared" si="521"/>
        <v>101.94685</v>
      </c>
      <c r="BH793" s="321">
        <f t="shared" si="533"/>
        <v>95.7</v>
      </c>
      <c r="BI793" s="322">
        <f t="shared" si="534"/>
        <v>639.99999999999909</v>
      </c>
      <c r="BJ793" s="322">
        <v>0</v>
      </c>
      <c r="BK793" s="318">
        <f t="shared" si="535"/>
        <v>639.99999999999909</v>
      </c>
      <c r="BL793" s="67"/>
      <c r="BM793" s="68" t="str">
        <f t="shared" si="536"/>
        <v>Unloading no. 767 Bill No 2026-27/175 ,Deduction For Oil Deduction= 39962.2857142857 ,Bardana= 0 ,F.M=  Brokerage/Rate Difference 0 ,Shortage = 0 ,Greenish=  ,Moisture= 0</v>
      </c>
      <c r="BN793" s="69"/>
      <c r="BO793" s="70" t="str">
        <f t="shared" si="537"/>
        <v xml:space="preserve"> Party Condition 42  ,F.M% 0.34 ,Greenish 4 ,Moisture 4.5 ,Shortage in KG= 0  ,Oil% 39.81</v>
      </c>
      <c r="BP793" s="71">
        <f t="shared" si="538"/>
        <v>7590.7807135393341</v>
      </c>
      <c r="BQ793" s="69"/>
      <c r="BX793" s="27">
        <v>40.01</v>
      </c>
      <c r="BY793" s="27">
        <v>39.82</v>
      </c>
    </row>
    <row r="794" spans="1:77" ht="14.1" hidden="1" customHeight="1" x14ac:dyDescent="0.3">
      <c r="A794" s="138" t="s">
        <v>1540</v>
      </c>
      <c r="B794" s="146">
        <v>46175</v>
      </c>
      <c r="C794" s="190" t="s">
        <v>1624</v>
      </c>
      <c r="D794" s="135" t="s">
        <v>1653</v>
      </c>
      <c r="E794" s="129">
        <v>46177</v>
      </c>
      <c r="F794" s="138" t="s">
        <v>1575</v>
      </c>
      <c r="G794" s="163" t="s">
        <v>1576</v>
      </c>
      <c r="H794" s="128" t="s">
        <v>103</v>
      </c>
      <c r="I794" s="136"/>
      <c r="J794" s="347" t="s">
        <v>1455</v>
      </c>
      <c r="K794" s="136"/>
      <c r="L794" s="146">
        <v>46175</v>
      </c>
      <c r="M794" s="136"/>
      <c r="N794" s="128" t="s">
        <v>1714</v>
      </c>
      <c r="O794" s="146">
        <v>46177</v>
      </c>
      <c r="P794" s="138">
        <v>0</v>
      </c>
      <c r="Q794" s="138">
        <v>79</v>
      </c>
      <c r="R794" s="138">
        <v>0</v>
      </c>
      <c r="S794" s="138">
        <v>79</v>
      </c>
      <c r="T794" s="138">
        <v>79</v>
      </c>
      <c r="U794" s="136"/>
      <c r="V794" s="136"/>
      <c r="W794" s="147">
        <v>39.1</v>
      </c>
      <c r="X794" s="147">
        <v>39.1</v>
      </c>
      <c r="Y794" s="148">
        <v>316710</v>
      </c>
      <c r="Z794" s="169"/>
      <c r="AA794" s="148">
        <v>7917.75</v>
      </c>
      <c r="AB794" s="148">
        <v>7917.75</v>
      </c>
      <c r="AC794" s="148">
        <v>332545.5</v>
      </c>
      <c r="AD794" s="315">
        <f t="shared" si="520"/>
        <v>332212.95449999999</v>
      </c>
      <c r="AE794" s="238">
        <v>39.5</v>
      </c>
      <c r="AF794" s="238">
        <v>42</v>
      </c>
      <c r="AG794" s="238">
        <v>39.409999999999997</v>
      </c>
      <c r="AH794" s="292">
        <v>3.8E-3</v>
      </c>
      <c r="AI794" s="287">
        <v>0.04</v>
      </c>
      <c r="AJ794" s="287">
        <v>4.4999999999999998E-2</v>
      </c>
      <c r="AK794" s="318">
        <f t="shared" si="522"/>
        <v>19530.450000000026</v>
      </c>
      <c r="AL794" s="193">
        <f>126*10+80*15</f>
        <v>2460</v>
      </c>
      <c r="AM794" s="193">
        <f>AH794*Y794</f>
        <v>1203.498</v>
      </c>
      <c r="AN794" s="319">
        <v>0</v>
      </c>
      <c r="AO794" s="320">
        <f t="shared" si="524"/>
        <v>1620</v>
      </c>
      <c r="AP794" s="193"/>
      <c r="AQ794" s="318">
        <v>0</v>
      </c>
      <c r="AR794" s="318">
        <f t="shared" si="525"/>
        <v>24813.948000000026</v>
      </c>
      <c r="AS794" s="325">
        <f t="shared" si="526"/>
        <v>26055</v>
      </c>
      <c r="AT794" s="321">
        <v>20</v>
      </c>
      <c r="AU794" s="136"/>
      <c r="AV794" s="136"/>
      <c r="AW794" s="318">
        <f t="shared" si="527"/>
        <v>3910</v>
      </c>
      <c r="AX794" s="193"/>
      <c r="AY794" s="318">
        <f t="shared" si="528"/>
        <v>3910</v>
      </c>
      <c r="AZ794" s="318">
        <f t="shared" si="529"/>
        <v>3910</v>
      </c>
      <c r="BA794" s="318">
        <f t="shared" si="530"/>
        <v>0</v>
      </c>
      <c r="BB794" s="318">
        <f t="shared" si="531"/>
        <v>7.82</v>
      </c>
      <c r="BC794" s="318">
        <v>0</v>
      </c>
      <c r="BD794" s="193"/>
      <c r="BE794" s="309">
        <v>102.1</v>
      </c>
      <c r="BF794" s="321">
        <f t="shared" si="532"/>
        <v>0.15314999999999998</v>
      </c>
      <c r="BG794" s="197">
        <f t="shared" si="521"/>
        <v>101.94685</v>
      </c>
      <c r="BH794" s="321">
        <f t="shared" si="533"/>
        <v>39.1</v>
      </c>
      <c r="BI794" s="322">
        <f t="shared" si="534"/>
        <v>6299.9999999999991</v>
      </c>
      <c r="BJ794" s="322">
        <v>0</v>
      </c>
      <c r="BK794" s="318">
        <f t="shared" si="535"/>
        <v>6299.9999999999991</v>
      </c>
      <c r="BL794" s="67"/>
      <c r="BM794" s="68" t="str">
        <f t="shared" si="536"/>
        <v>Unloading no. 768 ,A Bill No 2026-27/0087 ,Deduction For Oil Deduction= 19530.45 ,Bardana= 2460 ,F.M= 1203.498 Brokerage/Rate Difference 0 ,Shortage = 1620 ,Greenish=  ,Moisture= 0</v>
      </c>
      <c r="BN794" s="69"/>
      <c r="BO794" s="70" t="str">
        <f t="shared" si="537"/>
        <v xml:space="preserve"> Party Condition 42  ,F.M% 0.38 ,Greenish 4 ,Moisture 4.5 ,Shortage in KG= 20  ,Oil% 39.41</v>
      </c>
      <c r="BP794" s="71">
        <f t="shared" si="538"/>
        <v>7465.3721739130424</v>
      </c>
      <c r="BQ794" s="69"/>
      <c r="BX794" s="27">
        <v>39.5</v>
      </c>
      <c r="BY794" s="27">
        <v>39.409999999999997</v>
      </c>
    </row>
    <row r="795" spans="1:77" ht="14.1" hidden="1" customHeight="1" x14ac:dyDescent="0.3">
      <c r="A795" s="138" t="s">
        <v>1613</v>
      </c>
      <c r="B795" s="146">
        <v>46175</v>
      </c>
      <c r="C795" s="190" t="s">
        <v>1625</v>
      </c>
      <c r="D795" s="135" t="s">
        <v>1653</v>
      </c>
      <c r="E795" s="129">
        <v>46177</v>
      </c>
      <c r="F795" s="138" t="s">
        <v>1575</v>
      </c>
      <c r="G795" s="163" t="s">
        <v>1576</v>
      </c>
      <c r="H795" s="128" t="s">
        <v>103</v>
      </c>
      <c r="I795" s="136"/>
      <c r="J795" s="347" t="s">
        <v>1455</v>
      </c>
      <c r="K795" s="136"/>
      <c r="L795" s="146">
        <v>46175</v>
      </c>
      <c r="M795" s="136"/>
      <c r="N795" s="128" t="s">
        <v>1714</v>
      </c>
      <c r="O795" s="146">
        <v>46177</v>
      </c>
      <c r="P795" s="138">
        <v>0</v>
      </c>
      <c r="Q795" s="138">
        <v>126</v>
      </c>
      <c r="R795" s="138">
        <v>1</v>
      </c>
      <c r="S795" s="138">
        <v>127</v>
      </c>
      <c r="T795" s="138">
        <v>127</v>
      </c>
      <c r="U795" s="136"/>
      <c r="V795" s="136"/>
      <c r="W795" s="147">
        <v>63</v>
      </c>
      <c r="X795" s="147">
        <v>63</v>
      </c>
      <c r="Y795" s="148">
        <v>510300</v>
      </c>
      <c r="Z795" s="169"/>
      <c r="AA795" s="148">
        <v>12757.5</v>
      </c>
      <c r="AB795" s="148">
        <v>12757.5</v>
      </c>
      <c r="AC795" s="148">
        <v>535815</v>
      </c>
      <c r="AD795" s="315">
        <f t="shared" si="520"/>
        <v>535279.18500000006</v>
      </c>
      <c r="AE795" s="147">
        <v>39.5</v>
      </c>
      <c r="AF795" s="147">
        <v>42</v>
      </c>
      <c r="AG795" s="147">
        <v>39.409999999999997</v>
      </c>
      <c r="AH795" s="292">
        <v>3.8E-3</v>
      </c>
      <c r="AI795" s="287">
        <v>0.04</v>
      </c>
      <c r="AJ795" s="287">
        <v>4.4999999999999998E-2</v>
      </c>
      <c r="AK795" s="318">
        <f t="shared" si="522"/>
        <v>31468.50000000004</v>
      </c>
      <c r="AL795" s="193">
        <v>0</v>
      </c>
      <c r="AM795" s="193">
        <f>AH795*Y795</f>
        <v>1939.14</v>
      </c>
      <c r="AN795" s="319">
        <v>0</v>
      </c>
      <c r="AO795" s="320">
        <f t="shared" si="524"/>
        <v>0</v>
      </c>
      <c r="AP795" s="193"/>
      <c r="AQ795" s="318">
        <v>0</v>
      </c>
      <c r="AR795" s="318">
        <f t="shared" si="525"/>
        <v>33407.640000000043</v>
      </c>
      <c r="AS795" s="325">
        <f t="shared" si="526"/>
        <v>35078</v>
      </c>
      <c r="AT795" s="321">
        <v>0</v>
      </c>
      <c r="AU795" s="136"/>
      <c r="AV795" s="136"/>
      <c r="AW795" s="318">
        <f t="shared" si="527"/>
        <v>6300</v>
      </c>
      <c r="AX795" s="193"/>
      <c r="AY795" s="318">
        <f t="shared" si="528"/>
        <v>6300</v>
      </c>
      <c r="AZ795" s="318">
        <f t="shared" si="529"/>
        <v>6300</v>
      </c>
      <c r="BA795" s="318">
        <f t="shared" si="530"/>
        <v>0</v>
      </c>
      <c r="BB795" s="318">
        <f t="shared" si="531"/>
        <v>12.6</v>
      </c>
      <c r="BC795" s="318">
        <v>0</v>
      </c>
      <c r="BD795" s="193"/>
      <c r="BE795" s="309">
        <v>102.1</v>
      </c>
      <c r="BF795" s="321">
        <f t="shared" si="532"/>
        <v>0.15314999999999998</v>
      </c>
      <c r="BG795" s="197">
        <f t="shared" si="521"/>
        <v>101.94685</v>
      </c>
      <c r="BH795" s="321">
        <f t="shared" si="533"/>
        <v>63</v>
      </c>
      <c r="BI795" s="322">
        <f t="shared" si="534"/>
        <v>3909.9999999999995</v>
      </c>
      <c r="BJ795" s="322">
        <v>0</v>
      </c>
      <c r="BK795" s="318">
        <f t="shared" si="535"/>
        <v>3909.9999999999995</v>
      </c>
      <c r="BL795" s="67"/>
      <c r="BM795" s="68" t="str">
        <f t="shared" si="536"/>
        <v>Unloading no. 768, B Bill No 2026-27/0087 ,Deduction For Oil Deduction= 31468.5 ,Bardana= 0 ,F.M= 1939.14 Brokerage/Rate Difference 0 ,Shortage = 0 ,Greenish=  ,Moisture= 0</v>
      </c>
      <c r="BN795" s="69"/>
      <c r="BO795" s="70" t="str">
        <f t="shared" si="537"/>
        <v xml:space="preserve"> Party Condition 42  ,F.M% 0.38 ,Greenish 4 ,Moisture 4.5 ,Shortage in KG= 0  ,Oil% 39.41</v>
      </c>
      <c r="BP795" s="71">
        <f t="shared" si="538"/>
        <v>7569.7199999999993</v>
      </c>
      <c r="BQ795" s="69"/>
      <c r="BX795" s="27">
        <v>39.5</v>
      </c>
      <c r="BY795" s="27">
        <v>39.409999999999997</v>
      </c>
    </row>
    <row r="796" spans="1:77" ht="14.1" hidden="1" customHeight="1" x14ac:dyDescent="0.3">
      <c r="A796" s="138" t="s">
        <v>1539</v>
      </c>
      <c r="B796" s="146">
        <v>46174</v>
      </c>
      <c r="C796" s="138">
        <v>769</v>
      </c>
      <c r="D796" s="352" t="s">
        <v>1654</v>
      </c>
      <c r="E796" s="353">
        <v>46177</v>
      </c>
      <c r="F796" s="354" t="s">
        <v>1144</v>
      </c>
      <c r="G796" s="360" t="s">
        <v>1145</v>
      </c>
      <c r="H796" s="160" t="s">
        <v>100</v>
      </c>
      <c r="I796" s="136"/>
      <c r="J796" s="138" t="s">
        <v>1146</v>
      </c>
      <c r="K796" s="136"/>
      <c r="L796" s="146">
        <v>46174</v>
      </c>
      <c r="M796" s="136"/>
      <c r="N796" s="128" t="s">
        <v>1715</v>
      </c>
      <c r="O796" s="146">
        <v>46177</v>
      </c>
      <c r="P796" s="138">
        <v>0</v>
      </c>
      <c r="Q796" s="138">
        <v>160</v>
      </c>
      <c r="R796" s="138">
        <v>0</v>
      </c>
      <c r="S796" s="138">
        <v>160</v>
      </c>
      <c r="T796" s="138">
        <v>160</v>
      </c>
      <c r="U796" s="136"/>
      <c r="V796" s="136"/>
      <c r="W796" s="147">
        <v>95</v>
      </c>
      <c r="X796" s="147">
        <v>94.3</v>
      </c>
      <c r="Y796" s="148">
        <v>760000</v>
      </c>
      <c r="Z796" s="236">
        <v>40.07</v>
      </c>
      <c r="AA796" s="148">
        <v>19000</v>
      </c>
      <c r="AB796" s="305">
        <v>19000</v>
      </c>
      <c r="AC796" s="305">
        <v>798000</v>
      </c>
      <c r="AD796" s="339">
        <f t="shared" si="520"/>
        <v>797202</v>
      </c>
      <c r="AE796" s="178">
        <v>40.07</v>
      </c>
      <c r="AF796" s="178">
        <v>42</v>
      </c>
      <c r="AG796" s="178">
        <v>40.07</v>
      </c>
      <c r="AH796" s="308">
        <v>3.8E-3</v>
      </c>
      <c r="AI796" s="308">
        <v>4.3999999999999997E-2</v>
      </c>
      <c r="AJ796" s="287">
        <v>4.7E-2</v>
      </c>
      <c r="AK796" s="318">
        <f t="shared" si="522"/>
        <v>34923.809523809519</v>
      </c>
      <c r="AL796" s="193">
        <v>0</v>
      </c>
      <c r="AM796" s="193"/>
      <c r="AN796" s="319">
        <v>0</v>
      </c>
      <c r="AO796" s="320">
        <f t="shared" si="524"/>
        <v>4080</v>
      </c>
      <c r="AP796" s="193"/>
      <c r="AQ796" s="318">
        <v>0</v>
      </c>
      <c r="AR796" s="318">
        <f t="shared" si="525"/>
        <v>39003.809523809519</v>
      </c>
      <c r="AS796" s="318">
        <f t="shared" si="526"/>
        <v>40954</v>
      </c>
      <c r="AT796" s="321">
        <v>51</v>
      </c>
      <c r="AU796" s="136"/>
      <c r="AV796" s="136"/>
      <c r="AW796" s="318">
        <f t="shared" si="527"/>
        <v>9500</v>
      </c>
      <c r="AX796" s="193"/>
      <c r="AY796" s="318">
        <f t="shared" si="528"/>
        <v>9500</v>
      </c>
      <c r="AZ796" s="318">
        <f t="shared" si="529"/>
        <v>9430</v>
      </c>
      <c r="BA796" s="318">
        <f t="shared" si="530"/>
        <v>70</v>
      </c>
      <c r="BB796" s="318">
        <f t="shared" si="531"/>
        <v>19</v>
      </c>
      <c r="BC796" s="318">
        <v>0</v>
      </c>
      <c r="BD796" s="193"/>
      <c r="BE796" s="309">
        <v>102.1</v>
      </c>
      <c r="BF796" s="321">
        <f t="shared" si="532"/>
        <v>0.15314999999999998</v>
      </c>
      <c r="BG796" s="197">
        <f t="shared" si="521"/>
        <v>101.94685</v>
      </c>
      <c r="BH796" s="321">
        <f t="shared" si="533"/>
        <v>94.3</v>
      </c>
      <c r="BI796" s="322">
        <f t="shared" si="534"/>
        <v>779.99999999999977</v>
      </c>
      <c r="BJ796" s="322">
        <v>0</v>
      </c>
      <c r="BK796" s="318">
        <f t="shared" si="535"/>
        <v>779.99999999999977</v>
      </c>
      <c r="BL796" s="67"/>
      <c r="BM796" s="68" t="str">
        <f t="shared" si="536"/>
        <v>Unloading no. 769 Bill No 2026-27/178 ,Deduction For Oil Deduction= 34923.8095238095 ,Bardana= 0 ,F.M=  Brokerage/Rate Difference 0 ,Shortage = 4080 ,Greenish=  ,Moisture= 0</v>
      </c>
      <c r="BN796" s="69"/>
      <c r="BO796" s="70" t="str">
        <f t="shared" si="537"/>
        <v xml:space="preserve"> Party Condition 42  ,F.M% 0.38 ,Greenish 4.4 ,Moisture 4.7 ,Shortage in KG= 51  ,Oil% 40.07</v>
      </c>
      <c r="BP796" s="71">
        <f t="shared" si="538"/>
        <v>7645.7708428015967</v>
      </c>
      <c r="BQ796" s="69"/>
      <c r="BX796" s="27">
        <v>39.78</v>
      </c>
      <c r="BY796" s="27">
        <v>39.65</v>
      </c>
    </row>
    <row r="797" spans="1:77" ht="14.1" hidden="1" customHeight="1" x14ac:dyDescent="0.3">
      <c r="A797" s="138" t="s">
        <v>1539</v>
      </c>
      <c r="B797" s="146">
        <v>46174</v>
      </c>
      <c r="C797" s="138">
        <v>770</v>
      </c>
      <c r="D797" s="135" t="s">
        <v>1655</v>
      </c>
      <c r="E797" s="162">
        <v>46178</v>
      </c>
      <c r="F797" s="187" t="s">
        <v>1144</v>
      </c>
      <c r="G797" s="163" t="s">
        <v>1145</v>
      </c>
      <c r="H797" s="163" t="s">
        <v>100</v>
      </c>
      <c r="I797" s="157"/>
      <c r="J797" s="187" t="s">
        <v>1146</v>
      </c>
      <c r="K797" s="157"/>
      <c r="L797" s="171">
        <v>46174</v>
      </c>
      <c r="M797" s="157"/>
      <c r="N797" s="163" t="s">
        <v>1716</v>
      </c>
      <c r="O797" s="146">
        <v>46177</v>
      </c>
      <c r="P797" s="138">
        <v>0</v>
      </c>
      <c r="Q797" s="138">
        <v>110</v>
      </c>
      <c r="R797" s="138">
        <v>40</v>
      </c>
      <c r="S797" s="138">
        <v>150</v>
      </c>
      <c r="T797" s="138">
        <v>150</v>
      </c>
      <c r="U797" s="136"/>
      <c r="V797" s="136"/>
      <c r="W797" s="361">
        <v>89.6</v>
      </c>
      <c r="X797" s="361">
        <v>89.5</v>
      </c>
      <c r="Y797" s="361">
        <v>716800</v>
      </c>
      <c r="Z797" s="362">
        <v>38.770000000000003</v>
      </c>
      <c r="AA797" s="361">
        <v>17920</v>
      </c>
      <c r="AB797" s="148">
        <v>17920</v>
      </c>
      <c r="AC797" s="148">
        <v>752640</v>
      </c>
      <c r="AD797" s="315">
        <f t="shared" si="520"/>
        <v>751887.35999999999</v>
      </c>
      <c r="AE797" s="147">
        <v>38.770000000000003</v>
      </c>
      <c r="AF797" s="147">
        <v>42</v>
      </c>
      <c r="AG797" s="147">
        <v>38.770000000000003</v>
      </c>
      <c r="AH797" s="287">
        <v>4.0000000000000001E-3</v>
      </c>
      <c r="AI797" s="287">
        <v>4.3999999999999997E-2</v>
      </c>
      <c r="AJ797" s="363">
        <v>4.7E-2</v>
      </c>
      <c r="AK797" s="364">
        <f t="shared" si="522"/>
        <v>55125.333333333285</v>
      </c>
      <c r="AL797" s="193">
        <v>0</v>
      </c>
      <c r="AM797" s="193"/>
      <c r="AN797" s="319">
        <v>0</v>
      </c>
      <c r="AO797" s="320">
        <f t="shared" si="524"/>
        <v>0</v>
      </c>
      <c r="AP797" s="193"/>
      <c r="AQ797" s="318">
        <v>0</v>
      </c>
      <c r="AR797" s="318">
        <f t="shared" si="525"/>
        <v>55125.333333333285</v>
      </c>
      <c r="AS797" s="318">
        <f t="shared" si="526"/>
        <v>57882</v>
      </c>
      <c r="AT797" s="321">
        <v>0</v>
      </c>
      <c r="AU797" s="136"/>
      <c r="AV797" s="136"/>
      <c r="AW797" s="318">
        <f t="shared" si="527"/>
        <v>8960</v>
      </c>
      <c r="AX797" s="193"/>
      <c r="AY797" s="318">
        <f t="shared" si="528"/>
        <v>8960</v>
      </c>
      <c r="AZ797" s="318">
        <f t="shared" si="529"/>
        <v>8950</v>
      </c>
      <c r="BA797" s="318">
        <f t="shared" si="530"/>
        <v>10</v>
      </c>
      <c r="BB797" s="318">
        <f t="shared" si="531"/>
        <v>17.920000000000002</v>
      </c>
      <c r="BC797" s="318">
        <v>0</v>
      </c>
      <c r="BD797" s="193"/>
      <c r="BE797" s="309">
        <v>102.1</v>
      </c>
      <c r="BF797" s="321">
        <f t="shared" si="532"/>
        <v>0.15314999999999998</v>
      </c>
      <c r="BG797" s="197">
        <f t="shared" si="521"/>
        <v>101.94685</v>
      </c>
      <c r="BH797" s="321">
        <f t="shared" si="533"/>
        <v>89.5</v>
      </c>
      <c r="BI797" s="322">
        <f t="shared" si="534"/>
        <v>1259.9999999999995</v>
      </c>
      <c r="BJ797" s="322">
        <v>0</v>
      </c>
      <c r="BK797" s="318">
        <f t="shared" si="535"/>
        <v>1259.9999999999995</v>
      </c>
      <c r="BL797" s="67"/>
      <c r="BM797" s="68" t="str">
        <f t="shared" si="536"/>
        <v>Unloading no. 770 Bill No 2026-27/181 ,Deduction For Oil Deduction= 55125.3333333333 ,Bardana= 0 ,F.M=  Brokerage/Rate Difference 0 ,Shortage = 0 ,Greenish=  ,Moisture= 0</v>
      </c>
      <c r="BN797" s="69"/>
      <c r="BO797" s="70" t="str">
        <f t="shared" si="537"/>
        <v xml:space="preserve"> Party Condition 42  ,F.M% 0.4 ,Greenish 4.4 ,Moisture 4.7 ,Shortage in KG= 0  ,Oil% 38.77</v>
      </c>
      <c r="BP797" s="71">
        <f t="shared" si="538"/>
        <v>7393.0130353817513</v>
      </c>
      <c r="BQ797" s="69"/>
      <c r="BX797" s="27">
        <v>39.409999999999997</v>
      </c>
      <c r="BY797" s="27">
        <v>39.46</v>
      </c>
    </row>
    <row r="798" spans="1:77" ht="14.1" hidden="1" customHeight="1" x14ac:dyDescent="0.3">
      <c r="A798" s="138" t="s">
        <v>1613</v>
      </c>
      <c r="B798" s="146">
        <v>46175</v>
      </c>
      <c r="C798" s="138">
        <v>771</v>
      </c>
      <c r="D798" s="135" t="s">
        <v>1656</v>
      </c>
      <c r="E798" s="129">
        <v>46177</v>
      </c>
      <c r="F798" s="138" t="s">
        <v>1575</v>
      </c>
      <c r="G798" s="163" t="s">
        <v>1576</v>
      </c>
      <c r="H798" s="128" t="s">
        <v>103</v>
      </c>
      <c r="I798" s="136"/>
      <c r="J798" s="347" t="s">
        <v>1455</v>
      </c>
      <c r="K798" s="136"/>
      <c r="L798" s="146">
        <v>46175</v>
      </c>
      <c r="M798" s="136"/>
      <c r="N798" s="128" t="s">
        <v>1717</v>
      </c>
      <c r="O798" s="146">
        <v>46177</v>
      </c>
      <c r="P798" s="138">
        <v>0</v>
      </c>
      <c r="Q798" s="138">
        <v>190</v>
      </c>
      <c r="R798" s="138">
        <v>0</v>
      </c>
      <c r="S798" s="138">
        <v>190</v>
      </c>
      <c r="T798" s="138">
        <v>190</v>
      </c>
      <c r="U798" s="136"/>
      <c r="V798" s="136"/>
      <c r="W798" s="147">
        <v>93.1</v>
      </c>
      <c r="X798" s="147">
        <v>93.2</v>
      </c>
      <c r="Y798" s="148">
        <v>754110</v>
      </c>
      <c r="Z798" s="169"/>
      <c r="AA798" s="148">
        <v>18852.75</v>
      </c>
      <c r="AB798" s="365">
        <v>18852.75</v>
      </c>
      <c r="AC798" s="365">
        <v>791815.5</v>
      </c>
      <c r="AD798" s="366">
        <f t="shared" si="520"/>
        <v>791023.68449999997</v>
      </c>
      <c r="AE798" s="367">
        <v>39.86</v>
      </c>
      <c r="AF798" s="368">
        <v>42</v>
      </c>
      <c r="AG798" s="367">
        <v>39.78</v>
      </c>
      <c r="AH798" s="369">
        <v>3.7000000000000002E-3</v>
      </c>
      <c r="AI798" s="370">
        <v>4.4999999999999998E-2</v>
      </c>
      <c r="AJ798" s="287">
        <v>4.5999999999999999E-2</v>
      </c>
      <c r="AK798" s="318">
        <f t="shared" si="522"/>
        <v>39860.099999999984</v>
      </c>
      <c r="AL798" s="193">
        <f>190*10</f>
        <v>1900</v>
      </c>
      <c r="AM798" s="193">
        <f>AH798*Y798</f>
        <v>2790.2070000000003</v>
      </c>
      <c r="AN798" s="319">
        <v>0</v>
      </c>
      <c r="AO798" s="320">
        <f t="shared" si="524"/>
        <v>0</v>
      </c>
      <c r="AP798" s="193"/>
      <c r="AQ798" s="318">
        <v>0</v>
      </c>
      <c r="AR798" s="318">
        <f t="shared" si="525"/>
        <v>44550.306999999986</v>
      </c>
      <c r="AS798" s="318">
        <f t="shared" si="526"/>
        <v>46778</v>
      </c>
      <c r="AT798" s="321">
        <v>0</v>
      </c>
      <c r="AU798" s="136"/>
      <c r="AV798" s="136"/>
      <c r="AW798" s="318">
        <f t="shared" si="527"/>
        <v>9310</v>
      </c>
      <c r="AX798" s="193"/>
      <c r="AY798" s="318">
        <f t="shared" si="528"/>
        <v>9310</v>
      </c>
      <c r="AZ798" s="318">
        <f t="shared" si="529"/>
        <v>9320</v>
      </c>
      <c r="BA798" s="318">
        <f t="shared" si="530"/>
        <v>-10</v>
      </c>
      <c r="BB798" s="318">
        <f t="shared" si="531"/>
        <v>18.62</v>
      </c>
      <c r="BC798" s="318">
        <v>0</v>
      </c>
      <c r="BD798" s="193"/>
      <c r="BE798" s="309">
        <v>102.1</v>
      </c>
      <c r="BF798" s="321">
        <f t="shared" si="532"/>
        <v>0.15314999999999998</v>
      </c>
      <c r="BG798" s="197">
        <f t="shared" si="521"/>
        <v>101.94685</v>
      </c>
      <c r="BH798" s="321">
        <f t="shared" si="533"/>
        <v>93.2</v>
      </c>
      <c r="BI798" s="322">
        <f t="shared" si="534"/>
        <v>889.99999999999909</v>
      </c>
      <c r="BJ798" s="322">
        <v>0</v>
      </c>
      <c r="BK798" s="318">
        <f t="shared" si="535"/>
        <v>889.99999999999909</v>
      </c>
      <c r="BL798" s="67"/>
      <c r="BM798" s="68" t="str">
        <f t="shared" si="536"/>
        <v>Unloading no. 771 Bill No 2026-27/0086 ,Deduction For Oil Deduction= 39860.1 ,Bardana= 1900 ,F.M= 2790.207 Brokerage/Rate Difference 0 ,Shortage = 0 ,Greenish=  ,Moisture= 0</v>
      </c>
      <c r="BN798" s="69"/>
      <c r="BO798" s="70" t="str">
        <f t="shared" si="537"/>
        <v xml:space="preserve"> Party Condition 42  ,F.M% 0.37 ,Greenish 4.5 ,Moisture 4.6 ,Shortage in KG= 0  ,Oil% 39.78</v>
      </c>
      <c r="BP798" s="71">
        <f t="shared" si="538"/>
        <v>7613.3014270386257</v>
      </c>
      <c r="BQ798" s="69"/>
      <c r="BX798" s="27">
        <v>39.86</v>
      </c>
      <c r="BY798" s="27">
        <v>39.78</v>
      </c>
    </row>
    <row r="799" spans="1:77" ht="14.1" hidden="1" customHeight="1" x14ac:dyDescent="0.3">
      <c r="A799" s="138" t="s">
        <v>1614</v>
      </c>
      <c r="B799" s="146">
        <v>46176</v>
      </c>
      <c r="C799" s="138">
        <v>772</v>
      </c>
      <c r="D799" s="135" t="s">
        <v>1657</v>
      </c>
      <c r="E799" s="162">
        <v>46178</v>
      </c>
      <c r="F799" s="187" t="s">
        <v>1512</v>
      </c>
      <c r="G799" s="163" t="s">
        <v>1513</v>
      </c>
      <c r="H799" s="163" t="s">
        <v>1514</v>
      </c>
      <c r="I799" s="157"/>
      <c r="J799" s="187" t="s">
        <v>1455</v>
      </c>
      <c r="K799" s="157"/>
      <c r="L799" s="171">
        <v>46176</v>
      </c>
      <c r="M799" s="157"/>
      <c r="N799" s="163">
        <v>30</v>
      </c>
      <c r="O799" s="146">
        <v>46176</v>
      </c>
      <c r="P799" s="138">
        <v>0</v>
      </c>
      <c r="Q799" s="138">
        <v>350</v>
      </c>
      <c r="R799" s="138">
        <v>145</v>
      </c>
      <c r="S799" s="138">
        <v>495</v>
      </c>
      <c r="T799" s="138">
        <v>495</v>
      </c>
      <c r="U799" s="136"/>
      <c r="V799" s="136"/>
      <c r="W799" s="361">
        <v>301.60000000000002</v>
      </c>
      <c r="X799" s="361">
        <v>301.39999999999998</v>
      </c>
      <c r="Y799" s="361">
        <f>2429840.4-1960.4</f>
        <v>2427880</v>
      </c>
      <c r="Z799" s="371"/>
      <c r="AA799" s="361">
        <v>60746.01</v>
      </c>
      <c r="AB799" s="148">
        <v>60746.01</v>
      </c>
      <c r="AC799" s="148">
        <v>2551332.42</v>
      </c>
      <c r="AD799" s="315">
        <f t="shared" si="520"/>
        <v>2548781.0875800001</v>
      </c>
      <c r="AE799" s="147">
        <v>37.979999999999997</v>
      </c>
      <c r="AF799" s="147">
        <v>42</v>
      </c>
      <c r="AG799" s="147">
        <v>37.93</v>
      </c>
      <c r="AH799" s="292">
        <v>4.4999999999999997E-3</v>
      </c>
      <c r="AI799" s="287">
        <v>4.8000000000000001E-2</v>
      </c>
      <c r="AJ799" s="363">
        <v>4.9000000000000002E-2</v>
      </c>
      <c r="AK799" s="364">
        <f t="shared" si="522"/>
        <v>235273.13333333336</v>
      </c>
      <c r="AL799" s="193">
        <f>350*10+145*15</f>
        <v>5675</v>
      </c>
      <c r="AM799" s="193">
        <f>Y799*AH799</f>
        <v>10925.46</v>
      </c>
      <c r="AN799" s="324">
        <v>1960.4</v>
      </c>
      <c r="AO799" s="320">
        <f t="shared" si="524"/>
        <v>1609.9999999999998</v>
      </c>
      <c r="AP799" s="193"/>
      <c r="AQ799" s="318">
        <v>0</v>
      </c>
      <c r="AR799" s="318">
        <f t="shared" si="525"/>
        <v>255443.99333333335</v>
      </c>
      <c r="AS799" s="318">
        <f t="shared" si="526"/>
        <v>268216</v>
      </c>
      <c r="AT799" s="321">
        <v>20</v>
      </c>
      <c r="AU799" s="136" t="s">
        <v>1535</v>
      </c>
      <c r="AV799" s="136"/>
      <c r="AW799" s="318">
        <f t="shared" si="527"/>
        <v>30160.000000000004</v>
      </c>
      <c r="AX799" s="193"/>
      <c r="AY799" s="318">
        <f t="shared" si="528"/>
        <v>30160.000000000004</v>
      </c>
      <c r="AZ799" s="318">
        <f t="shared" si="529"/>
        <v>30139.999999999996</v>
      </c>
      <c r="BA799" s="318">
        <f t="shared" si="530"/>
        <v>20.000000000007276</v>
      </c>
      <c r="BB799" s="318">
        <f t="shared" si="531"/>
        <v>60.320000000000007</v>
      </c>
      <c r="BC799" s="318">
        <v>0</v>
      </c>
      <c r="BD799" s="193"/>
      <c r="BE799" s="309">
        <v>102.1</v>
      </c>
      <c r="BF799" s="321">
        <f t="shared" si="532"/>
        <v>0.15314999999999998</v>
      </c>
      <c r="BG799" s="197">
        <f t="shared" si="521"/>
        <v>101.94685</v>
      </c>
      <c r="BH799" s="321">
        <f t="shared" si="533"/>
        <v>301.39999999999998</v>
      </c>
      <c r="BI799" s="322">
        <f t="shared" si="534"/>
        <v>-19930</v>
      </c>
      <c r="BJ799" s="322">
        <v>0</v>
      </c>
      <c r="BK799" s="318">
        <f t="shared" si="535"/>
        <v>-19930</v>
      </c>
      <c r="BL799" s="67"/>
      <c r="BM799" s="68" t="str">
        <f t="shared" si="536"/>
        <v>Unloading no. 772 Bill No 30 ,Deduction For Oil Deduction= 235273.133333333 ,Bardana= 5675 ,F.M= 10925.46 Brokerage/Rate Difference 1960.4 ,Shortage = 1610 ,Greenish=  ,Moisture= 0</v>
      </c>
      <c r="BN799" s="69"/>
      <c r="BO799" s="70" t="str">
        <f t="shared" si="537"/>
        <v xml:space="preserve"> Party Condition 42  ,F.M% 0.45 ,Greenish 4.8 ,Moisture 4.9 ,Shortage in KG= 20  ,Oil% 37.93</v>
      </c>
      <c r="BP799" s="71">
        <f t="shared" si="538"/>
        <v>7207.8168767971702</v>
      </c>
      <c r="BQ799" s="69"/>
      <c r="BX799" s="27">
        <v>37.979999999999997</v>
      </c>
      <c r="BY799" s="27">
        <v>37.93</v>
      </c>
    </row>
    <row r="800" spans="1:77" ht="14.1" hidden="1" customHeight="1" x14ac:dyDescent="0.3">
      <c r="A800" s="138" t="s">
        <v>1615</v>
      </c>
      <c r="B800" s="146">
        <v>46175</v>
      </c>
      <c r="C800" s="138">
        <v>773</v>
      </c>
      <c r="D800" s="135" t="s">
        <v>1658</v>
      </c>
      <c r="E800" s="162">
        <v>46178</v>
      </c>
      <c r="F800" s="187" t="s">
        <v>1382</v>
      </c>
      <c r="G800" s="163" t="s">
        <v>1383</v>
      </c>
      <c r="H800" s="163" t="s">
        <v>1384</v>
      </c>
      <c r="I800" s="157"/>
      <c r="J800" s="187" t="s">
        <v>1455</v>
      </c>
      <c r="K800" s="157"/>
      <c r="L800" s="171">
        <v>46175</v>
      </c>
      <c r="M800" s="157"/>
      <c r="N800" s="163">
        <v>13</v>
      </c>
      <c r="O800" s="146">
        <v>46176</v>
      </c>
      <c r="P800" s="138">
        <v>0</v>
      </c>
      <c r="Q800" s="138">
        <v>200</v>
      </c>
      <c r="R800" s="138">
        <v>300</v>
      </c>
      <c r="S800" s="138">
        <v>500</v>
      </c>
      <c r="T800" s="138">
        <v>500</v>
      </c>
      <c r="U800" s="136"/>
      <c r="V800" s="136"/>
      <c r="W800" s="148">
        <v>312.10000000000002</v>
      </c>
      <c r="X800" s="148">
        <v>311.5</v>
      </c>
      <c r="Y800" s="148">
        <v>2512405</v>
      </c>
      <c r="Z800" s="169"/>
      <c r="AA800" s="148">
        <v>62810.13</v>
      </c>
      <c r="AB800" s="148">
        <v>62810.13</v>
      </c>
      <c r="AC800" s="148">
        <v>2638025.25</v>
      </c>
      <c r="AD800" s="315">
        <f t="shared" si="520"/>
        <v>2635387.2247500001</v>
      </c>
      <c r="AE800" s="147">
        <v>41.09</v>
      </c>
      <c r="AF800" s="147">
        <v>42</v>
      </c>
      <c r="AG800" s="147">
        <v>40.93</v>
      </c>
      <c r="AH800" s="292">
        <v>4.1999999999999997E-3</v>
      </c>
      <c r="AI800" s="287">
        <v>3.3799999999999997E-2</v>
      </c>
      <c r="AJ800" s="287">
        <v>4.3999999999999997E-2</v>
      </c>
      <c r="AK800" s="318">
        <f t="shared" si="522"/>
        <v>64006.508333333346</v>
      </c>
      <c r="AL800" s="193">
        <f>200*10+300*15</f>
        <v>6500</v>
      </c>
      <c r="AM800" s="193">
        <f>Y800*AH800</f>
        <v>10552.100999999999</v>
      </c>
      <c r="AN800" s="319">
        <v>0</v>
      </c>
      <c r="AO800" s="320">
        <f t="shared" si="524"/>
        <v>4829.9999999999991</v>
      </c>
      <c r="AP800" s="193"/>
      <c r="AQ800" s="318">
        <v>0</v>
      </c>
      <c r="AR800" s="318">
        <f t="shared" si="525"/>
        <v>85888.609333333341</v>
      </c>
      <c r="AS800" s="318">
        <f t="shared" si="526"/>
        <v>90183</v>
      </c>
      <c r="AT800" s="321">
        <v>60</v>
      </c>
      <c r="AU800" s="136"/>
      <c r="AV800" s="136"/>
      <c r="AW800" s="318">
        <f t="shared" si="527"/>
        <v>31210.000000000004</v>
      </c>
      <c r="AX800" s="193"/>
      <c r="AY800" s="318">
        <f t="shared" si="528"/>
        <v>31210.000000000004</v>
      </c>
      <c r="AZ800" s="318">
        <f t="shared" si="529"/>
        <v>31150</v>
      </c>
      <c r="BA800" s="318">
        <f t="shared" si="530"/>
        <v>60.000000000003638</v>
      </c>
      <c r="BB800" s="318">
        <f t="shared" si="531"/>
        <v>62.420000000000009</v>
      </c>
      <c r="BC800" s="318">
        <v>0</v>
      </c>
      <c r="BD800" s="193"/>
      <c r="BE800" s="309">
        <v>102.1</v>
      </c>
      <c r="BF800" s="321">
        <f t="shared" si="532"/>
        <v>0.15314999999999998</v>
      </c>
      <c r="BG800" s="197">
        <f t="shared" si="521"/>
        <v>101.94685</v>
      </c>
      <c r="BH800" s="321">
        <f t="shared" si="533"/>
        <v>311.5</v>
      </c>
      <c r="BI800" s="322">
        <f t="shared" si="534"/>
        <v>-20940</v>
      </c>
      <c r="BJ800" s="322">
        <v>0</v>
      </c>
      <c r="BK800" s="318">
        <f t="shared" si="535"/>
        <v>-20940</v>
      </c>
      <c r="BL800" s="67"/>
      <c r="BM800" s="68" t="str">
        <f t="shared" si="536"/>
        <v>Unloading no. 773 Bill No 13 ,Deduction For Oil Deduction= 64006.5083333333 ,Bardana= 6500 ,F.M= 10552.101 Brokerage/Rate Difference 0 ,Shortage = 4830 ,Greenish=  ,Moisture= 0</v>
      </c>
      <c r="BN800" s="69"/>
      <c r="BO800" s="70" t="str">
        <f t="shared" si="537"/>
        <v xml:space="preserve"> Party Condition 42  ,F.M% 0.42 ,Greenish 3.38 ,Moisture 4.4 ,Shortage in KG= 60  ,Oil% 40.93</v>
      </c>
      <c r="BP800" s="71">
        <f t="shared" si="538"/>
        <v>7789.7797453183512</v>
      </c>
      <c r="BQ800" s="69"/>
      <c r="BX800" s="27">
        <v>41.09</v>
      </c>
      <c r="BY800" s="27">
        <v>40.93</v>
      </c>
    </row>
    <row r="801" spans="1:77" ht="14.1" hidden="1" customHeight="1" x14ac:dyDescent="0.3">
      <c r="A801" s="138" t="s">
        <v>1615</v>
      </c>
      <c r="B801" s="146">
        <v>46175</v>
      </c>
      <c r="C801" s="138">
        <v>774</v>
      </c>
      <c r="D801" s="135" t="s">
        <v>1659</v>
      </c>
      <c r="E801" s="162">
        <v>46178</v>
      </c>
      <c r="F801" s="187" t="s">
        <v>1382</v>
      </c>
      <c r="G801" s="163" t="s">
        <v>1383</v>
      </c>
      <c r="H801" s="163" t="s">
        <v>1384</v>
      </c>
      <c r="I801" s="157"/>
      <c r="J801" s="187" t="s">
        <v>1455</v>
      </c>
      <c r="K801" s="157"/>
      <c r="L801" s="171">
        <v>46175</v>
      </c>
      <c r="M801" s="157"/>
      <c r="N801" s="163">
        <v>14</v>
      </c>
      <c r="O801" s="146">
        <v>46176</v>
      </c>
      <c r="P801" s="138">
        <v>0</v>
      </c>
      <c r="Q801" s="138">
        <v>300</v>
      </c>
      <c r="R801" s="138">
        <v>200</v>
      </c>
      <c r="S801" s="138">
        <v>500</v>
      </c>
      <c r="T801" s="138">
        <v>500</v>
      </c>
      <c r="U801" s="136"/>
      <c r="V801" s="136"/>
      <c r="W801" s="148">
        <v>305.60000000000002</v>
      </c>
      <c r="X801" s="148">
        <v>305.89999999999998</v>
      </c>
      <c r="Y801" s="148">
        <v>2460080</v>
      </c>
      <c r="Z801" s="169"/>
      <c r="AA801" s="148">
        <v>61502</v>
      </c>
      <c r="AB801" s="148">
        <v>61502</v>
      </c>
      <c r="AC801" s="148">
        <v>2583084</v>
      </c>
      <c r="AD801" s="315">
        <f t="shared" si="520"/>
        <v>2580500.9160000002</v>
      </c>
      <c r="AE801" s="147">
        <v>40.31</v>
      </c>
      <c r="AF801" s="147">
        <v>42</v>
      </c>
      <c r="AG801" s="147">
        <v>40.15</v>
      </c>
      <c r="AH801" s="292">
        <v>4.1999999999999997E-3</v>
      </c>
      <c r="AI801" s="287">
        <v>3.4200000000000001E-2</v>
      </c>
      <c r="AJ801" s="287">
        <v>4.5999999999999999E-2</v>
      </c>
      <c r="AK801" s="318">
        <f t="shared" si="522"/>
        <v>108360.66666666674</v>
      </c>
      <c r="AL801" s="193">
        <f>300*10+200*15</f>
        <v>6000</v>
      </c>
      <c r="AM801" s="193">
        <f>Y801*AH801</f>
        <v>10332.335999999999</v>
      </c>
      <c r="AN801" s="319">
        <v>0</v>
      </c>
      <c r="AO801" s="320">
        <f t="shared" si="524"/>
        <v>0</v>
      </c>
      <c r="AP801" s="193"/>
      <c r="AQ801" s="318">
        <v>0</v>
      </c>
      <c r="AR801" s="318">
        <f t="shared" si="525"/>
        <v>124693.00266666674</v>
      </c>
      <c r="AS801" s="318">
        <f t="shared" si="526"/>
        <v>130928</v>
      </c>
      <c r="AT801" s="321">
        <v>0</v>
      </c>
      <c r="AU801" s="136"/>
      <c r="AV801" s="136"/>
      <c r="AW801" s="318">
        <f t="shared" si="527"/>
        <v>30560.000000000004</v>
      </c>
      <c r="AX801" s="193"/>
      <c r="AY801" s="318">
        <f t="shared" si="528"/>
        <v>30560.000000000004</v>
      </c>
      <c r="AZ801" s="318">
        <f t="shared" si="529"/>
        <v>30589.999999999996</v>
      </c>
      <c r="BA801" s="318">
        <f t="shared" si="530"/>
        <v>-29.999999999992724</v>
      </c>
      <c r="BB801" s="318">
        <f t="shared" si="531"/>
        <v>61.120000000000005</v>
      </c>
      <c r="BC801" s="318">
        <v>0</v>
      </c>
      <c r="BD801" s="193"/>
      <c r="BE801" s="309">
        <v>102.1</v>
      </c>
      <c r="BF801" s="321">
        <f t="shared" si="532"/>
        <v>0.15314999999999998</v>
      </c>
      <c r="BG801" s="197">
        <f t="shared" si="521"/>
        <v>101.94685</v>
      </c>
      <c r="BH801" s="321">
        <f t="shared" si="533"/>
        <v>305.89999999999998</v>
      </c>
      <c r="BI801" s="322">
        <f t="shared" si="534"/>
        <v>-20380</v>
      </c>
      <c r="BJ801" s="322">
        <v>0</v>
      </c>
      <c r="BK801" s="318">
        <f t="shared" si="535"/>
        <v>-20380</v>
      </c>
      <c r="BL801" s="67"/>
      <c r="BM801" s="68" t="str">
        <f t="shared" si="536"/>
        <v>Unloading no. 774 Bill No 14 ,Deduction For Oil Deduction= 108360.666666667 ,Bardana= 6000 ,F.M= 10332.336 Brokerage/Rate Difference 0 ,Shortage = 0 ,Greenish=  ,Moisture= 0</v>
      </c>
      <c r="BN801" s="69"/>
      <c r="BO801" s="70" t="str">
        <f t="shared" si="537"/>
        <v xml:space="preserve"> Party Condition 42  ,F.M% 0.42 ,Greenish 3.42 ,Moisture 4.6 ,Shortage in KG= 0  ,Oil% 40.15</v>
      </c>
      <c r="BP801" s="71">
        <f t="shared" si="538"/>
        <v>7634.4785790563374</v>
      </c>
      <c r="BQ801" s="69"/>
      <c r="BX801" s="27">
        <v>40.31</v>
      </c>
      <c r="BY801" s="27">
        <v>40.15</v>
      </c>
    </row>
    <row r="802" spans="1:77" ht="14.1" hidden="1" customHeight="1" x14ac:dyDescent="0.3">
      <c r="A802" s="138" t="s">
        <v>1539</v>
      </c>
      <c r="B802" s="146">
        <v>46174</v>
      </c>
      <c r="C802" s="138">
        <v>775</v>
      </c>
      <c r="D802" s="135" t="s">
        <v>1660</v>
      </c>
      <c r="E802" s="162">
        <v>46178</v>
      </c>
      <c r="F802" s="187" t="s">
        <v>1144</v>
      </c>
      <c r="G802" s="163" t="s">
        <v>1145</v>
      </c>
      <c r="H802" s="163" t="s">
        <v>100</v>
      </c>
      <c r="I802" s="157"/>
      <c r="J802" s="187" t="s">
        <v>1146</v>
      </c>
      <c r="K802" s="157"/>
      <c r="L802" s="171">
        <v>46174</v>
      </c>
      <c r="M802" s="157"/>
      <c r="N802" s="163" t="s">
        <v>1718</v>
      </c>
      <c r="O802" s="146">
        <v>46177</v>
      </c>
      <c r="P802" s="138">
        <v>0</v>
      </c>
      <c r="Q802" s="138">
        <v>140</v>
      </c>
      <c r="R802" s="138">
        <v>50</v>
      </c>
      <c r="S802" s="138">
        <v>190</v>
      </c>
      <c r="T802" s="138">
        <v>190</v>
      </c>
      <c r="U802" s="136"/>
      <c r="V802" s="136"/>
      <c r="W802" s="148">
        <v>95.6</v>
      </c>
      <c r="X802" s="148">
        <v>95.6</v>
      </c>
      <c r="Y802" s="148">
        <v>764800</v>
      </c>
      <c r="Z802" s="372">
        <v>39.869999999999997</v>
      </c>
      <c r="AA802" s="148">
        <v>19120</v>
      </c>
      <c r="AB802" s="148">
        <v>19120</v>
      </c>
      <c r="AC802" s="148">
        <v>803040</v>
      </c>
      <c r="AD802" s="315">
        <f t="shared" si="520"/>
        <v>802236.96</v>
      </c>
      <c r="AE802" s="147">
        <v>39.869999999999997</v>
      </c>
      <c r="AF802" s="147">
        <v>42</v>
      </c>
      <c r="AG802" s="147">
        <v>39.869999999999997</v>
      </c>
      <c r="AH802" s="287">
        <v>3.3999999999999998E-3</v>
      </c>
      <c r="AI802" s="287">
        <v>3.6999999999999998E-2</v>
      </c>
      <c r="AJ802" s="287">
        <v>4.2999999999999997E-2</v>
      </c>
      <c r="AK802" s="318">
        <f t="shared" si="522"/>
        <v>38786.285714285761</v>
      </c>
      <c r="AL802" s="193">
        <v>0</v>
      </c>
      <c r="AM802" s="193"/>
      <c r="AN802" s="319">
        <v>0</v>
      </c>
      <c r="AO802" s="320">
        <f t="shared" si="524"/>
        <v>0</v>
      </c>
      <c r="AP802" s="193"/>
      <c r="AQ802" s="318">
        <v>0</v>
      </c>
      <c r="AR802" s="318">
        <f t="shared" si="525"/>
        <v>38786.285714285761</v>
      </c>
      <c r="AS802" s="318">
        <f t="shared" si="526"/>
        <v>40726</v>
      </c>
      <c r="AT802" s="321">
        <v>0</v>
      </c>
      <c r="AU802" s="136"/>
      <c r="AV802" s="136"/>
      <c r="AW802" s="318">
        <f t="shared" si="527"/>
        <v>9560</v>
      </c>
      <c r="AX802" s="193"/>
      <c r="AY802" s="318">
        <f t="shared" si="528"/>
        <v>9560</v>
      </c>
      <c r="AZ802" s="318">
        <f t="shared" si="529"/>
        <v>9560</v>
      </c>
      <c r="BA802" s="318">
        <f t="shared" si="530"/>
        <v>0</v>
      </c>
      <c r="BB802" s="318">
        <f t="shared" si="531"/>
        <v>19.12</v>
      </c>
      <c r="BC802" s="318">
        <v>0</v>
      </c>
      <c r="BD802" s="193"/>
      <c r="BE802" s="309">
        <v>102.1</v>
      </c>
      <c r="BF802" s="321">
        <f t="shared" si="532"/>
        <v>0.15314999999999998</v>
      </c>
      <c r="BG802" s="197">
        <f t="shared" si="521"/>
        <v>101.94685</v>
      </c>
      <c r="BH802" s="321">
        <f t="shared" si="533"/>
        <v>95.6</v>
      </c>
      <c r="BI802" s="322">
        <f t="shared" si="534"/>
        <v>650</v>
      </c>
      <c r="BJ802" s="322">
        <v>0</v>
      </c>
      <c r="BK802" s="318">
        <f t="shared" si="535"/>
        <v>650</v>
      </c>
      <c r="BL802" s="67"/>
      <c r="BM802" s="68" t="str">
        <f t="shared" si="536"/>
        <v>Unloading no. 775 Bill No 2026-27/182 ,Deduction For Oil Deduction= 38786.2857142858 ,Bardana= 0 ,F.M=  Brokerage/Rate Difference 0 ,Shortage = 0 ,Greenish=  ,Moisture= 0</v>
      </c>
      <c r="BN802" s="69"/>
      <c r="BO802" s="70" t="str">
        <f t="shared" si="537"/>
        <v xml:space="preserve"> Party Condition 42  ,F.M% 0.34 ,Greenish 3.7 ,Moisture 4.3 ,Shortage in KG= 0  ,Oil% 39.87</v>
      </c>
      <c r="BP802" s="71">
        <f t="shared" si="538"/>
        <v>7594.2857142857138</v>
      </c>
      <c r="BQ802" s="69"/>
      <c r="BX802" s="27">
        <v>39.85</v>
      </c>
      <c r="BY802" s="27">
        <v>39.68</v>
      </c>
    </row>
    <row r="803" spans="1:77" ht="14.1" hidden="1" customHeight="1" x14ac:dyDescent="0.3">
      <c r="A803" s="138" t="s">
        <v>1539</v>
      </c>
      <c r="B803" s="146">
        <v>46174</v>
      </c>
      <c r="C803" s="138">
        <v>776</v>
      </c>
      <c r="D803" s="135" t="s">
        <v>1661</v>
      </c>
      <c r="E803" s="162">
        <v>46178</v>
      </c>
      <c r="F803" s="187" t="s">
        <v>1144</v>
      </c>
      <c r="G803" s="163" t="s">
        <v>1145</v>
      </c>
      <c r="H803" s="163" t="s">
        <v>100</v>
      </c>
      <c r="I803" s="157"/>
      <c r="J803" s="187" t="s">
        <v>1146</v>
      </c>
      <c r="K803" s="157"/>
      <c r="L803" s="171">
        <v>46174</v>
      </c>
      <c r="M803" s="157"/>
      <c r="N803" s="163" t="s">
        <v>1719</v>
      </c>
      <c r="O803" s="146">
        <v>46177</v>
      </c>
      <c r="P803" s="138">
        <v>0</v>
      </c>
      <c r="Q803" s="138">
        <v>150</v>
      </c>
      <c r="R803" s="138">
        <v>60</v>
      </c>
      <c r="S803" s="138">
        <v>210</v>
      </c>
      <c r="T803" s="138">
        <v>210</v>
      </c>
      <c r="U803" s="136"/>
      <c r="V803" s="136"/>
      <c r="W803" s="148">
        <v>118.5</v>
      </c>
      <c r="X803" s="148">
        <v>118.3</v>
      </c>
      <c r="Y803" s="148">
        <v>948000</v>
      </c>
      <c r="Z803" s="372">
        <v>39.61</v>
      </c>
      <c r="AA803" s="148">
        <v>23700</v>
      </c>
      <c r="AB803" s="148">
        <v>23700</v>
      </c>
      <c r="AC803" s="148">
        <v>995400</v>
      </c>
      <c r="AD803" s="315">
        <f t="shared" si="520"/>
        <v>994404.6</v>
      </c>
      <c r="AE803" s="147">
        <v>39.61</v>
      </c>
      <c r="AF803" s="147">
        <v>42</v>
      </c>
      <c r="AG803" s="147">
        <v>39.61</v>
      </c>
      <c r="AH803" s="287">
        <v>3.5999999999999999E-3</v>
      </c>
      <c r="AI803" s="287">
        <v>3.6999999999999998E-2</v>
      </c>
      <c r="AJ803" s="287">
        <v>4.5999999999999999E-2</v>
      </c>
      <c r="AK803" s="318">
        <f t="shared" si="522"/>
        <v>53945.714285714297</v>
      </c>
      <c r="AL803" s="193">
        <v>0</v>
      </c>
      <c r="AM803" s="193"/>
      <c r="AN803" s="319">
        <v>0</v>
      </c>
      <c r="AO803" s="320">
        <f t="shared" si="524"/>
        <v>0</v>
      </c>
      <c r="AP803" s="193"/>
      <c r="AQ803" s="318">
        <v>0</v>
      </c>
      <c r="AR803" s="318">
        <f t="shared" si="525"/>
        <v>53945.714285714297</v>
      </c>
      <c r="AS803" s="318">
        <f t="shared" si="526"/>
        <v>56643</v>
      </c>
      <c r="AT803" s="321">
        <v>0</v>
      </c>
      <c r="AU803" s="136"/>
      <c r="AV803" s="136"/>
      <c r="AW803" s="318">
        <f t="shared" si="527"/>
        <v>11850</v>
      </c>
      <c r="AX803" s="193"/>
      <c r="AY803" s="318">
        <f t="shared" si="528"/>
        <v>11850</v>
      </c>
      <c r="AZ803" s="318">
        <f t="shared" si="529"/>
        <v>11830</v>
      </c>
      <c r="BA803" s="318">
        <f t="shared" si="530"/>
        <v>20</v>
      </c>
      <c r="BB803" s="318">
        <f t="shared" si="531"/>
        <v>23.7</v>
      </c>
      <c r="BC803" s="318">
        <v>0</v>
      </c>
      <c r="BD803" s="193"/>
      <c r="BE803" s="309">
        <v>102.1</v>
      </c>
      <c r="BF803" s="321">
        <f t="shared" si="532"/>
        <v>0.15314999999999998</v>
      </c>
      <c r="BG803" s="197">
        <f t="shared" si="521"/>
        <v>101.94685</v>
      </c>
      <c r="BH803" s="321">
        <f t="shared" si="533"/>
        <v>118.3</v>
      </c>
      <c r="BI803" s="322">
        <f t="shared" si="534"/>
        <v>-1620.0000000000002</v>
      </c>
      <c r="BJ803" s="322">
        <v>0</v>
      </c>
      <c r="BK803" s="318">
        <f t="shared" si="535"/>
        <v>-1620.0000000000002</v>
      </c>
      <c r="BL803" s="67"/>
      <c r="BM803" s="68" t="str">
        <f t="shared" si="536"/>
        <v>Unloading no. 776 Bill No 2026-27/180 ,Deduction For Oil Deduction= 53945.7142857143 ,Bardana= 0 ,F.M=  Brokerage/Rate Difference 0 ,Shortage = 0 ,Greenish=  ,Moisture= 0</v>
      </c>
      <c r="BN803" s="69"/>
      <c r="BO803" s="70" t="str">
        <f t="shared" si="537"/>
        <v xml:space="preserve"> Party Condition 42  ,F.M% 0.36 ,Greenish 3.7 ,Moisture 4.6 ,Shortage in KG= 0  ,Oil% 39.61</v>
      </c>
      <c r="BP803" s="71">
        <f t="shared" si="538"/>
        <v>7557.5172080666589</v>
      </c>
      <c r="BQ803" s="69"/>
      <c r="BX803" s="27">
        <v>39.26</v>
      </c>
      <c r="BY803" s="27">
        <v>39.28</v>
      </c>
    </row>
    <row r="804" spans="1:77" ht="14.1" hidden="1" customHeight="1" x14ac:dyDescent="0.3">
      <c r="A804" s="138" t="s">
        <v>1539</v>
      </c>
      <c r="B804" s="146">
        <v>46174</v>
      </c>
      <c r="C804" s="138">
        <v>777</v>
      </c>
      <c r="D804" s="135" t="s">
        <v>1662</v>
      </c>
      <c r="E804" s="162">
        <v>46178</v>
      </c>
      <c r="F804" s="187" t="s">
        <v>1144</v>
      </c>
      <c r="G804" s="163" t="s">
        <v>1145</v>
      </c>
      <c r="H804" s="163" t="s">
        <v>100</v>
      </c>
      <c r="I804" s="157"/>
      <c r="J804" s="187" t="s">
        <v>1146</v>
      </c>
      <c r="K804" s="157"/>
      <c r="L804" s="171">
        <v>46174</v>
      </c>
      <c r="M804" s="157"/>
      <c r="N804" s="163" t="s">
        <v>1720</v>
      </c>
      <c r="O804" s="146">
        <v>46177</v>
      </c>
      <c r="P804" s="138">
        <v>0</v>
      </c>
      <c r="Q804" s="138">
        <v>120</v>
      </c>
      <c r="R804" s="138">
        <v>40</v>
      </c>
      <c r="S804" s="138">
        <v>160</v>
      </c>
      <c r="T804" s="138">
        <v>160</v>
      </c>
      <c r="U804" s="136"/>
      <c r="V804" s="136"/>
      <c r="W804" s="148">
        <v>94.4</v>
      </c>
      <c r="X804" s="148">
        <v>94</v>
      </c>
      <c r="Y804" s="148">
        <v>755200</v>
      </c>
      <c r="Z804" s="372">
        <v>39.799999999999997</v>
      </c>
      <c r="AA804" s="148">
        <v>18880</v>
      </c>
      <c r="AB804" s="148">
        <v>18880</v>
      </c>
      <c r="AC804" s="148">
        <v>792960</v>
      </c>
      <c r="AD804" s="315">
        <f t="shared" si="520"/>
        <v>792167.04</v>
      </c>
      <c r="AE804" s="147">
        <v>39.799999999999997</v>
      </c>
      <c r="AF804" s="147">
        <v>42</v>
      </c>
      <c r="AG804" s="147">
        <v>39.799999999999997</v>
      </c>
      <c r="AH804" s="287">
        <v>4.0000000000000001E-3</v>
      </c>
      <c r="AI804" s="287">
        <v>3.9E-2</v>
      </c>
      <c r="AJ804" s="287">
        <v>4.5999999999999999E-2</v>
      </c>
      <c r="AK804" s="318">
        <f t="shared" si="522"/>
        <v>39558.095238095295</v>
      </c>
      <c r="AL804" s="193">
        <v>0</v>
      </c>
      <c r="AM804" s="193"/>
      <c r="AN804" s="319">
        <v>0</v>
      </c>
      <c r="AO804" s="320">
        <f t="shared" si="524"/>
        <v>1680</v>
      </c>
      <c r="AP804" s="193"/>
      <c r="AQ804" s="318">
        <v>0</v>
      </c>
      <c r="AR804" s="318">
        <f t="shared" si="525"/>
        <v>41238.095238095295</v>
      </c>
      <c r="AS804" s="318">
        <f t="shared" si="526"/>
        <v>43300</v>
      </c>
      <c r="AT804" s="321">
        <v>21</v>
      </c>
      <c r="AU804" s="136"/>
      <c r="AV804" s="136"/>
      <c r="AW804" s="318">
        <f t="shared" si="527"/>
        <v>9440</v>
      </c>
      <c r="AX804" s="193"/>
      <c r="AY804" s="318">
        <f t="shared" si="528"/>
        <v>9440</v>
      </c>
      <c r="AZ804" s="318">
        <f t="shared" si="529"/>
        <v>9400</v>
      </c>
      <c r="BA804" s="318">
        <f t="shared" si="530"/>
        <v>40</v>
      </c>
      <c r="BB804" s="318">
        <f t="shared" si="531"/>
        <v>18.88</v>
      </c>
      <c r="BC804" s="318">
        <v>0</v>
      </c>
      <c r="BD804" s="193"/>
      <c r="BE804" s="309">
        <v>102.1</v>
      </c>
      <c r="BF804" s="321">
        <f t="shared" si="532"/>
        <v>0.15314999999999998</v>
      </c>
      <c r="BG804" s="197">
        <f t="shared" si="521"/>
        <v>101.94685</v>
      </c>
      <c r="BH804" s="321">
        <f t="shared" si="533"/>
        <v>94</v>
      </c>
      <c r="BI804" s="322">
        <f t="shared" si="534"/>
        <v>809.99999999999943</v>
      </c>
      <c r="BJ804" s="322">
        <v>0</v>
      </c>
      <c r="BK804" s="318">
        <f t="shared" si="535"/>
        <v>809.99999999999943</v>
      </c>
      <c r="BL804" s="67"/>
      <c r="BM804" s="68" t="str">
        <f t="shared" si="536"/>
        <v>Unloading no. 777 Bill No 2026-27/179 ,Deduction For Oil Deduction= 39558.0952380953 ,Bardana= 0 ,F.M=  Brokerage/Rate Difference 0 ,Shortage = 1680 ,Greenish=  ,Moisture= 0</v>
      </c>
      <c r="BN804" s="69"/>
      <c r="BO804" s="70" t="str">
        <f t="shared" si="537"/>
        <v xml:space="preserve"> Party Condition 42  ,F.M% 0.4 ,Greenish 3.9 ,Moisture 4.6 ,Shortage in KG= 21  ,Oil% 39.8</v>
      </c>
      <c r="BP804" s="71">
        <f t="shared" si="538"/>
        <v>7595.3394123606886</v>
      </c>
      <c r="BQ804" s="69"/>
      <c r="BX804" s="27">
        <v>39.25</v>
      </c>
      <c r="BY804" s="27">
        <v>39.08</v>
      </c>
    </row>
    <row r="805" spans="1:77" ht="14.1" hidden="1" customHeight="1" x14ac:dyDescent="0.3">
      <c r="A805" s="138" t="s">
        <v>1539</v>
      </c>
      <c r="B805" s="146">
        <v>46174</v>
      </c>
      <c r="C805" s="138">
        <v>778</v>
      </c>
      <c r="D805" s="135" t="s">
        <v>1663</v>
      </c>
      <c r="E805" s="162">
        <v>46178</v>
      </c>
      <c r="F805" s="187" t="s">
        <v>1144</v>
      </c>
      <c r="G805" s="163" t="s">
        <v>1145</v>
      </c>
      <c r="H805" s="163" t="s">
        <v>100</v>
      </c>
      <c r="I805" s="157"/>
      <c r="J805" s="187" t="s">
        <v>1146</v>
      </c>
      <c r="K805" s="157"/>
      <c r="L805" s="171">
        <v>46174</v>
      </c>
      <c r="M805" s="157"/>
      <c r="N805" s="163" t="s">
        <v>1721</v>
      </c>
      <c r="O805" s="146">
        <v>46177</v>
      </c>
      <c r="P805" s="138">
        <v>0</v>
      </c>
      <c r="Q805" s="138">
        <v>140</v>
      </c>
      <c r="R805" s="138">
        <v>50</v>
      </c>
      <c r="S805" s="138">
        <v>190</v>
      </c>
      <c r="T805" s="138">
        <v>190</v>
      </c>
      <c r="U805" s="136"/>
      <c r="V805" s="136"/>
      <c r="W805" s="148">
        <v>96.7</v>
      </c>
      <c r="X805" s="148">
        <v>96.3</v>
      </c>
      <c r="Y805" s="148">
        <v>773600</v>
      </c>
      <c r="Z805" s="372">
        <v>39.81</v>
      </c>
      <c r="AA805" s="148">
        <v>19340</v>
      </c>
      <c r="AB805" s="148">
        <v>19340</v>
      </c>
      <c r="AC805" s="148">
        <v>812280</v>
      </c>
      <c r="AD805" s="315">
        <f t="shared" si="520"/>
        <v>811467.72</v>
      </c>
      <c r="AE805" s="147">
        <v>39.81</v>
      </c>
      <c r="AF805" s="147">
        <v>42</v>
      </c>
      <c r="AG805" s="147">
        <v>39.81</v>
      </c>
      <c r="AH805" s="287">
        <v>3.8E-3</v>
      </c>
      <c r="AI805" s="287">
        <v>4.2200000000000001E-2</v>
      </c>
      <c r="AJ805" s="287">
        <v>4.4999999999999998E-2</v>
      </c>
      <c r="AK805" s="318">
        <f t="shared" si="522"/>
        <v>40337.714285714246</v>
      </c>
      <c r="AL805" s="193">
        <v>0</v>
      </c>
      <c r="AM805" s="193"/>
      <c r="AN805" s="319">
        <v>0</v>
      </c>
      <c r="AO805" s="320">
        <f t="shared" si="524"/>
        <v>1680</v>
      </c>
      <c r="AP805" s="193"/>
      <c r="AQ805" s="318">
        <v>0</v>
      </c>
      <c r="AR805" s="318">
        <f t="shared" si="525"/>
        <v>42017.714285714246</v>
      </c>
      <c r="AS805" s="318">
        <f t="shared" si="526"/>
        <v>44119</v>
      </c>
      <c r="AT805" s="321">
        <v>21</v>
      </c>
      <c r="AU805" s="136"/>
      <c r="AV805" s="136"/>
      <c r="AW805" s="318">
        <f t="shared" si="527"/>
        <v>9670</v>
      </c>
      <c r="AX805" s="193"/>
      <c r="AY805" s="318">
        <f t="shared" si="528"/>
        <v>9670</v>
      </c>
      <c r="AZ805" s="318">
        <f t="shared" si="529"/>
        <v>9630</v>
      </c>
      <c r="BA805" s="318">
        <f t="shared" si="530"/>
        <v>40</v>
      </c>
      <c r="BB805" s="318">
        <f t="shared" si="531"/>
        <v>19.34</v>
      </c>
      <c r="BC805" s="318">
        <v>0</v>
      </c>
      <c r="BD805" s="193"/>
      <c r="BE805" s="309">
        <v>102.1</v>
      </c>
      <c r="BF805" s="321">
        <f t="shared" si="532"/>
        <v>0.15314999999999998</v>
      </c>
      <c r="BG805" s="197">
        <f t="shared" si="521"/>
        <v>101.94685</v>
      </c>
      <c r="BH805" s="321">
        <f t="shared" si="533"/>
        <v>96.3</v>
      </c>
      <c r="BI805" s="322">
        <f t="shared" si="534"/>
        <v>579.99999999999977</v>
      </c>
      <c r="BJ805" s="322">
        <v>0</v>
      </c>
      <c r="BK805" s="318">
        <f t="shared" si="535"/>
        <v>579.99999999999977</v>
      </c>
      <c r="BL805" s="67"/>
      <c r="BM805" s="68" t="str">
        <f t="shared" si="536"/>
        <v>Unloading no. 778 Bill No 2026-27/177 ,Deduction For Oil Deduction= 40337.7142857142 ,Bardana= 0 ,F.M=  Brokerage/Rate Difference 0 ,Shortage = 1680 ,Greenish=  ,Moisture= 0</v>
      </c>
      <c r="BN805" s="69"/>
      <c r="BO805" s="70" t="str">
        <f t="shared" si="537"/>
        <v xml:space="preserve"> Party Condition 42  ,F.M% 0.38 ,Greenish 4.22 ,Moisture 4.5 ,Shortage in KG= 21  ,Oil% 39.81</v>
      </c>
      <c r="BP805" s="71">
        <f t="shared" si="538"/>
        <v>7596.9084705533314</v>
      </c>
      <c r="BQ805" s="69"/>
      <c r="BX805" s="27">
        <v>39.97</v>
      </c>
      <c r="BY805" s="27">
        <v>39.92</v>
      </c>
    </row>
    <row r="806" spans="1:77" ht="14.1" hidden="1" customHeight="1" x14ac:dyDescent="0.3">
      <c r="A806" s="187" t="s">
        <v>1539</v>
      </c>
      <c r="B806" s="171">
        <v>46174</v>
      </c>
      <c r="C806" s="187">
        <v>779</v>
      </c>
      <c r="D806" s="164" t="s">
        <v>1664</v>
      </c>
      <c r="E806" s="162">
        <v>46178</v>
      </c>
      <c r="F806" s="187" t="s">
        <v>1144</v>
      </c>
      <c r="G806" s="163" t="s">
        <v>1145</v>
      </c>
      <c r="H806" s="163" t="s">
        <v>100</v>
      </c>
      <c r="I806" s="157"/>
      <c r="J806" s="187" t="s">
        <v>1146</v>
      </c>
      <c r="K806" s="157"/>
      <c r="L806" s="171">
        <v>46174</v>
      </c>
      <c r="M806" s="157"/>
      <c r="N806" s="163" t="s">
        <v>1722</v>
      </c>
      <c r="O806" s="146">
        <v>46177</v>
      </c>
      <c r="P806" s="138">
        <v>0</v>
      </c>
      <c r="Q806" s="138">
        <v>120</v>
      </c>
      <c r="R806" s="138">
        <v>40</v>
      </c>
      <c r="S806" s="138">
        <v>160</v>
      </c>
      <c r="T806" s="138">
        <v>160</v>
      </c>
      <c r="U806" s="136"/>
      <c r="V806" s="136"/>
      <c r="W806" s="148">
        <v>92.6</v>
      </c>
      <c r="X806" s="148">
        <v>92.5</v>
      </c>
      <c r="Y806" s="148">
        <v>740800</v>
      </c>
      <c r="Z806" s="372">
        <v>39.01</v>
      </c>
      <c r="AA806" s="148">
        <v>18520</v>
      </c>
      <c r="AB806" s="148">
        <v>18520</v>
      </c>
      <c r="AC806" s="148">
        <v>777840</v>
      </c>
      <c r="AD806" s="315">
        <f t="shared" si="520"/>
        <v>777062.16</v>
      </c>
      <c r="AE806" s="147">
        <v>39.01</v>
      </c>
      <c r="AF806" s="147">
        <v>42</v>
      </c>
      <c r="AG806" s="147">
        <v>39.01</v>
      </c>
      <c r="AH806" s="287">
        <v>4.0000000000000001E-3</v>
      </c>
      <c r="AI806" s="287">
        <v>3.7999999999999999E-2</v>
      </c>
      <c r="AJ806" s="287">
        <v>4.4999999999999998E-2</v>
      </c>
      <c r="AK806" s="318">
        <f t="shared" si="522"/>
        <v>52737.904761904792</v>
      </c>
      <c r="AL806" s="193">
        <v>0</v>
      </c>
      <c r="AM806" s="193"/>
      <c r="AN806" s="319">
        <v>0</v>
      </c>
      <c r="AO806" s="320">
        <f t="shared" si="524"/>
        <v>0</v>
      </c>
      <c r="AP806" s="193"/>
      <c r="AQ806" s="318">
        <v>0</v>
      </c>
      <c r="AR806" s="318">
        <f t="shared" si="525"/>
        <v>52737.904761904792</v>
      </c>
      <c r="AS806" s="318">
        <f t="shared" si="526"/>
        <v>55375</v>
      </c>
      <c r="AT806" s="321">
        <v>0</v>
      </c>
      <c r="AU806" s="136"/>
      <c r="AV806" s="136"/>
      <c r="AW806" s="318">
        <f t="shared" si="527"/>
        <v>9260</v>
      </c>
      <c r="AX806" s="193"/>
      <c r="AY806" s="318">
        <f t="shared" si="528"/>
        <v>9260</v>
      </c>
      <c r="AZ806" s="318">
        <f t="shared" si="529"/>
        <v>9250</v>
      </c>
      <c r="BA806" s="318">
        <f t="shared" si="530"/>
        <v>10</v>
      </c>
      <c r="BB806" s="318">
        <f t="shared" si="531"/>
        <v>18.52</v>
      </c>
      <c r="BC806" s="318">
        <v>0</v>
      </c>
      <c r="BD806" s="193"/>
      <c r="BE806" s="309">
        <v>102.1</v>
      </c>
      <c r="BF806" s="321">
        <f t="shared" si="532"/>
        <v>0.15314999999999998</v>
      </c>
      <c r="BG806" s="197">
        <f t="shared" si="521"/>
        <v>101.94685</v>
      </c>
      <c r="BH806" s="321">
        <f t="shared" si="533"/>
        <v>92.5</v>
      </c>
      <c r="BI806" s="322">
        <f t="shared" si="534"/>
        <v>959.99999999999943</v>
      </c>
      <c r="BJ806" s="322">
        <v>0</v>
      </c>
      <c r="BK806" s="318">
        <f t="shared" si="535"/>
        <v>959.99999999999943</v>
      </c>
      <c r="BL806" s="67"/>
      <c r="BM806" s="68" t="str">
        <f t="shared" si="536"/>
        <v>Unloading no. 779 Bill No 2026-27/183 ,Deduction For Oil Deduction= 52737.9047619048 ,Bardana= 0 ,F.M=  Brokerage/Rate Difference 0 ,Shortage = 0 ,Greenish=  ,Moisture= 0</v>
      </c>
      <c r="BN806" s="69"/>
      <c r="BO806" s="70" t="str">
        <f t="shared" si="537"/>
        <v xml:space="preserve"> Party Condition 42  ,F.M% 0.4 ,Greenish 3.8 ,Moisture 4.5 ,Shortage in KG= 0  ,Oil% 39.01</v>
      </c>
      <c r="BP806" s="71">
        <f t="shared" si="538"/>
        <v>7438.5091377091367</v>
      </c>
      <c r="BQ806" s="69"/>
      <c r="BX806" s="27">
        <v>38.880000000000003</v>
      </c>
      <c r="BY806" s="27">
        <v>38.81</v>
      </c>
    </row>
    <row r="807" spans="1:77" ht="14.1" hidden="1" customHeight="1" x14ac:dyDescent="0.3">
      <c r="A807" s="138" t="s">
        <v>1616</v>
      </c>
      <c r="B807" s="146">
        <v>46174</v>
      </c>
      <c r="C807" s="138">
        <v>780</v>
      </c>
      <c r="D807" s="135" t="s">
        <v>1665</v>
      </c>
      <c r="E807" s="162">
        <v>46178</v>
      </c>
      <c r="F807" s="187" t="s">
        <v>1509</v>
      </c>
      <c r="G807" s="163" t="s">
        <v>1510</v>
      </c>
      <c r="H807" s="163" t="s">
        <v>1511</v>
      </c>
      <c r="I807" s="157"/>
      <c r="J807" s="187" t="s">
        <v>1455</v>
      </c>
      <c r="K807" s="157"/>
      <c r="L807" s="171">
        <v>46174</v>
      </c>
      <c r="M807" s="157"/>
      <c r="N807" s="163" t="s">
        <v>1723</v>
      </c>
      <c r="O807" s="146">
        <v>46176</v>
      </c>
      <c r="P807" s="138">
        <v>0</v>
      </c>
      <c r="Q807" s="138">
        <v>450</v>
      </c>
      <c r="R807" s="138">
        <v>130</v>
      </c>
      <c r="S807" s="138">
        <v>580</v>
      </c>
      <c r="T807" s="138">
        <v>580</v>
      </c>
      <c r="U807" s="136"/>
      <c r="V807" s="136"/>
      <c r="W807" s="148">
        <v>344.4</v>
      </c>
      <c r="X807" s="148">
        <v>343.7</v>
      </c>
      <c r="Y807" s="148">
        <v>2763810</v>
      </c>
      <c r="Z807" s="169"/>
      <c r="AA807" s="148">
        <v>69095.25</v>
      </c>
      <c r="AB807" s="148">
        <v>69095.25</v>
      </c>
      <c r="AC807" s="148">
        <v>2902000.5</v>
      </c>
      <c r="AD807" s="315">
        <f t="shared" si="520"/>
        <v>2899098.4994999999</v>
      </c>
      <c r="AE807" s="147">
        <v>40.89</v>
      </c>
      <c r="AF807" s="147">
        <v>42</v>
      </c>
      <c r="AG807" s="147">
        <v>40.69</v>
      </c>
      <c r="AH807" s="292">
        <v>6.0000000000000001E-3</v>
      </c>
      <c r="AI807" s="287">
        <v>3.15E-2</v>
      </c>
      <c r="AJ807" s="287">
        <v>4.9000000000000002E-2</v>
      </c>
      <c r="AK807" s="318">
        <f t="shared" si="522"/>
        <v>86204.550000000148</v>
      </c>
      <c r="AL807" s="193">
        <f>450*10+130*15</f>
        <v>6450</v>
      </c>
      <c r="AM807" s="193">
        <f>Y807*AH807</f>
        <v>16582.86</v>
      </c>
      <c r="AN807" s="319">
        <v>0</v>
      </c>
      <c r="AO807" s="320">
        <f t="shared" si="524"/>
        <v>5617.5</v>
      </c>
      <c r="AP807" s="193"/>
      <c r="AQ807" s="318">
        <v>0</v>
      </c>
      <c r="AR807" s="318">
        <f t="shared" si="525"/>
        <v>114854.91000000015</v>
      </c>
      <c r="AS807" s="318">
        <f t="shared" si="526"/>
        <v>120598</v>
      </c>
      <c r="AT807" s="321">
        <v>70</v>
      </c>
      <c r="AU807" s="136"/>
      <c r="AV807" s="136"/>
      <c r="AW807" s="318">
        <f t="shared" si="527"/>
        <v>34440</v>
      </c>
      <c r="AX807" s="193"/>
      <c r="AY807" s="318">
        <f t="shared" si="528"/>
        <v>34440</v>
      </c>
      <c r="AZ807" s="318">
        <f t="shared" si="529"/>
        <v>34370</v>
      </c>
      <c r="BA807" s="318">
        <f t="shared" si="530"/>
        <v>70</v>
      </c>
      <c r="BB807" s="318">
        <f t="shared" si="531"/>
        <v>68.88</v>
      </c>
      <c r="BC807" s="318">
        <v>0</v>
      </c>
      <c r="BD807" s="193"/>
      <c r="BE807" s="309">
        <v>102.1</v>
      </c>
      <c r="BF807" s="321">
        <f t="shared" si="532"/>
        <v>0.15314999999999998</v>
      </c>
      <c r="BG807" s="197">
        <f t="shared" si="521"/>
        <v>101.94685</v>
      </c>
      <c r="BH807" s="321">
        <f t="shared" si="533"/>
        <v>343.7</v>
      </c>
      <c r="BI807" s="322">
        <f t="shared" si="534"/>
        <v>-24160</v>
      </c>
      <c r="BJ807" s="322">
        <v>0</v>
      </c>
      <c r="BK807" s="318">
        <f t="shared" si="535"/>
        <v>-24160</v>
      </c>
      <c r="BL807" s="67"/>
      <c r="BM807" s="68" t="str">
        <f t="shared" si="536"/>
        <v>Unloading no. 780 Bill No 2026-27/024 ,Deduction For Oil Deduction= 86204.5500000001 ,Bardana= 6450 ,F.M= 16582.86 Brokerage/Rate Difference 0 ,Shortage = 5617.5 ,Greenish=  ,Moisture= 0</v>
      </c>
      <c r="BN807" s="69"/>
      <c r="BO807" s="70" t="str">
        <f t="shared" si="537"/>
        <v xml:space="preserve"> Party Condition 42  ,F.M% 0.6 ,Greenish 3.15 ,Moisture 4.9 ,Shortage in KG= 70  ,Oil% 40.69</v>
      </c>
      <c r="BP807" s="71">
        <f t="shared" si="538"/>
        <v>7707.1722141402388</v>
      </c>
      <c r="BQ807" s="69"/>
      <c r="BX807" s="27">
        <v>40.89</v>
      </c>
      <c r="BY807" s="27">
        <v>40.69</v>
      </c>
    </row>
    <row r="808" spans="1:77" ht="14.1" hidden="1" customHeight="1" x14ac:dyDescent="0.3">
      <c r="A808" s="187" t="s">
        <v>1539</v>
      </c>
      <c r="B808" s="171">
        <v>46174</v>
      </c>
      <c r="C808" s="187">
        <v>781</v>
      </c>
      <c r="D808" s="164" t="s">
        <v>1666</v>
      </c>
      <c r="E808" s="162">
        <v>46178</v>
      </c>
      <c r="F808" s="187" t="s">
        <v>1144</v>
      </c>
      <c r="G808" s="163" t="s">
        <v>1145</v>
      </c>
      <c r="H808" s="163" t="s">
        <v>100</v>
      </c>
      <c r="I808" s="157"/>
      <c r="J808" s="187" t="s">
        <v>1146</v>
      </c>
      <c r="K808" s="157"/>
      <c r="L808" s="171">
        <v>46174</v>
      </c>
      <c r="M808" s="157"/>
      <c r="N808" s="163" t="s">
        <v>1724</v>
      </c>
      <c r="O808" s="146">
        <v>46177</v>
      </c>
      <c r="P808" s="138">
        <v>0</v>
      </c>
      <c r="Q808" s="138">
        <v>100</v>
      </c>
      <c r="R808" s="138">
        <v>90</v>
      </c>
      <c r="S808" s="138">
        <v>190</v>
      </c>
      <c r="T808" s="138">
        <v>190</v>
      </c>
      <c r="U808" s="136"/>
      <c r="V808" s="136"/>
      <c r="W808" s="148">
        <v>95.6</v>
      </c>
      <c r="X808" s="148">
        <v>95.5</v>
      </c>
      <c r="Y808" s="148">
        <v>764800</v>
      </c>
      <c r="Z808" s="372">
        <v>39.82</v>
      </c>
      <c r="AA808" s="148">
        <v>19120</v>
      </c>
      <c r="AB808" s="148">
        <v>19120</v>
      </c>
      <c r="AC808" s="148">
        <v>803040</v>
      </c>
      <c r="AD808" s="315">
        <f t="shared" si="520"/>
        <v>802236.96</v>
      </c>
      <c r="AE808" s="147">
        <v>39.82</v>
      </c>
      <c r="AF808" s="147">
        <v>42</v>
      </c>
      <c r="AG808" s="147">
        <v>39.82</v>
      </c>
      <c r="AH808" s="287">
        <v>4.3E-3</v>
      </c>
      <c r="AI808" s="287">
        <v>3.2800000000000003E-2</v>
      </c>
      <c r="AJ808" s="287">
        <v>4.4999999999999998E-2</v>
      </c>
      <c r="AK808" s="318">
        <f t="shared" si="522"/>
        <v>39696.761904761901</v>
      </c>
      <c r="AL808" s="193">
        <v>0</v>
      </c>
      <c r="AM808" s="193"/>
      <c r="AN808" s="319">
        <v>0</v>
      </c>
      <c r="AO808" s="320">
        <f t="shared" si="524"/>
        <v>0</v>
      </c>
      <c r="AP808" s="193"/>
      <c r="AQ808" s="318">
        <v>0</v>
      </c>
      <c r="AR808" s="318">
        <f t="shared" si="525"/>
        <v>39696.761904761901</v>
      </c>
      <c r="AS808" s="318">
        <f t="shared" si="526"/>
        <v>41682</v>
      </c>
      <c r="AT808" s="321">
        <v>0</v>
      </c>
      <c r="AU808" s="136"/>
      <c r="AV808" s="136"/>
      <c r="AW808" s="318">
        <f t="shared" si="527"/>
        <v>9560</v>
      </c>
      <c r="AX808" s="193"/>
      <c r="AY808" s="318">
        <f t="shared" si="528"/>
        <v>9560</v>
      </c>
      <c r="AZ808" s="318">
        <f t="shared" si="529"/>
        <v>9550</v>
      </c>
      <c r="BA808" s="318">
        <f t="shared" si="530"/>
        <v>10</v>
      </c>
      <c r="BB808" s="318">
        <f t="shared" si="531"/>
        <v>19.12</v>
      </c>
      <c r="BC808" s="318">
        <v>0</v>
      </c>
      <c r="BD808" s="193"/>
      <c r="BE808" s="309">
        <v>102.1</v>
      </c>
      <c r="BF808" s="321">
        <f t="shared" si="532"/>
        <v>0.15314999999999998</v>
      </c>
      <c r="BG808" s="197">
        <f t="shared" si="521"/>
        <v>101.94685</v>
      </c>
      <c r="BH808" s="321">
        <f t="shared" si="533"/>
        <v>95.5</v>
      </c>
      <c r="BI808" s="322">
        <f t="shared" si="534"/>
        <v>659.99999999999943</v>
      </c>
      <c r="BJ808" s="322">
        <v>0</v>
      </c>
      <c r="BK808" s="318">
        <f t="shared" si="535"/>
        <v>659.99999999999943</v>
      </c>
      <c r="BL808" s="67"/>
      <c r="BM808" s="68" t="str">
        <f t="shared" si="536"/>
        <v>Unloading no. 781 Bill No 2026-27/184 ,Deduction For Oil Deduction= 39696.7619047619 ,Bardana= 0 ,F.M=  Brokerage/Rate Difference 0 ,Shortage = 0 ,Greenish=  ,Moisture= 0</v>
      </c>
      <c r="BN808" s="69"/>
      <c r="BO808" s="70" t="str">
        <f t="shared" si="537"/>
        <v xml:space="preserve"> Party Condition 42  ,F.M% 0.43 ,Greenish 3.28 ,Moisture 4.5 ,Shortage in KG= 0  ,Oil% 39.82</v>
      </c>
      <c r="BP808" s="71">
        <f t="shared" si="538"/>
        <v>7592.7040638244825</v>
      </c>
      <c r="BQ808" s="69"/>
      <c r="BX808" s="27">
        <v>39.840000000000003</v>
      </c>
      <c r="BY808" s="27">
        <v>39.71</v>
      </c>
    </row>
    <row r="809" spans="1:77" ht="14.1" hidden="1" customHeight="1" x14ac:dyDescent="0.3">
      <c r="A809" s="138" t="s">
        <v>1617</v>
      </c>
      <c r="B809" s="146">
        <v>46175</v>
      </c>
      <c r="C809" s="138">
        <v>782</v>
      </c>
      <c r="D809" s="135" t="s">
        <v>1667</v>
      </c>
      <c r="E809" s="162">
        <v>46178</v>
      </c>
      <c r="F809" s="187" t="s">
        <v>1689</v>
      </c>
      <c r="G809" s="163" t="s">
        <v>1690</v>
      </c>
      <c r="H809" s="163" t="s">
        <v>1511</v>
      </c>
      <c r="I809" s="157"/>
      <c r="J809" s="187" t="s">
        <v>1455</v>
      </c>
      <c r="K809" s="157"/>
      <c r="L809" s="171">
        <v>46175</v>
      </c>
      <c r="M809" s="157"/>
      <c r="N809" s="163" t="s">
        <v>1725</v>
      </c>
      <c r="O809" s="146">
        <v>46177</v>
      </c>
      <c r="P809" s="138">
        <v>0</v>
      </c>
      <c r="Q809" s="138">
        <v>300</v>
      </c>
      <c r="R809" s="138">
        <v>405</v>
      </c>
      <c r="S809" s="138">
        <v>705</v>
      </c>
      <c r="T809" s="138">
        <v>705</v>
      </c>
      <c r="U809" s="136"/>
      <c r="V809" s="136"/>
      <c r="W809" s="148">
        <v>352.7</v>
      </c>
      <c r="X809" s="148">
        <v>352.4</v>
      </c>
      <c r="Y809" s="148">
        <v>2856870</v>
      </c>
      <c r="Z809" s="169"/>
      <c r="AA809" s="148">
        <v>71421.75</v>
      </c>
      <c r="AB809" s="148">
        <v>71421.75</v>
      </c>
      <c r="AC809" s="148">
        <v>2999713.5</v>
      </c>
      <c r="AD809" s="315">
        <f t="shared" ref="AD809:AD872" si="539">SUM(AC809-AC809*0.1%)</f>
        <v>2996713.7864999999</v>
      </c>
      <c r="AE809" s="147">
        <v>40.54</v>
      </c>
      <c r="AF809" s="147">
        <v>42</v>
      </c>
      <c r="AG809" s="147">
        <v>40.47</v>
      </c>
      <c r="AH809" s="292">
        <v>4.8999999999999998E-3</v>
      </c>
      <c r="AI809" s="287">
        <v>3.1600000000000003E-2</v>
      </c>
      <c r="AJ809" s="287">
        <v>4.2999999999999997E-2</v>
      </c>
      <c r="AK809" s="318">
        <f t="shared" si="522"/>
        <v>104071.69285714293</v>
      </c>
      <c r="AL809" s="193">
        <f>300*10+405*15</f>
        <v>9075</v>
      </c>
      <c r="AM809" s="193">
        <f>Y809*AH809</f>
        <v>13998.662999999999</v>
      </c>
      <c r="AN809" s="319">
        <v>0</v>
      </c>
      <c r="AO809" s="320">
        <f t="shared" si="524"/>
        <v>2430</v>
      </c>
      <c r="AP809" s="193"/>
      <c r="AQ809" s="318">
        <v>0</v>
      </c>
      <c r="AR809" s="318">
        <f t="shared" si="525"/>
        <v>129575.35585714293</v>
      </c>
      <c r="AS809" s="318">
        <f t="shared" si="526"/>
        <v>136054</v>
      </c>
      <c r="AT809" s="321">
        <v>30</v>
      </c>
      <c r="AU809" s="136"/>
      <c r="AV809" s="136"/>
      <c r="AW809" s="318">
        <f t="shared" si="527"/>
        <v>35270</v>
      </c>
      <c r="AX809" s="193"/>
      <c r="AY809" s="318">
        <f t="shared" si="528"/>
        <v>35270</v>
      </c>
      <c r="AZ809" s="318">
        <f t="shared" si="529"/>
        <v>35240</v>
      </c>
      <c r="BA809" s="318">
        <f t="shared" si="530"/>
        <v>30</v>
      </c>
      <c r="BB809" s="318">
        <f t="shared" si="531"/>
        <v>70.540000000000006</v>
      </c>
      <c r="BC809" s="318">
        <v>0</v>
      </c>
      <c r="BD809" s="193"/>
      <c r="BE809" s="309">
        <v>102.1</v>
      </c>
      <c r="BF809" s="321">
        <f t="shared" si="532"/>
        <v>0.15314999999999998</v>
      </c>
      <c r="BG809" s="197">
        <f t="shared" si="521"/>
        <v>101.94685</v>
      </c>
      <c r="BH809" s="321">
        <f t="shared" si="533"/>
        <v>352.4</v>
      </c>
      <c r="BI809" s="322">
        <f t="shared" si="534"/>
        <v>-25030</v>
      </c>
      <c r="BJ809" s="322">
        <v>0</v>
      </c>
      <c r="BK809" s="318">
        <f t="shared" si="535"/>
        <v>-25030</v>
      </c>
      <c r="BL809" s="67"/>
      <c r="BM809" s="68" t="str">
        <f t="shared" si="536"/>
        <v>Unloading no. 782 Bill No GST19 ,Deduction For Oil Deduction= 104071.692857143 ,Bardana= 9075 ,F.M= 13998.663 Brokerage/Rate Difference 0 ,Shortage = 2430 ,Greenish=  ,Moisture= 0</v>
      </c>
      <c r="BN809" s="69"/>
      <c r="BO809" s="70" t="str">
        <f t="shared" si="537"/>
        <v xml:space="preserve"> Party Condition 42  ,F.M% 0.49 ,Greenish 3.16 ,Moisture 4.3 ,Shortage in KG= 30  ,Oil% 40.47</v>
      </c>
      <c r="BP809" s="71">
        <f t="shared" si="538"/>
        <v>7739.2016008594137</v>
      </c>
      <c r="BQ809" s="69"/>
      <c r="BX809" s="27">
        <v>40.54</v>
      </c>
      <c r="BY809" s="27">
        <v>40.47</v>
      </c>
    </row>
    <row r="810" spans="1:77" ht="14.1" hidden="1" customHeight="1" x14ac:dyDescent="0.3">
      <c r="A810" s="138" t="s">
        <v>1618</v>
      </c>
      <c r="B810" s="146">
        <v>46177</v>
      </c>
      <c r="C810" s="138">
        <v>783</v>
      </c>
      <c r="D810" s="135" t="s">
        <v>1668</v>
      </c>
      <c r="E810" s="162">
        <v>46178</v>
      </c>
      <c r="F810" s="187" t="s">
        <v>1512</v>
      </c>
      <c r="G810" s="163" t="s">
        <v>1513</v>
      </c>
      <c r="H810" s="163" t="s">
        <v>1514</v>
      </c>
      <c r="I810" s="157"/>
      <c r="J810" s="187" t="s">
        <v>1455</v>
      </c>
      <c r="K810" s="157"/>
      <c r="L810" s="171">
        <v>46177</v>
      </c>
      <c r="M810" s="157"/>
      <c r="N810" s="163">
        <v>31</v>
      </c>
      <c r="O810" s="146">
        <v>46177</v>
      </c>
      <c r="P810" s="138">
        <v>0</v>
      </c>
      <c r="Q810" s="138">
        <v>575</v>
      </c>
      <c r="R810" s="138">
        <v>0</v>
      </c>
      <c r="S810" s="138">
        <v>575</v>
      </c>
      <c r="T810" s="138">
        <v>575</v>
      </c>
      <c r="U810" s="136"/>
      <c r="V810" s="136"/>
      <c r="W810" s="148">
        <v>350.8</v>
      </c>
      <c r="X810" s="148">
        <v>350.1</v>
      </c>
      <c r="Y810" s="148">
        <f>2817274.8-2104.8</f>
        <v>2815170</v>
      </c>
      <c r="Z810" s="169"/>
      <c r="AA810" s="148">
        <v>70431.87</v>
      </c>
      <c r="AB810" s="148">
        <v>70431.87</v>
      </c>
      <c r="AC810" s="148">
        <v>2958138.54</v>
      </c>
      <c r="AD810" s="315">
        <f t="shared" si="539"/>
        <v>2955180.4014599998</v>
      </c>
      <c r="AE810" s="147">
        <v>40.18</v>
      </c>
      <c r="AF810" s="147">
        <v>42</v>
      </c>
      <c r="AG810" s="147">
        <v>40</v>
      </c>
      <c r="AH810" s="292">
        <v>4.5999999999999999E-3</v>
      </c>
      <c r="AI810" s="287">
        <v>3.4000000000000002E-2</v>
      </c>
      <c r="AJ810" s="287">
        <v>4.4999999999999998E-2</v>
      </c>
      <c r="AK810" s="318">
        <f t="shared" si="522"/>
        <v>134055.71428571429</v>
      </c>
      <c r="AL810" s="193">
        <f>575*10</f>
        <v>5750</v>
      </c>
      <c r="AM810" s="193">
        <f>Y810*AH810</f>
        <v>12949.781999999999</v>
      </c>
      <c r="AN810" s="324">
        <v>2104.8000000000002</v>
      </c>
      <c r="AO810" s="320">
        <f t="shared" si="524"/>
        <v>5617.5</v>
      </c>
      <c r="AP810" s="193"/>
      <c r="AQ810" s="318">
        <v>0</v>
      </c>
      <c r="AR810" s="318">
        <f t="shared" si="525"/>
        <v>160477.79628571428</v>
      </c>
      <c r="AS810" s="318">
        <f t="shared" si="526"/>
        <v>168502</v>
      </c>
      <c r="AT810" s="321">
        <v>70</v>
      </c>
      <c r="AU810" s="136" t="s">
        <v>1535</v>
      </c>
      <c r="AV810" s="136"/>
      <c r="AW810" s="318">
        <f t="shared" si="527"/>
        <v>35080</v>
      </c>
      <c r="AX810" s="193"/>
      <c r="AY810" s="318">
        <f t="shared" si="528"/>
        <v>35080</v>
      </c>
      <c r="AZ810" s="318">
        <f t="shared" si="529"/>
        <v>35010</v>
      </c>
      <c r="BA810" s="318">
        <f t="shared" si="530"/>
        <v>70</v>
      </c>
      <c r="BB810" s="318">
        <f t="shared" si="531"/>
        <v>70.16</v>
      </c>
      <c r="BC810" s="318">
        <v>0</v>
      </c>
      <c r="BD810" s="193"/>
      <c r="BE810" s="309">
        <v>102.1</v>
      </c>
      <c r="BF810" s="321">
        <f t="shared" si="532"/>
        <v>0.15314999999999998</v>
      </c>
      <c r="BG810" s="197">
        <f t="shared" si="521"/>
        <v>101.94685</v>
      </c>
      <c r="BH810" s="321">
        <f t="shared" si="533"/>
        <v>350.1</v>
      </c>
      <c r="BI810" s="322">
        <f t="shared" si="534"/>
        <v>-24800.000000000004</v>
      </c>
      <c r="BJ810" s="322">
        <v>0</v>
      </c>
      <c r="BK810" s="318">
        <f t="shared" si="535"/>
        <v>-24800.000000000004</v>
      </c>
      <c r="BL810" s="67"/>
      <c r="BM810" s="68" t="str">
        <f t="shared" si="536"/>
        <v>Unloading no. 783 Bill No 31 ,Deduction For Oil Deduction= 134055.714285714 ,Bardana= 5750 ,F.M= 12949.782 Brokerage/Rate Difference 2104.8 ,Shortage = 5617.5 ,Greenish=  ,Moisture= 0</v>
      </c>
      <c r="BN810" s="69"/>
      <c r="BO810" s="70" t="str">
        <f t="shared" si="537"/>
        <v xml:space="preserve"> Party Condition 42  ,F.M% 0.46 ,Greenish 3.4 ,Moisture 4.5 ,Shortage in KG= 70  ,Oil% 40</v>
      </c>
      <c r="BP810" s="71">
        <f t="shared" si="538"/>
        <v>7582.6683910719375</v>
      </c>
      <c r="BQ810" s="69"/>
      <c r="BX810" s="27">
        <v>40.18</v>
      </c>
      <c r="BY810" s="27">
        <v>40</v>
      </c>
    </row>
    <row r="811" spans="1:77" ht="14.1" hidden="1" customHeight="1" x14ac:dyDescent="0.3">
      <c r="A811" s="187" t="s">
        <v>1539</v>
      </c>
      <c r="B811" s="171">
        <v>46174</v>
      </c>
      <c r="C811" s="187">
        <v>784</v>
      </c>
      <c r="D811" s="164" t="s">
        <v>1669</v>
      </c>
      <c r="E811" s="162">
        <v>46178</v>
      </c>
      <c r="F811" s="187" t="s">
        <v>1144</v>
      </c>
      <c r="G811" s="163" t="s">
        <v>1145</v>
      </c>
      <c r="H811" s="163" t="s">
        <v>100</v>
      </c>
      <c r="I811" s="157"/>
      <c r="J811" s="187" t="s">
        <v>1146</v>
      </c>
      <c r="K811" s="157"/>
      <c r="L811" s="171">
        <v>46174</v>
      </c>
      <c r="M811" s="157"/>
      <c r="N811" s="163" t="s">
        <v>1726</v>
      </c>
      <c r="O811" s="146">
        <v>46178</v>
      </c>
      <c r="P811" s="138">
        <v>0</v>
      </c>
      <c r="Q811" s="138">
        <v>180</v>
      </c>
      <c r="R811" s="138">
        <v>10</v>
      </c>
      <c r="S811" s="138">
        <v>190</v>
      </c>
      <c r="T811" s="138">
        <v>190</v>
      </c>
      <c r="U811" s="136"/>
      <c r="V811" s="136"/>
      <c r="W811" s="148">
        <v>95.6</v>
      </c>
      <c r="X811" s="148">
        <v>95.5</v>
      </c>
      <c r="Y811" s="148">
        <v>764800</v>
      </c>
      <c r="Z811" s="372">
        <v>39.74</v>
      </c>
      <c r="AA811" s="148">
        <v>19120</v>
      </c>
      <c r="AB811" s="148">
        <v>19120</v>
      </c>
      <c r="AC811" s="148">
        <v>803040</v>
      </c>
      <c r="AD811" s="315">
        <f t="shared" si="539"/>
        <v>802236.96</v>
      </c>
      <c r="AE811" s="147">
        <v>39.74</v>
      </c>
      <c r="AF811" s="147">
        <v>42</v>
      </c>
      <c r="AG811" s="147">
        <v>39.74</v>
      </c>
      <c r="AH811" s="287">
        <v>4.7999999999999996E-3</v>
      </c>
      <c r="AI811" s="287">
        <v>3.5000000000000003E-2</v>
      </c>
      <c r="AJ811" s="287">
        <v>4.5999999999999999E-2</v>
      </c>
      <c r="AK811" s="318">
        <f t="shared" si="522"/>
        <v>41153.523809523773</v>
      </c>
      <c r="AL811" s="193">
        <v>0</v>
      </c>
      <c r="AM811" s="193"/>
      <c r="AN811" s="319">
        <v>0</v>
      </c>
      <c r="AO811" s="320">
        <f t="shared" si="524"/>
        <v>0</v>
      </c>
      <c r="AP811" s="193"/>
      <c r="AQ811" s="318">
        <v>0</v>
      </c>
      <c r="AR811" s="318">
        <f t="shared" si="525"/>
        <v>41153.523809523773</v>
      </c>
      <c r="AS811" s="318">
        <f t="shared" si="526"/>
        <v>43211</v>
      </c>
      <c r="AT811" s="321">
        <v>0</v>
      </c>
      <c r="AU811" s="136"/>
      <c r="AV811" s="136"/>
      <c r="AW811" s="318">
        <f t="shared" si="527"/>
        <v>9560</v>
      </c>
      <c r="AX811" s="193"/>
      <c r="AY811" s="318">
        <f t="shared" si="528"/>
        <v>9560</v>
      </c>
      <c r="AZ811" s="318">
        <f t="shared" si="529"/>
        <v>9550</v>
      </c>
      <c r="BA811" s="318">
        <f t="shared" si="530"/>
        <v>10</v>
      </c>
      <c r="BB811" s="318">
        <f t="shared" si="531"/>
        <v>19.12</v>
      </c>
      <c r="BC811" s="318">
        <v>0</v>
      </c>
      <c r="BD811" s="193"/>
      <c r="BE811" s="309">
        <v>102.1</v>
      </c>
      <c r="BF811" s="321">
        <f t="shared" si="532"/>
        <v>0.15314999999999998</v>
      </c>
      <c r="BG811" s="197">
        <f t="shared" si="521"/>
        <v>101.94685</v>
      </c>
      <c r="BH811" s="321">
        <f t="shared" si="533"/>
        <v>95.5</v>
      </c>
      <c r="BI811" s="322">
        <f t="shared" si="534"/>
        <v>659.99999999999943</v>
      </c>
      <c r="BJ811" s="322">
        <v>0</v>
      </c>
      <c r="BK811" s="318">
        <f t="shared" si="535"/>
        <v>659.99999999999943</v>
      </c>
      <c r="BL811" s="67"/>
      <c r="BM811" s="68" t="str">
        <f t="shared" si="536"/>
        <v>Unloading no. 784 Bill No 2026-27/185 ,Deduction For Oil Deduction= 41153.5238095238 ,Bardana= 0 ,F.M=  Brokerage/Rate Difference 0 ,Shortage = 0 ,Greenish=  ,Moisture= 0</v>
      </c>
      <c r="BN811" s="69"/>
      <c r="BO811" s="70" t="str">
        <f t="shared" si="537"/>
        <v xml:space="preserve"> Party Condition 42  ,F.M% 0.48 ,Greenish 3.5 ,Moisture 4.6 ,Shortage in KG= 0  ,Oil% 39.74</v>
      </c>
      <c r="BP811" s="71">
        <f t="shared" si="538"/>
        <v>7577.4500124657197</v>
      </c>
      <c r="BQ811" s="69"/>
      <c r="BX811" s="27">
        <v>39.31</v>
      </c>
      <c r="BY811" s="27">
        <v>39.229999999999997</v>
      </c>
    </row>
    <row r="812" spans="1:77" ht="14.1" hidden="1" customHeight="1" x14ac:dyDescent="0.3">
      <c r="A812" s="187" t="s">
        <v>1539</v>
      </c>
      <c r="B812" s="171">
        <v>46174</v>
      </c>
      <c r="C812" s="187">
        <v>785</v>
      </c>
      <c r="D812" s="164" t="s">
        <v>1670</v>
      </c>
      <c r="E812" s="162">
        <v>46178</v>
      </c>
      <c r="F812" s="187" t="s">
        <v>1144</v>
      </c>
      <c r="G812" s="163" t="s">
        <v>1145</v>
      </c>
      <c r="H812" s="163" t="s">
        <v>100</v>
      </c>
      <c r="I812" s="157"/>
      <c r="J812" s="187" t="s">
        <v>1146</v>
      </c>
      <c r="K812" s="157"/>
      <c r="L812" s="171">
        <v>46174</v>
      </c>
      <c r="M812" s="157"/>
      <c r="N812" s="163" t="s">
        <v>1727</v>
      </c>
      <c r="O812" s="146">
        <v>46178</v>
      </c>
      <c r="P812" s="138">
        <v>0</v>
      </c>
      <c r="Q812" s="138">
        <v>190</v>
      </c>
      <c r="R812" s="138">
        <v>0</v>
      </c>
      <c r="S812" s="138">
        <v>190</v>
      </c>
      <c r="T812" s="138">
        <v>190</v>
      </c>
      <c r="U812" s="136"/>
      <c r="V812" s="136"/>
      <c r="W812" s="148">
        <v>95.2</v>
      </c>
      <c r="X812" s="148">
        <v>95.2</v>
      </c>
      <c r="Y812" s="148">
        <v>761600</v>
      </c>
      <c r="Z812" s="372">
        <v>39.51</v>
      </c>
      <c r="AA812" s="148">
        <v>19040</v>
      </c>
      <c r="AB812" s="148">
        <v>19040</v>
      </c>
      <c r="AC812" s="148">
        <v>799680</v>
      </c>
      <c r="AD812" s="315">
        <f t="shared" si="539"/>
        <v>798880.32</v>
      </c>
      <c r="AE812" s="147">
        <v>39.51</v>
      </c>
      <c r="AF812" s="147">
        <v>42</v>
      </c>
      <c r="AG812" s="173">
        <v>39.51</v>
      </c>
      <c r="AH812" s="287">
        <v>4.4999999999999997E-3</v>
      </c>
      <c r="AI812" s="287">
        <v>3.3000000000000002E-2</v>
      </c>
      <c r="AJ812" s="287">
        <v>4.3999999999999997E-2</v>
      </c>
      <c r="AK812" s="318">
        <f t="shared" si="522"/>
        <v>45152.000000000036</v>
      </c>
      <c r="AL812" s="193">
        <v>0</v>
      </c>
      <c r="AM812" s="193"/>
      <c r="AN812" s="319">
        <v>0</v>
      </c>
      <c r="AO812" s="320">
        <f t="shared" si="524"/>
        <v>0</v>
      </c>
      <c r="AP812" s="193"/>
      <c r="AQ812" s="318">
        <v>0</v>
      </c>
      <c r="AR812" s="318">
        <f t="shared" si="525"/>
        <v>45152.000000000036</v>
      </c>
      <c r="AS812" s="318">
        <f t="shared" si="526"/>
        <v>47410</v>
      </c>
      <c r="AT812" s="321">
        <v>0</v>
      </c>
      <c r="AU812" s="136"/>
      <c r="AV812" s="136"/>
      <c r="AW812" s="318">
        <f t="shared" si="527"/>
        <v>9520</v>
      </c>
      <c r="AX812" s="193"/>
      <c r="AY812" s="318">
        <f t="shared" si="528"/>
        <v>9520</v>
      </c>
      <c r="AZ812" s="318">
        <f t="shared" si="529"/>
        <v>9520</v>
      </c>
      <c r="BA812" s="318">
        <f t="shared" si="530"/>
        <v>0</v>
      </c>
      <c r="BB812" s="318">
        <f t="shared" si="531"/>
        <v>19.04</v>
      </c>
      <c r="BC812" s="318">
        <v>0</v>
      </c>
      <c r="BD812" s="193"/>
      <c r="BE812" s="309">
        <v>102.1</v>
      </c>
      <c r="BF812" s="321">
        <f t="shared" si="532"/>
        <v>0.15314999999999998</v>
      </c>
      <c r="BG812" s="197">
        <f t="shared" si="521"/>
        <v>101.94685</v>
      </c>
      <c r="BH812" s="321">
        <f t="shared" si="533"/>
        <v>95.2</v>
      </c>
      <c r="BI812" s="322">
        <f t="shared" si="534"/>
        <v>689.99999999999909</v>
      </c>
      <c r="BJ812" s="322">
        <v>0</v>
      </c>
      <c r="BK812" s="318">
        <f t="shared" si="535"/>
        <v>689.99999999999909</v>
      </c>
      <c r="BL812" s="67"/>
      <c r="BM812" s="68" t="str">
        <f t="shared" si="536"/>
        <v>Unloading no. 785 Bill No 2026-27/186 ,Deduction For Oil Deduction= 45152 ,Bardana= 0 ,F.M=  Brokerage/Rate Difference 0 ,Shortage = 0 ,Greenish=  ,Moisture= 0</v>
      </c>
      <c r="BN812" s="69"/>
      <c r="BO812" s="70" t="str">
        <f t="shared" si="537"/>
        <v xml:space="preserve"> Party Condition 42  ,F.M% 0.45 ,Greenish 3.3 ,Moisture 4.4 ,Shortage in KG= 0  ,Oil% 39.51</v>
      </c>
      <c r="BP812" s="71">
        <f t="shared" si="538"/>
        <v>7525.7142857142853</v>
      </c>
      <c r="BQ812" s="69"/>
      <c r="BX812" s="27">
        <v>39.299999999999997</v>
      </c>
      <c r="BY812" s="30">
        <v>39.19</v>
      </c>
    </row>
    <row r="813" spans="1:77" ht="14.1" hidden="1" customHeight="1" x14ac:dyDescent="0.3">
      <c r="A813" s="138" t="s">
        <v>1619</v>
      </c>
      <c r="B813" s="146">
        <v>46177</v>
      </c>
      <c r="C813" s="138">
        <v>786</v>
      </c>
      <c r="D813" s="135" t="s">
        <v>1671</v>
      </c>
      <c r="E813" s="162">
        <v>46178</v>
      </c>
      <c r="F813" s="187" t="s">
        <v>1691</v>
      </c>
      <c r="G813" s="163" t="s">
        <v>1692</v>
      </c>
      <c r="H813" s="163" t="s">
        <v>1693</v>
      </c>
      <c r="I813" s="157"/>
      <c r="J813" s="187" t="s">
        <v>1455</v>
      </c>
      <c r="K813" s="157"/>
      <c r="L813" s="171">
        <v>46177</v>
      </c>
      <c r="M813" s="157"/>
      <c r="N813" s="163" t="s">
        <v>1241</v>
      </c>
      <c r="O813" s="146">
        <v>46177</v>
      </c>
      <c r="P813" s="138">
        <v>0</v>
      </c>
      <c r="Q813" s="138">
        <v>420</v>
      </c>
      <c r="R813" s="138">
        <v>80</v>
      </c>
      <c r="S813" s="138">
        <v>500</v>
      </c>
      <c r="T813" s="138">
        <v>500</v>
      </c>
      <c r="U813" s="136"/>
      <c r="V813" s="136"/>
      <c r="W813" s="148">
        <v>304.25</v>
      </c>
      <c r="X813" s="148">
        <v>304</v>
      </c>
      <c r="Y813" s="148">
        <v>2456818.75</v>
      </c>
      <c r="Z813" s="169"/>
      <c r="AA813" s="148">
        <v>61420.47</v>
      </c>
      <c r="AB813" s="148">
        <v>61420.47</v>
      </c>
      <c r="AC813" s="148">
        <v>2579659.69</v>
      </c>
      <c r="AD813" s="315">
        <f t="shared" si="539"/>
        <v>2577080.0303099998</v>
      </c>
      <c r="AE813" s="147">
        <v>40.92</v>
      </c>
      <c r="AF813" s="147">
        <v>42</v>
      </c>
      <c r="AG813" s="147">
        <v>40.72</v>
      </c>
      <c r="AH813" s="292">
        <v>4.1999999999999997E-3</v>
      </c>
      <c r="AI813" s="287">
        <v>3.2500000000000001E-2</v>
      </c>
      <c r="AJ813" s="287">
        <v>5.0999999999999997E-2</v>
      </c>
      <c r="AK813" s="318">
        <f t="shared" si="522"/>
        <v>74874.476190476256</v>
      </c>
      <c r="AL813" s="193">
        <f>420*10+80*15</f>
        <v>5400</v>
      </c>
      <c r="AM813" s="193">
        <f>Y813*AH813</f>
        <v>10318.63875</v>
      </c>
      <c r="AN813" s="319">
        <v>0</v>
      </c>
      <c r="AO813" s="320">
        <f t="shared" si="524"/>
        <v>2018.75</v>
      </c>
      <c r="AP813" s="193"/>
      <c r="AQ813" s="318">
        <v>0</v>
      </c>
      <c r="AR813" s="318">
        <f t="shared" si="525"/>
        <v>92611.864940476255</v>
      </c>
      <c r="AS813" s="318">
        <f t="shared" si="526"/>
        <v>97242</v>
      </c>
      <c r="AT813" s="321">
        <v>25</v>
      </c>
      <c r="AU813" s="136"/>
      <c r="AV813" s="136"/>
      <c r="AW813" s="318">
        <f t="shared" si="527"/>
        <v>30425</v>
      </c>
      <c r="AX813" s="193"/>
      <c r="AY813" s="318">
        <f t="shared" si="528"/>
        <v>30425</v>
      </c>
      <c r="AZ813" s="318">
        <f t="shared" si="529"/>
        <v>30400</v>
      </c>
      <c r="BA813" s="318">
        <f t="shared" si="530"/>
        <v>25</v>
      </c>
      <c r="BB813" s="318">
        <f t="shared" si="531"/>
        <v>60.85</v>
      </c>
      <c r="BC813" s="318">
        <v>0</v>
      </c>
      <c r="BD813" s="193"/>
      <c r="BE813" s="309">
        <v>102.1</v>
      </c>
      <c r="BF813" s="321">
        <f t="shared" si="532"/>
        <v>0.15314999999999998</v>
      </c>
      <c r="BG813" s="197">
        <f t="shared" si="521"/>
        <v>101.94685</v>
      </c>
      <c r="BH813" s="321">
        <f t="shared" si="533"/>
        <v>304</v>
      </c>
      <c r="BI813" s="322">
        <f t="shared" si="534"/>
        <v>-20190</v>
      </c>
      <c r="BJ813" s="322">
        <v>0</v>
      </c>
      <c r="BK813" s="318">
        <f t="shared" si="535"/>
        <v>-20190</v>
      </c>
      <c r="BL813" s="67"/>
      <c r="BM813" s="68" t="str">
        <f t="shared" si="536"/>
        <v>Unloading no. 786 Bill No 2026-27/64 ,Deduction For Oil Deduction= 74874.4761904763 ,Bardana= 5400 ,F.M= 10318.63875 Brokerage/Rate Difference 0 ,Shortage = 2018.75 ,Greenish=  ,Moisture= 0</v>
      </c>
      <c r="BN813" s="69"/>
      <c r="BO813" s="70" t="str">
        <f t="shared" si="537"/>
        <v xml:space="preserve"> Party Condition 42  ,F.M% 0.42 ,Greenish 3.25 ,Moisture 5.1 ,Shortage in KG= 25  ,Oil% 40.72</v>
      </c>
      <c r="BP813" s="71">
        <f t="shared" si="538"/>
        <v>7776.9963324326445</v>
      </c>
      <c r="BQ813" s="69"/>
      <c r="BX813" s="27">
        <v>40.92</v>
      </c>
      <c r="BY813" s="27">
        <v>40.72</v>
      </c>
    </row>
    <row r="814" spans="1:77" ht="14.1" hidden="1" customHeight="1" x14ac:dyDescent="0.3">
      <c r="A814" s="138" t="s">
        <v>1620</v>
      </c>
      <c r="B814" s="146">
        <v>46177</v>
      </c>
      <c r="C814" s="138">
        <v>787</v>
      </c>
      <c r="D814" s="135" t="s">
        <v>1672</v>
      </c>
      <c r="E814" s="162">
        <v>46178</v>
      </c>
      <c r="F814" s="187" t="s">
        <v>95</v>
      </c>
      <c r="G814" s="163" t="s">
        <v>96</v>
      </c>
      <c r="H814" s="163" t="s">
        <v>97</v>
      </c>
      <c r="I814" s="157"/>
      <c r="J814" s="187" t="s">
        <v>1455</v>
      </c>
      <c r="K814" s="157"/>
      <c r="L814" s="171">
        <v>46177</v>
      </c>
      <c r="M814" s="157"/>
      <c r="N814" s="163">
        <v>195</v>
      </c>
      <c r="O814" s="146">
        <v>46177</v>
      </c>
      <c r="P814" s="138">
        <v>0</v>
      </c>
      <c r="Q814" s="138">
        <v>339</v>
      </c>
      <c r="R814" s="138">
        <v>150</v>
      </c>
      <c r="S814" s="138">
        <v>489</v>
      </c>
      <c r="T814" s="138">
        <v>489</v>
      </c>
      <c r="U814" s="136"/>
      <c r="V814" s="136"/>
      <c r="W814" s="148">
        <v>294.89999999999998</v>
      </c>
      <c r="X814" s="148">
        <v>295</v>
      </c>
      <c r="Y814" s="148">
        <f>2382980-1662.6</f>
        <v>2381317.4</v>
      </c>
      <c r="Z814" s="169"/>
      <c r="AA814" s="148">
        <v>59574.5</v>
      </c>
      <c r="AB814" s="148">
        <v>59574.5</v>
      </c>
      <c r="AC814" s="148">
        <v>2502129</v>
      </c>
      <c r="AD814" s="315">
        <f t="shared" si="539"/>
        <v>2499626.8709999998</v>
      </c>
      <c r="AE814" s="147">
        <v>40.020000000000003</v>
      </c>
      <c r="AF814" s="147">
        <v>42</v>
      </c>
      <c r="AG814" s="147">
        <v>39.97</v>
      </c>
      <c r="AH814" s="292">
        <v>4.7000000000000002E-3</v>
      </c>
      <c r="AI814" s="287">
        <v>0.05</v>
      </c>
      <c r="AJ814" s="287">
        <v>4.7E-2</v>
      </c>
      <c r="AK814" s="318">
        <f t="shared" si="522"/>
        <v>115097.00766666673</v>
      </c>
      <c r="AL814" s="193">
        <f>339*10+150*15</f>
        <v>5640</v>
      </c>
      <c r="AM814" s="193">
        <f>Y814*AH814</f>
        <v>11192.191779999999</v>
      </c>
      <c r="AN814" s="324">
        <v>1662.6</v>
      </c>
      <c r="AO814" s="320">
        <f t="shared" si="524"/>
        <v>0</v>
      </c>
      <c r="AP814" s="193"/>
      <c r="AQ814" s="318">
        <v>0</v>
      </c>
      <c r="AR814" s="318">
        <f t="shared" si="525"/>
        <v>133591.79944666673</v>
      </c>
      <c r="AS814" s="318">
        <f t="shared" si="526"/>
        <v>140271</v>
      </c>
      <c r="AT814" s="321">
        <v>0</v>
      </c>
      <c r="AU814" s="136" t="s">
        <v>1535</v>
      </c>
      <c r="AV814" s="136"/>
      <c r="AW814" s="318">
        <f t="shared" si="527"/>
        <v>29489.999999999996</v>
      </c>
      <c r="AX814" s="193"/>
      <c r="AY814" s="318">
        <f t="shared" si="528"/>
        <v>29489.999999999996</v>
      </c>
      <c r="AZ814" s="318">
        <f t="shared" si="529"/>
        <v>29500</v>
      </c>
      <c r="BA814" s="318">
        <f t="shared" si="530"/>
        <v>-10.000000000003638</v>
      </c>
      <c r="BB814" s="318">
        <f t="shared" si="531"/>
        <v>58.97999999999999</v>
      </c>
      <c r="BC814" s="318">
        <v>0</v>
      </c>
      <c r="BD814" s="193"/>
      <c r="BE814" s="309">
        <v>102.1</v>
      </c>
      <c r="BF814" s="321">
        <f t="shared" si="532"/>
        <v>0.15314999999999998</v>
      </c>
      <c r="BG814" s="197">
        <f t="shared" si="521"/>
        <v>101.94685</v>
      </c>
      <c r="BH814" s="321">
        <f t="shared" si="533"/>
        <v>295</v>
      </c>
      <c r="BI814" s="322">
        <f t="shared" si="534"/>
        <v>-19290</v>
      </c>
      <c r="BJ814" s="322">
        <v>0</v>
      </c>
      <c r="BK814" s="318">
        <f t="shared" si="535"/>
        <v>-19290</v>
      </c>
      <c r="BL814" s="67"/>
      <c r="BM814" s="68" t="str">
        <f t="shared" si="536"/>
        <v>Unloading no. 787 Bill No 195 ,Deduction For Oil Deduction= 115097.007666667 ,Bardana= 5640 ,F.M= 11192.19178 Brokerage/Rate Difference 1662.6 ,Shortage = 0 ,Greenish=  ,Moisture= 0</v>
      </c>
      <c r="BN814" s="69"/>
      <c r="BO814" s="70" t="str">
        <f t="shared" si="537"/>
        <v xml:space="preserve"> Party Condition 42  ,F.M% 0.47 ,Greenish 5 ,Moisture 4.7 ,Shortage in KG= 0  ,Oil% 39.97</v>
      </c>
      <c r="BP814" s="71">
        <f t="shared" si="538"/>
        <v>7619.4088154350284</v>
      </c>
      <c r="BQ814" s="69"/>
      <c r="BX814" s="27">
        <v>40.020000000000003</v>
      </c>
      <c r="BY814" s="27">
        <v>39.97</v>
      </c>
    </row>
    <row r="815" spans="1:77" ht="14.1" hidden="1" customHeight="1" x14ac:dyDescent="0.3">
      <c r="A815" s="138" t="s">
        <v>1621</v>
      </c>
      <c r="B815" s="146">
        <v>46177</v>
      </c>
      <c r="C815" s="138">
        <v>788</v>
      </c>
      <c r="D815" s="135" t="s">
        <v>1673</v>
      </c>
      <c r="E815" s="162">
        <v>46178</v>
      </c>
      <c r="F815" s="187" t="s">
        <v>98</v>
      </c>
      <c r="G815" s="163" t="s">
        <v>99</v>
      </c>
      <c r="H815" s="163" t="s">
        <v>100</v>
      </c>
      <c r="I815" s="157">
        <v>230600</v>
      </c>
      <c r="J815" s="187" t="s">
        <v>1146</v>
      </c>
      <c r="K815" s="157"/>
      <c r="L815" s="171">
        <v>46177</v>
      </c>
      <c r="M815" s="157"/>
      <c r="N815" s="163">
        <v>128</v>
      </c>
      <c r="O815" s="146">
        <v>46177</v>
      </c>
      <c r="P815" s="138">
        <v>0</v>
      </c>
      <c r="Q815" s="138">
        <v>255</v>
      </c>
      <c r="R815" s="138">
        <v>250</v>
      </c>
      <c r="S815" s="138">
        <v>505</v>
      </c>
      <c r="T815" s="138">
        <v>505</v>
      </c>
      <c r="U815" s="136"/>
      <c r="V815" s="136"/>
      <c r="W815" s="148">
        <v>305</v>
      </c>
      <c r="X815" s="148">
        <v>304.60000000000002</v>
      </c>
      <c r="Y815" s="148">
        <v>2462875</v>
      </c>
      <c r="Z815" s="169"/>
      <c r="AA815" s="148">
        <v>61571.88</v>
      </c>
      <c r="AB815" s="148">
        <v>61571.88</v>
      </c>
      <c r="AC815" s="148">
        <v>2586018.75</v>
      </c>
      <c r="AD815" s="315">
        <f t="shared" si="539"/>
        <v>2583432.7312500002</v>
      </c>
      <c r="AE815" s="147">
        <v>39.799999999999997</v>
      </c>
      <c r="AF815" s="147">
        <v>42</v>
      </c>
      <c r="AG815" s="147">
        <v>39.61</v>
      </c>
      <c r="AH815" s="292">
        <v>4.1999999999999997E-3</v>
      </c>
      <c r="AI815" s="287">
        <v>3.2199999999999999E-2</v>
      </c>
      <c r="AJ815" s="287">
        <v>4.5999999999999999E-2</v>
      </c>
      <c r="AK815" s="318">
        <f t="shared" si="522"/>
        <v>140149.3154761905</v>
      </c>
      <c r="AL815" s="193">
        <f>255*10+250*15</f>
        <v>6300</v>
      </c>
      <c r="AM815" s="193">
        <f>Y815*AH815</f>
        <v>10344.074999999999</v>
      </c>
      <c r="AN815" s="319">
        <v>0</v>
      </c>
      <c r="AO815" s="320">
        <f t="shared" si="524"/>
        <v>3230</v>
      </c>
      <c r="AP815" s="193"/>
      <c r="AQ815" s="318">
        <v>0</v>
      </c>
      <c r="AR815" s="318">
        <f t="shared" si="525"/>
        <v>160023.39047619051</v>
      </c>
      <c r="AS815" s="318">
        <f t="shared" si="526"/>
        <v>168025</v>
      </c>
      <c r="AT815" s="321">
        <v>40</v>
      </c>
      <c r="AU815" s="136"/>
      <c r="AV815" s="136"/>
      <c r="AW815" s="318">
        <f t="shared" si="527"/>
        <v>30500</v>
      </c>
      <c r="AX815" s="193"/>
      <c r="AY815" s="318">
        <f t="shared" si="528"/>
        <v>30500</v>
      </c>
      <c r="AZ815" s="318">
        <f t="shared" si="529"/>
        <v>30460.000000000004</v>
      </c>
      <c r="BA815" s="318">
        <f t="shared" si="530"/>
        <v>39.999999999996362</v>
      </c>
      <c r="BB815" s="318">
        <f t="shared" si="531"/>
        <v>61</v>
      </c>
      <c r="BC815" s="318">
        <v>0</v>
      </c>
      <c r="BD815" s="193"/>
      <c r="BE815" s="309">
        <v>102.1</v>
      </c>
      <c r="BF815" s="321">
        <f t="shared" si="532"/>
        <v>0.15314999999999998</v>
      </c>
      <c r="BG815" s="197">
        <f t="shared" si="521"/>
        <v>101.94685</v>
      </c>
      <c r="BH815" s="321">
        <f t="shared" si="533"/>
        <v>304.60000000000002</v>
      </c>
      <c r="BI815" s="322">
        <f t="shared" si="534"/>
        <v>-20250.000000000004</v>
      </c>
      <c r="BJ815" s="322">
        <v>0</v>
      </c>
      <c r="BK815" s="318">
        <f t="shared" si="535"/>
        <v>-20250.000000000004</v>
      </c>
      <c r="BL815" s="67"/>
      <c r="BM815" s="68" t="str">
        <f t="shared" si="536"/>
        <v>Unloading no. 788 Bill No 128 ,Deduction For Oil Deduction= 140149.315476191 ,Bardana= 6300 ,F.M= 10344.075 Brokerage/Rate Difference 0 ,Shortage = 3230 ,Greenish=  ,Moisture= 0</v>
      </c>
      <c r="BN815" s="69"/>
      <c r="BO815" s="70" t="str">
        <f t="shared" si="537"/>
        <v xml:space="preserve"> Party Condition 42  ,F.M% 0.42 ,Greenish 3.22 ,Moisture 4.6 ,Shortage in KG= 40  ,Oil% 39.61</v>
      </c>
      <c r="BP815" s="71">
        <f t="shared" si="538"/>
        <v>7560.24822561986</v>
      </c>
      <c r="BQ815" s="69"/>
      <c r="BX815" s="27">
        <v>39.799999999999997</v>
      </c>
      <c r="BY815" s="27">
        <v>39.61</v>
      </c>
    </row>
    <row r="816" spans="1:77" ht="14.1" hidden="1" customHeight="1" x14ac:dyDescent="0.3">
      <c r="A816" s="187" t="s">
        <v>1539</v>
      </c>
      <c r="B816" s="171">
        <v>46174</v>
      </c>
      <c r="C816" s="187">
        <v>789</v>
      </c>
      <c r="D816" s="164" t="s">
        <v>1674</v>
      </c>
      <c r="E816" s="162">
        <v>46178</v>
      </c>
      <c r="F816" s="187" t="s">
        <v>1144</v>
      </c>
      <c r="G816" s="163" t="s">
        <v>1145</v>
      </c>
      <c r="H816" s="163" t="s">
        <v>100</v>
      </c>
      <c r="I816" s="157"/>
      <c r="J816" s="187" t="s">
        <v>1146</v>
      </c>
      <c r="K816" s="157"/>
      <c r="L816" s="171">
        <v>46174</v>
      </c>
      <c r="M816" s="157"/>
      <c r="N816" s="163" t="s">
        <v>1728</v>
      </c>
      <c r="O816" s="146">
        <v>46178</v>
      </c>
      <c r="P816" s="138">
        <v>0</v>
      </c>
      <c r="Q816" s="138">
        <v>150</v>
      </c>
      <c r="R816" s="138">
        <v>40</v>
      </c>
      <c r="S816" s="138">
        <v>190</v>
      </c>
      <c r="T816" s="138">
        <v>190</v>
      </c>
      <c r="U816" s="136"/>
      <c r="V816" s="136"/>
      <c r="W816" s="148">
        <v>95.8</v>
      </c>
      <c r="X816" s="148">
        <v>95.6</v>
      </c>
      <c r="Y816" s="148">
        <v>766400</v>
      </c>
      <c r="Z816" s="372">
        <v>39.93</v>
      </c>
      <c r="AA816" s="148">
        <v>19160</v>
      </c>
      <c r="AB816" s="148">
        <v>19160</v>
      </c>
      <c r="AC816" s="148">
        <v>804720</v>
      </c>
      <c r="AD816" s="315">
        <f t="shared" si="539"/>
        <v>803915.28</v>
      </c>
      <c r="AE816" s="147">
        <v>39.93</v>
      </c>
      <c r="AF816" s="147">
        <v>42</v>
      </c>
      <c r="AG816" s="147">
        <v>39.93</v>
      </c>
      <c r="AH816" s="287">
        <v>4.1000000000000003E-3</v>
      </c>
      <c r="AI816" s="287">
        <v>3.3399999999999999E-2</v>
      </c>
      <c r="AJ816" s="287">
        <v>5.1999999999999998E-2</v>
      </c>
      <c r="AK816" s="318">
        <f t="shared" si="522"/>
        <v>37772.571428571435</v>
      </c>
      <c r="AL816" s="193">
        <v>0</v>
      </c>
      <c r="AM816" s="193"/>
      <c r="AN816" s="319">
        <v>0</v>
      </c>
      <c r="AO816" s="320">
        <f t="shared" si="524"/>
        <v>80</v>
      </c>
      <c r="AP816" s="193"/>
      <c r="AQ816" s="318">
        <v>0</v>
      </c>
      <c r="AR816" s="318">
        <f t="shared" si="525"/>
        <v>37852.571428571435</v>
      </c>
      <c r="AS816" s="318">
        <f t="shared" si="526"/>
        <v>39745</v>
      </c>
      <c r="AT816" s="321">
        <v>1</v>
      </c>
      <c r="AU816" s="136"/>
      <c r="AV816" s="136"/>
      <c r="AW816" s="318">
        <f t="shared" si="527"/>
        <v>9580</v>
      </c>
      <c r="AX816" s="193"/>
      <c r="AY816" s="318">
        <f t="shared" si="528"/>
        <v>9580</v>
      </c>
      <c r="AZ816" s="318">
        <f t="shared" si="529"/>
        <v>9560</v>
      </c>
      <c r="BA816" s="318">
        <f t="shared" si="530"/>
        <v>20</v>
      </c>
      <c r="BB816" s="318">
        <f t="shared" si="531"/>
        <v>19.16</v>
      </c>
      <c r="BC816" s="318">
        <v>0</v>
      </c>
      <c r="BD816" s="193"/>
      <c r="BE816" s="309">
        <v>102.1</v>
      </c>
      <c r="BF816" s="321">
        <f t="shared" si="532"/>
        <v>0.15314999999999998</v>
      </c>
      <c r="BG816" s="197">
        <f t="shared" si="521"/>
        <v>101.94685</v>
      </c>
      <c r="BH816" s="321">
        <f t="shared" si="533"/>
        <v>95.6</v>
      </c>
      <c r="BI816" s="322">
        <f t="shared" si="534"/>
        <v>650</v>
      </c>
      <c r="BJ816" s="322">
        <v>0</v>
      </c>
      <c r="BK816" s="318">
        <f t="shared" si="535"/>
        <v>650</v>
      </c>
      <c r="BL816" s="67"/>
      <c r="BM816" s="68" t="str">
        <f t="shared" si="536"/>
        <v>Unloading no. 789 Bill No 2026-27/187 ,Deduction For Oil Deduction= 37772.5714285714 ,Bardana= 0 ,F.M=  Brokerage/Rate Difference 0 ,Shortage = 80 ,Greenish=  ,Moisture= 0</v>
      </c>
      <c r="BN816" s="69"/>
      <c r="BO816" s="70" t="str">
        <f t="shared" si="537"/>
        <v xml:space="preserve"> Party Condition 42  ,F.M% 0.41 ,Greenish 3.34 ,Moisture 5.2 ,Shortage in KG= 1  ,Oil% 39.93</v>
      </c>
      <c r="BP816" s="71">
        <f t="shared" si="538"/>
        <v>7620.7890017931859</v>
      </c>
      <c r="BQ816" s="69"/>
      <c r="BX816" s="27">
        <v>39.82</v>
      </c>
      <c r="BY816" s="27">
        <v>39.61</v>
      </c>
    </row>
    <row r="817" spans="1:77" ht="14.1" hidden="1" customHeight="1" x14ac:dyDescent="0.3">
      <c r="A817" s="187" t="s">
        <v>1539</v>
      </c>
      <c r="B817" s="171">
        <v>46174</v>
      </c>
      <c r="C817" s="187">
        <v>790</v>
      </c>
      <c r="D817" s="164" t="s">
        <v>1675</v>
      </c>
      <c r="E817" s="162">
        <v>46178</v>
      </c>
      <c r="F817" s="187" t="s">
        <v>1144</v>
      </c>
      <c r="G817" s="163" t="s">
        <v>1145</v>
      </c>
      <c r="H817" s="163" t="s">
        <v>100</v>
      </c>
      <c r="I817" s="157"/>
      <c r="J817" s="187" t="s">
        <v>1146</v>
      </c>
      <c r="K817" s="157"/>
      <c r="L817" s="171">
        <v>46174</v>
      </c>
      <c r="M817" s="157"/>
      <c r="N817" s="163" t="s">
        <v>1729</v>
      </c>
      <c r="O817" s="146">
        <v>46178</v>
      </c>
      <c r="P817" s="138">
        <v>0</v>
      </c>
      <c r="Q817" s="138">
        <v>160</v>
      </c>
      <c r="R817" s="138">
        <v>20</v>
      </c>
      <c r="S817" s="138">
        <v>180</v>
      </c>
      <c r="T817" s="138">
        <v>180</v>
      </c>
      <c r="U817" s="136"/>
      <c r="V817" s="136"/>
      <c r="W817" s="148">
        <v>88.1</v>
      </c>
      <c r="X817" s="148">
        <v>87.9</v>
      </c>
      <c r="Y817" s="148">
        <v>704800</v>
      </c>
      <c r="Z817" s="372">
        <v>40.22</v>
      </c>
      <c r="AA817" s="148">
        <v>17620</v>
      </c>
      <c r="AB817" s="148">
        <v>17620</v>
      </c>
      <c r="AC817" s="148">
        <v>740040</v>
      </c>
      <c r="AD817" s="315">
        <f t="shared" si="539"/>
        <v>739299.96</v>
      </c>
      <c r="AE817" s="147">
        <v>40.22</v>
      </c>
      <c r="AF817" s="147">
        <v>42</v>
      </c>
      <c r="AG817" s="147">
        <v>40.22</v>
      </c>
      <c r="AH817" s="287">
        <v>3.8E-3</v>
      </c>
      <c r="AI817" s="287">
        <v>3.5000000000000003E-2</v>
      </c>
      <c r="AJ817" s="287">
        <v>0.05</v>
      </c>
      <c r="AK817" s="318">
        <f t="shared" si="522"/>
        <v>29870.095238095259</v>
      </c>
      <c r="AL817" s="193">
        <v>0</v>
      </c>
      <c r="AM817" s="193"/>
      <c r="AN817" s="319">
        <v>0</v>
      </c>
      <c r="AO817" s="320">
        <f t="shared" si="524"/>
        <v>160</v>
      </c>
      <c r="AP817" s="193"/>
      <c r="AQ817" s="318">
        <v>0</v>
      </c>
      <c r="AR817" s="318">
        <f t="shared" si="525"/>
        <v>30030.095238095259</v>
      </c>
      <c r="AS817" s="318">
        <f t="shared" si="526"/>
        <v>31532</v>
      </c>
      <c r="AT817" s="321">
        <v>2</v>
      </c>
      <c r="AU817" s="136"/>
      <c r="AV817" s="136"/>
      <c r="AW817" s="318">
        <f t="shared" si="527"/>
        <v>8810</v>
      </c>
      <c r="AX817" s="193"/>
      <c r="AY817" s="318">
        <f t="shared" si="528"/>
        <v>8810</v>
      </c>
      <c r="AZ817" s="318">
        <f t="shared" si="529"/>
        <v>8790</v>
      </c>
      <c r="BA817" s="318">
        <f t="shared" si="530"/>
        <v>20</v>
      </c>
      <c r="BB817" s="318">
        <f t="shared" si="531"/>
        <v>17.62</v>
      </c>
      <c r="BC817" s="318">
        <v>0</v>
      </c>
      <c r="BD817" s="193"/>
      <c r="BE817" s="309">
        <v>102.1</v>
      </c>
      <c r="BF817" s="321">
        <f t="shared" si="532"/>
        <v>0.15314999999999998</v>
      </c>
      <c r="BG817" s="197">
        <f t="shared" si="521"/>
        <v>101.94685</v>
      </c>
      <c r="BH817" s="321">
        <f t="shared" si="533"/>
        <v>87.9</v>
      </c>
      <c r="BI817" s="322">
        <f t="shared" si="534"/>
        <v>1419.9999999999989</v>
      </c>
      <c r="BJ817" s="322">
        <v>0</v>
      </c>
      <c r="BK817" s="318">
        <f t="shared" si="535"/>
        <v>1419.9999999999989</v>
      </c>
      <c r="BL817" s="67"/>
      <c r="BM817" s="68" t="str">
        <f t="shared" si="536"/>
        <v>Unloading no. 790 Bill No 2026-27/190 ,Deduction For Oil Deduction= 29870.0952380953 ,Bardana= 0 ,F.M=  Brokerage/Rate Difference 0 ,Shortage = 160 ,Greenish=  ,Moisture= 0</v>
      </c>
      <c r="BN817" s="69"/>
      <c r="BO817" s="70" t="str">
        <f t="shared" si="537"/>
        <v xml:space="preserve"> Party Condition 42  ,F.M% 0.38 ,Greenish 3.5 ,Moisture 5 ,Shortage in KG= 2  ,Oil% 40.22</v>
      </c>
      <c r="BP817" s="71">
        <f t="shared" si="538"/>
        <v>7676.5631941058555</v>
      </c>
      <c r="BQ817" s="69"/>
      <c r="BX817" s="27">
        <v>40.18</v>
      </c>
      <c r="BY817" s="27">
        <v>40.119999999999997</v>
      </c>
    </row>
    <row r="818" spans="1:77" ht="14.1" hidden="1" customHeight="1" x14ac:dyDescent="0.3">
      <c r="A818" s="187" t="s">
        <v>1539</v>
      </c>
      <c r="B818" s="171">
        <v>46174</v>
      </c>
      <c r="C818" s="187">
        <v>791</v>
      </c>
      <c r="D818" s="164" t="s">
        <v>1676</v>
      </c>
      <c r="E818" s="162">
        <v>46178</v>
      </c>
      <c r="F818" s="187" t="s">
        <v>1144</v>
      </c>
      <c r="G818" s="163" t="s">
        <v>1145</v>
      </c>
      <c r="H818" s="163" t="s">
        <v>100</v>
      </c>
      <c r="I818" s="157"/>
      <c r="J818" s="187" t="s">
        <v>1146</v>
      </c>
      <c r="K818" s="157"/>
      <c r="L818" s="171">
        <v>46174</v>
      </c>
      <c r="M818" s="157"/>
      <c r="N818" s="163" t="s">
        <v>1730</v>
      </c>
      <c r="O818" s="146">
        <v>46178</v>
      </c>
      <c r="P818" s="138">
        <v>0</v>
      </c>
      <c r="Q818" s="138">
        <v>160</v>
      </c>
      <c r="R818" s="138">
        <v>30</v>
      </c>
      <c r="S818" s="138">
        <v>190</v>
      </c>
      <c r="T818" s="138">
        <v>190</v>
      </c>
      <c r="U818" s="136"/>
      <c r="V818" s="136"/>
      <c r="W818" s="148">
        <v>95.7</v>
      </c>
      <c r="X818" s="148">
        <v>95.6</v>
      </c>
      <c r="Y818" s="148">
        <v>765600</v>
      </c>
      <c r="Z818" s="372">
        <v>40.130000000000003</v>
      </c>
      <c r="AA818" s="148">
        <v>19140</v>
      </c>
      <c r="AB818" s="148">
        <v>19140</v>
      </c>
      <c r="AC818" s="148">
        <v>803880</v>
      </c>
      <c r="AD818" s="315">
        <f t="shared" si="539"/>
        <v>803076.12</v>
      </c>
      <c r="AE818" s="147">
        <v>40.130000000000003</v>
      </c>
      <c r="AF818" s="147">
        <v>42</v>
      </c>
      <c r="AG818" s="147">
        <v>40.130000000000003</v>
      </c>
      <c r="AH818" s="287">
        <v>3.3999999999999998E-3</v>
      </c>
      <c r="AI818" s="287">
        <v>0.04</v>
      </c>
      <c r="AJ818" s="287">
        <v>4.8000000000000001E-2</v>
      </c>
      <c r="AK818" s="318">
        <f t="shared" si="522"/>
        <v>34087.428571428529</v>
      </c>
      <c r="AL818" s="193">
        <v>0</v>
      </c>
      <c r="AM818" s="193"/>
      <c r="AN818" s="319">
        <v>0</v>
      </c>
      <c r="AO818" s="320">
        <f t="shared" si="524"/>
        <v>0</v>
      </c>
      <c r="AP818" s="193"/>
      <c r="AQ818" s="318">
        <v>0</v>
      </c>
      <c r="AR818" s="318">
        <f t="shared" si="525"/>
        <v>34087.428571428529</v>
      </c>
      <c r="AS818" s="318">
        <f t="shared" si="526"/>
        <v>35792</v>
      </c>
      <c r="AT818" s="321">
        <v>0</v>
      </c>
      <c r="AU818" s="136"/>
      <c r="AV818" s="136"/>
      <c r="AW818" s="318">
        <f t="shared" si="527"/>
        <v>9570</v>
      </c>
      <c r="AX818" s="193"/>
      <c r="AY818" s="318">
        <f t="shared" si="528"/>
        <v>9570</v>
      </c>
      <c r="AZ818" s="318">
        <f t="shared" si="529"/>
        <v>9560</v>
      </c>
      <c r="BA818" s="318">
        <f t="shared" si="530"/>
        <v>10</v>
      </c>
      <c r="BB818" s="318">
        <f t="shared" si="531"/>
        <v>19.14</v>
      </c>
      <c r="BC818" s="318">
        <v>0</v>
      </c>
      <c r="BD818" s="193"/>
      <c r="BE818" s="309">
        <v>102.1</v>
      </c>
      <c r="BF818" s="321">
        <f t="shared" si="532"/>
        <v>0.15314999999999998</v>
      </c>
      <c r="BG818" s="197">
        <f t="shared" si="521"/>
        <v>101.94685</v>
      </c>
      <c r="BH818" s="321">
        <f t="shared" si="533"/>
        <v>95.6</v>
      </c>
      <c r="BI818" s="322">
        <f t="shared" si="534"/>
        <v>650</v>
      </c>
      <c r="BJ818" s="322">
        <v>0</v>
      </c>
      <c r="BK818" s="318">
        <f t="shared" si="535"/>
        <v>650</v>
      </c>
      <c r="BL818" s="67"/>
      <c r="BM818" s="68" t="str">
        <f t="shared" si="536"/>
        <v>Unloading no. 791 Bill No 2026-27/189 ,Deduction For Oil Deduction= 34087.4285714285 ,Bardana= 0 ,F.M=  Brokerage/Rate Difference 0 ,Shortage = 0 ,Greenish=  ,Moisture= 0</v>
      </c>
      <c r="BN818" s="69"/>
      <c r="BO818" s="70" t="str">
        <f t="shared" si="537"/>
        <v xml:space="preserve"> Party Condition 42  ,F.M% 0.34 ,Greenish 4 ,Moisture 4.8 ,Shortage in KG= 0  ,Oil% 40.13</v>
      </c>
      <c r="BP818" s="71">
        <f t="shared" si="538"/>
        <v>7651.8051404662292</v>
      </c>
      <c r="BQ818" s="69"/>
      <c r="BX818" s="27">
        <v>40.049999999999997</v>
      </c>
      <c r="BY818" s="27">
        <v>39.86</v>
      </c>
    </row>
    <row r="819" spans="1:77" ht="14.1" hidden="1" customHeight="1" x14ac:dyDescent="0.3">
      <c r="A819" s="138" t="s">
        <v>1539</v>
      </c>
      <c r="B819" s="146">
        <v>46174</v>
      </c>
      <c r="C819" s="138">
        <v>792</v>
      </c>
      <c r="D819" s="135" t="s">
        <v>1677</v>
      </c>
      <c r="E819" s="162">
        <v>46178</v>
      </c>
      <c r="F819" s="187" t="s">
        <v>1144</v>
      </c>
      <c r="G819" s="163" t="s">
        <v>1145</v>
      </c>
      <c r="H819" s="163" t="s">
        <v>100</v>
      </c>
      <c r="I819" s="157"/>
      <c r="J819" s="187" t="s">
        <v>1146</v>
      </c>
      <c r="K819" s="157"/>
      <c r="L819" s="171">
        <v>46174</v>
      </c>
      <c r="M819" s="157"/>
      <c r="N819" s="163" t="s">
        <v>1731</v>
      </c>
      <c r="O819" s="146">
        <v>46178</v>
      </c>
      <c r="P819" s="138">
        <v>0</v>
      </c>
      <c r="Q819" s="138">
        <v>160</v>
      </c>
      <c r="R819" s="138">
        <v>20</v>
      </c>
      <c r="S819" s="138">
        <v>180</v>
      </c>
      <c r="T819" s="138">
        <v>180</v>
      </c>
      <c r="U819" s="136"/>
      <c r="V819" s="136"/>
      <c r="W819" s="148">
        <v>90.7</v>
      </c>
      <c r="X819" s="148">
        <v>90.5</v>
      </c>
      <c r="Y819" s="148">
        <v>725600</v>
      </c>
      <c r="Z819" s="372">
        <v>39.83</v>
      </c>
      <c r="AA819" s="148">
        <v>18140</v>
      </c>
      <c r="AB819" s="148">
        <v>18140</v>
      </c>
      <c r="AC819" s="148">
        <v>761880</v>
      </c>
      <c r="AD819" s="315">
        <f t="shared" si="539"/>
        <v>761118.12</v>
      </c>
      <c r="AE819" s="147">
        <v>39.83</v>
      </c>
      <c r="AF819" s="147">
        <v>42</v>
      </c>
      <c r="AG819" s="147">
        <v>39.83</v>
      </c>
      <c r="AH819" s="287">
        <v>3.5000000000000001E-3</v>
      </c>
      <c r="AI819" s="287">
        <v>3.7999999999999999E-2</v>
      </c>
      <c r="AJ819" s="287">
        <v>4.9000000000000002E-2</v>
      </c>
      <c r="AK819" s="318">
        <f t="shared" si="522"/>
        <v>37489.333333333365</v>
      </c>
      <c r="AL819" s="193">
        <v>0</v>
      </c>
      <c r="AM819" s="193"/>
      <c r="AN819" s="319">
        <v>0</v>
      </c>
      <c r="AO819" s="320">
        <f t="shared" si="524"/>
        <v>160</v>
      </c>
      <c r="AP819" s="193"/>
      <c r="AQ819" s="318">
        <v>0</v>
      </c>
      <c r="AR819" s="318">
        <f t="shared" si="525"/>
        <v>37649.333333333365</v>
      </c>
      <c r="AS819" s="318">
        <f t="shared" si="526"/>
        <v>39532</v>
      </c>
      <c r="AT819" s="321">
        <v>2</v>
      </c>
      <c r="AU819" s="136"/>
      <c r="AV819" s="136"/>
      <c r="AW819" s="318">
        <f t="shared" si="527"/>
        <v>9070</v>
      </c>
      <c r="AX819" s="193"/>
      <c r="AY819" s="318">
        <f t="shared" si="528"/>
        <v>9070</v>
      </c>
      <c r="AZ819" s="318">
        <f t="shared" si="529"/>
        <v>9050</v>
      </c>
      <c r="BA819" s="318">
        <f t="shared" si="530"/>
        <v>20</v>
      </c>
      <c r="BB819" s="318">
        <f t="shared" si="531"/>
        <v>18.14</v>
      </c>
      <c r="BC819" s="318">
        <v>0</v>
      </c>
      <c r="BD819" s="193"/>
      <c r="BE819" s="309">
        <v>102.1</v>
      </c>
      <c r="BF819" s="321">
        <f t="shared" si="532"/>
        <v>0.15314999999999998</v>
      </c>
      <c r="BG819" s="197">
        <f t="shared" si="521"/>
        <v>101.94685</v>
      </c>
      <c r="BH819" s="321">
        <f t="shared" si="533"/>
        <v>90.5</v>
      </c>
      <c r="BI819" s="322">
        <f t="shared" si="534"/>
        <v>1159.9999999999995</v>
      </c>
      <c r="BJ819" s="322">
        <v>0</v>
      </c>
      <c r="BK819" s="318">
        <f t="shared" si="535"/>
        <v>1159.9999999999995</v>
      </c>
      <c r="BL819" s="67"/>
      <c r="BM819" s="68" t="str">
        <f t="shared" si="536"/>
        <v>Unloading no. 792 Bill No 2026-27/188 ,Deduction For Oil Deduction= 37489.3333333334 ,Bardana= 0 ,F.M=  Brokerage/Rate Difference 0 ,Shortage = 160 ,Greenish=  ,Moisture= 0</v>
      </c>
      <c r="BN819" s="69"/>
      <c r="BO819" s="70" t="str">
        <f t="shared" si="537"/>
        <v xml:space="preserve"> Party Condition 42  ,F.M% 0.35 ,Greenish 3.8 ,Moisture 4.9 ,Shortage in KG= 2  ,Oil% 39.83</v>
      </c>
      <c r="BP819" s="71">
        <f t="shared" si="538"/>
        <v>7601.6648250460403</v>
      </c>
      <c r="BQ819" s="69"/>
      <c r="BX819" s="27">
        <v>39.54</v>
      </c>
      <c r="BY819" s="27">
        <v>39.35</v>
      </c>
    </row>
    <row r="820" spans="1:77" ht="14.1" hidden="1" customHeight="1" x14ac:dyDescent="0.3">
      <c r="A820" s="138" t="s">
        <v>1622</v>
      </c>
      <c r="B820" s="146">
        <v>46146</v>
      </c>
      <c r="C820" s="138">
        <v>793</v>
      </c>
      <c r="D820" s="135" t="s">
        <v>1678</v>
      </c>
      <c r="E820" s="162">
        <v>46178</v>
      </c>
      <c r="F820" s="187" t="s">
        <v>1080</v>
      </c>
      <c r="G820" s="163" t="s">
        <v>1081</v>
      </c>
      <c r="H820" s="163" t="s">
        <v>1082</v>
      </c>
      <c r="I820" s="157"/>
      <c r="J820" s="187" t="s">
        <v>1455</v>
      </c>
      <c r="K820" s="157"/>
      <c r="L820" s="171">
        <v>46146</v>
      </c>
      <c r="M820" s="157"/>
      <c r="N820" s="163">
        <v>123</v>
      </c>
      <c r="O820" s="146">
        <v>46177</v>
      </c>
      <c r="P820" s="138">
        <v>0</v>
      </c>
      <c r="Q820" s="138">
        <v>481</v>
      </c>
      <c r="R820" s="138">
        <v>400</v>
      </c>
      <c r="S820" s="138">
        <v>881</v>
      </c>
      <c r="T820" s="138">
        <v>881</v>
      </c>
      <c r="U820" s="136"/>
      <c r="V820" s="136"/>
      <c r="W820" s="148">
        <v>439.6</v>
      </c>
      <c r="X820" s="148">
        <v>438.5</v>
      </c>
      <c r="Y820" s="148">
        <v>3549770</v>
      </c>
      <c r="Z820" s="169"/>
      <c r="AA820" s="148">
        <v>88744.25</v>
      </c>
      <c r="AB820" s="148">
        <v>88744.25</v>
      </c>
      <c r="AC820" s="148">
        <v>3727258.5</v>
      </c>
      <c r="AD820" s="315">
        <f t="shared" si="539"/>
        <v>3723531.2415</v>
      </c>
      <c r="AE820" s="147">
        <v>40.46</v>
      </c>
      <c r="AF820" s="147">
        <v>42</v>
      </c>
      <c r="AG820" s="147">
        <v>40.26</v>
      </c>
      <c r="AH820" s="292">
        <v>4.0000000000000001E-3</v>
      </c>
      <c r="AI820" s="287">
        <v>4.7199999999999999E-2</v>
      </c>
      <c r="AJ820" s="287">
        <v>4.2999999999999997E-2</v>
      </c>
      <c r="AK820" s="318">
        <f t="shared" si="522"/>
        <v>147061.90000000017</v>
      </c>
      <c r="AL820" s="193">
        <f>481*10+400*15</f>
        <v>10810</v>
      </c>
      <c r="AM820" s="193">
        <f>Y820*AH820</f>
        <v>14199.08</v>
      </c>
      <c r="AN820" s="324">
        <f>W820*14</f>
        <v>6154.4000000000005</v>
      </c>
      <c r="AO820" s="320">
        <f t="shared" si="524"/>
        <v>8882.5</v>
      </c>
      <c r="AP820" s="193"/>
      <c r="AQ820" s="318">
        <v>0</v>
      </c>
      <c r="AR820" s="318">
        <f t="shared" si="525"/>
        <v>187107.88000000015</v>
      </c>
      <c r="AS820" s="318">
        <f t="shared" si="526"/>
        <v>196463</v>
      </c>
      <c r="AT820" s="321">
        <v>110</v>
      </c>
      <c r="AU820" s="136" t="s">
        <v>1736</v>
      </c>
      <c r="AV820" s="136"/>
      <c r="AW820" s="318">
        <f t="shared" si="527"/>
        <v>43960</v>
      </c>
      <c r="AX820" s="193"/>
      <c r="AY820" s="318">
        <f t="shared" si="528"/>
        <v>43960</v>
      </c>
      <c r="AZ820" s="318">
        <f t="shared" si="529"/>
        <v>43850</v>
      </c>
      <c r="BA820" s="318">
        <f t="shared" si="530"/>
        <v>110</v>
      </c>
      <c r="BB820" s="318">
        <f t="shared" si="531"/>
        <v>87.92</v>
      </c>
      <c r="BC820" s="318">
        <v>0</v>
      </c>
      <c r="BD820" s="193"/>
      <c r="BE820" s="309">
        <v>102.1</v>
      </c>
      <c r="BF820" s="321">
        <f t="shared" si="532"/>
        <v>0.15314999999999998</v>
      </c>
      <c r="BG820" s="197">
        <f t="shared" si="521"/>
        <v>101.94685</v>
      </c>
      <c r="BH820" s="321">
        <f t="shared" si="533"/>
        <v>438.5</v>
      </c>
      <c r="BI820" s="322">
        <f t="shared" si="534"/>
        <v>-33640</v>
      </c>
      <c r="BJ820" s="322">
        <v>0</v>
      </c>
      <c r="BK820" s="318">
        <f t="shared" si="535"/>
        <v>-33640</v>
      </c>
      <c r="BL820" s="67"/>
      <c r="BM820" s="68" t="str">
        <f t="shared" si="536"/>
        <v>Unloading no. 793 Bill No 123 ,Deduction For Oil Deduction= 147061.9 ,Bardana= 10810 ,F.M= 14199.08 Brokerage/Rate Difference 6154.4 ,Shortage = 8882.5 ,Greenish=  ,Moisture= 0</v>
      </c>
      <c r="BN820" s="69"/>
      <c r="BO820" s="70" t="str">
        <f t="shared" si="537"/>
        <v xml:space="preserve"> Party Condition 42  ,F.M% 0.4 ,Greenish 4.72 ,Moisture 4.3 ,Shortage in KG= 110  ,Oil% 40.26</v>
      </c>
      <c r="BP820" s="71">
        <f t="shared" si="538"/>
        <v>7668.5567160775363</v>
      </c>
      <c r="BQ820" s="69"/>
      <c r="BX820" s="27">
        <v>40.46</v>
      </c>
      <c r="BY820" s="27">
        <v>40.26</v>
      </c>
    </row>
    <row r="821" spans="1:77" ht="14.1" hidden="1" customHeight="1" x14ac:dyDescent="0.3">
      <c r="A821" s="138" t="s">
        <v>1610</v>
      </c>
      <c r="B821" s="146">
        <v>46174</v>
      </c>
      <c r="C821" s="138">
        <v>794</v>
      </c>
      <c r="D821" s="135" t="s">
        <v>1679</v>
      </c>
      <c r="E821" s="162">
        <v>46178</v>
      </c>
      <c r="F821" s="187" t="s">
        <v>98</v>
      </c>
      <c r="G821" s="163" t="s">
        <v>99</v>
      </c>
      <c r="H821" s="163" t="s">
        <v>100</v>
      </c>
      <c r="I821" s="157">
        <v>230600</v>
      </c>
      <c r="J821" s="187" t="s">
        <v>1455</v>
      </c>
      <c r="K821" s="157"/>
      <c r="L821" s="171">
        <v>46174</v>
      </c>
      <c r="M821" s="157"/>
      <c r="N821" s="163">
        <v>127</v>
      </c>
      <c r="O821" s="146">
        <v>46177</v>
      </c>
      <c r="P821" s="138">
        <v>0</v>
      </c>
      <c r="Q821" s="138">
        <v>100</v>
      </c>
      <c r="R821" s="138">
        <v>400</v>
      </c>
      <c r="S821" s="138">
        <v>500</v>
      </c>
      <c r="T821" s="138">
        <v>500</v>
      </c>
      <c r="U821" s="136"/>
      <c r="V821" s="136"/>
      <c r="W821" s="148">
        <v>298</v>
      </c>
      <c r="X821" s="148">
        <v>297</v>
      </c>
      <c r="Y821" s="148">
        <v>2391450</v>
      </c>
      <c r="Z821" s="169"/>
      <c r="AA821" s="148">
        <v>59786.25</v>
      </c>
      <c r="AB821" s="148">
        <v>59786.25</v>
      </c>
      <c r="AC821" s="148">
        <v>2511022.5</v>
      </c>
      <c r="AD821" s="315">
        <f t="shared" si="539"/>
        <v>2508511.4775</v>
      </c>
      <c r="AE821" s="147">
        <v>39.72</v>
      </c>
      <c r="AF821" s="147">
        <v>42</v>
      </c>
      <c r="AG821" s="147">
        <v>39.51</v>
      </c>
      <c r="AH821" s="292">
        <v>3.8E-3</v>
      </c>
      <c r="AI821" s="287">
        <v>3.6999999999999998E-2</v>
      </c>
      <c r="AJ821" s="287">
        <v>4.5999999999999999E-2</v>
      </c>
      <c r="AK821" s="318">
        <f t="shared" si="522"/>
        <v>141778.82142857154</v>
      </c>
      <c r="AL821" s="193">
        <f>100*10+400*15</f>
        <v>7000</v>
      </c>
      <c r="AM821" s="193">
        <f>Y821*AH821</f>
        <v>9087.51</v>
      </c>
      <c r="AN821" s="319">
        <v>0</v>
      </c>
      <c r="AO821" s="320">
        <f t="shared" si="524"/>
        <v>8025</v>
      </c>
      <c r="AP821" s="193"/>
      <c r="AQ821" s="318">
        <v>0</v>
      </c>
      <c r="AR821" s="318">
        <f t="shared" si="525"/>
        <v>165891.33142857155</v>
      </c>
      <c r="AS821" s="318">
        <f t="shared" si="526"/>
        <v>174186</v>
      </c>
      <c r="AT821" s="321">
        <v>100</v>
      </c>
      <c r="AU821" s="136"/>
      <c r="AV821" s="136"/>
      <c r="AW821" s="318">
        <f t="shared" si="527"/>
        <v>29800</v>
      </c>
      <c r="AX821" s="193"/>
      <c r="AY821" s="318">
        <f t="shared" si="528"/>
        <v>29800</v>
      </c>
      <c r="AZ821" s="318">
        <f t="shared" si="529"/>
        <v>29700</v>
      </c>
      <c r="BA821" s="318">
        <f t="shared" si="530"/>
        <v>100</v>
      </c>
      <c r="BB821" s="318">
        <f t="shared" si="531"/>
        <v>59.6</v>
      </c>
      <c r="BC821" s="318">
        <v>0</v>
      </c>
      <c r="BD821" s="193"/>
      <c r="BE821" s="309">
        <v>102.1</v>
      </c>
      <c r="BF821" s="321">
        <f t="shared" si="532"/>
        <v>0.15314999999999998</v>
      </c>
      <c r="BG821" s="197">
        <f t="shared" si="521"/>
        <v>101.94685</v>
      </c>
      <c r="BH821" s="321">
        <f t="shared" si="533"/>
        <v>297</v>
      </c>
      <c r="BI821" s="322">
        <f t="shared" si="534"/>
        <v>-19490</v>
      </c>
      <c r="BJ821" s="322">
        <v>0</v>
      </c>
      <c r="BK821" s="318">
        <f t="shared" si="535"/>
        <v>-19490</v>
      </c>
      <c r="BL821" s="67"/>
      <c r="BM821" s="68" t="str">
        <f t="shared" si="536"/>
        <v>Unloading no. 794 Bill No 127 ,Deduction For Oil Deduction= 141778.821428572 ,Bardana= 7000 ,F.M= 9087.51 Brokerage/Rate Difference 0 ,Shortage = 8025 ,Greenish=  ,Moisture= 0</v>
      </c>
      <c r="BN821" s="69"/>
      <c r="BO821" s="70" t="str">
        <f t="shared" si="537"/>
        <v xml:space="preserve"> Party Condition 42  ,F.M% 0.38 ,Greenish 3.7 ,Moisture 4.6 ,Shortage in KG= 100  ,Oil% 39.51</v>
      </c>
      <c r="BP821" s="71">
        <f t="shared" si="538"/>
        <v>7493.4635305435304</v>
      </c>
      <c r="BQ821" s="69"/>
      <c r="BX821" s="27">
        <v>39.72</v>
      </c>
      <c r="BY821" s="27">
        <v>39.51</v>
      </c>
    </row>
    <row r="822" spans="1:77" ht="14.1" hidden="1" customHeight="1" x14ac:dyDescent="0.3">
      <c r="A822" s="138" t="s">
        <v>1539</v>
      </c>
      <c r="B822" s="146">
        <v>46174</v>
      </c>
      <c r="C822" s="138">
        <v>795</v>
      </c>
      <c r="D822" s="135" t="s">
        <v>1680</v>
      </c>
      <c r="E822" s="162">
        <v>46178</v>
      </c>
      <c r="F822" s="187" t="s">
        <v>1144</v>
      </c>
      <c r="G822" s="163" t="s">
        <v>1145</v>
      </c>
      <c r="H822" s="163" t="s">
        <v>100</v>
      </c>
      <c r="I822" s="157"/>
      <c r="J822" s="187" t="s">
        <v>1146</v>
      </c>
      <c r="K822" s="157"/>
      <c r="L822" s="171">
        <v>46174</v>
      </c>
      <c r="M822" s="157"/>
      <c r="N822" s="163" t="s">
        <v>1732</v>
      </c>
      <c r="O822" s="146">
        <v>46178</v>
      </c>
      <c r="P822" s="138">
        <v>0</v>
      </c>
      <c r="Q822" s="138">
        <v>160</v>
      </c>
      <c r="R822" s="138">
        <v>20</v>
      </c>
      <c r="S822" s="138">
        <v>180</v>
      </c>
      <c r="T822" s="138">
        <v>180</v>
      </c>
      <c r="U822" s="136"/>
      <c r="V822" s="136"/>
      <c r="W822" s="148">
        <v>91</v>
      </c>
      <c r="X822" s="148">
        <v>91</v>
      </c>
      <c r="Y822" s="148">
        <v>728000</v>
      </c>
      <c r="Z822" s="372">
        <v>40.049999999999997</v>
      </c>
      <c r="AA822" s="148">
        <v>18200</v>
      </c>
      <c r="AB822" s="148">
        <v>18200</v>
      </c>
      <c r="AC822" s="148">
        <v>764400</v>
      </c>
      <c r="AD822" s="315">
        <f t="shared" si="539"/>
        <v>763635.6</v>
      </c>
      <c r="AE822" s="147">
        <v>40.049999999999997</v>
      </c>
      <c r="AF822" s="147">
        <v>42</v>
      </c>
      <c r="AG822" s="147">
        <v>40.049999999999997</v>
      </c>
      <c r="AH822" s="287">
        <v>3.5999999999999999E-3</v>
      </c>
      <c r="AI822" s="287">
        <v>3.3000000000000002E-2</v>
      </c>
      <c r="AJ822" s="287">
        <v>5.0999999999999997E-2</v>
      </c>
      <c r="AK822" s="318">
        <f t="shared" si="522"/>
        <v>33800.000000000051</v>
      </c>
      <c r="AL822" s="193">
        <v>0</v>
      </c>
      <c r="AM822" s="193"/>
      <c r="AN822" s="319">
        <v>0</v>
      </c>
      <c r="AO822" s="320">
        <f t="shared" si="524"/>
        <v>0</v>
      </c>
      <c r="AP822" s="193"/>
      <c r="AQ822" s="318">
        <v>0</v>
      </c>
      <c r="AR822" s="318">
        <f t="shared" si="525"/>
        <v>33800.000000000051</v>
      </c>
      <c r="AS822" s="318">
        <f t="shared" si="526"/>
        <v>35490</v>
      </c>
      <c r="AT822" s="321">
        <v>0</v>
      </c>
      <c r="AU822" s="136"/>
      <c r="AV822" s="136"/>
      <c r="AW822" s="318">
        <f t="shared" si="527"/>
        <v>9100</v>
      </c>
      <c r="AX822" s="193"/>
      <c r="AY822" s="318">
        <f t="shared" si="528"/>
        <v>9100</v>
      </c>
      <c r="AZ822" s="318">
        <f t="shared" si="529"/>
        <v>9100</v>
      </c>
      <c r="BA822" s="318">
        <f t="shared" si="530"/>
        <v>0</v>
      </c>
      <c r="BB822" s="318">
        <f t="shared" si="531"/>
        <v>18.2</v>
      </c>
      <c r="BC822" s="318">
        <v>0</v>
      </c>
      <c r="BD822" s="193"/>
      <c r="BE822" s="309">
        <v>102.1</v>
      </c>
      <c r="BF822" s="321">
        <f t="shared" si="532"/>
        <v>0.15314999999999998</v>
      </c>
      <c r="BG822" s="197">
        <f t="shared" si="521"/>
        <v>101.94685</v>
      </c>
      <c r="BH822" s="321">
        <f t="shared" si="533"/>
        <v>91</v>
      </c>
      <c r="BI822" s="322">
        <f t="shared" si="534"/>
        <v>1109.9999999999995</v>
      </c>
      <c r="BJ822" s="322">
        <v>0</v>
      </c>
      <c r="BK822" s="318">
        <f t="shared" si="535"/>
        <v>1109.9999999999995</v>
      </c>
      <c r="BL822" s="67"/>
      <c r="BM822" s="68" t="str">
        <f t="shared" si="536"/>
        <v>Unloading no. 795 Bill No 2026-27/191 ,Deduction For Oil Deduction= 33800.0000000001 ,Bardana= 0 ,F.M=  Brokerage/Rate Difference 0 ,Shortage = 0 ,Greenish=  ,Moisture= 0</v>
      </c>
      <c r="BN822" s="69"/>
      <c r="BO822" s="70" t="str">
        <f t="shared" si="537"/>
        <v xml:space="preserve"> Party Condition 42  ,F.M% 0.36 ,Greenish 3.3 ,Moisture 5.1 ,Shortage in KG= 0  ,Oil% 40.05</v>
      </c>
      <c r="BP822" s="71">
        <f t="shared" si="538"/>
        <v>7628.5714285714284</v>
      </c>
      <c r="BQ822" s="69"/>
      <c r="BX822" s="27">
        <v>40.19</v>
      </c>
      <c r="BY822" s="27">
        <v>40.090000000000003</v>
      </c>
    </row>
    <row r="823" spans="1:77" ht="14.1" hidden="1" customHeight="1" x14ac:dyDescent="0.3">
      <c r="A823" s="138" t="s">
        <v>1539</v>
      </c>
      <c r="B823" s="146">
        <v>46174</v>
      </c>
      <c r="C823" s="138">
        <v>796</v>
      </c>
      <c r="D823" s="135" t="s">
        <v>1681</v>
      </c>
      <c r="E823" s="162">
        <v>46178</v>
      </c>
      <c r="F823" s="187" t="s">
        <v>1144</v>
      </c>
      <c r="G823" s="163" t="s">
        <v>1145</v>
      </c>
      <c r="H823" s="163" t="s">
        <v>100</v>
      </c>
      <c r="I823" s="157"/>
      <c r="J823" s="187" t="s">
        <v>1146</v>
      </c>
      <c r="K823" s="157"/>
      <c r="L823" s="171">
        <v>46174</v>
      </c>
      <c r="M823" s="157"/>
      <c r="N823" s="163" t="s">
        <v>1733</v>
      </c>
      <c r="O823" s="146">
        <v>46178</v>
      </c>
      <c r="P823" s="138">
        <v>0</v>
      </c>
      <c r="Q823" s="138">
        <v>160</v>
      </c>
      <c r="R823" s="138">
        <v>20</v>
      </c>
      <c r="S823" s="138">
        <v>180</v>
      </c>
      <c r="T823" s="138">
        <v>180</v>
      </c>
      <c r="U823" s="136"/>
      <c r="V823" s="136"/>
      <c r="W823" s="148">
        <v>91.2</v>
      </c>
      <c r="X823" s="148">
        <v>91.1</v>
      </c>
      <c r="Y823" s="148">
        <v>729600</v>
      </c>
      <c r="Z823" s="372">
        <v>40.04</v>
      </c>
      <c r="AA823" s="148">
        <v>18240</v>
      </c>
      <c r="AB823" s="148">
        <v>18240</v>
      </c>
      <c r="AC823" s="148">
        <v>766080</v>
      </c>
      <c r="AD823" s="315">
        <f t="shared" si="539"/>
        <v>765313.92</v>
      </c>
      <c r="AE823" s="147">
        <v>40.04</v>
      </c>
      <c r="AF823" s="147">
        <v>42</v>
      </c>
      <c r="AG823" s="147">
        <v>40.04</v>
      </c>
      <c r="AH823" s="287">
        <v>3.5999999999999999E-3</v>
      </c>
      <c r="AI823" s="287">
        <v>4.4299999999999999E-2</v>
      </c>
      <c r="AJ823" s="287">
        <v>4.8000000000000001E-2</v>
      </c>
      <c r="AK823" s="318">
        <f t="shared" si="522"/>
        <v>34048.000000000015</v>
      </c>
      <c r="AL823" s="193">
        <v>0</v>
      </c>
      <c r="AM823" s="193"/>
      <c r="AN823" s="319">
        <v>0</v>
      </c>
      <c r="AO823" s="320">
        <f t="shared" si="524"/>
        <v>0</v>
      </c>
      <c r="AP823" s="193"/>
      <c r="AQ823" s="318">
        <v>0</v>
      </c>
      <c r="AR823" s="318">
        <f t="shared" si="525"/>
        <v>34048.000000000015</v>
      </c>
      <c r="AS823" s="318">
        <f t="shared" si="526"/>
        <v>35750</v>
      </c>
      <c r="AT823" s="321">
        <v>0</v>
      </c>
      <c r="AU823" s="136"/>
      <c r="AV823" s="136"/>
      <c r="AW823" s="318">
        <f t="shared" si="527"/>
        <v>9120</v>
      </c>
      <c r="AX823" s="193"/>
      <c r="AY823" s="318">
        <f t="shared" si="528"/>
        <v>9120</v>
      </c>
      <c r="AZ823" s="318">
        <f t="shared" si="529"/>
        <v>9110</v>
      </c>
      <c r="BA823" s="318">
        <f t="shared" si="530"/>
        <v>10</v>
      </c>
      <c r="BB823" s="318">
        <f t="shared" si="531"/>
        <v>18.239999999999998</v>
      </c>
      <c r="BC823" s="318">
        <v>0</v>
      </c>
      <c r="BD823" s="193"/>
      <c r="BE823" s="329">
        <v>102.1</v>
      </c>
      <c r="BF823" s="321">
        <f t="shared" si="532"/>
        <v>0.15314999999999998</v>
      </c>
      <c r="BG823" s="197">
        <f t="shared" si="521"/>
        <v>101.94685</v>
      </c>
      <c r="BH823" s="321">
        <f t="shared" si="533"/>
        <v>91.1</v>
      </c>
      <c r="BI823" s="322">
        <f t="shared" si="534"/>
        <v>1100</v>
      </c>
      <c r="BJ823" s="322">
        <v>0</v>
      </c>
      <c r="BK823" s="318">
        <f t="shared" si="535"/>
        <v>1100</v>
      </c>
      <c r="BL823" s="67"/>
      <c r="BM823" s="68" t="str">
        <f t="shared" si="536"/>
        <v>Unloading no. 796 Bill No 2026-27/192 ,Deduction For Oil Deduction= 34048 ,Bardana= 0 ,F.M=  Brokerage/Rate Difference 0 ,Shortage = 0 ,Greenish=  ,Moisture= 0</v>
      </c>
      <c r="BN823" s="69"/>
      <c r="BO823" s="70" t="str">
        <f t="shared" si="537"/>
        <v xml:space="preserve"> Party Condition 42  ,F.M% 0.36 ,Greenish 4.43 ,Moisture 4.8 ,Shortage in KG= 0  ,Oil% 40.04</v>
      </c>
      <c r="BP823" s="71">
        <f t="shared" si="538"/>
        <v>7635.0384193194295</v>
      </c>
      <c r="BQ823" s="69"/>
      <c r="BX823" s="30">
        <v>40.19</v>
      </c>
      <c r="BY823" s="30">
        <v>40.020000000000003</v>
      </c>
    </row>
    <row r="824" spans="1:77" ht="14.1" hidden="1" customHeight="1" x14ac:dyDescent="0.3">
      <c r="A824" s="138" t="s">
        <v>1539</v>
      </c>
      <c r="B824" s="146">
        <v>46174</v>
      </c>
      <c r="C824" s="138">
        <v>797</v>
      </c>
      <c r="D824" s="135" t="s">
        <v>1682</v>
      </c>
      <c r="E824" s="129">
        <v>46179</v>
      </c>
      <c r="F824" s="128" t="s">
        <v>1144</v>
      </c>
      <c r="G824" s="128" t="s">
        <v>1145</v>
      </c>
      <c r="H824" s="128" t="s">
        <v>100</v>
      </c>
      <c r="I824" s="136"/>
      <c r="J824" s="138" t="s">
        <v>1146</v>
      </c>
      <c r="K824" s="136"/>
      <c r="L824" s="146">
        <v>46174</v>
      </c>
      <c r="M824" s="136"/>
      <c r="N824" s="281" t="s">
        <v>1734</v>
      </c>
      <c r="O824" s="146">
        <v>46178</v>
      </c>
      <c r="P824" s="138">
        <v>0</v>
      </c>
      <c r="Q824" s="138">
        <v>160</v>
      </c>
      <c r="R824" s="138">
        <v>0</v>
      </c>
      <c r="S824" s="138">
        <v>160</v>
      </c>
      <c r="T824" s="138">
        <v>160</v>
      </c>
      <c r="U824" s="136"/>
      <c r="V824" s="136"/>
      <c r="W824" s="148">
        <v>94.7</v>
      </c>
      <c r="X824" s="148">
        <v>94.7</v>
      </c>
      <c r="Y824" s="148">
        <v>757600</v>
      </c>
      <c r="Z824" s="236">
        <v>40.07</v>
      </c>
      <c r="AA824" s="147">
        <v>18940</v>
      </c>
      <c r="AB824" s="147">
        <v>18940</v>
      </c>
      <c r="AC824" s="147">
        <v>795480</v>
      </c>
      <c r="AD824" s="315">
        <f t="shared" si="539"/>
        <v>794684.52</v>
      </c>
      <c r="AE824" s="147">
        <v>40.07</v>
      </c>
      <c r="AF824" s="147">
        <v>42</v>
      </c>
      <c r="AG824" s="147">
        <v>40.07</v>
      </c>
      <c r="AH824" s="287">
        <v>3.5000000000000001E-3</v>
      </c>
      <c r="AI824" s="287">
        <v>0.04</v>
      </c>
      <c r="AJ824" s="287">
        <v>4.5999999999999999E-2</v>
      </c>
      <c r="AK824" s="318">
        <f t="shared" si="522"/>
        <v>34813.523809523802</v>
      </c>
      <c r="AL824" s="193">
        <v>0</v>
      </c>
      <c r="AM824" s="193"/>
      <c r="AN824" s="319">
        <v>0</v>
      </c>
      <c r="AO824" s="320">
        <f t="shared" si="524"/>
        <v>0</v>
      </c>
      <c r="AP824" s="193"/>
      <c r="AQ824" s="318">
        <v>0</v>
      </c>
      <c r="AR824" s="318">
        <f t="shared" si="525"/>
        <v>34813.523809523802</v>
      </c>
      <c r="AS824" s="318">
        <f t="shared" si="526"/>
        <v>36554</v>
      </c>
      <c r="AT824" s="321">
        <v>0</v>
      </c>
      <c r="AU824" s="136"/>
      <c r="AV824" s="136"/>
      <c r="AW824" s="318">
        <f t="shared" si="527"/>
        <v>9470</v>
      </c>
      <c r="AX824" s="193"/>
      <c r="AY824" s="318">
        <f t="shared" si="528"/>
        <v>9470</v>
      </c>
      <c r="AZ824" s="318">
        <f t="shared" si="529"/>
        <v>9470</v>
      </c>
      <c r="BA824" s="318">
        <f t="shared" si="530"/>
        <v>0</v>
      </c>
      <c r="BB824" s="318">
        <f t="shared" si="531"/>
        <v>18.940000000000001</v>
      </c>
      <c r="BC824" s="318">
        <v>0</v>
      </c>
      <c r="BD824" s="373"/>
      <c r="BE824" s="147">
        <v>94.7</v>
      </c>
      <c r="BF824" s="374">
        <f t="shared" si="532"/>
        <v>0.14205000000000001</v>
      </c>
      <c r="BG824" s="197">
        <f t="shared" si="521"/>
        <v>94.557950000000005</v>
      </c>
      <c r="BH824" s="375">
        <f t="shared" si="533"/>
        <v>94.7</v>
      </c>
      <c r="BI824" s="322">
        <f t="shared" si="534"/>
        <v>0</v>
      </c>
      <c r="BJ824" s="322">
        <v>0</v>
      </c>
      <c r="BK824" s="318">
        <f t="shared" si="535"/>
        <v>0</v>
      </c>
      <c r="BL824" s="67"/>
      <c r="BM824" s="68" t="str">
        <f t="shared" si="536"/>
        <v>Unloading no. 797 Bill No 2026-27/194 ,Deduction For Oil Deduction= 34813.5238095238 ,Bardana= 0 ,F.M=  Brokerage/Rate Difference 0 ,Shortage = 0 ,Greenish=  ,Moisture= 0</v>
      </c>
      <c r="BN824" s="69"/>
      <c r="BO824" s="70" t="str">
        <f t="shared" si="537"/>
        <v xml:space="preserve"> Party Condition 42  ,F.M% 0.35 ,Greenish 4 ,Moisture 4.6 ,Shortage in KG= 0  ,Oil% 40.07</v>
      </c>
      <c r="BP824" s="71">
        <f t="shared" si="538"/>
        <v>7632.3809523809523</v>
      </c>
      <c r="BQ824" s="69"/>
      <c r="BR824" s="41"/>
      <c r="BS824" s="41"/>
      <c r="BT824" s="41"/>
      <c r="BU824" s="41"/>
      <c r="BV824" s="41"/>
      <c r="BW824" s="85"/>
      <c r="BX824" s="27">
        <v>39.01</v>
      </c>
      <c r="BY824" s="27">
        <v>38.880000000000003</v>
      </c>
    </row>
    <row r="825" spans="1:77" ht="14.1" hidden="1" customHeight="1" x14ac:dyDescent="0.3">
      <c r="A825" s="138" t="s">
        <v>1539</v>
      </c>
      <c r="B825" s="146">
        <v>46174</v>
      </c>
      <c r="C825" s="138">
        <v>798</v>
      </c>
      <c r="D825" s="135" t="s">
        <v>1683</v>
      </c>
      <c r="E825" s="129">
        <v>46179</v>
      </c>
      <c r="F825" s="128" t="s">
        <v>1144</v>
      </c>
      <c r="G825" s="128" t="s">
        <v>1145</v>
      </c>
      <c r="H825" s="128" t="s">
        <v>100</v>
      </c>
      <c r="I825" s="136"/>
      <c r="J825" s="138" t="s">
        <v>1146</v>
      </c>
      <c r="K825" s="136"/>
      <c r="L825" s="146">
        <v>46174</v>
      </c>
      <c r="M825" s="136"/>
      <c r="N825" s="281" t="s">
        <v>1735</v>
      </c>
      <c r="O825" s="146">
        <v>46178</v>
      </c>
      <c r="P825" s="138">
        <v>0</v>
      </c>
      <c r="Q825" s="138">
        <v>150</v>
      </c>
      <c r="R825" s="138">
        <v>30</v>
      </c>
      <c r="S825" s="138">
        <v>180</v>
      </c>
      <c r="T825" s="138">
        <v>180</v>
      </c>
      <c r="U825" s="136"/>
      <c r="V825" s="136"/>
      <c r="W825" s="148">
        <v>93.8</v>
      </c>
      <c r="X825" s="148">
        <v>93.7</v>
      </c>
      <c r="Y825" s="148">
        <v>750400</v>
      </c>
      <c r="Z825" s="236">
        <v>39.299999999999997</v>
      </c>
      <c r="AA825" s="147">
        <v>18760</v>
      </c>
      <c r="AB825" s="147">
        <v>18760</v>
      </c>
      <c r="AC825" s="147">
        <v>787920</v>
      </c>
      <c r="AD825" s="315">
        <f t="shared" si="539"/>
        <v>787132.08</v>
      </c>
      <c r="AE825" s="147">
        <v>39.299999999999997</v>
      </c>
      <c r="AF825" s="147">
        <v>42</v>
      </c>
      <c r="AG825" s="147">
        <v>39.299999999999997</v>
      </c>
      <c r="AH825" s="287">
        <v>4.3E-3</v>
      </c>
      <c r="AI825" s="287">
        <v>4.4999999999999998E-2</v>
      </c>
      <c r="AJ825" s="287">
        <v>4.7E-2</v>
      </c>
      <c r="AK825" s="318">
        <f t="shared" si="522"/>
        <v>48240.000000000051</v>
      </c>
      <c r="AL825" s="193">
        <v>0</v>
      </c>
      <c r="AM825" s="193"/>
      <c r="AN825" s="319">
        <v>0</v>
      </c>
      <c r="AO825" s="320">
        <f t="shared" si="524"/>
        <v>800</v>
      </c>
      <c r="AP825" s="193"/>
      <c r="AQ825" s="318">
        <v>0</v>
      </c>
      <c r="AR825" s="318">
        <f t="shared" si="525"/>
        <v>49040.000000000051</v>
      </c>
      <c r="AS825" s="318">
        <f t="shared" si="526"/>
        <v>51492</v>
      </c>
      <c r="AT825" s="321">
        <v>10</v>
      </c>
      <c r="AU825" s="136"/>
      <c r="AV825" s="136"/>
      <c r="AW825" s="318">
        <f t="shared" si="527"/>
        <v>9380</v>
      </c>
      <c r="AX825" s="193"/>
      <c r="AY825" s="318">
        <f t="shared" si="528"/>
        <v>9380</v>
      </c>
      <c r="AZ825" s="318">
        <f t="shared" si="529"/>
        <v>9370</v>
      </c>
      <c r="BA825" s="318">
        <f t="shared" si="530"/>
        <v>10</v>
      </c>
      <c r="BB825" s="318">
        <f t="shared" si="531"/>
        <v>18.760000000000002</v>
      </c>
      <c r="BC825" s="318">
        <v>0</v>
      </c>
      <c r="BD825" s="373"/>
      <c r="BE825" s="147">
        <v>93.8</v>
      </c>
      <c r="BF825" s="374">
        <f t="shared" si="532"/>
        <v>0.14069999999999999</v>
      </c>
      <c r="BG825" s="197">
        <f t="shared" si="521"/>
        <v>93.659300000000002</v>
      </c>
      <c r="BH825" s="375">
        <f t="shared" si="533"/>
        <v>93.7</v>
      </c>
      <c r="BI825" s="322">
        <f t="shared" si="534"/>
        <v>9.9999999999994316</v>
      </c>
      <c r="BJ825" s="322">
        <v>0</v>
      </c>
      <c r="BK825" s="318">
        <f t="shared" si="535"/>
        <v>9.9999999999994316</v>
      </c>
      <c r="BL825" s="67"/>
      <c r="BM825" s="68" t="str">
        <f t="shared" si="536"/>
        <v>Unloading no. 798 Bill No 2026-27/193 ,Deduction For Oil Deduction= 48240.0000000001 ,Bardana= 0 ,F.M=  Brokerage/Rate Difference 0 ,Shortage = 800 ,Greenish=  ,Moisture= 0</v>
      </c>
      <c r="BN825" s="69"/>
      <c r="BO825" s="70" t="str">
        <f t="shared" si="537"/>
        <v xml:space="preserve"> Party Condition 42  ,F.M% 0.43 ,Greenish 4.5 ,Moisture 4.7 ,Shortage in KG= 10  ,Oil% 39.3</v>
      </c>
      <c r="BP825" s="71">
        <f t="shared" si="538"/>
        <v>7485.1654215581639</v>
      </c>
      <c r="BQ825" s="69"/>
      <c r="BR825" s="41"/>
      <c r="BS825" s="41"/>
      <c r="BT825" s="41"/>
      <c r="BU825" s="41"/>
      <c r="BV825" s="41"/>
      <c r="BW825" s="85"/>
      <c r="BX825" s="27">
        <v>40.14</v>
      </c>
      <c r="BY825" s="27">
        <v>39.950000000000003</v>
      </c>
    </row>
    <row r="826" spans="1:77" ht="14.1" hidden="1" customHeight="1" x14ac:dyDescent="0.3">
      <c r="A826" s="138" t="s">
        <v>1620</v>
      </c>
      <c r="B826" s="146">
        <v>46177</v>
      </c>
      <c r="C826" s="138">
        <v>799</v>
      </c>
      <c r="D826" s="135" t="s">
        <v>1684</v>
      </c>
      <c r="E826" s="129">
        <v>46179</v>
      </c>
      <c r="F826" s="128" t="s">
        <v>95</v>
      </c>
      <c r="G826" s="128" t="s">
        <v>96</v>
      </c>
      <c r="H826" s="128" t="s">
        <v>97</v>
      </c>
      <c r="I826" s="136"/>
      <c r="J826" s="347" t="s">
        <v>1455</v>
      </c>
      <c r="K826" s="136"/>
      <c r="L826" s="146">
        <v>46177</v>
      </c>
      <c r="M826" s="136"/>
      <c r="N826" s="281">
        <v>196</v>
      </c>
      <c r="O826" s="146">
        <v>46177</v>
      </c>
      <c r="P826" s="138">
        <v>0</v>
      </c>
      <c r="Q826" s="138">
        <v>310</v>
      </c>
      <c r="R826" s="138">
        <v>116</v>
      </c>
      <c r="S826" s="138">
        <v>426</v>
      </c>
      <c r="T826" s="138">
        <v>426</v>
      </c>
      <c r="U826" s="136"/>
      <c r="V826" s="136"/>
      <c r="W826" s="148">
        <v>258.8</v>
      </c>
      <c r="X826" s="148">
        <v>258.89999999999998</v>
      </c>
      <c r="Y826" s="148">
        <f>2091258.4-1448.4</f>
        <v>2089810</v>
      </c>
      <c r="Z826" s="128"/>
      <c r="AA826" s="147">
        <v>52281.46</v>
      </c>
      <c r="AB826" s="147">
        <v>52281.46</v>
      </c>
      <c r="AC826" s="147">
        <v>2195821.3199999998</v>
      </c>
      <c r="AD826" s="315">
        <f t="shared" si="539"/>
        <v>2193625.4986799997</v>
      </c>
      <c r="AE826" s="147">
        <v>39.92</v>
      </c>
      <c r="AF826" s="147">
        <v>42</v>
      </c>
      <c r="AG826" s="147">
        <v>39.840000000000003</v>
      </c>
      <c r="AH826" s="287">
        <v>4.1000000000000003E-3</v>
      </c>
      <c r="AI826" s="287">
        <v>4.9399999999999999E-2</v>
      </c>
      <c r="AJ826" s="287">
        <v>4.5999999999999999E-2</v>
      </c>
      <c r="AK826" s="318">
        <f t="shared" si="522"/>
        <v>107475.94285714268</v>
      </c>
      <c r="AL826" s="193">
        <f>310*10+116*15</f>
        <v>4840</v>
      </c>
      <c r="AM826" s="193">
        <f>AH826*Y826</f>
        <v>8568.2210000000014</v>
      </c>
      <c r="AN826" s="319">
        <v>1448.4</v>
      </c>
      <c r="AO826" s="320">
        <f t="shared" si="524"/>
        <v>0</v>
      </c>
      <c r="AP826" s="193"/>
      <c r="AQ826" s="318">
        <v>0</v>
      </c>
      <c r="AR826" s="318">
        <f t="shared" si="525"/>
        <v>122332.56385714268</v>
      </c>
      <c r="AS826" s="318">
        <f t="shared" si="526"/>
        <v>128449</v>
      </c>
      <c r="AT826" s="321">
        <v>0</v>
      </c>
      <c r="AU826" s="136"/>
      <c r="AV826" s="136"/>
      <c r="AW826" s="318">
        <f t="shared" si="527"/>
        <v>25880</v>
      </c>
      <c r="AX826" s="193"/>
      <c r="AY826" s="318">
        <f t="shared" si="528"/>
        <v>25880</v>
      </c>
      <c r="AZ826" s="318">
        <f t="shared" si="529"/>
        <v>25889.999999999996</v>
      </c>
      <c r="BA826" s="318">
        <f t="shared" si="530"/>
        <v>-9.999999999996362</v>
      </c>
      <c r="BB826" s="318">
        <f t="shared" si="531"/>
        <v>51.76</v>
      </c>
      <c r="BC826" s="318">
        <v>0</v>
      </c>
      <c r="BD826" s="373"/>
      <c r="BE826" s="147">
        <v>258.8</v>
      </c>
      <c r="BF826" s="374">
        <f t="shared" si="532"/>
        <v>0.38819999999999999</v>
      </c>
      <c r="BG826" s="197">
        <f t="shared" ref="BG826:BG873" si="540">BE826-BF826</f>
        <v>258.41180000000003</v>
      </c>
      <c r="BH826" s="375">
        <f t="shared" si="533"/>
        <v>258.89999999999998</v>
      </c>
      <c r="BI826" s="322">
        <f t="shared" si="534"/>
        <v>-9.9999999999965894</v>
      </c>
      <c r="BJ826" s="322">
        <v>0</v>
      </c>
      <c r="BK826" s="318">
        <f t="shared" si="535"/>
        <v>-9.9999999999965894</v>
      </c>
      <c r="BL826" s="67"/>
      <c r="BM826" s="68" t="str">
        <f t="shared" si="536"/>
        <v>Unloading no. 799 Bill No 196 ,Deduction For Oil Deduction= 107475.942857143 ,Bardana= 4840 ,F.M= 8568.221 Brokerage/Rate Difference 1448.4 ,Shortage = 0 ,Greenish=  ,Moisture= 0</v>
      </c>
      <c r="BN826" s="69"/>
      <c r="BO826" s="70" t="str">
        <f t="shared" si="537"/>
        <v xml:space="preserve"> Party Condition 42  ,F.M% 0.41 ,Greenish 4.94 ,Moisture 4.6 ,Shortage in KG= 0  ,Oil% 39.84</v>
      </c>
      <c r="BP826" s="71">
        <f t="shared" si="538"/>
        <v>7599.372097886665</v>
      </c>
      <c r="BQ826" s="69"/>
      <c r="BR826" s="41"/>
      <c r="BS826" s="41"/>
      <c r="BT826" s="41"/>
      <c r="BU826" s="41"/>
      <c r="BV826" s="41"/>
      <c r="BW826" s="85"/>
      <c r="BX826" s="27">
        <v>39.92</v>
      </c>
      <c r="BY826" s="27">
        <v>39.840000000000003</v>
      </c>
    </row>
    <row r="827" spans="1:77" ht="14.1" hidden="1" customHeight="1" x14ac:dyDescent="0.3">
      <c r="A827" s="138" t="s">
        <v>1623</v>
      </c>
      <c r="B827" s="146">
        <v>46177</v>
      </c>
      <c r="C827" s="138">
        <v>800</v>
      </c>
      <c r="D827" s="135" t="s">
        <v>1685</v>
      </c>
      <c r="E827" s="129">
        <v>46179</v>
      </c>
      <c r="F827" s="128" t="s">
        <v>107</v>
      </c>
      <c r="G827" s="128" t="s">
        <v>108</v>
      </c>
      <c r="H827" s="128" t="s">
        <v>109</v>
      </c>
      <c r="I827" s="136"/>
      <c r="J827" s="347" t="s">
        <v>1455</v>
      </c>
      <c r="K827" s="136"/>
      <c r="L827" s="146">
        <v>46177</v>
      </c>
      <c r="M827" s="136"/>
      <c r="N827" s="281">
        <v>199</v>
      </c>
      <c r="O827" s="146">
        <v>46177</v>
      </c>
      <c r="P827" s="138">
        <v>0</v>
      </c>
      <c r="Q827" s="138">
        <v>0</v>
      </c>
      <c r="R827" s="138">
        <v>270</v>
      </c>
      <c r="S827" s="138">
        <v>270</v>
      </c>
      <c r="T827" s="138">
        <v>270</v>
      </c>
      <c r="U827" s="136"/>
      <c r="V827" s="136"/>
      <c r="W827" s="148">
        <v>161.80000000000001</v>
      </c>
      <c r="X827" s="148">
        <v>161.6</v>
      </c>
      <c r="Y827" s="148">
        <v>1306535</v>
      </c>
      <c r="Z827" s="128"/>
      <c r="AA827" s="147">
        <v>32663.38</v>
      </c>
      <c r="AB827" s="147">
        <v>32663.38</v>
      </c>
      <c r="AC827" s="147">
        <v>1371861.75</v>
      </c>
      <c r="AD827" s="315">
        <f t="shared" si="539"/>
        <v>1370489.8882500001</v>
      </c>
      <c r="AE827" s="147">
        <v>39.479999999999997</v>
      </c>
      <c r="AF827" s="147">
        <v>42</v>
      </c>
      <c r="AG827" s="147">
        <v>39.369999999999997</v>
      </c>
      <c r="AH827" s="287">
        <v>4.1999999999999997E-3</v>
      </c>
      <c r="AI827" s="287">
        <v>5.6000000000000001E-2</v>
      </c>
      <c r="AJ827" s="287">
        <v>0.05</v>
      </c>
      <c r="AK827" s="318">
        <f t="shared" si="522"/>
        <v>81813.977380952463</v>
      </c>
      <c r="AL827" s="193">
        <f>270*15</f>
        <v>4050</v>
      </c>
      <c r="AM827" s="193">
        <f>AH827*Y827</f>
        <v>5487.4469999999992</v>
      </c>
      <c r="AN827" s="319">
        <v>0</v>
      </c>
      <c r="AO827" s="320">
        <f t="shared" si="524"/>
        <v>1614.9999999999998</v>
      </c>
      <c r="AP827" s="193">
        <v>2743.72</v>
      </c>
      <c r="AQ827" s="318">
        <v>0</v>
      </c>
      <c r="AR827" s="318">
        <f t="shared" si="525"/>
        <v>95710.144380952464</v>
      </c>
      <c r="AS827" s="318">
        <f t="shared" si="526"/>
        <v>100496</v>
      </c>
      <c r="AT827" s="321">
        <v>20</v>
      </c>
      <c r="AU827" s="136"/>
      <c r="AV827" s="136"/>
      <c r="AW827" s="318">
        <f t="shared" si="527"/>
        <v>16180.000000000002</v>
      </c>
      <c r="AX827" s="193"/>
      <c r="AY827" s="318">
        <f t="shared" si="528"/>
        <v>16180.000000000002</v>
      </c>
      <c r="AZ827" s="318">
        <f t="shared" si="529"/>
        <v>16160</v>
      </c>
      <c r="BA827" s="318">
        <f t="shared" si="530"/>
        <v>20.000000000001819</v>
      </c>
      <c r="BB827" s="318">
        <f t="shared" si="531"/>
        <v>32.360000000000007</v>
      </c>
      <c r="BC827" s="318">
        <v>0</v>
      </c>
      <c r="BD827" s="373"/>
      <c r="BE827" s="147">
        <v>161.80000000000001</v>
      </c>
      <c r="BF827" s="374">
        <f t="shared" si="532"/>
        <v>0.2427</v>
      </c>
      <c r="BG827" s="197">
        <f t="shared" si="540"/>
        <v>161.5573</v>
      </c>
      <c r="BH827" s="375">
        <f t="shared" si="533"/>
        <v>161.6</v>
      </c>
      <c r="BI827" s="322">
        <f t="shared" si="534"/>
        <v>20.000000000001705</v>
      </c>
      <c r="BJ827" s="322">
        <v>0</v>
      </c>
      <c r="BK827" s="318">
        <f t="shared" si="535"/>
        <v>20.000000000001705</v>
      </c>
      <c r="BL827" s="67"/>
      <c r="BM827" s="68" t="str">
        <f t="shared" si="536"/>
        <v>Unloading no. 800 Bill No 199 ,Deduction For Oil Deduction= 81813.9773809525 ,Bardana= 4050 ,F.M= 5487.447 Brokerage/Rate Difference 0 ,Shortage = 1615 ,Greenish= 2743.72 ,Moisture= 0</v>
      </c>
      <c r="BN827" s="69"/>
      <c r="BO827" s="70" t="str">
        <f t="shared" si="537"/>
        <v xml:space="preserve"> Party Condition 42  ,F.M% 0.42 ,Greenish 5.6 ,Moisture 5 ,Shortage in KG= 20  ,Oil% 39.37</v>
      </c>
      <c r="BP827" s="71">
        <f t="shared" si="538"/>
        <v>7492.7280669495522</v>
      </c>
      <c r="BQ827" s="69"/>
      <c r="BR827" s="41"/>
      <c r="BS827" s="41"/>
      <c r="BT827" s="41"/>
      <c r="BU827" s="41"/>
      <c r="BV827" s="41"/>
      <c r="BW827" s="85"/>
      <c r="BX827" s="27">
        <v>39.479999999999997</v>
      </c>
      <c r="BY827" s="27">
        <v>39.369999999999997</v>
      </c>
    </row>
    <row r="828" spans="1:77" ht="14.1" hidden="1" customHeight="1" x14ac:dyDescent="0.3">
      <c r="A828" s="128" t="s">
        <v>1737</v>
      </c>
      <c r="B828" s="146">
        <v>46175</v>
      </c>
      <c r="C828" s="138">
        <v>801</v>
      </c>
      <c r="D828" s="135" t="s">
        <v>1758</v>
      </c>
      <c r="E828" s="129">
        <v>46179</v>
      </c>
      <c r="F828" s="128" t="s">
        <v>1689</v>
      </c>
      <c r="G828" s="128" t="s">
        <v>1690</v>
      </c>
      <c r="H828" s="128" t="s">
        <v>1511</v>
      </c>
      <c r="I828" s="136"/>
      <c r="J828" s="347" t="s">
        <v>1455</v>
      </c>
      <c r="K828" s="136"/>
      <c r="L828" s="146">
        <v>46175</v>
      </c>
      <c r="M828" s="136"/>
      <c r="N828" s="281" t="s">
        <v>1809</v>
      </c>
      <c r="O828" s="130">
        <v>46177</v>
      </c>
      <c r="P828" s="138">
        <v>0</v>
      </c>
      <c r="Q828" s="138">
        <v>450</v>
      </c>
      <c r="R828" s="138">
        <v>140</v>
      </c>
      <c r="S828" s="138">
        <v>590</v>
      </c>
      <c r="T828" s="138">
        <v>590</v>
      </c>
      <c r="U828" s="136"/>
      <c r="V828" s="136"/>
      <c r="W828" s="148">
        <v>352.55</v>
      </c>
      <c r="X828" s="148">
        <v>351.9</v>
      </c>
      <c r="Y828" s="148">
        <v>2855655</v>
      </c>
      <c r="Z828" s="128"/>
      <c r="AA828" s="147">
        <v>71391.38</v>
      </c>
      <c r="AB828" s="147">
        <v>71391.38</v>
      </c>
      <c r="AC828" s="147">
        <v>2998437.75</v>
      </c>
      <c r="AD828" s="315">
        <f t="shared" si="539"/>
        <v>2995439.31225</v>
      </c>
      <c r="AE828" s="147">
        <v>40.19</v>
      </c>
      <c r="AF828" s="147">
        <v>42</v>
      </c>
      <c r="AG828" s="147">
        <v>39.979999999999997</v>
      </c>
      <c r="AH828" s="287">
        <v>4.7999999999999996E-3</v>
      </c>
      <c r="AI828" s="287">
        <v>0.05</v>
      </c>
      <c r="AJ828" s="287">
        <v>4.7E-2</v>
      </c>
      <c r="AK828" s="318">
        <f t="shared" si="522"/>
        <v>137343.40714285735</v>
      </c>
      <c r="AL828" s="193">
        <f>450*10+140*15</f>
        <v>6600</v>
      </c>
      <c r="AM828" s="193">
        <f>AH828*Y828</f>
        <v>13707.143999999998</v>
      </c>
      <c r="AN828" s="319">
        <v>0</v>
      </c>
      <c r="AO828" s="320">
        <f t="shared" si="524"/>
        <v>5265</v>
      </c>
      <c r="AP828" s="193"/>
      <c r="AQ828" s="318">
        <v>0</v>
      </c>
      <c r="AR828" s="318">
        <f t="shared" ref="AR828:AR873" si="541">SUM(AK828:AQ828)</f>
        <v>162915.55114285735</v>
      </c>
      <c r="AS828" s="318">
        <f t="shared" ref="AS828:AS873" si="542">ROUND(AR828*1.05,0)</f>
        <v>171061</v>
      </c>
      <c r="AT828" s="321">
        <v>65</v>
      </c>
      <c r="AU828" s="136"/>
      <c r="AV828" s="136"/>
      <c r="AW828" s="318">
        <f t="shared" ref="AW828:AW873" si="543">W828*100</f>
        <v>35255</v>
      </c>
      <c r="AX828" s="193"/>
      <c r="AY828" s="318">
        <f t="shared" ref="AY828:AY873" si="544">+AW828+AX828</f>
        <v>35255</v>
      </c>
      <c r="AZ828" s="318">
        <f t="shared" ref="AZ828:AZ873" si="545">X828*100</f>
        <v>35190</v>
      </c>
      <c r="BA828" s="318">
        <f t="shared" ref="BA828:BA873" si="546">AY828-AZ828</f>
        <v>65</v>
      </c>
      <c r="BB828" s="318">
        <f t="shared" ref="BB828:BB873" si="547">AW828*2/1000</f>
        <v>70.510000000000005</v>
      </c>
      <c r="BC828" s="318">
        <v>0</v>
      </c>
      <c r="BD828" s="373"/>
      <c r="BE828" s="147">
        <v>352.55</v>
      </c>
      <c r="BF828" s="374">
        <f t="shared" ref="BF828:BF873" si="548">+BE828*0.15/100</f>
        <v>0.52882499999999999</v>
      </c>
      <c r="BG828" s="197">
        <f t="shared" si="540"/>
        <v>352.02117500000003</v>
      </c>
      <c r="BH828" s="375">
        <f t="shared" ref="BH828:BH873" si="549">X828</f>
        <v>351.9</v>
      </c>
      <c r="BI828" s="322">
        <f t="shared" ref="BI828:BI873" si="550">(BE828-BH828)*100</f>
        <v>65.000000000003411</v>
      </c>
      <c r="BJ828" s="322">
        <v>0</v>
      </c>
      <c r="BK828" s="318">
        <f t="shared" ref="BK828:BK873" si="551">BI828</f>
        <v>65.000000000003411</v>
      </c>
      <c r="BL828" s="67"/>
      <c r="BM828" s="68" t="str">
        <f t="shared" ref="BM828:BM873" si="552">+$C$1&amp;" "&amp;C828 &amp;" "&amp;$N$1&amp;" "&amp;N828&amp;" "&amp;$BM$1&amp;" "&amp;$AK$1&amp;" "&amp;AK828&amp;" "&amp;$AL$1&amp;" "&amp;AL828&amp;" "&amp;$AM$1&amp;" "&amp;AM828&amp;" "&amp;$AN$1&amp;" "&amp;AN828&amp;" "&amp;$AO$1&amp;" "&amp;AO828&amp;" "&amp;$AP$1&amp;" "&amp;AP828&amp;" "&amp;$AQ$1&amp;" "&amp;AQ828</f>
        <v>Unloading no. 801 Bill No GST20 ,Deduction For Oil Deduction= 137343.407142857 ,Bardana= 6600 ,F.M= 13707.144 Brokerage/Rate Difference 0 ,Shortage = 5265 ,Greenish=  ,Moisture= 0</v>
      </c>
      <c r="BN828" s="69"/>
      <c r="BO828" s="70" t="str">
        <f t="shared" ref="BO828:BO873" si="553">+" "&amp;$AF$1&amp;" "&amp;AF828&amp;" "&amp;" "&amp;$AH$1&amp;" "&amp;AH828*100&amp;" "&amp;$AI$1&amp;" "&amp;AI828*100&amp;" "&amp;$AJ$1&amp;" "&amp;AJ828*100&amp;" ,"&amp;$AT$1&amp;" "&amp;AT828&amp;" "&amp;IF(AE828&gt;AG828," ,Oil%"&amp;" "&amp;AG828," ,Oil%"&amp;" "&amp;AE828)</f>
        <v xml:space="preserve"> Party Condition 42  ,F.M% 0.48 ,Greenish 5 ,Moisture 4.7 ,Shortage in KG= 65  ,Oil% 39.98</v>
      </c>
      <c r="BP828" s="71">
        <f t="shared" ref="BP828:BP873" si="554">(Y828-AR828)/X828</f>
        <v>7652.0018438679817</v>
      </c>
      <c r="BQ828" s="41"/>
      <c r="BR828" s="41"/>
      <c r="BS828" s="41"/>
      <c r="BT828" s="41"/>
      <c r="BU828" s="41"/>
      <c r="BV828" s="41"/>
      <c r="BW828" s="85"/>
      <c r="BX828" s="27">
        <v>40.19</v>
      </c>
      <c r="BY828" s="27">
        <v>39.979999999999997</v>
      </c>
    </row>
    <row r="829" spans="1:77" ht="14.1" hidden="1" customHeight="1" x14ac:dyDescent="0.3">
      <c r="A829" s="128" t="s">
        <v>1607</v>
      </c>
      <c r="B829" s="146">
        <v>46175</v>
      </c>
      <c r="C829" s="138">
        <v>802</v>
      </c>
      <c r="D829" s="135" t="s">
        <v>1759</v>
      </c>
      <c r="E829" s="129">
        <v>46179</v>
      </c>
      <c r="F829" s="128" t="s">
        <v>1686</v>
      </c>
      <c r="G829" s="128" t="s">
        <v>1687</v>
      </c>
      <c r="H829" s="128" t="s">
        <v>1688</v>
      </c>
      <c r="I829" s="136"/>
      <c r="J829" s="347" t="s">
        <v>1455</v>
      </c>
      <c r="K829" s="136"/>
      <c r="L829" s="146">
        <v>46175</v>
      </c>
      <c r="M829" s="136"/>
      <c r="N829" s="281" t="s">
        <v>1810</v>
      </c>
      <c r="O829" s="130">
        <v>46177</v>
      </c>
      <c r="P829" s="138">
        <v>0</v>
      </c>
      <c r="Q829" s="138">
        <v>250</v>
      </c>
      <c r="R829" s="138">
        <v>58</v>
      </c>
      <c r="S829" s="138">
        <v>308</v>
      </c>
      <c r="T829" s="138">
        <v>308</v>
      </c>
      <c r="U829" s="136"/>
      <c r="V829" s="136"/>
      <c r="W829" s="148">
        <v>188.5</v>
      </c>
      <c r="X829" s="148">
        <v>187.4</v>
      </c>
      <c r="Y829" s="148">
        <v>1526850</v>
      </c>
      <c r="Z829" s="128"/>
      <c r="AA829" s="147">
        <v>38171.25</v>
      </c>
      <c r="AB829" s="147">
        <v>38171.25</v>
      </c>
      <c r="AC829" s="147">
        <v>1603192.5</v>
      </c>
      <c r="AD829" s="315">
        <f t="shared" si="539"/>
        <v>1601589.3075000001</v>
      </c>
      <c r="AE829" s="147">
        <v>40.11</v>
      </c>
      <c r="AF829" s="147">
        <v>42</v>
      </c>
      <c r="AG829" s="147">
        <v>39.94</v>
      </c>
      <c r="AH829" s="287">
        <v>3.5999999999999999E-3</v>
      </c>
      <c r="AI829" s="287">
        <v>3.7199999999999997E-2</v>
      </c>
      <c r="AJ829" s="287">
        <v>4.9000000000000002E-2</v>
      </c>
      <c r="AK829" s="318">
        <f t="shared" si="522"/>
        <v>74888.357142857232</v>
      </c>
      <c r="AL829" s="193">
        <f>250*10+58*15</f>
        <v>3370</v>
      </c>
      <c r="AM829" s="193">
        <f>AH829*Y829</f>
        <v>5496.66</v>
      </c>
      <c r="AN829" s="319">
        <v>0</v>
      </c>
      <c r="AO829" s="320">
        <f t="shared" si="524"/>
        <v>8910</v>
      </c>
      <c r="AP829" s="193"/>
      <c r="AQ829" s="318">
        <v>0</v>
      </c>
      <c r="AR829" s="318">
        <f t="shared" si="541"/>
        <v>92665.017142857236</v>
      </c>
      <c r="AS829" s="318">
        <f t="shared" si="542"/>
        <v>97298</v>
      </c>
      <c r="AT829" s="321">
        <v>110</v>
      </c>
      <c r="AU829" s="136"/>
      <c r="AV829" s="136"/>
      <c r="AW829" s="318">
        <f t="shared" si="543"/>
        <v>18850</v>
      </c>
      <c r="AX829" s="193"/>
      <c r="AY829" s="318">
        <f t="shared" si="544"/>
        <v>18850</v>
      </c>
      <c r="AZ829" s="318">
        <f t="shared" si="545"/>
        <v>18740</v>
      </c>
      <c r="BA829" s="318">
        <f t="shared" si="546"/>
        <v>110</v>
      </c>
      <c r="BB829" s="318">
        <f t="shared" si="547"/>
        <v>37.700000000000003</v>
      </c>
      <c r="BC829" s="318">
        <v>0</v>
      </c>
      <c r="BD829" s="373"/>
      <c r="BE829" s="147">
        <v>188.5</v>
      </c>
      <c r="BF829" s="374">
        <f t="shared" si="548"/>
        <v>0.28275</v>
      </c>
      <c r="BG829" s="197">
        <f t="shared" si="540"/>
        <v>188.21725000000001</v>
      </c>
      <c r="BH829" s="375">
        <f t="shared" si="549"/>
        <v>187.4</v>
      </c>
      <c r="BI829" s="322">
        <f t="shared" si="550"/>
        <v>109.99999999999943</v>
      </c>
      <c r="BJ829" s="322">
        <v>0</v>
      </c>
      <c r="BK829" s="318">
        <f t="shared" si="551"/>
        <v>109.99999999999943</v>
      </c>
      <c r="BL829" s="67"/>
      <c r="BM829" s="68" t="str">
        <f t="shared" si="552"/>
        <v>Unloading no. 802 Bill No KAI/2026-27/113 ,Deduction For Oil Deduction= 74888.3571428572 ,Bardana= 3370 ,F.M= 5496.66 Brokerage/Rate Difference 0 ,Shortage = 8910 ,Greenish=  ,Moisture= 0</v>
      </c>
      <c r="BN829" s="69"/>
      <c r="BO829" s="70" t="str">
        <f t="shared" si="553"/>
        <v xml:space="preserve"> Party Condition 42  ,F.M% 0.36 ,Greenish 3.72 ,Moisture 4.9 ,Shortage in KG= 110  ,Oil% 39.94</v>
      </c>
      <c r="BP829" s="71">
        <f t="shared" si="554"/>
        <v>7653.068211617624</v>
      </c>
      <c r="BQ829" s="41"/>
      <c r="BR829" s="41"/>
      <c r="BS829" s="41"/>
      <c r="BT829" s="41"/>
      <c r="BU829" s="41"/>
      <c r="BV829" s="41"/>
      <c r="BW829" s="85"/>
      <c r="BX829" s="27">
        <v>40.11</v>
      </c>
      <c r="BY829" s="27">
        <v>39.94</v>
      </c>
    </row>
    <row r="830" spans="1:77" ht="14.1" hidden="1" customHeight="1" x14ac:dyDescent="0.3">
      <c r="A830" s="128" t="s">
        <v>1620</v>
      </c>
      <c r="B830" s="146">
        <v>46177</v>
      </c>
      <c r="C830" s="138">
        <v>803</v>
      </c>
      <c r="D830" s="135" t="s">
        <v>1760</v>
      </c>
      <c r="E830" s="129">
        <v>46179</v>
      </c>
      <c r="F830" s="128" t="s">
        <v>95</v>
      </c>
      <c r="G830" s="128" t="s">
        <v>96</v>
      </c>
      <c r="H830" s="128" t="s">
        <v>97</v>
      </c>
      <c r="I830" s="136"/>
      <c r="J830" s="347" t="s">
        <v>1455</v>
      </c>
      <c r="K830" s="136"/>
      <c r="L830" s="146">
        <v>46177</v>
      </c>
      <c r="M830" s="136"/>
      <c r="N830" s="281">
        <v>197</v>
      </c>
      <c r="O830" s="130">
        <v>46178</v>
      </c>
      <c r="P830" s="138">
        <v>0</v>
      </c>
      <c r="Q830" s="138">
        <v>230</v>
      </c>
      <c r="R830" s="138">
        <v>205</v>
      </c>
      <c r="S830" s="138">
        <v>435</v>
      </c>
      <c r="T830" s="138">
        <v>435</v>
      </c>
      <c r="U830" s="136"/>
      <c r="V830" s="136"/>
      <c r="W830" s="148">
        <v>264.39999999999998</v>
      </c>
      <c r="X830" s="148">
        <v>264.3</v>
      </c>
      <c r="Y830" s="148">
        <f>2136509-1479</f>
        <v>2135030</v>
      </c>
      <c r="Z830" s="128"/>
      <c r="AA830" s="147">
        <v>53412.73</v>
      </c>
      <c r="AB830" s="147">
        <v>53412.73</v>
      </c>
      <c r="AC830" s="147">
        <v>2243334.4500000002</v>
      </c>
      <c r="AD830" s="315">
        <f t="shared" si="539"/>
        <v>2241091.1155500002</v>
      </c>
      <c r="AE830" s="147">
        <v>40.58</v>
      </c>
      <c r="AF830" s="147">
        <v>42</v>
      </c>
      <c r="AG830" s="147">
        <v>40.44</v>
      </c>
      <c r="AH830" s="287">
        <v>4.0000000000000001E-3</v>
      </c>
      <c r="AI830" s="287">
        <v>3.2599999999999997E-2</v>
      </c>
      <c r="AJ830" s="287">
        <v>4.3999999999999997E-2</v>
      </c>
      <c r="AK830" s="318">
        <f t="shared" si="522"/>
        <v>79301.1142857144</v>
      </c>
      <c r="AL830" s="193">
        <f>230*10+205*15</f>
        <v>5375</v>
      </c>
      <c r="AM830" s="193">
        <f>AH830*Y830</f>
        <v>8540.1200000000008</v>
      </c>
      <c r="AN830" s="319">
        <v>1479</v>
      </c>
      <c r="AO830" s="320">
        <f t="shared" si="524"/>
        <v>807.50000000000011</v>
      </c>
      <c r="AP830" s="193"/>
      <c r="AQ830" s="318">
        <v>0</v>
      </c>
      <c r="AR830" s="318">
        <f t="shared" si="541"/>
        <v>95502.734285714396</v>
      </c>
      <c r="AS830" s="318">
        <f t="shared" si="542"/>
        <v>100278</v>
      </c>
      <c r="AT830" s="321">
        <v>10</v>
      </c>
      <c r="AU830" s="136"/>
      <c r="AV830" s="136"/>
      <c r="AW830" s="318">
        <f t="shared" si="543"/>
        <v>26439.999999999996</v>
      </c>
      <c r="AX830" s="193"/>
      <c r="AY830" s="318">
        <f t="shared" si="544"/>
        <v>26439.999999999996</v>
      </c>
      <c r="AZ830" s="318">
        <f t="shared" si="545"/>
        <v>26430</v>
      </c>
      <c r="BA830" s="318">
        <f t="shared" si="546"/>
        <v>9.999999999996362</v>
      </c>
      <c r="BB830" s="318">
        <f t="shared" si="547"/>
        <v>52.879999999999995</v>
      </c>
      <c r="BC830" s="318">
        <v>0</v>
      </c>
      <c r="BD830" s="373"/>
      <c r="BE830" s="147">
        <v>264.39999999999998</v>
      </c>
      <c r="BF830" s="374">
        <f t="shared" si="548"/>
        <v>0.39659999999999995</v>
      </c>
      <c r="BG830" s="197">
        <f t="shared" si="540"/>
        <v>264.0034</v>
      </c>
      <c r="BH830" s="375">
        <f t="shared" si="549"/>
        <v>264.3</v>
      </c>
      <c r="BI830" s="322">
        <f t="shared" si="550"/>
        <v>9.9999999999965894</v>
      </c>
      <c r="BJ830" s="322">
        <v>0</v>
      </c>
      <c r="BK830" s="318">
        <f t="shared" si="551"/>
        <v>9.9999999999965894</v>
      </c>
      <c r="BL830" s="67"/>
      <c r="BM830" s="68" t="str">
        <f t="shared" si="552"/>
        <v>Unloading no. 803 Bill No 197 ,Deduction For Oil Deduction= 79301.1142857144 ,Bardana= 5375 ,F.M= 8540.12 Brokerage/Rate Difference 1479 ,Shortage = 807.5 ,Greenish=  ,Moisture= 0</v>
      </c>
      <c r="BN830" s="69"/>
      <c r="BO830" s="70" t="str">
        <f t="shared" si="553"/>
        <v xml:space="preserve"> Party Condition 42  ,F.M% 0.4 ,Greenish 3.26 ,Moisture 4.4 ,Shortage in KG= 10  ,Oil% 40.44</v>
      </c>
      <c r="BP830" s="71">
        <f t="shared" si="554"/>
        <v>7716.7130749689204</v>
      </c>
      <c r="BQ830" s="41"/>
      <c r="BR830" s="41"/>
      <c r="BS830" s="41"/>
      <c r="BT830" s="41"/>
      <c r="BU830" s="41"/>
      <c r="BV830" s="41"/>
      <c r="BW830" s="85"/>
      <c r="BX830" s="27">
        <v>40.58</v>
      </c>
      <c r="BY830" s="27">
        <v>40.44</v>
      </c>
    </row>
    <row r="831" spans="1:77" ht="14.1" hidden="1" customHeight="1" x14ac:dyDescent="0.3">
      <c r="A831" s="128" t="s">
        <v>1738</v>
      </c>
      <c r="B831" s="146">
        <v>46177</v>
      </c>
      <c r="C831" s="138">
        <v>804</v>
      </c>
      <c r="D831" s="135" t="s">
        <v>1761</v>
      </c>
      <c r="E831" s="129">
        <v>46179</v>
      </c>
      <c r="F831" s="128" t="s">
        <v>104</v>
      </c>
      <c r="G831" s="128" t="s">
        <v>105</v>
      </c>
      <c r="H831" s="128" t="s">
        <v>106</v>
      </c>
      <c r="I831" s="136"/>
      <c r="J831" s="347" t="s">
        <v>1146</v>
      </c>
      <c r="K831" s="136"/>
      <c r="L831" s="146">
        <v>46177</v>
      </c>
      <c r="M831" s="136"/>
      <c r="N831" s="281" t="s">
        <v>1811</v>
      </c>
      <c r="O831" s="130">
        <v>46177</v>
      </c>
      <c r="P831" s="138">
        <v>0</v>
      </c>
      <c r="Q831" s="138">
        <v>420</v>
      </c>
      <c r="R831" s="138">
        <v>213</v>
      </c>
      <c r="S831" s="138">
        <v>633</v>
      </c>
      <c r="T831" s="138">
        <v>633</v>
      </c>
      <c r="U831" s="136"/>
      <c r="V831" s="136"/>
      <c r="W831" s="148">
        <v>322.8</v>
      </c>
      <c r="X831" s="148">
        <v>323.2</v>
      </c>
      <c r="Y831" s="148">
        <v>2575190.7999999998</v>
      </c>
      <c r="Z831" s="128"/>
      <c r="AA831" s="147">
        <v>64379.77</v>
      </c>
      <c r="AB831" s="147">
        <v>64379.77</v>
      </c>
      <c r="AC831" s="147">
        <v>2703950.34</v>
      </c>
      <c r="AD831" s="315">
        <f t="shared" si="539"/>
        <v>2701246.3896599999</v>
      </c>
      <c r="AE831" s="147">
        <v>41.53</v>
      </c>
      <c r="AF831" s="147">
        <v>41.5</v>
      </c>
      <c r="AG831" s="147">
        <v>41.32</v>
      </c>
      <c r="AH831" s="287">
        <v>3.8999999999999998E-3</v>
      </c>
      <c r="AI831" s="287">
        <v>3.15E-2</v>
      </c>
      <c r="AJ831" s="287">
        <v>4.9000000000000002E-2</v>
      </c>
      <c r="AK831" s="318">
        <f>+IF(AF831=42,IF(MIN(AE831,AG831)&lt;AF831,Y831*((AF831-MIN(AE831,AG831))/AF831)),IF(MIN(AE831,AG831)&lt;AF831,Y831*((AF831-MIN(AE831,AG831))/AF831),0))-10</f>
        <v>11159.502265060222</v>
      </c>
      <c r="AL831" s="193">
        <v>7395</v>
      </c>
      <c r="AM831" s="193">
        <v>0</v>
      </c>
      <c r="AN831" s="319">
        <v>0</v>
      </c>
      <c r="AO831" s="320">
        <f t="shared" ref="AO831:AO858" si="555">AT831*Y831/AW831</f>
        <v>0</v>
      </c>
      <c r="AP831" s="193"/>
      <c r="AQ831" s="318">
        <v>0</v>
      </c>
      <c r="AR831" s="325">
        <f t="shared" si="541"/>
        <v>18554.502265060222</v>
      </c>
      <c r="AS831" s="318">
        <f t="shared" si="542"/>
        <v>19482</v>
      </c>
      <c r="AT831" s="321">
        <v>0</v>
      </c>
      <c r="AU831" s="136"/>
      <c r="AV831" s="136"/>
      <c r="AW831" s="318">
        <f t="shared" si="543"/>
        <v>32280</v>
      </c>
      <c r="AX831" s="193"/>
      <c r="AY831" s="318">
        <f t="shared" si="544"/>
        <v>32280</v>
      </c>
      <c r="AZ831" s="318">
        <f t="shared" si="545"/>
        <v>32320</v>
      </c>
      <c r="BA831" s="318">
        <f t="shared" si="546"/>
        <v>-40</v>
      </c>
      <c r="BB831" s="318">
        <f t="shared" si="547"/>
        <v>64.56</v>
      </c>
      <c r="BC831" s="318">
        <v>0</v>
      </c>
      <c r="BD831" s="373"/>
      <c r="BE831" s="147">
        <v>322.8</v>
      </c>
      <c r="BF831" s="374">
        <f t="shared" si="548"/>
        <v>0.48420000000000002</v>
      </c>
      <c r="BG831" s="197">
        <f t="shared" si="540"/>
        <v>322.31580000000002</v>
      </c>
      <c r="BH831" s="375">
        <f t="shared" si="549"/>
        <v>323.2</v>
      </c>
      <c r="BI831" s="322">
        <f t="shared" si="550"/>
        <v>-39.999999999997726</v>
      </c>
      <c r="BJ831" s="322">
        <v>0</v>
      </c>
      <c r="BK831" s="318">
        <f t="shared" si="551"/>
        <v>-39.999999999997726</v>
      </c>
      <c r="BL831" s="67"/>
      <c r="BM831" s="68" t="str">
        <f t="shared" si="552"/>
        <v>Unloading no. 804 Bill No MTC/2026-27/0212 ,Deduction For Oil Deduction= 11159.5022650602 ,Bardana= 7395 ,F.M= 0 Brokerage/Rate Difference 0 ,Shortage = 0 ,Greenish=  ,Moisture= 0</v>
      </c>
      <c r="BN831" s="69"/>
      <c r="BO831" s="70" t="str">
        <f t="shared" si="553"/>
        <v xml:space="preserve"> Party Condition 41.5  ,F.M% 0.39 ,Greenish 3.15 ,Moisture 4.9 ,Shortage in KG= 0  ,Oil% 41.32</v>
      </c>
      <c r="BP831" s="71">
        <f t="shared" si="554"/>
        <v>7910.384584575927</v>
      </c>
      <c r="BQ831" s="41"/>
      <c r="BR831" s="41"/>
      <c r="BS831" s="41"/>
      <c r="BT831" s="41"/>
      <c r="BU831" s="41"/>
      <c r="BV831" s="41"/>
      <c r="BW831" s="85"/>
      <c r="BX831" s="27">
        <v>41.53</v>
      </c>
      <c r="BY831" s="27">
        <v>41.32</v>
      </c>
    </row>
    <row r="832" spans="1:77" ht="14.1" hidden="1" customHeight="1" x14ac:dyDescent="0.3">
      <c r="A832" s="128" t="s">
        <v>1739</v>
      </c>
      <c r="B832" s="146">
        <v>46177</v>
      </c>
      <c r="C832" s="138">
        <v>805</v>
      </c>
      <c r="D832" s="135" t="s">
        <v>1762</v>
      </c>
      <c r="E832" s="129">
        <v>46179</v>
      </c>
      <c r="F832" s="128" t="s">
        <v>1083</v>
      </c>
      <c r="G832" s="128" t="s">
        <v>1084</v>
      </c>
      <c r="H832" s="128" t="s">
        <v>1454</v>
      </c>
      <c r="I832" s="136"/>
      <c r="J832" s="347" t="s">
        <v>1455</v>
      </c>
      <c r="K832" s="136"/>
      <c r="L832" s="146">
        <v>46177</v>
      </c>
      <c r="M832" s="136"/>
      <c r="N832" s="281">
        <v>34</v>
      </c>
      <c r="O832" s="130">
        <v>46178</v>
      </c>
      <c r="P832" s="138">
        <v>0</v>
      </c>
      <c r="Q832" s="138">
        <v>260</v>
      </c>
      <c r="R832" s="138">
        <v>120</v>
      </c>
      <c r="S832" s="138">
        <v>380</v>
      </c>
      <c r="T832" s="138">
        <v>380</v>
      </c>
      <c r="U832" s="136"/>
      <c r="V832" s="136"/>
      <c r="W832" s="148">
        <v>257.55</v>
      </c>
      <c r="X832" s="148">
        <v>256.7</v>
      </c>
      <c r="Y832" s="148">
        <v>2079716.25</v>
      </c>
      <c r="Z832" s="128"/>
      <c r="AA832" s="147">
        <v>51992.91</v>
      </c>
      <c r="AB832" s="147">
        <v>51992.91</v>
      </c>
      <c r="AC832" s="147">
        <v>2183702.06</v>
      </c>
      <c r="AD832" s="315">
        <f t="shared" si="539"/>
        <v>2181518.35794</v>
      </c>
      <c r="AE832" s="147">
        <v>38.72</v>
      </c>
      <c r="AF832" s="147">
        <v>42</v>
      </c>
      <c r="AG832" s="147">
        <v>38.75</v>
      </c>
      <c r="AH832" s="287">
        <v>3.8999999999999998E-3</v>
      </c>
      <c r="AI832" s="287">
        <v>3.5000000000000003E-2</v>
      </c>
      <c r="AJ832" s="287">
        <v>4.8000000000000001E-2</v>
      </c>
      <c r="AK832" s="318">
        <f t="shared" ref="AK832:AK858" si="556">+IF(AF832=42,IF(MIN(AE832,AG832)&lt;AF832,Y832*((AF832-MIN(AE832,AG832))/AF832)),IF(MIN(AE832,AG832)&lt;AF832,Y832*((AF832-MIN(AE832,AG832))/AF832),0))</f>
        <v>162415.93571428576</v>
      </c>
      <c r="AL832" s="193">
        <f>260*10+120*15</f>
        <v>4400</v>
      </c>
      <c r="AM832" s="193">
        <f t="shared" ref="AM832:AM840" si="557">AH832*Y832</f>
        <v>8110.8933749999997</v>
      </c>
      <c r="AN832" s="319">
        <v>3863.25</v>
      </c>
      <c r="AO832" s="320">
        <f t="shared" si="555"/>
        <v>6863.75</v>
      </c>
      <c r="AP832" s="193"/>
      <c r="AQ832" s="318">
        <v>0</v>
      </c>
      <c r="AR832" s="318">
        <f t="shared" si="541"/>
        <v>185653.82908928575</v>
      </c>
      <c r="AS832" s="318">
        <f t="shared" si="542"/>
        <v>194937</v>
      </c>
      <c r="AT832" s="321">
        <v>85</v>
      </c>
      <c r="AU832" s="136"/>
      <c r="AV832" s="136"/>
      <c r="AW832" s="318">
        <f t="shared" si="543"/>
        <v>25755</v>
      </c>
      <c r="AX832" s="193"/>
      <c r="AY832" s="318">
        <f t="shared" si="544"/>
        <v>25755</v>
      </c>
      <c r="AZ832" s="318">
        <f t="shared" si="545"/>
        <v>25670</v>
      </c>
      <c r="BA832" s="318">
        <f t="shared" si="546"/>
        <v>85</v>
      </c>
      <c r="BB832" s="318">
        <f t="shared" si="547"/>
        <v>51.51</v>
      </c>
      <c r="BC832" s="318">
        <v>0</v>
      </c>
      <c r="BD832" s="373"/>
      <c r="BE832" s="147">
        <v>257.55</v>
      </c>
      <c r="BF832" s="374">
        <f t="shared" si="548"/>
        <v>0.38632500000000003</v>
      </c>
      <c r="BG832" s="197">
        <f t="shared" si="540"/>
        <v>257.16367500000001</v>
      </c>
      <c r="BH832" s="375">
        <f t="shared" si="549"/>
        <v>256.7</v>
      </c>
      <c r="BI832" s="322">
        <f t="shared" si="550"/>
        <v>85.000000000002274</v>
      </c>
      <c r="BJ832" s="322">
        <v>0</v>
      </c>
      <c r="BK832" s="318">
        <f t="shared" si="551"/>
        <v>85.000000000002274</v>
      </c>
      <c r="BL832" s="67"/>
      <c r="BM832" s="68" t="str">
        <f t="shared" si="552"/>
        <v>Unloading no. 805 Bill No 34 ,Deduction For Oil Deduction= 162415.935714286 ,Bardana= 4400 ,F.M= 8110.893375 Brokerage/Rate Difference 3863.25 ,Shortage = 6863.75 ,Greenish=  ,Moisture= 0</v>
      </c>
      <c r="BN832" s="69"/>
      <c r="BO832" s="70" t="str">
        <f t="shared" si="553"/>
        <v xml:space="preserve"> Party Condition 42  ,F.M% 0.39 ,Greenish 3.5 ,Moisture 4.8 ,Shortage in KG= 85  ,Oil% 38.72</v>
      </c>
      <c r="BP832" s="71">
        <f t="shared" si="554"/>
        <v>7378.5057300767985</v>
      </c>
      <c r="BQ832" s="41"/>
      <c r="BR832" s="41"/>
      <c r="BS832" s="41"/>
      <c r="BT832" s="41"/>
      <c r="BU832" s="41"/>
      <c r="BV832" s="41"/>
      <c r="BW832" s="85"/>
      <c r="BX832" s="27">
        <v>38.72</v>
      </c>
      <c r="BY832" s="27">
        <v>38.75</v>
      </c>
    </row>
    <row r="833" spans="1:77" ht="14.1" hidden="1" customHeight="1" x14ac:dyDescent="0.3">
      <c r="A833" s="128" t="s">
        <v>1739</v>
      </c>
      <c r="B833" s="146">
        <v>46177</v>
      </c>
      <c r="C833" s="138">
        <v>806</v>
      </c>
      <c r="D833" s="135" t="s">
        <v>1763</v>
      </c>
      <c r="E833" s="129">
        <v>46179</v>
      </c>
      <c r="F833" s="128" t="s">
        <v>1083</v>
      </c>
      <c r="G833" s="128" t="s">
        <v>1084</v>
      </c>
      <c r="H833" s="128" t="s">
        <v>1454</v>
      </c>
      <c r="I833" s="136"/>
      <c r="J833" s="347" t="s">
        <v>1455</v>
      </c>
      <c r="K833" s="136"/>
      <c r="L833" s="146">
        <v>46177</v>
      </c>
      <c r="M833" s="136"/>
      <c r="N833" s="281">
        <v>33</v>
      </c>
      <c r="O833" s="130">
        <v>46178</v>
      </c>
      <c r="P833" s="138">
        <v>0</v>
      </c>
      <c r="Q833" s="138">
        <v>133</v>
      </c>
      <c r="R833" s="138">
        <v>227</v>
      </c>
      <c r="S833" s="138">
        <v>360</v>
      </c>
      <c r="T833" s="138">
        <v>360</v>
      </c>
      <c r="U833" s="136"/>
      <c r="V833" s="136"/>
      <c r="W833" s="148">
        <v>249.4</v>
      </c>
      <c r="X833" s="148">
        <v>248.7</v>
      </c>
      <c r="Y833" s="148">
        <v>2013905</v>
      </c>
      <c r="Z833" s="128"/>
      <c r="AA833" s="147">
        <v>50347.63</v>
      </c>
      <c r="AB833" s="147">
        <v>50347.63</v>
      </c>
      <c r="AC833" s="147">
        <v>2114600.25</v>
      </c>
      <c r="AD833" s="315">
        <f t="shared" si="539"/>
        <v>2112485.6497499999</v>
      </c>
      <c r="AE833" s="147">
        <v>37.81</v>
      </c>
      <c r="AF833" s="147">
        <v>42</v>
      </c>
      <c r="AG833" s="147">
        <v>37.78</v>
      </c>
      <c r="AH833" s="287">
        <v>3.8999999999999998E-3</v>
      </c>
      <c r="AI833" s="287">
        <v>3.3599999999999998E-2</v>
      </c>
      <c r="AJ833" s="287">
        <v>4.2999999999999997E-2</v>
      </c>
      <c r="AK833" s="318">
        <f t="shared" si="556"/>
        <v>202349.50238095233</v>
      </c>
      <c r="AL833" s="193">
        <f>133*10+227*15</f>
        <v>4735</v>
      </c>
      <c r="AM833" s="193">
        <f t="shared" si="557"/>
        <v>7854.2294999999995</v>
      </c>
      <c r="AN833" s="319">
        <v>3741</v>
      </c>
      <c r="AO833" s="320">
        <f t="shared" si="555"/>
        <v>5652.5</v>
      </c>
      <c r="AP833" s="193"/>
      <c r="AQ833" s="318">
        <v>0</v>
      </c>
      <c r="AR833" s="318">
        <f t="shared" si="541"/>
        <v>224332.23188095231</v>
      </c>
      <c r="AS833" s="318">
        <f t="shared" si="542"/>
        <v>235549</v>
      </c>
      <c r="AT833" s="321">
        <v>70</v>
      </c>
      <c r="AU833" s="136"/>
      <c r="AV833" s="136"/>
      <c r="AW833" s="318">
        <f t="shared" si="543"/>
        <v>24940</v>
      </c>
      <c r="AX833" s="193"/>
      <c r="AY833" s="318">
        <f t="shared" si="544"/>
        <v>24940</v>
      </c>
      <c r="AZ833" s="318">
        <f t="shared" si="545"/>
        <v>24870</v>
      </c>
      <c r="BA833" s="318">
        <f t="shared" si="546"/>
        <v>70</v>
      </c>
      <c r="BB833" s="318">
        <f t="shared" si="547"/>
        <v>49.88</v>
      </c>
      <c r="BC833" s="318">
        <v>0</v>
      </c>
      <c r="BD833" s="373"/>
      <c r="BE833" s="147">
        <v>249.4</v>
      </c>
      <c r="BF833" s="374">
        <f t="shared" si="548"/>
        <v>0.37409999999999999</v>
      </c>
      <c r="BG833" s="197">
        <f t="shared" si="540"/>
        <v>249.02590000000001</v>
      </c>
      <c r="BH833" s="375">
        <f t="shared" si="549"/>
        <v>248.7</v>
      </c>
      <c r="BI833" s="322">
        <f t="shared" si="550"/>
        <v>70.000000000001705</v>
      </c>
      <c r="BJ833" s="322">
        <v>0</v>
      </c>
      <c r="BK833" s="318">
        <f t="shared" si="551"/>
        <v>70.000000000001705</v>
      </c>
      <c r="BL833" s="67"/>
      <c r="BM833" s="68" t="str">
        <f t="shared" si="552"/>
        <v>Unloading no. 806 Bill No 33 ,Deduction For Oil Deduction= 202349.502380952 ,Bardana= 4735 ,F.M= 7854.2295 Brokerage/Rate Difference 3741 ,Shortage = 5652.5 ,Greenish=  ,Moisture= 0</v>
      </c>
      <c r="BN833" s="69"/>
      <c r="BO833" s="70" t="str">
        <f t="shared" si="553"/>
        <v xml:space="preserve"> Party Condition 42  ,F.M% 0.39 ,Greenish 3.36 ,Moisture 4.3 ,Shortage in KG= 70  ,Oil% 37.78</v>
      </c>
      <c r="BP833" s="71">
        <f t="shared" si="554"/>
        <v>7195.7087580178841</v>
      </c>
      <c r="BQ833" s="41"/>
      <c r="BR833" s="41"/>
      <c r="BS833" s="41"/>
      <c r="BT833" s="41"/>
      <c r="BU833" s="41"/>
      <c r="BV833" s="41"/>
      <c r="BW833" s="85"/>
      <c r="BX833" s="27">
        <v>37.81</v>
      </c>
      <c r="BY833" s="27">
        <v>37.78</v>
      </c>
    </row>
    <row r="834" spans="1:77" ht="14.1" hidden="1" customHeight="1" x14ac:dyDescent="0.3">
      <c r="A834" s="128" t="s">
        <v>1740</v>
      </c>
      <c r="B834" s="146">
        <v>46177</v>
      </c>
      <c r="C834" s="138">
        <v>807</v>
      </c>
      <c r="D834" s="135" t="s">
        <v>1764</v>
      </c>
      <c r="E834" s="129">
        <v>46179</v>
      </c>
      <c r="F834" s="128" t="s">
        <v>1689</v>
      </c>
      <c r="G834" s="128" t="s">
        <v>1690</v>
      </c>
      <c r="H834" s="128" t="s">
        <v>1511</v>
      </c>
      <c r="I834" s="136"/>
      <c r="J834" s="347" t="s">
        <v>1455</v>
      </c>
      <c r="K834" s="136"/>
      <c r="L834" s="146">
        <v>46177</v>
      </c>
      <c r="M834" s="136"/>
      <c r="N834" s="281" t="s">
        <v>1812</v>
      </c>
      <c r="O834" s="130">
        <v>46178</v>
      </c>
      <c r="P834" s="138">
        <v>0</v>
      </c>
      <c r="Q834" s="138">
        <v>400</v>
      </c>
      <c r="R834" s="138">
        <v>176</v>
      </c>
      <c r="S834" s="138">
        <v>576</v>
      </c>
      <c r="T834" s="138">
        <v>576</v>
      </c>
      <c r="U834" s="136"/>
      <c r="V834" s="136"/>
      <c r="W834" s="148">
        <v>348.75</v>
      </c>
      <c r="X834" s="148">
        <v>348.5</v>
      </c>
      <c r="Y834" s="148">
        <v>2807437.5</v>
      </c>
      <c r="Z834" s="128"/>
      <c r="AA834" s="147">
        <v>70185.94</v>
      </c>
      <c r="AB834" s="147">
        <v>70185.94</v>
      </c>
      <c r="AC834" s="147">
        <v>2947809.38</v>
      </c>
      <c r="AD834" s="315">
        <f t="shared" si="539"/>
        <v>2944861.5706199999</v>
      </c>
      <c r="AE834" s="147">
        <v>40.76</v>
      </c>
      <c r="AF834" s="147">
        <v>42</v>
      </c>
      <c r="AG834" s="147">
        <v>40.57</v>
      </c>
      <c r="AH834" s="287">
        <v>5.0000000000000001E-3</v>
      </c>
      <c r="AI834" s="287">
        <v>3.6999999999999998E-2</v>
      </c>
      <c r="AJ834" s="287">
        <v>4.2999999999999997E-2</v>
      </c>
      <c r="AK834" s="318">
        <f t="shared" si="556"/>
        <v>95586.562499999985</v>
      </c>
      <c r="AL834" s="193">
        <f>400*10+176*15</f>
        <v>6640</v>
      </c>
      <c r="AM834" s="193">
        <f t="shared" si="557"/>
        <v>14037.1875</v>
      </c>
      <c r="AN834" s="319">
        <v>0</v>
      </c>
      <c r="AO834" s="320">
        <f t="shared" si="555"/>
        <v>2012.5</v>
      </c>
      <c r="AP834" s="193"/>
      <c r="AQ834" s="318">
        <v>0</v>
      </c>
      <c r="AR834" s="318">
        <f t="shared" si="541"/>
        <v>118276.24999999999</v>
      </c>
      <c r="AS834" s="318">
        <f t="shared" si="542"/>
        <v>124190</v>
      </c>
      <c r="AT834" s="321">
        <v>25</v>
      </c>
      <c r="AU834" s="136"/>
      <c r="AV834" s="136"/>
      <c r="AW834" s="318">
        <f t="shared" si="543"/>
        <v>34875</v>
      </c>
      <c r="AX834" s="193"/>
      <c r="AY834" s="318">
        <f t="shared" si="544"/>
        <v>34875</v>
      </c>
      <c r="AZ834" s="318">
        <f t="shared" si="545"/>
        <v>34850</v>
      </c>
      <c r="BA834" s="318">
        <f t="shared" si="546"/>
        <v>25</v>
      </c>
      <c r="BB834" s="318">
        <f t="shared" si="547"/>
        <v>69.75</v>
      </c>
      <c r="BC834" s="318">
        <v>0</v>
      </c>
      <c r="BD834" s="373"/>
      <c r="BE834" s="147">
        <v>348.75</v>
      </c>
      <c r="BF834" s="374">
        <f t="shared" si="548"/>
        <v>0.52312499999999995</v>
      </c>
      <c r="BG834" s="197">
        <f t="shared" si="540"/>
        <v>348.22687500000001</v>
      </c>
      <c r="BH834" s="375">
        <f t="shared" si="549"/>
        <v>348.5</v>
      </c>
      <c r="BI834" s="322">
        <f t="shared" si="550"/>
        <v>25</v>
      </c>
      <c r="BJ834" s="322">
        <v>0</v>
      </c>
      <c r="BK834" s="318">
        <f t="shared" si="551"/>
        <v>25</v>
      </c>
      <c r="BL834" s="67"/>
      <c r="BM834" s="68" t="str">
        <f t="shared" si="552"/>
        <v>Unloading no. 807 Bill No GST21 ,Deduction For Oil Deduction= 95586.5625 ,Bardana= 6640 ,F.M= 14037.1875 Brokerage/Rate Difference 0 ,Shortage = 2012.5 ,Greenish=  ,Moisture= 0</v>
      </c>
      <c r="BN834" s="69"/>
      <c r="BO834" s="70" t="str">
        <f t="shared" si="553"/>
        <v xml:space="preserve"> Party Condition 42  ,F.M% 0.5 ,Greenish 3.7 ,Moisture 4.3 ,Shortage in KG= 25  ,Oil% 40.57</v>
      </c>
      <c r="BP834" s="71">
        <f t="shared" si="554"/>
        <v>7716.3880918220948</v>
      </c>
      <c r="BQ834" s="41"/>
      <c r="BR834" s="41"/>
      <c r="BS834" s="41"/>
      <c r="BT834" s="41"/>
      <c r="BU834" s="41"/>
      <c r="BV834" s="41"/>
      <c r="BW834" s="85"/>
      <c r="BX834" s="27">
        <v>40.76</v>
      </c>
      <c r="BY834" s="27">
        <v>40.57</v>
      </c>
    </row>
    <row r="835" spans="1:77" ht="14.1" hidden="1" customHeight="1" x14ac:dyDescent="0.3">
      <c r="A835" s="128" t="s">
        <v>1741</v>
      </c>
      <c r="B835" s="146">
        <v>46177</v>
      </c>
      <c r="C835" s="138">
        <v>808</v>
      </c>
      <c r="D835" s="135" t="s">
        <v>1765</v>
      </c>
      <c r="E835" s="129">
        <v>46179</v>
      </c>
      <c r="F835" s="128" t="s">
        <v>98</v>
      </c>
      <c r="G835" s="128" t="s">
        <v>99</v>
      </c>
      <c r="H835" s="128" t="s">
        <v>100</v>
      </c>
      <c r="I835" s="136"/>
      <c r="J835" s="347" t="s">
        <v>1455</v>
      </c>
      <c r="K835" s="136"/>
      <c r="L835" s="146">
        <v>46177</v>
      </c>
      <c r="M835" s="136"/>
      <c r="N835" s="281">
        <v>130</v>
      </c>
      <c r="O835" s="130">
        <v>46178</v>
      </c>
      <c r="P835" s="138">
        <v>0</v>
      </c>
      <c r="Q835" s="138">
        <v>300</v>
      </c>
      <c r="R835" s="138">
        <v>116</v>
      </c>
      <c r="S835" s="138">
        <v>416</v>
      </c>
      <c r="T835" s="138">
        <v>416</v>
      </c>
      <c r="U835" s="136"/>
      <c r="V835" s="136"/>
      <c r="W835" s="148">
        <v>249</v>
      </c>
      <c r="X835" s="148">
        <v>248.3</v>
      </c>
      <c r="Y835" s="148">
        <v>2004450</v>
      </c>
      <c r="Z835" s="128"/>
      <c r="AA835" s="147">
        <v>50111.25</v>
      </c>
      <c r="AB835" s="147">
        <v>50111.25</v>
      </c>
      <c r="AC835" s="147">
        <v>2104672.5</v>
      </c>
      <c r="AD835" s="315">
        <f t="shared" si="539"/>
        <v>2102567.8275000001</v>
      </c>
      <c r="AE835" s="147">
        <v>38.49</v>
      </c>
      <c r="AF835" s="147">
        <v>42</v>
      </c>
      <c r="AG835" s="147">
        <v>38.53</v>
      </c>
      <c r="AH835" s="287">
        <v>4.1999999999999997E-3</v>
      </c>
      <c r="AI835" s="287">
        <v>3.4500000000000003E-2</v>
      </c>
      <c r="AJ835" s="287">
        <v>4.9000000000000002E-2</v>
      </c>
      <c r="AK835" s="318">
        <f t="shared" si="556"/>
        <v>167514.74999999988</v>
      </c>
      <c r="AL835" s="193">
        <f>300*10+116*15</f>
        <v>4740</v>
      </c>
      <c r="AM835" s="193">
        <f t="shared" si="557"/>
        <v>8418.6899999999987</v>
      </c>
      <c r="AN835" s="319">
        <v>0</v>
      </c>
      <c r="AO835" s="320">
        <f t="shared" si="555"/>
        <v>5635</v>
      </c>
      <c r="AP835" s="193"/>
      <c r="AQ835" s="318">
        <v>0</v>
      </c>
      <c r="AR835" s="318">
        <f t="shared" si="541"/>
        <v>186308.43999999989</v>
      </c>
      <c r="AS835" s="318">
        <f t="shared" si="542"/>
        <v>195624</v>
      </c>
      <c r="AT835" s="321">
        <v>70</v>
      </c>
      <c r="AU835" s="136"/>
      <c r="AV835" s="136"/>
      <c r="AW835" s="318">
        <f t="shared" si="543"/>
        <v>24900</v>
      </c>
      <c r="AX835" s="193"/>
      <c r="AY835" s="318">
        <f t="shared" si="544"/>
        <v>24900</v>
      </c>
      <c r="AZ835" s="318">
        <f t="shared" si="545"/>
        <v>24830</v>
      </c>
      <c r="BA835" s="318">
        <f t="shared" si="546"/>
        <v>70</v>
      </c>
      <c r="BB835" s="318">
        <f t="shared" si="547"/>
        <v>49.8</v>
      </c>
      <c r="BC835" s="318">
        <v>0</v>
      </c>
      <c r="BD835" s="373"/>
      <c r="BE835" s="147">
        <v>249</v>
      </c>
      <c r="BF835" s="374">
        <f t="shared" si="548"/>
        <v>0.3735</v>
      </c>
      <c r="BG835" s="197">
        <f t="shared" si="540"/>
        <v>248.62649999999999</v>
      </c>
      <c r="BH835" s="375">
        <f t="shared" si="549"/>
        <v>248.3</v>
      </c>
      <c r="BI835" s="322">
        <f t="shared" si="550"/>
        <v>69.999999999998863</v>
      </c>
      <c r="BJ835" s="322">
        <v>0</v>
      </c>
      <c r="BK835" s="318">
        <f t="shared" si="551"/>
        <v>69.999999999998863</v>
      </c>
      <c r="BL835" s="67"/>
      <c r="BM835" s="68" t="str">
        <f t="shared" si="552"/>
        <v>Unloading no. 808 Bill No 130 ,Deduction For Oil Deduction= 167514.75 ,Bardana= 4740 ,F.M= 8418.69 Brokerage/Rate Difference 0 ,Shortage = 5635 ,Greenish=  ,Moisture= 0</v>
      </c>
      <c r="BN835" s="69"/>
      <c r="BO835" s="70" t="str">
        <f t="shared" si="553"/>
        <v xml:space="preserve"> Party Condition 42  ,F.M% 0.42 ,Greenish 3.45 ,Moisture 4.9 ,Shortage in KG= 70  ,Oil% 38.49</v>
      </c>
      <c r="BP835" s="71">
        <f t="shared" si="554"/>
        <v>7322.3582762786946</v>
      </c>
      <c r="BQ835" s="41"/>
      <c r="BR835" s="41"/>
      <c r="BS835" s="41"/>
      <c r="BT835" s="41"/>
      <c r="BU835" s="41"/>
      <c r="BV835" s="41"/>
      <c r="BW835" s="85"/>
      <c r="BX835" s="27">
        <v>38.49</v>
      </c>
      <c r="BY835" s="27">
        <v>38.53</v>
      </c>
    </row>
    <row r="836" spans="1:77" ht="14.1" hidden="1" customHeight="1" x14ac:dyDescent="0.3">
      <c r="A836" s="128" t="s">
        <v>1739</v>
      </c>
      <c r="B836" s="146">
        <v>46177</v>
      </c>
      <c r="C836" s="138">
        <v>809</v>
      </c>
      <c r="D836" s="135" t="s">
        <v>1766</v>
      </c>
      <c r="E836" s="129">
        <v>46179</v>
      </c>
      <c r="F836" s="128" t="s">
        <v>1083</v>
      </c>
      <c r="G836" s="128" t="s">
        <v>1084</v>
      </c>
      <c r="H836" s="128" t="s">
        <v>1454</v>
      </c>
      <c r="I836" s="136"/>
      <c r="J836" s="347" t="s">
        <v>1455</v>
      </c>
      <c r="K836" s="136"/>
      <c r="L836" s="146">
        <v>46177</v>
      </c>
      <c r="M836" s="136"/>
      <c r="N836" s="281">
        <v>36</v>
      </c>
      <c r="O836" s="130">
        <v>46178</v>
      </c>
      <c r="P836" s="138">
        <v>0</v>
      </c>
      <c r="Q836" s="138">
        <v>150</v>
      </c>
      <c r="R836" s="138">
        <v>215</v>
      </c>
      <c r="S836" s="138">
        <v>365</v>
      </c>
      <c r="T836" s="138">
        <v>365</v>
      </c>
      <c r="U836" s="136"/>
      <c r="V836" s="136"/>
      <c r="W836" s="148">
        <v>245.6</v>
      </c>
      <c r="X836" s="148">
        <v>244.4</v>
      </c>
      <c r="Y836" s="148">
        <v>1983220</v>
      </c>
      <c r="Z836" s="128"/>
      <c r="AA836" s="147">
        <v>49580.5</v>
      </c>
      <c r="AB836" s="147">
        <v>49580.5</v>
      </c>
      <c r="AC836" s="147">
        <v>2082381</v>
      </c>
      <c r="AD836" s="315">
        <f t="shared" si="539"/>
        <v>2080298.6189999999</v>
      </c>
      <c r="AE836" s="147">
        <v>39.11</v>
      </c>
      <c r="AF836" s="147">
        <v>42</v>
      </c>
      <c r="AG836" s="147">
        <v>39.07</v>
      </c>
      <c r="AH836" s="287">
        <v>5.0000000000000001E-3</v>
      </c>
      <c r="AI836" s="287">
        <v>3.3599999999999998E-2</v>
      </c>
      <c r="AJ836" s="287">
        <v>4.8000000000000001E-2</v>
      </c>
      <c r="AK836" s="318">
        <f t="shared" si="556"/>
        <v>138353.20476190475</v>
      </c>
      <c r="AL836" s="193">
        <f>150*10+215*15</f>
        <v>4725</v>
      </c>
      <c r="AM836" s="193">
        <f t="shared" si="557"/>
        <v>9916.1</v>
      </c>
      <c r="AN836" s="319">
        <v>3684</v>
      </c>
      <c r="AO836" s="320">
        <f t="shared" si="555"/>
        <v>9690</v>
      </c>
      <c r="AP836" s="193"/>
      <c r="AQ836" s="318">
        <v>0</v>
      </c>
      <c r="AR836" s="318">
        <f t="shared" si="541"/>
        <v>166368.30476190476</v>
      </c>
      <c r="AS836" s="318">
        <f t="shared" si="542"/>
        <v>174687</v>
      </c>
      <c r="AT836" s="321">
        <v>120</v>
      </c>
      <c r="AU836" s="136"/>
      <c r="AV836" s="136"/>
      <c r="AW836" s="318">
        <f t="shared" si="543"/>
        <v>24560</v>
      </c>
      <c r="AX836" s="193"/>
      <c r="AY836" s="318">
        <f t="shared" si="544"/>
        <v>24560</v>
      </c>
      <c r="AZ836" s="318">
        <f t="shared" si="545"/>
        <v>24440</v>
      </c>
      <c r="BA836" s="318">
        <f t="shared" si="546"/>
        <v>120</v>
      </c>
      <c r="BB836" s="318">
        <f t="shared" si="547"/>
        <v>49.12</v>
      </c>
      <c r="BC836" s="318">
        <v>0</v>
      </c>
      <c r="BD836" s="373"/>
      <c r="BE836" s="147">
        <v>245.6</v>
      </c>
      <c r="BF836" s="374">
        <f t="shared" si="548"/>
        <v>0.36839999999999995</v>
      </c>
      <c r="BG836" s="197">
        <f t="shared" si="540"/>
        <v>245.23159999999999</v>
      </c>
      <c r="BH836" s="375">
        <f t="shared" si="549"/>
        <v>244.4</v>
      </c>
      <c r="BI836" s="322">
        <f t="shared" si="550"/>
        <v>119.99999999999886</v>
      </c>
      <c r="BJ836" s="322">
        <v>0</v>
      </c>
      <c r="BK836" s="318">
        <f t="shared" si="551"/>
        <v>119.99999999999886</v>
      </c>
      <c r="BL836" s="67"/>
      <c r="BM836" s="68" t="str">
        <f t="shared" si="552"/>
        <v>Unloading no. 809 Bill No 36 ,Deduction For Oil Deduction= 138353.204761905 ,Bardana= 4725 ,F.M= 9916.1 Brokerage/Rate Difference 3684 ,Shortage = 9690 ,Greenish=  ,Moisture= 0</v>
      </c>
      <c r="BN836" s="69"/>
      <c r="BO836" s="70" t="str">
        <f t="shared" si="553"/>
        <v xml:space="preserve"> Party Condition 42  ,F.M% 0.5 ,Greenish 3.36 ,Moisture 4.8 ,Shortage in KG= 120  ,Oil% 39.07</v>
      </c>
      <c r="BP836" s="71">
        <f t="shared" si="554"/>
        <v>7433.9267399267401</v>
      </c>
      <c r="BQ836" s="41"/>
      <c r="BR836" s="41"/>
      <c r="BS836" s="41"/>
      <c r="BT836" s="41"/>
      <c r="BU836" s="41"/>
      <c r="BV836" s="41"/>
      <c r="BW836" s="85"/>
      <c r="BX836" s="27">
        <v>39.11</v>
      </c>
      <c r="BY836" s="27">
        <v>39.07</v>
      </c>
    </row>
    <row r="837" spans="1:77" ht="14.1" hidden="1" customHeight="1" x14ac:dyDescent="0.3">
      <c r="A837" s="128" t="s">
        <v>1742</v>
      </c>
      <c r="B837" s="146">
        <v>46177</v>
      </c>
      <c r="C837" s="138">
        <v>810</v>
      </c>
      <c r="D837" s="135" t="s">
        <v>1767</v>
      </c>
      <c r="E837" s="129">
        <v>46179</v>
      </c>
      <c r="F837" s="128" t="s">
        <v>1382</v>
      </c>
      <c r="G837" s="128" t="s">
        <v>1383</v>
      </c>
      <c r="H837" s="128" t="s">
        <v>1384</v>
      </c>
      <c r="I837" s="136"/>
      <c r="J837" s="347" t="s">
        <v>1455</v>
      </c>
      <c r="K837" s="136"/>
      <c r="L837" s="146">
        <v>46177</v>
      </c>
      <c r="M837" s="136"/>
      <c r="N837" s="281">
        <v>17</v>
      </c>
      <c r="O837" s="130">
        <v>46178</v>
      </c>
      <c r="P837" s="138">
        <v>0</v>
      </c>
      <c r="Q837" s="138">
        <v>50</v>
      </c>
      <c r="R837" s="138">
        <v>455</v>
      </c>
      <c r="S837" s="138">
        <v>505</v>
      </c>
      <c r="T837" s="138">
        <v>505</v>
      </c>
      <c r="U837" s="136"/>
      <c r="V837" s="136"/>
      <c r="W837" s="148">
        <v>312.10000000000002</v>
      </c>
      <c r="X837" s="148">
        <v>311.39999999999998</v>
      </c>
      <c r="Y837" s="148">
        <v>2520207.5</v>
      </c>
      <c r="Z837" s="128"/>
      <c r="AA837" s="147">
        <v>63005.19</v>
      </c>
      <c r="AB837" s="147">
        <v>63005.19</v>
      </c>
      <c r="AC837" s="147">
        <v>2646217.88</v>
      </c>
      <c r="AD837" s="315">
        <f t="shared" si="539"/>
        <v>2643571.66212</v>
      </c>
      <c r="AE837" s="147">
        <v>38.18</v>
      </c>
      <c r="AF837" s="147">
        <v>42</v>
      </c>
      <c r="AG837" s="147">
        <v>38.19</v>
      </c>
      <c r="AH837" s="287">
        <v>4.7999999999999996E-3</v>
      </c>
      <c r="AI837" s="287">
        <v>3.4000000000000002E-2</v>
      </c>
      <c r="AJ837" s="287">
        <v>0.05</v>
      </c>
      <c r="AK837" s="318">
        <f t="shared" si="556"/>
        <v>229218.87261904764</v>
      </c>
      <c r="AL837" s="193">
        <f>50*10+455*15</f>
        <v>7325</v>
      </c>
      <c r="AM837" s="193">
        <f t="shared" si="557"/>
        <v>12096.995999999999</v>
      </c>
      <c r="AN837" s="319">
        <v>0</v>
      </c>
      <c r="AO837" s="320">
        <f t="shared" si="555"/>
        <v>5652.4999999999991</v>
      </c>
      <c r="AP837" s="193"/>
      <c r="AQ837" s="318">
        <v>0</v>
      </c>
      <c r="AR837" s="318">
        <f t="shared" si="541"/>
        <v>254293.36861904763</v>
      </c>
      <c r="AS837" s="318">
        <f t="shared" si="542"/>
        <v>267008</v>
      </c>
      <c r="AT837" s="321">
        <v>70</v>
      </c>
      <c r="AU837" s="136"/>
      <c r="AV837" s="136"/>
      <c r="AW837" s="318">
        <f t="shared" si="543"/>
        <v>31210.000000000004</v>
      </c>
      <c r="AX837" s="193"/>
      <c r="AY837" s="318">
        <f t="shared" si="544"/>
        <v>31210.000000000004</v>
      </c>
      <c r="AZ837" s="318">
        <f t="shared" si="545"/>
        <v>31139.999999999996</v>
      </c>
      <c r="BA837" s="318">
        <f t="shared" si="546"/>
        <v>70.000000000007276</v>
      </c>
      <c r="BB837" s="318">
        <f t="shared" si="547"/>
        <v>62.420000000000009</v>
      </c>
      <c r="BC837" s="318">
        <v>0</v>
      </c>
      <c r="BD837" s="373"/>
      <c r="BE837" s="147">
        <v>312.10000000000002</v>
      </c>
      <c r="BF837" s="374">
        <f t="shared" si="548"/>
        <v>0.46815000000000007</v>
      </c>
      <c r="BG837" s="197">
        <f t="shared" si="540"/>
        <v>311.63185000000004</v>
      </c>
      <c r="BH837" s="375">
        <f t="shared" si="549"/>
        <v>311.39999999999998</v>
      </c>
      <c r="BI837" s="322">
        <f t="shared" si="550"/>
        <v>70.000000000004547</v>
      </c>
      <c r="BJ837" s="322">
        <v>0</v>
      </c>
      <c r="BK837" s="318">
        <f t="shared" si="551"/>
        <v>70.000000000004547</v>
      </c>
      <c r="BL837" s="67"/>
      <c r="BM837" s="68" t="str">
        <f t="shared" si="552"/>
        <v>Unloading no. 810 Bill No 17 ,Deduction For Oil Deduction= 229218.872619048 ,Bardana= 7325 ,F.M= 12096.996 Brokerage/Rate Difference 0 ,Shortage = 5652.5 ,Greenish=  ,Moisture= 0</v>
      </c>
      <c r="BN837" s="69"/>
      <c r="BO837" s="70" t="str">
        <f t="shared" si="553"/>
        <v xml:space="preserve"> Party Condition 42  ,F.M% 0.48 ,Greenish 3.4 ,Moisture 5 ,Shortage in KG= 70  ,Oil% 38.18</v>
      </c>
      <c r="BP837" s="71">
        <f t="shared" si="554"/>
        <v>7276.5386364192436</v>
      </c>
      <c r="BQ837" s="41"/>
      <c r="BR837" s="41"/>
      <c r="BS837" s="41"/>
      <c r="BT837" s="41"/>
      <c r="BU837" s="41"/>
      <c r="BV837" s="41"/>
      <c r="BW837" s="85"/>
      <c r="BX837" s="27">
        <v>38.18</v>
      </c>
      <c r="BY837" s="27">
        <v>38.19</v>
      </c>
    </row>
    <row r="838" spans="1:77" ht="14.1" hidden="1" customHeight="1" x14ac:dyDescent="0.3">
      <c r="A838" s="128" t="s">
        <v>1739</v>
      </c>
      <c r="B838" s="146">
        <v>46177</v>
      </c>
      <c r="C838" s="138">
        <v>811</v>
      </c>
      <c r="D838" s="135" t="s">
        <v>1768</v>
      </c>
      <c r="E838" s="129">
        <v>46179</v>
      </c>
      <c r="F838" s="128" t="s">
        <v>1083</v>
      </c>
      <c r="G838" s="128" t="s">
        <v>1084</v>
      </c>
      <c r="H838" s="128" t="s">
        <v>1454</v>
      </c>
      <c r="I838" s="136"/>
      <c r="J838" s="347" t="s">
        <v>1455</v>
      </c>
      <c r="K838" s="136"/>
      <c r="L838" s="146">
        <v>46177</v>
      </c>
      <c r="M838" s="136"/>
      <c r="N838" s="281">
        <v>35</v>
      </c>
      <c r="O838" s="130">
        <v>46178</v>
      </c>
      <c r="P838" s="138">
        <v>0</v>
      </c>
      <c r="Q838" s="138">
        <v>110</v>
      </c>
      <c r="R838" s="138">
        <v>280</v>
      </c>
      <c r="S838" s="138">
        <v>390</v>
      </c>
      <c r="T838" s="138">
        <v>390</v>
      </c>
      <c r="U838" s="136"/>
      <c r="V838" s="136"/>
      <c r="W838" s="148">
        <v>251.55</v>
      </c>
      <c r="X838" s="148">
        <v>251</v>
      </c>
      <c r="Y838" s="148">
        <v>2031266.25</v>
      </c>
      <c r="Z838" s="128"/>
      <c r="AA838" s="147">
        <v>50781.66</v>
      </c>
      <c r="AB838" s="147">
        <v>50781.66</v>
      </c>
      <c r="AC838" s="147">
        <v>2132829.56</v>
      </c>
      <c r="AD838" s="315">
        <f t="shared" si="539"/>
        <v>2130696.7304400001</v>
      </c>
      <c r="AE838" s="147">
        <v>39.35</v>
      </c>
      <c r="AF838" s="147">
        <v>42</v>
      </c>
      <c r="AG838" s="147">
        <v>39.39</v>
      </c>
      <c r="AH838" s="287">
        <v>4.7000000000000002E-3</v>
      </c>
      <c r="AI838" s="287">
        <v>3.2099999999999997E-2</v>
      </c>
      <c r="AJ838" s="287">
        <v>5.3999999999999999E-2</v>
      </c>
      <c r="AK838" s="318">
        <f t="shared" si="556"/>
        <v>128163.22767857136</v>
      </c>
      <c r="AL838" s="193">
        <f>110*10+280*15</f>
        <v>5300</v>
      </c>
      <c r="AM838" s="193">
        <f t="shared" si="557"/>
        <v>9546.9513750000006</v>
      </c>
      <c r="AN838" s="319">
        <v>3684</v>
      </c>
      <c r="AO838" s="320">
        <f t="shared" si="555"/>
        <v>4441.25</v>
      </c>
      <c r="AP838" s="193"/>
      <c r="AQ838" s="318">
        <v>0</v>
      </c>
      <c r="AR838" s="318">
        <f t="shared" si="541"/>
        <v>151135.42905357137</v>
      </c>
      <c r="AS838" s="318">
        <f t="shared" si="542"/>
        <v>158692</v>
      </c>
      <c r="AT838" s="321">
        <v>55</v>
      </c>
      <c r="AU838" s="136"/>
      <c r="AV838" s="136"/>
      <c r="AW838" s="318">
        <f t="shared" si="543"/>
        <v>25155</v>
      </c>
      <c r="AX838" s="193"/>
      <c r="AY838" s="318">
        <f t="shared" si="544"/>
        <v>25155</v>
      </c>
      <c r="AZ838" s="318">
        <f t="shared" si="545"/>
        <v>25100</v>
      </c>
      <c r="BA838" s="318">
        <f t="shared" si="546"/>
        <v>55</v>
      </c>
      <c r="BB838" s="318">
        <f t="shared" si="547"/>
        <v>50.31</v>
      </c>
      <c r="BC838" s="318">
        <v>0</v>
      </c>
      <c r="BD838" s="373"/>
      <c r="BE838" s="147">
        <v>251.55</v>
      </c>
      <c r="BF838" s="374">
        <f t="shared" si="548"/>
        <v>0.37732500000000002</v>
      </c>
      <c r="BG838" s="197">
        <f t="shared" si="540"/>
        <v>251.172675</v>
      </c>
      <c r="BH838" s="375">
        <f t="shared" si="549"/>
        <v>251</v>
      </c>
      <c r="BI838" s="322">
        <f t="shared" si="550"/>
        <v>55.000000000001137</v>
      </c>
      <c r="BJ838" s="322">
        <v>0</v>
      </c>
      <c r="BK838" s="318">
        <f t="shared" si="551"/>
        <v>55.000000000001137</v>
      </c>
      <c r="BL838" s="67"/>
      <c r="BM838" s="68" t="str">
        <f t="shared" si="552"/>
        <v>Unloading no. 811 Bill No 35 ,Deduction For Oil Deduction= 128163.227678571 ,Bardana= 5300 ,F.M= 9546.951375 Brokerage/Rate Difference 3684 ,Shortage = 4441.25 ,Greenish=  ,Moisture= 0</v>
      </c>
      <c r="BN838" s="69"/>
      <c r="BO838" s="70" t="str">
        <f t="shared" si="553"/>
        <v xml:space="preserve"> Party Condition 42  ,F.M% 0.47 ,Greenish 3.21 ,Moisture 5.4 ,Shortage in KG= 55  ,Oil% 39.35</v>
      </c>
      <c r="BP838" s="71">
        <f t="shared" si="554"/>
        <v>7490.5610396272059</v>
      </c>
      <c r="BQ838" s="41"/>
      <c r="BR838" s="41"/>
      <c r="BS838" s="41"/>
      <c r="BT838" s="41"/>
      <c r="BU838" s="41"/>
      <c r="BV838" s="41"/>
      <c r="BW838" s="85"/>
      <c r="BX838" s="27">
        <v>39.35</v>
      </c>
      <c r="BY838" s="27">
        <v>39.39</v>
      </c>
    </row>
    <row r="839" spans="1:77" ht="14.1" hidden="1" customHeight="1" x14ac:dyDescent="0.3">
      <c r="A839" s="128" t="s">
        <v>1741</v>
      </c>
      <c r="B839" s="146">
        <v>46177</v>
      </c>
      <c r="C839" s="138">
        <v>812</v>
      </c>
      <c r="D839" s="135" t="s">
        <v>1769</v>
      </c>
      <c r="E839" s="129">
        <v>46179</v>
      </c>
      <c r="F839" s="128" t="s">
        <v>98</v>
      </c>
      <c r="G839" s="128" t="s">
        <v>99</v>
      </c>
      <c r="H839" s="128" t="s">
        <v>199</v>
      </c>
      <c r="I839" s="136"/>
      <c r="J839" s="347" t="s">
        <v>1455</v>
      </c>
      <c r="K839" s="136"/>
      <c r="L839" s="146">
        <v>46177</v>
      </c>
      <c r="M839" s="136"/>
      <c r="N839" s="281">
        <v>131</v>
      </c>
      <c r="O839" s="130">
        <v>46178</v>
      </c>
      <c r="P839" s="138">
        <v>0</v>
      </c>
      <c r="Q839" s="138">
        <v>376</v>
      </c>
      <c r="R839" s="138">
        <v>90</v>
      </c>
      <c r="S839" s="138">
        <v>466</v>
      </c>
      <c r="T839" s="138">
        <v>466</v>
      </c>
      <c r="U839" s="136"/>
      <c r="V839" s="136"/>
      <c r="W839" s="148">
        <v>281.64999999999998</v>
      </c>
      <c r="X839" s="148">
        <v>281</v>
      </c>
      <c r="Y839" s="148">
        <v>2267282.5</v>
      </c>
      <c r="Z839" s="128"/>
      <c r="AA839" s="147">
        <v>56682.06</v>
      </c>
      <c r="AB839" s="147">
        <v>56682.06</v>
      </c>
      <c r="AC839" s="147">
        <v>2380646.63</v>
      </c>
      <c r="AD839" s="315">
        <f t="shared" si="539"/>
        <v>2378265.98337</v>
      </c>
      <c r="AE839" s="147">
        <v>39.75</v>
      </c>
      <c r="AF839" s="147">
        <v>42</v>
      </c>
      <c r="AG839" s="147">
        <v>39.549999999999997</v>
      </c>
      <c r="AH839" s="287">
        <v>3.8999999999999998E-3</v>
      </c>
      <c r="AI839" s="287">
        <v>3.5099999999999999E-2</v>
      </c>
      <c r="AJ839" s="287">
        <v>4.8000000000000001E-2</v>
      </c>
      <c r="AK839" s="318">
        <f t="shared" si="556"/>
        <v>132258.14583333349</v>
      </c>
      <c r="AL839" s="193">
        <v>5110</v>
      </c>
      <c r="AM839" s="193">
        <f t="shared" si="557"/>
        <v>8842.4017499999991</v>
      </c>
      <c r="AN839" s="319">
        <v>0</v>
      </c>
      <c r="AO839" s="320">
        <v>5232.5</v>
      </c>
      <c r="AP839" s="193"/>
      <c r="AQ839" s="318">
        <v>0</v>
      </c>
      <c r="AR839" s="318">
        <f t="shared" si="541"/>
        <v>151443.04758333348</v>
      </c>
      <c r="AS839" s="318">
        <f t="shared" si="542"/>
        <v>159015</v>
      </c>
      <c r="AT839" s="321">
        <v>0</v>
      </c>
      <c r="AU839" s="136"/>
      <c r="AV839" s="136"/>
      <c r="AW839" s="318">
        <f t="shared" si="543"/>
        <v>28164.999999999996</v>
      </c>
      <c r="AX839" s="193"/>
      <c r="AY839" s="318">
        <f t="shared" si="544"/>
        <v>28164.999999999996</v>
      </c>
      <c r="AZ839" s="318">
        <f t="shared" si="545"/>
        <v>28100</v>
      </c>
      <c r="BA839" s="318">
        <f t="shared" si="546"/>
        <v>64.999999999996362</v>
      </c>
      <c r="BB839" s="318">
        <f t="shared" si="547"/>
        <v>56.329999999999991</v>
      </c>
      <c r="BC839" s="318">
        <v>0</v>
      </c>
      <c r="BD839" s="373"/>
      <c r="BE839" s="147">
        <v>281.64999999999998</v>
      </c>
      <c r="BF839" s="374">
        <f t="shared" si="548"/>
        <v>0.42247499999999993</v>
      </c>
      <c r="BG839" s="197">
        <f t="shared" si="540"/>
        <v>281.22752499999996</v>
      </c>
      <c r="BH839" s="375">
        <f t="shared" si="549"/>
        <v>281</v>
      </c>
      <c r="BI839" s="322">
        <f t="shared" si="550"/>
        <v>64.999999999997726</v>
      </c>
      <c r="BJ839" s="322">
        <v>0</v>
      </c>
      <c r="BK839" s="318">
        <f t="shared" si="551"/>
        <v>64.999999999997726</v>
      </c>
      <c r="BL839" s="67"/>
      <c r="BM839" s="68" t="str">
        <f t="shared" si="552"/>
        <v>Unloading no. 812 Bill No 131 ,Deduction For Oil Deduction= 132258.145833333 ,Bardana= 5110 ,F.M= 8842.40175 Brokerage/Rate Difference 0 ,Shortage = 5232.5 ,Greenish=  ,Moisture= 0</v>
      </c>
      <c r="BN839" s="69"/>
      <c r="BO839" s="70" t="str">
        <f t="shared" si="553"/>
        <v xml:space="preserve"> Party Condition 42  ,F.M% 0.39 ,Greenish 3.51 ,Moisture 4.8 ,Shortage in KG= 0  ,Oil% 39.55</v>
      </c>
      <c r="BP839" s="71">
        <f t="shared" si="554"/>
        <v>7529.6777666073531</v>
      </c>
      <c r="BQ839" s="41"/>
      <c r="BR839" s="41"/>
      <c r="BS839" s="41"/>
      <c r="BT839" s="41"/>
      <c r="BU839" s="41"/>
      <c r="BV839" s="41"/>
      <c r="BW839" s="85"/>
      <c r="BX839" s="27">
        <v>39.75</v>
      </c>
      <c r="BY839" s="27">
        <v>39.549999999999997</v>
      </c>
    </row>
    <row r="840" spans="1:77" ht="14.1" hidden="1" customHeight="1" x14ac:dyDescent="0.3">
      <c r="A840" s="128" t="s">
        <v>1743</v>
      </c>
      <c r="B840" s="146">
        <v>46178</v>
      </c>
      <c r="C840" s="138">
        <v>813</v>
      </c>
      <c r="D840" s="135" t="s">
        <v>1770</v>
      </c>
      <c r="E840" s="129">
        <v>46179</v>
      </c>
      <c r="F840" s="128" t="s">
        <v>1802</v>
      </c>
      <c r="G840" s="128" t="s">
        <v>204</v>
      </c>
      <c r="H840" s="128" t="s">
        <v>1384</v>
      </c>
      <c r="I840" s="136"/>
      <c r="J840" s="347" t="s">
        <v>1455</v>
      </c>
      <c r="K840" s="136"/>
      <c r="L840" s="146">
        <v>46178</v>
      </c>
      <c r="M840" s="136"/>
      <c r="N840" s="281" t="s">
        <v>1404</v>
      </c>
      <c r="O840" s="130">
        <v>46178</v>
      </c>
      <c r="P840" s="138">
        <v>0</v>
      </c>
      <c r="Q840" s="138">
        <v>300</v>
      </c>
      <c r="R840" s="138">
        <v>33</v>
      </c>
      <c r="S840" s="138">
        <v>333</v>
      </c>
      <c r="T840" s="138">
        <v>333</v>
      </c>
      <c r="U840" s="136"/>
      <c r="V840" s="136"/>
      <c r="W840" s="148">
        <v>203.15</v>
      </c>
      <c r="X840" s="148">
        <v>202.8</v>
      </c>
      <c r="Y840" s="148">
        <v>1631378.75</v>
      </c>
      <c r="Z840" s="128"/>
      <c r="AA840" s="147">
        <v>40784.47</v>
      </c>
      <c r="AB840" s="147">
        <v>40784.47</v>
      </c>
      <c r="AC840" s="147">
        <v>1712947.69</v>
      </c>
      <c r="AD840" s="315">
        <f t="shared" si="539"/>
        <v>1711234.7423099999</v>
      </c>
      <c r="AE840" s="147">
        <v>39.25</v>
      </c>
      <c r="AF840" s="147">
        <v>42</v>
      </c>
      <c r="AG840" s="147">
        <v>39.22</v>
      </c>
      <c r="AH840" s="287">
        <v>3.8E-3</v>
      </c>
      <c r="AI840" s="287">
        <v>3.7600000000000001E-2</v>
      </c>
      <c r="AJ840" s="287">
        <v>4.2999999999999997E-2</v>
      </c>
      <c r="AK840" s="318">
        <f t="shared" si="556"/>
        <v>107981.73630952385</v>
      </c>
      <c r="AL840" s="193">
        <f>300*10+33*15</f>
        <v>3495</v>
      </c>
      <c r="AM840" s="193">
        <f t="shared" si="557"/>
        <v>6199.2392499999996</v>
      </c>
      <c r="AN840" s="319">
        <v>1100</v>
      </c>
      <c r="AO840" s="320">
        <f t="shared" si="555"/>
        <v>2810.6451513659858</v>
      </c>
      <c r="AP840" s="193"/>
      <c r="AQ840" s="318">
        <v>0</v>
      </c>
      <c r="AR840" s="318">
        <f t="shared" si="541"/>
        <v>121586.62071088984</v>
      </c>
      <c r="AS840" s="318">
        <f t="shared" si="542"/>
        <v>127666</v>
      </c>
      <c r="AT840" s="321">
        <v>35</v>
      </c>
      <c r="AU840" s="136"/>
      <c r="AV840" s="136"/>
      <c r="AW840" s="318">
        <f t="shared" si="543"/>
        <v>20315</v>
      </c>
      <c r="AX840" s="193"/>
      <c r="AY840" s="318">
        <f t="shared" si="544"/>
        <v>20315</v>
      </c>
      <c r="AZ840" s="318">
        <f t="shared" si="545"/>
        <v>20280</v>
      </c>
      <c r="BA840" s="318">
        <f t="shared" si="546"/>
        <v>35</v>
      </c>
      <c r="BB840" s="318">
        <f t="shared" si="547"/>
        <v>40.630000000000003</v>
      </c>
      <c r="BC840" s="318">
        <v>0</v>
      </c>
      <c r="BD840" s="373"/>
      <c r="BE840" s="147">
        <v>203.15</v>
      </c>
      <c r="BF840" s="374">
        <f t="shared" si="548"/>
        <v>0.30472500000000002</v>
      </c>
      <c r="BG840" s="197">
        <f t="shared" si="540"/>
        <v>202.84527500000002</v>
      </c>
      <c r="BH840" s="375">
        <f t="shared" si="549"/>
        <v>202.8</v>
      </c>
      <c r="BI840" s="322">
        <f t="shared" si="550"/>
        <v>34.999999999999432</v>
      </c>
      <c r="BJ840" s="322">
        <v>0</v>
      </c>
      <c r="BK840" s="318">
        <f t="shared" si="551"/>
        <v>34.999999999999432</v>
      </c>
      <c r="BL840" s="67"/>
      <c r="BM840" s="68" t="str">
        <f t="shared" si="552"/>
        <v>Unloading no. 813 Bill No 2026-27/104 ,Deduction For Oil Deduction= 107981.736309524 ,Bardana= 3495 ,F.M= 6199.23925 Brokerage/Rate Difference 1100 ,Shortage = 2810.64515136599 ,Greenish=  ,Moisture= 0</v>
      </c>
      <c r="BN840" s="69"/>
      <c r="BO840" s="70" t="str">
        <f t="shared" si="553"/>
        <v xml:space="preserve"> Party Condition 42  ,F.M% 0.38 ,Greenish 3.76 ,Moisture 4.3 ,Shortage in KG= 35  ,Oil% 39.22</v>
      </c>
      <c r="BP840" s="71">
        <f t="shared" si="554"/>
        <v>7444.7343653309181</v>
      </c>
      <c r="BQ840" s="41"/>
      <c r="BR840" s="41"/>
      <c r="BS840" s="41"/>
      <c r="BT840" s="41"/>
      <c r="BU840" s="41"/>
      <c r="BV840" s="41"/>
      <c r="BW840" s="85"/>
      <c r="BX840" s="27">
        <v>39.25</v>
      </c>
      <c r="BY840" s="27">
        <v>39.22</v>
      </c>
    </row>
    <row r="841" spans="1:77" ht="14.1" hidden="1" customHeight="1" x14ac:dyDescent="0.3">
      <c r="A841" s="128" t="s">
        <v>1539</v>
      </c>
      <c r="B841" s="146">
        <v>46174</v>
      </c>
      <c r="C841" s="138">
        <v>814</v>
      </c>
      <c r="D841" s="135" t="s">
        <v>1771</v>
      </c>
      <c r="E841" s="129">
        <v>46179</v>
      </c>
      <c r="F841" s="128" t="s">
        <v>1144</v>
      </c>
      <c r="G841" s="128" t="s">
        <v>1145</v>
      </c>
      <c r="H841" s="128" t="s">
        <v>100</v>
      </c>
      <c r="I841" s="136"/>
      <c r="J841" s="347" t="s">
        <v>1146</v>
      </c>
      <c r="K841" s="136"/>
      <c r="L841" s="146">
        <v>46174</v>
      </c>
      <c r="M841" s="136"/>
      <c r="N841" s="281" t="s">
        <v>1813</v>
      </c>
      <c r="O841" s="130">
        <v>46179</v>
      </c>
      <c r="P841" s="138">
        <v>0</v>
      </c>
      <c r="Q841" s="138">
        <v>153</v>
      </c>
      <c r="R841" s="138">
        <v>10</v>
      </c>
      <c r="S841" s="138">
        <v>163</v>
      </c>
      <c r="T841" s="138">
        <v>163</v>
      </c>
      <c r="U841" s="136"/>
      <c r="V841" s="136"/>
      <c r="W841" s="148">
        <v>95.2</v>
      </c>
      <c r="X841" s="148">
        <v>95.1</v>
      </c>
      <c r="Y841" s="148">
        <v>761600</v>
      </c>
      <c r="Z841" s="276">
        <v>39.340000000000003</v>
      </c>
      <c r="AA841" s="147">
        <v>19040</v>
      </c>
      <c r="AB841" s="147">
        <v>19040</v>
      </c>
      <c r="AC841" s="147">
        <v>799680</v>
      </c>
      <c r="AD841" s="315">
        <f t="shared" si="539"/>
        <v>798880.32</v>
      </c>
      <c r="AE841" s="276">
        <v>39.340000000000003</v>
      </c>
      <c r="AF841" s="147">
        <v>42</v>
      </c>
      <c r="AG841" s="276">
        <v>39.340000000000003</v>
      </c>
      <c r="AH841" s="287">
        <v>3.8E-3</v>
      </c>
      <c r="AI841" s="287">
        <v>3.4500000000000003E-2</v>
      </c>
      <c r="AJ841" s="287">
        <v>4.4999999999999998E-2</v>
      </c>
      <c r="AK841" s="318">
        <v>48234.666666666606</v>
      </c>
      <c r="AL841" s="193">
        <v>0</v>
      </c>
      <c r="AM841" s="193"/>
      <c r="AN841" s="319">
        <v>0</v>
      </c>
      <c r="AO841" s="320">
        <f t="shared" si="555"/>
        <v>0</v>
      </c>
      <c r="AP841" s="193"/>
      <c r="AQ841" s="318">
        <v>0</v>
      </c>
      <c r="AR841" s="318">
        <f t="shared" si="541"/>
        <v>48234.666666666606</v>
      </c>
      <c r="AS841" s="318">
        <f t="shared" si="542"/>
        <v>50646</v>
      </c>
      <c r="AT841" s="321">
        <v>0</v>
      </c>
      <c r="AU841" s="136"/>
      <c r="AV841" s="136"/>
      <c r="AW841" s="318">
        <f t="shared" si="543"/>
        <v>9520</v>
      </c>
      <c r="AX841" s="193"/>
      <c r="AY841" s="318">
        <f t="shared" si="544"/>
        <v>9520</v>
      </c>
      <c r="AZ841" s="318">
        <f t="shared" si="545"/>
        <v>9510</v>
      </c>
      <c r="BA841" s="318">
        <f t="shared" si="546"/>
        <v>10</v>
      </c>
      <c r="BB841" s="318">
        <f t="shared" si="547"/>
        <v>19.04</v>
      </c>
      <c r="BC841" s="318">
        <v>0</v>
      </c>
      <c r="BD841" s="373"/>
      <c r="BE841" s="147">
        <v>95.2</v>
      </c>
      <c r="BF841" s="374">
        <f t="shared" si="548"/>
        <v>0.14279999999999998</v>
      </c>
      <c r="BG841" s="197">
        <f t="shared" si="540"/>
        <v>95.057200000000009</v>
      </c>
      <c r="BH841" s="375">
        <f t="shared" si="549"/>
        <v>95.1</v>
      </c>
      <c r="BI841" s="322">
        <f t="shared" si="550"/>
        <v>10.000000000000853</v>
      </c>
      <c r="BJ841" s="322">
        <v>0</v>
      </c>
      <c r="BK841" s="318">
        <f t="shared" si="551"/>
        <v>10.000000000000853</v>
      </c>
      <c r="BL841" s="67"/>
      <c r="BM841" s="68" t="str">
        <f t="shared" si="552"/>
        <v>Unloading no. 814 Bill No 2026-27/195 ,Deduction For Oil Deduction= 48234.6666666666 ,Bardana= 0 ,F.M=  Brokerage/Rate Difference 0 ,Shortage = 0 ,Greenish=  ,Moisture= 0</v>
      </c>
      <c r="BN841" s="69"/>
      <c r="BO841" s="70" t="str">
        <f t="shared" si="553"/>
        <v xml:space="preserve"> Party Condition 42  ,F.M% 0.38 ,Greenish 3.45 ,Moisture 4.5 ,Shortage in KG= 0  ,Oil% 39.34</v>
      </c>
      <c r="BP841" s="71">
        <f t="shared" si="554"/>
        <v>7501.2127584998252</v>
      </c>
      <c r="BQ841" s="41"/>
      <c r="BR841" s="41"/>
      <c r="BS841" s="41"/>
      <c r="BT841" s="41"/>
      <c r="BU841" s="41"/>
      <c r="BV841" s="41"/>
      <c r="BW841" s="85"/>
      <c r="BX841" s="27">
        <v>39.49</v>
      </c>
      <c r="BY841" s="27">
        <v>39.340000000000003</v>
      </c>
    </row>
    <row r="842" spans="1:77" ht="14.1" hidden="1" customHeight="1" x14ac:dyDescent="0.3">
      <c r="A842" s="128" t="s">
        <v>1539</v>
      </c>
      <c r="B842" s="146">
        <v>46174</v>
      </c>
      <c r="C842" s="138">
        <v>815</v>
      </c>
      <c r="D842" s="135" t="s">
        <v>1772</v>
      </c>
      <c r="E842" s="129">
        <v>46179</v>
      </c>
      <c r="F842" s="128" t="s">
        <v>1144</v>
      </c>
      <c r="G842" s="128" t="s">
        <v>1145</v>
      </c>
      <c r="H842" s="128" t="s">
        <v>100</v>
      </c>
      <c r="I842" s="136"/>
      <c r="J842" s="347" t="s">
        <v>1146</v>
      </c>
      <c r="K842" s="136"/>
      <c r="L842" s="146">
        <v>46174</v>
      </c>
      <c r="M842" s="136"/>
      <c r="N842" s="281" t="s">
        <v>1814</v>
      </c>
      <c r="O842" s="130">
        <v>46179</v>
      </c>
      <c r="P842" s="138">
        <v>0</v>
      </c>
      <c r="Q842" s="138">
        <v>150</v>
      </c>
      <c r="R842" s="138">
        <v>13</v>
      </c>
      <c r="S842" s="138">
        <v>163</v>
      </c>
      <c r="T842" s="138">
        <v>163</v>
      </c>
      <c r="U842" s="136"/>
      <c r="V842" s="136"/>
      <c r="W842" s="148">
        <v>97.1</v>
      </c>
      <c r="X842" s="148">
        <v>97</v>
      </c>
      <c r="Y842" s="148">
        <v>776800</v>
      </c>
      <c r="Z842" s="276">
        <v>39.93</v>
      </c>
      <c r="AA842" s="147">
        <v>19420</v>
      </c>
      <c r="AB842" s="147">
        <v>19420</v>
      </c>
      <c r="AC842" s="147">
        <v>815640</v>
      </c>
      <c r="AD842" s="315">
        <f t="shared" si="539"/>
        <v>814824.36</v>
      </c>
      <c r="AE842" s="276">
        <v>39.93</v>
      </c>
      <c r="AF842" s="147">
        <v>42</v>
      </c>
      <c r="AG842" s="276">
        <v>39.93</v>
      </c>
      <c r="AH842" s="287">
        <v>4.1999999999999997E-3</v>
      </c>
      <c r="AI842" s="287">
        <v>3.6499999999999998E-2</v>
      </c>
      <c r="AJ842" s="287">
        <v>4.2999999999999997E-2</v>
      </c>
      <c r="AK842" s="318">
        <v>38285.142857142862</v>
      </c>
      <c r="AL842" s="193">
        <v>0</v>
      </c>
      <c r="AM842" s="193"/>
      <c r="AN842" s="319">
        <v>0</v>
      </c>
      <c r="AO842" s="320">
        <f t="shared" si="555"/>
        <v>0</v>
      </c>
      <c r="AP842" s="193"/>
      <c r="AQ842" s="318">
        <v>0</v>
      </c>
      <c r="AR842" s="318">
        <f t="shared" si="541"/>
        <v>38285.142857142862</v>
      </c>
      <c r="AS842" s="318">
        <f t="shared" si="542"/>
        <v>40199</v>
      </c>
      <c r="AT842" s="321">
        <v>0</v>
      </c>
      <c r="AU842" s="136"/>
      <c r="AV842" s="136"/>
      <c r="AW842" s="318">
        <f t="shared" si="543"/>
        <v>9710</v>
      </c>
      <c r="AX842" s="193"/>
      <c r="AY842" s="318">
        <f t="shared" si="544"/>
        <v>9710</v>
      </c>
      <c r="AZ842" s="318">
        <f t="shared" si="545"/>
        <v>9700</v>
      </c>
      <c r="BA842" s="318">
        <f t="shared" si="546"/>
        <v>10</v>
      </c>
      <c r="BB842" s="318">
        <f t="shared" si="547"/>
        <v>19.420000000000002</v>
      </c>
      <c r="BC842" s="318">
        <v>0</v>
      </c>
      <c r="BD842" s="373"/>
      <c r="BE842" s="147">
        <v>97.1</v>
      </c>
      <c r="BF842" s="374">
        <f t="shared" si="548"/>
        <v>0.14564999999999997</v>
      </c>
      <c r="BG842" s="197">
        <f t="shared" si="540"/>
        <v>96.954349999999991</v>
      </c>
      <c r="BH842" s="375">
        <f t="shared" si="549"/>
        <v>97</v>
      </c>
      <c r="BI842" s="322">
        <f t="shared" si="550"/>
        <v>9.9999999999994316</v>
      </c>
      <c r="BJ842" s="322">
        <v>0</v>
      </c>
      <c r="BK842" s="318">
        <f t="shared" si="551"/>
        <v>9.9999999999994316</v>
      </c>
      <c r="BL842" s="67"/>
      <c r="BM842" s="68" t="str">
        <f t="shared" si="552"/>
        <v>Unloading no. 815 Bill No 2026-27/196 ,Deduction For Oil Deduction= 38285.1428571429 ,Bardana= 0 ,F.M=  Brokerage/Rate Difference 0 ,Shortage = 0 ,Greenish=  ,Moisture= 0</v>
      </c>
      <c r="BN842" s="69"/>
      <c r="BO842" s="70" t="str">
        <f t="shared" si="553"/>
        <v xml:space="preserve"> Party Condition 42  ,F.M% 0.42 ,Greenish 3.65 ,Moisture 4.3 ,Shortage in KG= 0  ,Oil% 39.93</v>
      </c>
      <c r="BP842" s="71">
        <f t="shared" si="554"/>
        <v>7613.5552282768776</v>
      </c>
      <c r="BQ842" s="41"/>
      <c r="BR842" s="41"/>
      <c r="BS842" s="41"/>
      <c r="BT842" s="41"/>
      <c r="BU842" s="41"/>
      <c r="BV842" s="41"/>
      <c r="BW842" s="85"/>
      <c r="BX842" s="27">
        <v>39.659999999999997</v>
      </c>
      <c r="BY842" s="27">
        <v>39.54</v>
      </c>
    </row>
    <row r="843" spans="1:77" ht="14.1" hidden="1" customHeight="1" x14ac:dyDescent="0.3">
      <c r="A843" s="128" t="s">
        <v>1539</v>
      </c>
      <c r="B843" s="146">
        <v>46174</v>
      </c>
      <c r="C843" s="138">
        <v>816</v>
      </c>
      <c r="D843" s="135" t="s">
        <v>1773</v>
      </c>
      <c r="E843" s="129">
        <v>46179</v>
      </c>
      <c r="F843" s="128" t="s">
        <v>1144</v>
      </c>
      <c r="G843" s="128" t="s">
        <v>1145</v>
      </c>
      <c r="H843" s="128" t="s">
        <v>100</v>
      </c>
      <c r="I843" s="136"/>
      <c r="J843" s="347" t="s">
        <v>1146</v>
      </c>
      <c r="K843" s="136"/>
      <c r="L843" s="146">
        <v>46174</v>
      </c>
      <c r="M843" s="136"/>
      <c r="N843" s="281" t="s">
        <v>1815</v>
      </c>
      <c r="O843" s="130">
        <v>46179</v>
      </c>
      <c r="P843" s="138">
        <v>0</v>
      </c>
      <c r="Q843" s="138">
        <v>150</v>
      </c>
      <c r="R843" s="138">
        <v>13</v>
      </c>
      <c r="S843" s="138">
        <v>163</v>
      </c>
      <c r="T843" s="138">
        <v>163</v>
      </c>
      <c r="U843" s="136"/>
      <c r="V843" s="136"/>
      <c r="W843" s="148">
        <v>96.6</v>
      </c>
      <c r="X843" s="148">
        <v>96.3</v>
      </c>
      <c r="Y843" s="148">
        <v>772800</v>
      </c>
      <c r="Z843" s="276">
        <v>39.99</v>
      </c>
      <c r="AA843" s="147">
        <v>19320</v>
      </c>
      <c r="AB843" s="147">
        <v>19320</v>
      </c>
      <c r="AC843" s="147">
        <v>811440</v>
      </c>
      <c r="AD843" s="315">
        <f t="shared" si="539"/>
        <v>810628.56</v>
      </c>
      <c r="AE843" s="276">
        <v>39.99</v>
      </c>
      <c r="AF843" s="147">
        <v>42</v>
      </c>
      <c r="AG843" s="276">
        <v>39.99</v>
      </c>
      <c r="AH843" s="287">
        <v>3.7000000000000002E-3</v>
      </c>
      <c r="AI843" s="287">
        <v>4.1500000000000002E-2</v>
      </c>
      <c r="AJ843" s="287">
        <v>4.4999999999999998E-2</v>
      </c>
      <c r="AK843" s="318">
        <v>36983.999999999964</v>
      </c>
      <c r="AL843" s="193">
        <v>0</v>
      </c>
      <c r="AM843" s="193"/>
      <c r="AN843" s="319">
        <v>0</v>
      </c>
      <c r="AO843" s="320">
        <v>880</v>
      </c>
      <c r="AP843" s="193"/>
      <c r="AQ843" s="318">
        <v>0</v>
      </c>
      <c r="AR843" s="318">
        <f t="shared" si="541"/>
        <v>37863.999999999964</v>
      </c>
      <c r="AS843" s="318">
        <f t="shared" si="542"/>
        <v>39757</v>
      </c>
      <c r="AT843" s="321">
        <v>30</v>
      </c>
      <c r="AU843" s="136"/>
      <c r="AV843" s="136"/>
      <c r="AW843" s="318">
        <f t="shared" si="543"/>
        <v>9660</v>
      </c>
      <c r="AX843" s="193"/>
      <c r="AY843" s="318">
        <f t="shared" si="544"/>
        <v>9660</v>
      </c>
      <c r="AZ843" s="318">
        <f t="shared" si="545"/>
        <v>9630</v>
      </c>
      <c r="BA843" s="318">
        <f t="shared" si="546"/>
        <v>30</v>
      </c>
      <c r="BB843" s="318">
        <f t="shared" si="547"/>
        <v>19.32</v>
      </c>
      <c r="BC843" s="318">
        <v>0</v>
      </c>
      <c r="BD843" s="373"/>
      <c r="BE843" s="147">
        <v>96.6</v>
      </c>
      <c r="BF843" s="374">
        <f t="shared" si="548"/>
        <v>0.14489999999999997</v>
      </c>
      <c r="BG843" s="197">
        <f t="shared" si="540"/>
        <v>96.455099999999987</v>
      </c>
      <c r="BH843" s="375">
        <f t="shared" si="549"/>
        <v>96.3</v>
      </c>
      <c r="BI843" s="322">
        <f t="shared" si="550"/>
        <v>29.999999999999716</v>
      </c>
      <c r="BJ843" s="322">
        <v>0</v>
      </c>
      <c r="BK843" s="318">
        <f t="shared" si="551"/>
        <v>29.999999999999716</v>
      </c>
      <c r="BL843" s="67"/>
      <c r="BM843" s="68" t="str">
        <f t="shared" si="552"/>
        <v>Unloading no. 816 Bill No 2026-27/197 ,Deduction For Oil Deduction= 36984 ,Bardana= 0 ,F.M=  Brokerage/Rate Difference 0 ,Shortage = 880 ,Greenish=  ,Moisture= 0</v>
      </c>
      <c r="BN843" s="69"/>
      <c r="BO843" s="70" t="str">
        <f t="shared" si="553"/>
        <v xml:space="preserve"> Party Condition 42  ,F.M% 0.37 ,Greenish 4.15 ,Moisture 4.5 ,Shortage in KG= 30  ,Oil% 39.99</v>
      </c>
      <c r="BP843" s="71">
        <f t="shared" si="554"/>
        <v>7631.7341640706127</v>
      </c>
      <c r="BQ843" s="41"/>
      <c r="BR843" s="41"/>
      <c r="BS843" s="41"/>
      <c r="BT843" s="41"/>
      <c r="BU843" s="41"/>
      <c r="BV843" s="41"/>
      <c r="BW843" s="85"/>
      <c r="BX843" s="27">
        <v>39.96</v>
      </c>
      <c r="BY843" s="27">
        <v>39.75</v>
      </c>
    </row>
    <row r="844" spans="1:77" ht="14.1" hidden="1" customHeight="1" x14ac:dyDescent="0.3">
      <c r="A844" s="128" t="s">
        <v>1539</v>
      </c>
      <c r="B844" s="146">
        <v>46174</v>
      </c>
      <c r="C844" s="138">
        <v>817</v>
      </c>
      <c r="D844" s="135" t="s">
        <v>1774</v>
      </c>
      <c r="E844" s="129">
        <v>46179</v>
      </c>
      <c r="F844" s="128" t="s">
        <v>1144</v>
      </c>
      <c r="G844" s="128" t="s">
        <v>1145</v>
      </c>
      <c r="H844" s="128" t="s">
        <v>100</v>
      </c>
      <c r="I844" s="136"/>
      <c r="J844" s="347" t="s">
        <v>1146</v>
      </c>
      <c r="K844" s="136"/>
      <c r="L844" s="146">
        <v>46174</v>
      </c>
      <c r="M844" s="136"/>
      <c r="N844" s="281" t="s">
        <v>1816</v>
      </c>
      <c r="O844" s="130">
        <v>46179</v>
      </c>
      <c r="P844" s="138">
        <v>0</v>
      </c>
      <c r="Q844" s="138">
        <v>150</v>
      </c>
      <c r="R844" s="138">
        <v>13</v>
      </c>
      <c r="S844" s="138">
        <v>163</v>
      </c>
      <c r="T844" s="138">
        <v>163</v>
      </c>
      <c r="U844" s="136"/>
      <c r="V844" s="136"/>
      <c r="W844" s="148">
        <v>96.9</v>
      </c>
      <c r="X844" s="148">
        <v>96.9</v>
      </c>
      <c r="Y844" s="148">
        <v>775200</v>
      </c>
      <c r="Z844" s="276">
        <v>39.61</v>
      </c>
      <c r="AA844" s="147">
        <v>19380</v>
      </c>
      <c r="AB844" s="147">
        <v>19380</v>
      </c>
      <c r="AC844" s="147">
        <v>813960</v>
      </c>
      <c r="AD844" s="315">
        <f t="shared" si="539"/>
        <v>813146.04</v>
      </c>
      <c r="AE844" s="276">
        <v>39.61</v>
      </c>
      <c r="AF844" s="147">
        <v>42</v>
      </c>
      <c r="AG844" s="276">
        <v>39.61</v>
      </c>
      <c r="AH844" s="287">
        <v>4.0000000000000001E-3</v>
      </c>
      <c r="AI844" s="287">
        <v>4.1599999999999998E-2</v>
      </c>
      <c r="AJ844" s="287">
        <v>4.8000000000000001E-2</v>
      </c>
      <c r="AK844" s="318">
        <v>44112.571428571435</v>
      </c>
      <c r="AL844" s="193">
        <v>0</v>
      </c>
      <c r="AM844" s="193"/>
      <c r="AN844" s="319">
        <v>0</v>
      </c>
      <c r="AO844" s="320">
        <f t="shared" si="555"/>
        <v>0</v>
      </c>
      <c r="AP844" s="193"/>
      <c r="AQ844" s="318">
        <v>0</v>
      </c>
      <c r="AR844" s="318">
        <f t="shared" si="541"/>
        <v>44112.571428571435</v>
      </c>
      <c r="AS844" s="318">
        <f t="shared" si="542"/>
        <v>46318</v>
      </c>
      <c r="AT844" s="321">
        <v>0</v>
      </c>
      <c r="AU844" s="136"/>
      <c r="AV844" s="136"/>
      <c r="AW844" s="318">
        <f t="shared" si="543"/>
        <v>9690</v>
      </c>
      <c r="AX844" s="193"/>
      <c r="AY844" s="318">
        <f t="shared" si="544"/>
        <v>9690</v>
      </c>
      <c r="AZ844" s="318">
        <f t="shared" si="545"/>
        <v>9690</v>
      </c>
      <c r="BA844" s="318">
        <f t="shared" si="546"/>
        <v>0</v>
      </c>
      <c r="BB844" s="318">
        <f t="shared" si="547"/>
        <v>19.38</v>
      </c>
      <c r="BC844" s="318">
        <v>0</v>
      </c>
      <c r="BD844" s="373"/>
      <c r="BE844" s="147">
        <v>96.9</v>
      </c>
      <c r="BF844" s="374">
        <f t="shared" si="548"/>
        <v>0.14535000000000001</v>
      </c>
      <c r="BG844" s="197">
        <f t="shared" si="540"/>
        <v>96.754650000000012</v>
      </c>
      <c r="BH844" s="375">
        <f t="shared" si="549"/>
        <v>96.9</v>
      </c>
      <c r="BI844" s="322">
        <f t="shared" si="550"/>
        <v>0</v>
      </c>
      <c r="BJ844" s="322">
        <v>0</v>
      </c>
      <c r="BK844" s="318">
        <f t="shared" si="551"/>
        <v>0</v>
      </c>
      <c r="BL844" s="67"/>
      <c r="BM844" s="68" t="str">
        <f t="shared" si="552"/>
        <v>Unloading no. 817 Bill No 2026-27/198 ,Deduction For Oil Deduction= 44112.5714285714 ,Bardana= 0 ,F.M=  Brokerage/Rate Difference 0 ,Shortage = 0 ,Greenish=  ,Moisture= 0</v>
      </c>
      <c r="BN844" s="69"/>
      <c r="BO844" s="70" t="str">
        <f t="shared" si="553"/>
        <v xml:space="preserve"> Party Condition 42  ,F.M% 0.4 ,Greenish 4.16 ,Moisture 4.8 ,Shortage in KG= 0  ,Oil% 39.61</v>
      </c>
      <c r="BP844" s="71">
        <f t="shared" si="554"/>
        <v>7544.7619047619037</v>
      </c>
      <c r="BQ844" s="41"/>
      <c r="BR844" s="41"/>
      <c r="BS844" s="41"/>
      <c r="BT844" s="41"/>
      <c r="BU844" s="41"/>
      <c r="BV844" s="41"/>
      <c r="BW844" s="85"/>
      <c r="BX844" s="27">
        <v>38.840000000000003</v>
      </c>
      <c r="BY844" s="27">
        <v>38.71</v>
      </c>
    </row>
    <row r="845" spans="1:77" ht="14.1" hidden="1" customHeight="1" x14ac:dyDescent="0.3">
      <c r="A845" s="128" t="s">
        <v>1539</v>
      </c>
      <c r="B845" s="146">
        <v>46174</v>
      </c>
      <c r="C845" s="138">
        <v>818</v>
      </c>
      <c r="D845" s="135" t="s">
        <v>1775</v>
      </c>
      <c r="E845" s="129">
        <v>46179</v>
      </c>
      <c r="F845" s="128" t="s">
        <v>1144</v>
      </c>
      <c r="G845" s="128" t="s">
        <v>1145</v>
      </c>
      <c r="H845" s="128" t="s">
        <v>100</v>
      </c>
      <c r="I845" s="136"/>
      <c r="J845" s="347" t="s">
        <v>1146</v>
      </c>
      <c r="K845" s="136"/>
      <c r="L845" s="146">
        <v>46174</v>
      </c>
      <c r="M845" s="136"/>
      <c r="N845" s="281" t="s">
        <v>1817</v>
      </c>
      <c r="O845" s="130">
        <v>46179</v>
      </c>
      <c r="P845" s="138">
        <v>0</v>
      </c>
      <c r="Q845" s="138">
        <v>150</v>
      </c>
      <c r="R845" s="138">
        <v>13</v>
      </c>
      <c r="S845" s="138">
        <v>163</v>
      </c>
      <c r="T845" s="138">
        <v>163</v>
      </c>
      <c r="U845" s="136"/>
      <c r="V845" s="136"/>
      <c r="W845" s="148">
        <v>97.5</v>
      </c>
      <c r="X845" s="148">
        <v>97.3</v>
      </c>
      <c r="Y845" s="148">
        <v>780000</v>
      </c>
      <c r="Z845" s="276">
        <v>39.81</v>
      </c>
      <c r="AA845" s="147">
        <v>19500</v>
      </c>
      <c r="AB845" s="147">
        <v>19500</v>
      </c>
      <c r="AC845" s="147">
        <v>819000</v>
      </c>
      <c r="AD845" s="315">
        <f t="shared" si="539"/>
        <v>818181</v>
      </c>
      <c r="AE845" s="276">
        <v>39.81</v>
      </c>
      <c r="AF845" s="147">
        <v>42</v>
      </c>
      <c r="AG845" s="276">
        <v>39.81</v>
      </c>
      <c r="AH845" s="287">
        <v>3.8999999999999998E-3</v>
      </c>
      <c r="AI845" s="287">
        <v>3.78E-2</v>
      </c>
      <c r="AJ845" s="287">
        <v>0.05</v>
      </c>
      <c r="AK845" s="318">
        <v>40671.428571428529</v>
      </c>
      <c r="AL845" s="193">
        <v>0</v>
      </c>
      <c r="AM845" s="193"/>
      <c r="AN845" s="319">
        <v>0</v>
      </c>
      <c r="AO845" s="320">
        <v>0</v>
      </c>
      <c r="AP845" s="193"/>
      <c r="AQ845" s="318">
        <v>0</v>
      </c>
      <c r="AR845" s="318">
        <f t="shared" si="541"/>
        <v>40671.428571428529</v>
      </c>
      <c r="AS845" s="318">
        <f t="shared" si="542"/>
        <v>42705</v>
      </c>
      <c r="AT845" s="321">
        <v>20</v>
      </c>
      <c r="AU845" s="136"/>
      <c r="AV845" s="136"/>
      <c r="AW845" s="318">
        <f t="shared" si="543"/>
        <v>9750</v>
      </c>
      <c r="AX845" s="193"/>
      <c r="AY845" s="318">
        <f t="shared" si="544"/>
        <v>9750</v>
      </c>
      <c r="AZ845" s="318">
        <f t="shared" si="545"/>
        <v>9730</v>
      </c>
      <c r="BA845" s="318">
        <f t="shared" si="546"/>
        <v>20</v>
      </c>
      <c r="BB845" s="318">
        <f t="shared" si="547"/>
        <v>19.5</v>
      </c>
      <c r="BC845" s="318">
        <v>0</v>
      </c>
      <c r="BD845" s="373"/>
      <c r="BE845" s="147">
        <v>97.5</v>
      </c>
      <c r="BF845" s="374">
        <f t="shared" si="548"/>
        <v>0.14624999999999999</v>
      </c>
      <c r="BG845" s="197">
        <f t="shared" si="540"/>
        <v>97.353750000000005</v>
      </c>
      <c r="BH845" s="375">
        <f t="shared" si="549"/>
        <v>97.3</v>
      </c>
      <c r="BI845" s="322">
        <f t="shared" si="550"/>
        <v>20.000000000000284</v>
      </c>
      <c r="BJ845" s="322">
        <v>0</v>
      </c>
      <c r="BK845" s="318">
        <f t="shared" si="551"/>
        <v>20.000000000000284</v>
      </c>
      <c r="BL845" s="67"/>
      <c r="BM845" s="68" t="str">
        <f t="shared" si="552"/>
        <v>Unloading no. 818 Bill No 2026-27/199 ,Deduction For Oil Deduction= 40671.4285714285 ,Bardana= 0 ,F.M=  Brokerage/Rate Difference 0 ,Shortage = 0 ,Greenish=  ,Moisture= 0</v>
      </c>
      <c r="BN845" s="69"/>
      <c r="BO845" s="70" t="str">
        <f t="shared" si="553"/>
        <v xml:space="preserve"> Party Condition 42  ,F.M% 0.39 ,Greenish 3.78 ,Moisture 5 ,Shortage in KG= 20  ,Oil% 39.81</v>
      </c>
      <c r="BP845" s="71">
        <f t="shared" si="554"/>
        <v>7598.4436940243731</v>
      </c>
      <c r="BQ845" s="41"/>
      <c r="BR845" s="41"/>
      <c r="BS845" s="41"/>
      <c r="BT845" s="41"/>
      <c r="BU845" s="41"/>
      <c r="BV845" s="41"/>
      <c r="BW845" s="85"/>
      <c r="BX845" s="27">
        <v>39.54</v>
      </c>
      <c r="BY845" s="27">
        <v>39.33</v>
      </c>
    </row>
    <row r="846" spans="1:77" ht="14.1" hidden="1" customHeight="1" x14ac:dyDescent="0.3">
      <c r="A846" s="128" t="s">
        <v>1539</v>
      </c>
      <c r="B846" s="146">
        <v>46174</v>
      </c>
      <c r="C846" s="138">
        <v>819</v>
      </c>
      <c r="D846" s="135" t="s">
        <v>1776</v>
      </c>
      <c r="E846" s="129">
        <v>46179</v>
      </c>
      <c r="F846" s="128" t="s">
        <v>1144</v>
      </c>
      <c r="G846" s="128" t="s">
        <v>1145</v>
      </c>
      <c r="H846" s="128" t="s">
        <v>100</v>
      </c>
      <c r="I846" s="136"/>
      <c r="J846" s="347" t="s">
        <v>1146</v>
      </c>
      <c r="K846" s="136"/>
      <c r="L846" s="146">
        <v>46174</v>
      </c>
      <c r="M846" s="136"/>
      <c r="N846" s="281" t="s">
        <v>1818</v>
      </c>
      <c r="O846" s="130">
        <v>46179</v>
      </c>
      <c r="P846" s="138">
        <v>0</v>
      </c>
      <c r="Q846" s="138">
        <v>150</v>
      </c>
      <c r="R846" s="138">
        <v>13</v>
      </c>
      <c r="S846" s="138">
        <v>163</v>
      </c>
      <c r="T846" s="138">
        <v>163</v>
      </c>
      <c r="U846" s="136"/>
      <c r="V846" s="136"/>
      <c r="W846" s="148">
        <v>95</v>
      </c>
      <c r="X846" s="148">
        <v>94.9</v>
      </c>
      <c r="Y846" s="148">
        <v>760000</v>
      </c>
      <c r="Z846" s="276">
        <v>39.590000000000003</v>
      </c>
      <c r="AA846" s="147">
        <v>19000</v>
      </c>
      <c r="AB846" s="147">
        <v>19000</v>
      </c>
      <c r="AC846" s="147">
        <v>798000</v>
      </c>
      <c r="AD846" s="315">
        <f t="shared" si="539"/>
        <v>797202</v>
      </c>
      <c r="AE846" s="276">
        <v>39.590000000000003</v>
      </c>
      <c r="AF846" s="147">
        <v>42</v>
      </c>
      <c r="AG846" s="276">
        <v>39.590000000000003</v>
      </c>
      <c r="AH846" s="287">
        <v>4.0000000000000001E-3</v>
      </c>
      <c r="AI846" s="287">
        <v>3.9600000000000003E-2</v>
      </c>
      <c r="AJ846" s="287">
        <v>4.9000000000000002E-2</v>
      </c>
      <c r="AK846" s="318">
        <v>43609.523809523744</v>
      </c>
      <c r="AL846" s="193">
        <v>0</v>
      </c>
      <c r="AM846" s="193"/>
      <c r="AN846" s="319">
        <v>0</v>
      </c>
      <c r="AO846" s="320">
        <v>0</v>
      </c>
      <c r="AP846" s="193"/>
      <c r="AQ846" s="318">
        <v>0</v>
      </c>
      <c r="AR846" s="318">
        <f t="shared" si="541"/>
        <v>43609.523809523744</v>
      </c>
      <c r="AS846" s="318">
        <f t="shared" si="542"/>
        <v>45790</v>
      </c>
      <c r="AT846" s="321">
        <v>10</v>
      </c>
      <c r="AU846" s="136"/>
      <c r="AV846" s="136"/>
      <c r="AW846" s="318">
        <f t="shared" si="543"/>
        <v>9500</v>
      </c>
      <c r="AX846" s="193"/>
      <c r="AY846" s="318">
        <f t="shared" si="544"/>
        <v>9500</v>
      </c>
      <c r="AZ846" s="318">
        <f t="shared" si="545"/>
        <v>9490</v>
      </c>
      <c r="BA846" s="318">
        <f t="shared" si="546"/>
        <v>10</v>
      </c>
      <c r="BB846" s="318">
        <f t="shared" si="547"/>
        <v>19</v>
      </c>
      <c r="BC846" s="318">
        <v>0</v>
      </c>
      <c r="BD846" s="373"/>
      <c r="BE846" s="147">
        <v>95</v>
      </c>
      <c r="BF846" s="374">
        <f t="shared" si="548"/>
        <v>0.14249999999999999</v>
      </c>
      <c r="BG846" s="197">
        <f t="shared" si="540"/>
        <v>94.857500000000002</v>
      </c>
      <c r="BH846" s="375">
        <f t="shared" si="549"/>
        <v>94.9</v>
      </c>
      <c r="BI846" s="322">
        <f t="shared" si="550"/>
        <v>9.9999999999994316</v>
      </c>
      <c r="BJ846" s="322">
        <v>0</v>
      </c>
      <c r="BK846" s="318">
        <f t="shared" si="551"/>
        <v>9.9999999999994316</v>
      </c>
      <c r="BL846" s="67"/>
      <c r="BM846" s="68" t="str">
        <f t="shared" si="552"/>
        <v>Unloading no. 819 Bill No 2026-27/201 ,Deduction For Oil Deduction= 43609.5238095237 ,Bardana= 0 ,F.M=  Brokerage/Rate Difference 0 ,Shortage = 0 ,Greenish=  ,Moisture= 0</v>
      </c>
      <c r="BN846" s="69"/>
      <c r="BO846" s="70" t="str">
        <f t="shared" si="553"/>
        <v xml:space="preserve"> Party Condition 42  ,F.M% 0.4 ,Greenish 3.96 ,Moisture 4.9 ,Shortage in KG= 10  ,Oil% 39.59</v>
      </c>
      <c r="BP846" s="71">
        <f t="shared" si="554"/>
        <v>7548.8985899944801</v>
      </c>
      <c r="BQ846" s="41"/>
      <c r="BR846" s="41"/>
      <c r="BS846" s="41"/>
      <c r="BT846" s="41"/>
      <c r="BU846" s="41"/>
      <c r="BV846" s="41"/>
      <c r="BW846" s="85"/>
      <c r="BX846" s="27">
        <v>39</v>
      </c>
      <c r="BY846" s="27">
        <v>38.9</v>
      </c>
    </row>
    <row r="847" spans="1:77" ht="14.1" hidden="1" customHeight="1" x14ac:dyDescent="0.3">
      <c r="A847" s="128" t="s">
        <v>1539</v>
      </c>
      <c r="B847" s="146">
        <v>46174</v>
      </c>
      <c r="C847" s="138">
        <v>820</v>
      </c>
      <c r="D847" s="135" t="s">
        <v>1777</v>
      </c>
      <c r="E847" s="129">
        <v>46179</v>
      </c>
      <c r="F847" s="128" t="s">
        <v>1144</v>
      </c>
      <c r="G847" s="128" t="s">
        <v>1145</v>
      </c>
      <c r="H847" s="128" t="s">
        <v>100</v>
      </c>
      <c r="I847" s="136"/>
      <c r="J847" s="347" t="s">
        <v>1146</v>
      </c>
      <c r="K847" s="136"/>
      <c r="L847" s="146">
        <v>46174</v>
      </c>
      <c r="M847" s="136"/>
      <c r="N847" s="281" t="s">
        <v>1819</v>
      </c>
      <c r="O847" s="130">
        <v>46179</v>
      </c>
      <c r="P847" s="138">
        <v>0</v>
      </c>
      <c r="Q847" s="138">
        <v>23</v>
      </c>
      <c r="R847" s="138">
        <v>140</v>
      </c>
      <c r="S847" s="138">
        <v>163</v>
      </c>
      <c r="T847" s="138">
        <v>163</v>
      </c>
      <c r="U847" s="136"/>
      <c r="V847" s="136"/>
      <c r="W847" s="148">
        <v>97.4</v>
      </c>
      <c r="X847" s="148">
        <v>97.2</v>
      </c>
      <c r="Y847" s="148">
        <v>779200</v>
      </c>
      <c r="Z847" s="276">
        <v>39.31</v>
      </c>
      <c r="AA847" s="147">
        <v>19480</v>
      </c>
      <c r="AB847" s="147">
        <v>19480</v>
      </c>
      <c r="AC847" s="147">
        <v>818160</v>
      </c>
      <c r="AD847" s="315">
        <f t="shared" si="539"/>
        <v>817341.84</v>
      </c>
      <c r="AE847" s="276">
        <v>39.31</v>
      </c>
      <c r="AF847" s="147">
        <v>42</v>
      </c>
      <c r="AG847" s="276">
        <v>39.31</v>
      </c>
      <c r="AH847" s="287">
        <v>3.8E-3</v>
      </c>
      <c r="AI847" s="287">
        <v>3.9E-2</v>
      </c>
      <c r="AJ847" s="287">
        <v>4.3999999999999997E-2</v>
      </c>
      <c r="AK847" s="318">
        <v>49905.90476190472</v>
      </c>
      <c r="AL847" s="193">
        <v>0</v>
      </c>
      <c r="AM847" s="193"/>
      <c r="AN847" s="319">
        <v>0</v>
      </c>
      <c r="AO847" s="320">
        <v>0</v>
      </c>
      <c r="AP847" s="193"/>
      <c r="AQ847" s="318">
        <v>0</v>
      </c>
      <c r="AR847" s="318">
        <f t="shared" si="541"/>
        <v>49905.90476190472</v>
      </c>
      <c r="AS847" s="318">
        <f t="shared" si="542"/>
        <v>52401</v>
      </c>
      <c r="AT847" s="321">
        <v>20</v>
      </c>
      <c r="AU847" s="136"/>
      <c r="AV847" s="136"/>
      <c r="AW847" s="318">
        <f t="shared" si="543"/>
        <v>9740</v>
      </c>
      <c r="AX847" s="193"/>
      <c r="AY847" s="318">
        <f t="shared" si="544"/>
        <v>9740</v>
      </c>
      <c r="AZ847" s="318">
        <f t="shared" si="545"/>
        <v>9720</v>
      </c>
      <c r="BA847" s="318">
        <f t="shared" si="546"/>
        <v>20</v>
      </c>
      <c r="BB847" s="318">
        <f t="shared" si="547"/>
        <v>19.48</v>
      </c>
      <c r="BC847" s="318">
        <v>0</v>
      </c>
      <c r="BD847" s="373"/>
      <c r="BE847" s="147">
        <v>97.4</v>
      </c>
      <c r="BF847" s="374">
        <f t="shared" si="548"/>
        <v>0.14610000000000001</v>
      </c>
      <c r="BG847" s="197">
        <f t="shared" si="540"/>
        <v>97.253900000000002</v>
      </c>
      <c r="BH847" s="375">
        <f t="shared" si="549"/>
        <v>97.2</v>
      </c>
      <c r="BI847" s="322">
        <f t="shared" si="550"/>
        <v>20.000000000000284</v>
      </c>
      <c r="BJ847" s="322">
        <v>0</v>
      </c>
      <c r="BK847" s="318">
        <f t="shared" si="551"/>
        <v>20.000000000000284</v>
      </c>
      <c r="BL847" s="67"/>
      <c r="BM847" s="68" t="str">
        <f t="shared" si="552"/>
        <v>Unloading no. 820 Bill No 2026-27/200 ,Deduction For Oil Deduction= 49905.9047619047 ,Bardana= 0 ,F.M=  Brokerage/Rate Difference 0 ,Shortage = 0 ,Greenish=  ,Moisture= 0</v>
      </c>
      <c r="BN847" s="69"/>
      <c r="BO847" s="70" t="str">
        <f t="shared" si="553"/>
        <v xml:space="preserve"> Party Condition 42  ,F.M% 0.38 ,Greenish 3.9 ,Moisture 4.4 ,Shortage in KG= 20  ,Oil% 39.31</v>
      </c>
      <c r="BP847" s="71">
        <f t="shared" si="554"/>
        <v>7503.0256711738193</v>
      </c>
      <c r="BQ847" s="41"/>
      <c r="BR847" s="41"/>
      <c r="BS847" s="41"/>
      <c r="BT847" s="41"/>
      <c r="BU847" s="41"/>
      <c r="BV847" s="41"/>
      <c r="BW847" s="85"/>
      <c r="BX847" s="27">
        <v>38.840000000000003</v>
      </c>
      <c r="BY847" s="27">
        <v>38.880000000000003</v>
      </c>
    </row>
    <row r="848" spans="1:77" ht="14.1" hidden="1" customHeight="1" x14ac:dyDescent="0.3">
      <c r="A848" s="128" t="s">
        <v>1539</v>
      </c>
      <c r="B848" s="146">
        <v>46174</v>
      </c>
      <c r="C848" s="138">
        <v>821</v>
      </c>
      <c r="D848" s="135" t="s">
        <v>1778</v>
      </c>
      <c r="E848" s="129">
        <v>46179</v>
      </c>
      <c r="F848" s="128" t="s">
        <v>1144</v>
      </c>
      <c r="G848" s="128" t="s">
        <v>1145</v>
      </c>
      <c r="H848" s="128" t="s">
        <v>100</v>
      </c>
      <c r="I848" s="136"/>
      <c r="J848" s="347" t="s">
        <v>1146</v>
      </c>
      <c r="K848" s="136"/>
      <c r="L848" s="146">
        <v>46174</v>
      </c>
      <c r="M848" s="136"/>
      <c r="N848" s="281" t="s">
        <v>1820</v>
      </c>
      <c r="O848" s="130">
        <v>46179</v>
      </c>
      <c r="P848" s="138">
        <v>0</v>
      </c>
      <c r="Q848" s="138">
        <v>40</v>
      </c>
      <c r="R848" s="138">
        <v>139</v>
      </c>
      <c r="S848" s="138">
        <v>179</v>
      </c>
      <c r="T848" s="138">
        <v>179</v>
      </c>
      <c r="U848" s="136"/>
      <c r="V848" s="136"/>
      <c r="W848" s="148">
        <v>104.3</v>
      </c>
      <c r="X848" s="148">
        <v>104.2</v>
      </c>
      <c r="Y848" s="148">
        <v>834400</v>
      </c>
      <c r="Z848" s="128"/>
      <c r="AA848" s="147">
        <v>20860</v>
      </c>
      <c r="AB848" s="147">
        <v>20860</v>
      </c>
      <c r="AC848" s="147">
        <v>876120</v>
      </c>
      <c r="AD848" s="315">
        <f t="shared" si="539"/>
        <v>875243.88</v>
      </c>
      <c r="AE848" s="147">
        <v>39.549999999999997</v>
      </c>
      <c r="AF848" s="147">
        <v>42</v>
      </c>
      <c r="AG848" s="147">
        <v>39.33</v>
      </c>
      <c r="AH848" s="287">
        <v>3.5999999999999999E-3</v>
      </c>
      <c r="AI848" s="287">
        <v>3.85E-2</v>
      </c>
      <c r="AJ848" s="287">
        <v>5.0999999999999997E-2</v>
      </c>
      <c r="AK848" s="318">
        <f t="shared" si="556"/>
        <v>53044.000000000036</v>
      </c>
      <c r="AL848" s="193">
        <v>0</v>
      </c>
      <c r="AM848" s="193"/>
      <c r="AN848" s="319">
        <v>0</v>
      </c>
      <c r="AO848" s="320">
        <v>0</v>
      </c>
      <c r="AP848" s="193"/>
      <c r="AQ848" s="318">
        <v>0</v>
      </c>
      <c r="AR848" s="318">
        <f t="shared" si="541"/>
        <v>53044.000000000036</v>
      </c>
      <c r="AS848" s="318">
        <f t="shared" si="542"/>
        <v>55696</v>
      </c>
      <c r="AT848" s="321">
        <v>10</v>
      </c>
      <c r="AU848" s="136"/>
      <c r="AV848" s="136"/>
      <c r="AW848" s="318">
        <f t="shared" si="543"/>
        <v>10430</v>
      </c>
      <c r="AX848" s="193"/>
      <c r="AY848" s="318">
        <f t="shared" si="544"/>
        <v>10430</v>
      </c>
      <c r="AZ848" s="318">
        <f t="shared" si="545"/>
        <v>10420</v>
      </c>
      <c r="BA848" s="318">
        <f t="shared" si="546"/>
        <v>10</v>
      </c>
      <c r="BB848" s="318">
        <f t="shared" si="547"/>
        <v>20.86</v>
      </c>
      <c r="BC848" s="318">
        <v>0</v>
      </c>
      <c r="BD848" s="373"/>
      <c r="BE848" s="147">
        <v>104.3</v>
      </c>
      <c r="BF848" s="374">
        <f t="shared" si="548"/>
        <v>0.15645000000000001</v>
      </c>
      <c r="BG848" s="197">
        <f t="shared" si="540"/>
        <v>104.14354999999999</v>
      </c>
      <c r="BH848" s="375">
        <f t="shared" si="549"/>
        <v>104.2</v>
      </c>
      <c r="BI848" s="322">
        <f t="shared" si="550"/>
        <v>9.9999999999994316</v>
      </c>
      <c r="BJ848" s="322">
        <v>0</v>
      </c>
      <c r="BK848" s="318">
        <f t="shared" si="551"/>
        <v>9.9999999999994316</v>
      </c>
      <c r="BL848" s="67"/>
      <c r="BM848" s="68" t="str">
        <f t="shared" si="552"/>
        <v>Unloading no. 821 Bill No 2026-27/202 ,Deduction For Oil Deduction= 53044 ,Bardana= 0 ,F.M=  Brokerage/Rate Difference 0 ,Shortage = 0 ,Greenish=  ,Moisture= 0</v>
      </c>
      <c r="BN848" s="69"/>
      <c r="BO848" s="70" t="str">
        <f t="shared" si="553"/>
        <v xml:space="preserve"> Party Condition 42  ,F.M% 0.36 ,Greenish 3.85 ,Moisture 5.1 ,Shortage in KG= 10  ,Oil% 39.33</v>
      </c>
      <c r="BP848" s="71">
        <f t="shared" si="554"/>
        <v>7498.618042226487</v>
      </c>
      <c r="BQ848" s="41"/>
      <c r="BR848" s="41"/>
      <c r="BS848" s="41"/>
      <c r="BT848" s="41"/>
      <c r="BU848" s="41"/>
      <c r="BV848" s="41"/>
      <c r="BW848" s="85"/>
      <c r="BX848" s="27">
        <v>39.549999999999997</v>
      </c>
      <c r="BY848" s="27">
        <v>39.33</v>
      </c>
    </row>
    <row r="849" spans="1:77" ht="14.1" hidden="1" customHeight="1" x14ac:dyDescent="0.3">
      <c r="A849" s="128" t="s">
        <v>1744</v>
      </c>
      <c r="B849" s="146">
        <v>46178</v>
      </c>
      <c r="C849" s="138">
        <v>822</v>
      </c>
      <c r="D849" s="135" t="s">
        <v>1779</v>
      </c>
      <c r="E849" s="129">
        <v>46179</v>
      </c>
      <c r="F849" s="128" t="s">
        <v>1803</v>
      </c>
      <c r="G849" s="128" t="s">
        <v>1804</v>
      </c>
      <c r="H849" s="128" t="s">
        <v>100</v>
      </c>
      <c r="I849" s="136"/>
      <c r="J849" s="347" t="s">
        <v>1455</v>
      </c>
      <c r="K849" s="136"/>
      <c r="L849" s="146">
        <v>46178</v>
      </c>
      <c r="M849" s="136"/>
      <c r="N849" s="281">
        <v>23</v>
      </c>
      <c r="O849" s="130">
        <v>46179</v>
      </c>
      <c r="P849" s="138">
        <v>0</v>
      </c>
      <c r="Q849" s="138">
        <v>130</v>
      </c>
      <c r="R849" s="138">
        <v>50</v>
      </c>
      <c r="S849" s="138">
        <v>180</v>
      </c>
      <c r="T849" s="138">
        <v>180</v>
      </c>
      <c r="U849" s="136"/>
      <c r="V849" s="136"/>
      <c r="W849" s="148">
        <v>90.5</v>
      </c>
      <c r="X849" s="148">
        <v>90.4</v>
      </c>
      <c r="Y849" s="148">
        <v>721737</v>
      </c>
      <c r="Z849" s="128"/>
      <c r="AA849" s="147">
        <v>18043.43</v>
      </c>
      <c r="AB849" s="147">
        <v>18043.43</v>
      </c>
      <c r="AC849" s="147">
        <v>757823.85</v>
      </c>
      <c r="AD849" s="315">
        <f t="shared" si="539"/>
        <v>757066.02614999993</v>
      </c>
      <c r="AE849" s="147">
        <v>40</v>
      </c>
      <c r="AF849" s="147">
        <v>42</v>
      </c>
      <c r="AG849" s="147">
        <v>39.799999999999997</v>
      </c>
      <c r="AH849" s="287">
        <v>3.5000000000000001E-3</v>
      </c>
      <c r="AI849" s="287">
        <v>0.04</v>
      </c>
      <c r="AJ849" s="287">
        <v>4.2999999999999997E-2</v>
      </c>
      <c r="AK849" s="318">
        <f t="shared" si="556"/>
        <v>37805.271428571483</v>
      </c>
      <c r="AL849" s="193">
        <f>130*10+50*15</f>
        <v>2050</v>
      </c>
      <c r="AM849" s="193">
        <f t="shared" ref="AM849:AM854" si="558">AH849*Y849</f>
        <v>2526.0794999999998</v>
      </c>
      <c r="AN849" s="319">
        <v>0</v>
      </c>
      <c r="AO849" s="320">
        <f t="shared" si="555"/>
        <v>797.49944751381213</v>
      </c>
      <c r="AP849" s="193"/>
      <c r="AQ849" s="318">
        <v>0</v>
      </c>
      <c r="AR849" s="318">
        <f t="shared" si="541"/>
        <v>43178.850376085298</v>
      </c>
      <c r="AS849" s="318">
        <f t="shared" si="542"/>
        <v>45338</v>
      </c>
      <c r="AT849" s="321">
        <v>10</v>
      </c>
      <c r="AU849" s="136"/>
      <c r="AV849" s="136"/>
      <c r="AW849" s="318">
        <f t="shared" si="543"/>
        <v>9050</v>
      </c>
      <c r="AX849" s="193"/>
      <c r="AY849" s="318">
        <f t="shared" si="544"/>
        <v>9050</v>
      </c>
      <c r="AZ849" s="318">
        <f t="shared" si="545"/>
        <v>9040</v>
      </c>
      <c r="BA849" s="318">
        <f t="shared" si="546"/>
        <v>10</v>
      </c>
      <c r="BB849" s="318">
        <f t="shared" si="547"/>
        <v>18.100000000000001</v>
      </c>
      <c r="BC849" s="318">
        <v>0</v>
      </c>
      <c r="BD849" s="373"/>
      <c r="BE849" s="147">
        <v>90.5</v>
      </c>
      <c r="BF849" s="374">
        <f t="shared" si="548"/>
        <v>0.13574999999999998</v>
      </c>
      <c r="BG849" s="197">
        <f t="shared" si="540"/>
        <v>90.364249999999998</v>
      </c>
      <c r="BH849" s="375">
        <f t="shared" si="549"/>
        <v>90.4</v>
      </c>
      <c r="BI849" s="322">
        <f t="shared" si="550"/>
        <v>9.9999999999994316</v>
      </c>
      <c r="BJ849" s="322">
        <v>0</v>
      </c>
      <c r="BK849" s="318">
        <f t="shared" si="551"/>
        <v>9.9999999999994316</v>
      </c>
      <c r="BL849" s="67"/>
      <c r="BM849" s="68" t="str">
        <f t="shared" si="552"/>
        <v>Unloading no. 822 Bill No 23 ,Deduction For Oil Deduction= 37805.2714285715 ,Bardana= 2050 ,F.M= 2526.0795 Brokerage/Rate Difference 0 ,Shortage = 797.499447513812 ,Greenish=  ,Moisture= 0</v>
      </c>
      <c r="BN849" s="69"/>
      <c r="BO849" s="70" t="str">
        <f t="shared" si="553"/>
        <v xml:space="preserve"> Party Condition 42  ,F.M% 0.35 ,Greenish 4 ,Moisture 4.3 ,Shortage in KG= 10  ,Oil% 39.8</v>
      </c>
      <c r="BP849" s="71">
        <f t="shared" si="554"/>
        <v>7506.174221503481</v>
      </c>
      <c r="BQ849" s="41"/>
      <c r="BR849" s="41"/>
      <c r="BS849" s="41"/>
      <c r="BT849" s="41"/>
      <c r="BU849" s="41"/>
      <c r="BV849" s="41"/>
      <c r="BW849" s="85"/>
      <c r="BX849" s="27">
        <v>40</v>
      </c>
      <c r="BY849" s="27">
        <v>39.799999999999997</v>
      </c>
    </row>
    <row r="850" spans="1:77" ht="14.1" hidden="1" customHeight="1" x14ac:dyDescent="0.3">
      <c r="A850" s="128" t="s">
        <v>1744</v>
      </c>
      <c r="B850" s="146">
        <v>46178</v>
      </c>
      <c r="C850" s="138">
        <v>823</v>
      </c>
      <c r="D850" s="135" t="s">
        <v>1780</v>
      </c>
      <c r="E850" s="129">
        <v>46179</v>
      </c>
      <c r="F850" s="128" t="s">
        <v>1803</v>
      </c>
      <c r="G850" s="128" t="s">
        <v>1804</v>
      </c>
      <c r="H850" s="128" t="s">
        <v>100</v>
      </c>
      <c r="I850" s="136"/>
      <c r="J850" s="347" t="s">
        <v>1455</v>
      </c>
      <c r="K850" s="136"/>
      <c r="L850" s="146">
        <v>46178</v>
      </c>
      <c r="M850" s="136"/>
      <c r="N850" s="281">
        <v>24</v>
      </c>
      <c r="O850" s="130">
        <v>46179</v>
      </c>
      <c r="P850" s="138">
        <v>0</v>
      </c>
      <c r="Q850" s="138">
        <v>150</v>
      </c>
      <c r="R850" s="138">
        <v>30</v>
      </c>
      <c r="S850" s="138">
        <v>180</v>
      </c>
      <c r="T850" s="138">
        <v>180</v>
      </c>
      <c r="U850" s="136"/>
      <c r="V850" s="136"/>
      <c r="W850" s="148">
        <v>905</v>
      </c>
      <c r="X850" s="148">
        <v>90.5</v>
      </c>
      <c r="Y850" s="148">
        <v>721737</v>
      </c>
      <c r="Z850" s="128"/>
      <c r="AA850" s="147">
        <v>18043.43</v>
      </c>
      <c r="AB850" s="147">
        <v>18043.43</v>
      </c>
      <c r="AC850" s="147">
        <v>757823.85</v>
      </c>
      <c r="AD850" s="315">
        <f t="shared" si="539"/>
        <v>757066.02614999993</v>
      </c>
      <c r="AE850" s="147">
        <v>40.020000000000003</v>
      </c>
      <c r="AF850" s="147">
        <v>42</v>
      </c>
      <c r="AG850" s="147">
        <v>39.86</v>
      </c>
      <c r="AH850" s="287">
        <v>3.5999999999999999E-3</v>
      </c>
      <c r="AI850" s="287">
        <v>4.2799999999999998E-2</v>
      </c>
      <c r="AJ850" s="287">
        <v>4.4999999999999998E-2</v>
      </c>
      <c r="AK850" s="318">
        <f t="shared" si="556"/>
        <v>36774.218571428581</v>
      </c>
      <c r="AL850" s="193">
        <f>150*10+30*15</f>
        <v>1950</v>
      </c>
      <c r="AM850" s="193">
        <f t="shared" si="558"/>
        <v>2598.2532000000001</v>
      </c>
      <c r="AN850" s="319">
        <v>0</v>
      </c>
      <c r="AO850" s="320">
        <f t="shared" si="555"/>
        <v>0</v>
      </c>
      <c r="AP850" s="193"/>
      <c r="AQ850" s="318">
        <v>0</v>
      </c>
      <c r="AR850" s="318">
        <f t="shared" si="541"/>
        <v>41322.47177142858</v>
      </c>
      <c r="AS850" s="318">
        <f t="shared" si="542"/>
        <v>43389</v>
      </c>
      <c r="AT850" s="321">
        <v>0</v>
      </c>
      <c r="AU850" s="136"/>
      <c r="AV850" s="136"/>
      <c r="AW850" s="318">
        <f t="shared" si="543"/>
        <v>90500</v>
      </c>
      <c r="AX850" s="193"/>
      <c r="AY850" s="318">
        <f t="shared" si="544"/>
        <v>90500</v>
      </c>
      <c r="AZ850" s="318">
        <f t="shared" si="545"/>
        <v>9050</v>
      </c>
      <c r="BA850" s="318">
        <f t="shared" si="546"/>
        <v>81450</v>
      </c>
      <c r="BB850" s="318">
        <f t="shared" si="547"/>
        <v>181</v>
      </c>
      <c r="BC850" s="318">
        <v>0</v>
      </c>
      <c r="BD850" s="373"/>
      <c r="BE850" s="147">
        <v>90.5</v>
      </c>
      <c r="BF850" s="374">
        <f t="shared" si="548"/>
        <v>0.13574999999999998</v>
      </c>
      <c r="BG850" s="197">
        <f t="shared" si="540"/>
        <v>90.364249999999998</v>
      </c>
      <c r="BH850" s="375">
        <f t="shared" si="549"/>
        <v>90.5</v>
      </c>
      <c r="BI850" s="322">
        <f t="shared" si="550"/>
        <v>0</v>
      </c>
      <c r="BJ850" s="322">
        <v>0</v>
      </c>
      <c r="BK850" s="318">
        <f t="shared" si="551"/>
        <v>0</v>
      </c>
      <c r="BL850" s="67"/>
      <c r="BM850" s="68" t="str">
        <f t="shared" si="552"/>
        <v>Unloading no. 823 Bill No 24 ,Deduction For Oil Deduction= 36774.2185714286 ,Bardana= 1950 ,F.M= 2598.2532 Brokerage/Rate Difference 0 ,Shortage = 0 ,Greenish=  ,Moisture= 0</v>
      </c>
      <c r="BN850" s="69"/>
      <c r="BO850" s="70" t="str">
        <f t="shared" si="553"/>
        <v xml:space="preserve"> Party Condition 42  ,F.M% 0.36 ,Greenish 4.28 ,Moisture 4.5 ,Shortage in KG= 0  ,Oil% 39.86</v>
      </c>
      <c r="BP850" s="71">
        <f t="shared" si="554"/>
        <v>7518.3925771112863</v>
      </c>
      <c r="BQ850" s="41"/>
      <c r="BR850" s="41"/>
      <c r="BS850" s="41"/>
      <c r="BT850" s="41"/>
      <c r="BU850" s="41"/>
      <c r="BV850" s="41"/>
      <c r="BW850" s="85"/>
      <c r="BX850" s="27">
        <v>40.020000000000003</v>
      </c>
      <c r="BY850" s="27">
        <v>39.86</v>
      </c>
    </row>
    <row r="851" spans="1:77" ht="14.1" hidden="1" customHeight="1" x14ac:dyDescent="0.3">
      <c r="A851" s="128" t="s">
        <v>1744</v>
      </c>
      <c r="B851" s="146">
        <v>46178</v>
      </c>
      <c r="C851" s="138">
        <v>824</v>
      </c>
      <c r="D851" s="135" t="s">
        <v>1781</v>
      </c>
      <c r="E851" s="129">
        <v>46179</v>
      </c>
      <c r="F851" s="128" t="s">
        <v>1803</v>
      </c>
      <c r="G851" s="128" t="s">
        <v>1804</v>
      </c>
      <c r="H851" s="128" t="s">
        <v>100</v>
      </c>
      <c r="I851" s="136"/>
      <c r="J851" s="347" t="s">
        <v>1455</v>
      </c>
      <c r="K851" s="136"/>
      <c r="L851" s="146">
        <v>46178</v>
      </c>
      <c r="M851" s="136"/>
      <c r="N851" s="281">
        <v>22</v>
      </c>
      <c r="O851" s="130">
        <v>46179</v>
      </c>
      <c r="P851" s="138">
        <v>0</v>
      </c>
      <c r="Q851" s="138">
        <v>160</v>
      </c>
      <c r="R851" s="138">
        <v>20</v>
      </c>
      <c r="S851" s="138">
        <v>180</v>
      </c>
      <c r="T851" s="138">
        <v>180</v>
      </c>
      <c r="U851" s="136"/>
      <c r="V851" s="136"/>
      <c r="W851" s="148">
        <v>90.6</v>
      </c>
      <c r="X851" s="148">
        <v>90.6</v>
      </c>
      <c r="Y851" s="148">
        <v>722535</v>
      </c>
      <c r="Z851" s="128"/>
      <c r="AA851" s="147">
        <v>18063.38</v>
      </c>
      <c r="AB851" s="147">
        <v>18063.38</v>
      </c>
      <c r="AC851" s="147">
        <v>758661.75</v>
      </c>
      <c r="AD851" s="315">
        <f t="shared" si="539"/>
        <v>757903.08825000003</v>
      </c>
      <c r="AE851" s="147">
        <v>39.82</v>
      </c>
      <c r="AF851" s="147">
        <v>42</v>
      </c>
      <c r="AG851" s="147">
        <v>39.630000000000003</v>
      </c>
      <c r="AH851" s="287">
        <v>4.1999999999999997E-3</v>
      </c>
      <c r="AI851" s="287">
        <v>4.3900000000000002E-2</v>
      </c>
      <c r="AJ851" s="287">
        <v>4.5999999999999999E-2</v>
      </c>
      <c r="AK851" s="318">
        <f t="shared" si="556"/>
        <v>40771.617857142817</v>
      </c>
      <c r="AL851" s="193">
        <f>160*10+20*15</f>
        <v>1900</v>
      </c>
      <c r="AM851" s="193">
        <f t="shared" si="558"/>
        <v>3034.6469999999999</v>
      </c>
      <c r="AN851" s="319">
        <v>0</v>
      </c>
      <c r="AO851" s="320">
        <f t="shared" si="555"/>
        <v>0</v>
      </c>
      <c r="AP851" s="193"/>
      <c r="AQ851" s="318">
        <v>0</v>
      </c>
      <c r="AR851" s="318">
        <f t="shared" si="541"/>
        <v>45706.264857142814</v>
      </c>
      <c r="AS851" s="318">
        <f t="shared" si="542"/>
        <v>47992</v>
      </c>
      <c r="AT851" s="321">
        <v>0</v>
      </c>
      <c r="AU851" s="136"/>
      <c r="AV851" s="136"/>
      <c r="AW851" s="318">
        <f t="shared" si="543"/>
        <v>9060</v>
      </c>
      <c r="AX851" s="193"/>
      <c r="AY851" s="318">
        <f t="shared" si="544"/>
        <v>9060</v>
      </c>
      <c r="AZ851" s="318">
        <f t="shared" si="545"/>
        <v>9060</v>
      </c>
      <c r="BA851" s="318">
        <f t="shared" si="546"/>
        <v>0</v>
      </c>
      <c r="BB851" s="318">
        <f t="shared" si="547"/>
        <v>18.12</v>
      </c>
      <c r="BC851" s="318">
        <v>0</v>
      </c>
      <c r="BD851" s="373"/>
      <c r="BE851" s="147">
        <v>90.6</v>
      </c>
      <c r="BF851" s="374">
        <f t="shared" si="548"/>
        <v>0.13589999999999999</v>
      </c>
      <c r="BG851" s="197">
        <f t="shared" si="540"/>
        <v>90.464099999999988</v>
      </c>
      <c r="BH851" s="375">
        <f t="shared" si="549"/>
        <v>90.6</v>
      </c>
      <c r="BI851" s="322">
        <f t="shared" si="550"/>
        <v>0</v>
      </c>
      <c r="BJ851" s="322">
        <v>0</v>
      </c>
      <c r="BK851" s="318">
        <f t="shared" si="551"/>
        <v>0</v>
      </c>
      <c r="BL851" s="67"/>
      <c r="BM851" s="68" t="str">
        <f t="shared" si="552"/>
        <v>Unloading no. 824 Bill No 22 ,Deduction For Oil Deduction= 40771.6178571428 ,Bardana= 1900 ,F.M= 3034.647 Brokerage/Rate Difference 0 ,Shortage = 0 ,Greenish=  ,Moisture= 0</v>
      </c>
      <c r="BN851" s="69"/>
      <c r="BO851" s="70" t="str">
        <f t="shared" si="553"/>
        <v xml:space="preserve"> Party Condition 42  ,F.M% 0.42 ,Greenish 4.39 ,Moisture 4.6 ,Shortage in KG= 0  ,Oil% 39.63</v>
      </c>
      <c r="BP851" s="71">
        <f t="shared" si="554"/>
        <v>7470.5158404288877</v>
      </c>
      <c r="BQ851" s="41"/>
      <c r="BR851" s="41"/>
      <c r="BS851" s="41"/>
      <c r="BT851" s="41"/>
      <c r="BU851" s="41"/>
      <c r="BV851" s="41"/>
      <c r="BW851" s="85"/>
      <c r="BX851" s="27">
        <v>39.82</v>
      </c>
      <c r="BY851" s="27">
        <v>39.630000000000003</v>
      </c>
    </row>
    <row r="852" spans="1:77" ht="14.1" hidden="1" customHeight="1" x14ac:dyDescent="0.3">
      <c r="A852" s="128" t="s">
        <v>1744</v>
      </c>
      <c r="B852" s="146">
        <v>46178</v>
      </c>
      <c r="C852" s="138">
        <v>825</v>
      </c>
      <c r="D852" s="135" t="s">
        <v>1782</v>
      </c>
      <c r="E852" s="129">
        <v>46179</v>
      </c>
      <c r="F852" s="128" t="s">
        <v>1803</v>
      </c>
      <c r="G852" s="128" t="s">
        <v>1804</v>
      </c>
      <c r="H852" s="128" t="s">
        <v>100</v>
      </c>
      <c r="I852" s="136"/>
      <c r="J852" s="347" t="s">
        <v>1455</v>
      </c>
      <c r="K852" s="136"/>
      <c r="L852" s="146">
        <v>46178</v>
      </c>
      <c r="M852" s="136"/>
      <c r="N852" s="281">
        <v>25</v>
      </c>
      <c r="O852" s="130">
        <v>46179</v>
      </c>
      <c r="P852" s="138">
        <v>0</v>
      </c>
      <c r="Q852" s="138">
        <v>140</v>
      </c>
      <c r="R852" s="138">
        <v>40</v>
      </c>
      <c r="S852" s="138">
        <v>180</v>
      </c>
      <c r="T852" s="138">
        <v>180</v>
      </c>
      <c r="U852" s="136"/>
      <c r="V852" s="136"/>
      <c r="W852" s="148">
        <v>90.6</v>
      </c>
      <c r="X852" s="148">
        <v>90.5</v>
      </c>
      <c r="Y852" s="148">
        <v>722535</v>
      </c>
      <c r="Z852" s="128"/>
      <c r="AA852" s="147">
        <v>18063.38</v>
      </c>
      <c r="AB852" s="147">
        <v>18063.38</v>
      </c>
      <c r="AC852" s="147">
        <v>758661.75</v>
      </c>
      <c r="AD852" s="315">
        <f t="shared" si="539"/>
        <v>757903.08825000003</v>
      </c>
      <c r="AE852" s="147">
        <v>40.11</v>
      </c>
      <c r="AF852" s="147">
        <v>42</v>
      </c>
      <c r="AG852" s="147">
        <v>39.94</v>
      </c>
      <c r="AH852" s="287">
        <v>4.0000000000000001E-3</v>
      </c>
      <c r="AI852" s="287">
        <v>4.3499999999999997E-2</v>
      </c>
      <c r="AJ852" s="287">
        <v>4.3999999999999997E-2</v>
      </c>
      <c r="AK852" s="318">
        <f t="shared" si="556"/>
        <v>35438.621428571467</v>
      </c>
      <c r="AL852" s="193">
        <f>140*10+15*40</f>
        <v>2000</v>
      </c>
      <c r="AM852" s="193">
        <f t="shared" si="558"/>
        <v>2890.14</v>
      </c>
      <c r="AN852" s="319">
        <v>0</v>
      </c>
      <c r="AO852" s="320">
        <f t="shared" si="555"/>
        <v>797.5</v>
      </c>
      <c r="AP852" s="193"/>
      <c r="AQ852" s="318">
        <v>0</v>
      </c>
      <c r="AR852" s="318">
        <f t="shared" si="541"/>
        <v>41126.261428571466</v>
      </c>
      <c r="AS852" s="318">
        <f t="shared" si="542"/>
        <v>43183</v>
      </c>
      <c r="AT852" s="321">
        <v>10</v>
      </c>
      <c r="AU852" s="136"/>
      <c r="AV852" s="136"/>
      <c r="AW852" s="318">
        <f t="shared" si="543"/>
        <v>9060</v>
      </c>
      <c r="AX852" s="193"/>
      <c r="AY852" s="318">
        <f t="shared" si="544"/>
        <v>9060</v>
      </c>
      <c r="AZ852" s="318">
        <f t="shared" si="545"/>
        <v>9050</v>
      </c>
      <c r="BA852" s="318">
        <f t="shared" si="546"/>
        <v>10</v>
      </c>
      <c r="BB852" s="318">
        <f t="shared" si="547"/>
        <v>18.12</v>
      </c>
      <c r="BC852" s="318">
        <v>0</v>
      </c>
      <c r="BD852" s="373"/>
      <c r="BE852" s="147">
        <v>90.6</v>
      </c>
      <c r="BF852" s="374">
        <f t="shared" si="548"/>
        <v>0.13589999999999999</v>
      </c>
      <c r="BG852" s="197">
        <f t="shared" si="540"/>
        <v>90.464099999999988</v>
      </c>
      <c r="BH852" s="375">
        <f t="shared" si="549"/>
        <v>90.5</v>
      </c>
      <c r="BI852" s="322">
        <f t="shared" si="550"/>
        <v>9.9999999999994316</v>
      </c>
      <c r="BJ852" s="322">
        <v>0</v>
      </c>
      <c r="BK852" s="318">
        <f t="shared" si="551"/>
        <v>9.9999999999994316</v>
      </c>
      <c r="BL852" s="67"/>
      <c r="BM852" s="68" t="str">
        <f t="shared" si="552"/>
        <v>Unloading no. 825 Bill No 25 ,Deduction For Oil Deduction= 35438.6214285715 ,Bardana= 2000 ,F.M= 2890.14 Brokerage/Rate Difference 0 ,Shortage = 797.5 ,Greenish=  ,Moisture= 0</v>
      </c>
      <c r="BN852" s="69"/>
      <c r="BO852" s="70" t="str">
        <f t="shared" si="553"/>
        <v xml:space="preserve"> Party Condition 42  ,F.M% 0.4 ,Greenish 4.35 ,Moisture 4.4 ,Shortage in KG= 10  ,Oil% 39.94</v>
      </c>
      <c r="BP852" s="71">
        <f t="shared" si="554"/>
        <v>7529.3783267561166</v>
      </c>
      <c r="BQ852" s="41"/>
      <c r="BR852" s="41"/>
      <c r="BS852" s="41"/>
      <c r="BT852" s="41"/>
      <c r="BU852" s="41"/>
      <c r="BV852" s="41"/>
      <c r="BW852" s="85"/>
      <c r="BX852" s="27">
        <v>40.11</v>
      </c>
      <c r="BY852" s="27">
        <v>39.94</v>
      </c>
    </row>
    <row r="853" spans="1:77" ht="14.1" hidden="1" customHeight="1" x14ac:dyDescent="0.3">
      <c r="A853" s="128" t="s">
        <v>1744</v>
      </c>
      <c r="B853" s="146">
        <v>46178</v>
      </c>
      <c r="C853" s="138">
        <v>826</v>
      </c>
      <c r="D853" s="135" t="s">
        <v>1783</v>
      </c>
      <c r="E853" s="129">
        <v>46179</v>
      </c>
      <c r="F853" s="128" t="s">
        <v>1803</v>
      </c>
      <c r="G853" s="128" t="s">
        <v>1804</v>
      </c>
      <c r="H853" s="128" t="s">
        <v>100</v>
      </c>
      <c r="I853" s="136"/>
      <c r="J853" s="347" t="s">
        <v>1455</v>
      </c>
      <c r="K853" s="136"/>
      <c r="L853" s="146">
        <v>46178</v>
      </c>
      <c r="M853" s="136"/>
      <c r="N853" s="281">
        <v>27</v>
      </c>
      <c r="O853" s="130">
        <v>46179</v>
      </c>
      <c r="P853" s="138">
        <v>0</v>
      </c>
      <c r="Q853" s="138">
        <v>150</v>
      </c>
      <c r="R853" s="138">
        <v>30</v>
      </c>
      <c r="S853" s="138">
        <v>180</v>
      </c>
      <c r="T853" s="138">
        <v>180</v>
      </c>
      <c r="U853" s="136"/>
      <c r="V853" s="136"/>
      <c r="W853" s="148">
        <v>90.8</v>
      </c>
      <c r="X853" s="148">
        <v>90.6</v>
      </c>
      <c r="Y853" s="148">
        <v>724130</v>
      </c>
      <c r="Z853" s="128"/>
      <c r="AA853" s="147">
        <v>18103.25</v>
      </c>
      <c r="AB853" s="147">
        <v>18103.25</v>
      </c>
      <c r="AC853" s="147">
        <v>760336.5</v>
      </c>
      <c r="AD853" s="315">
        <f t="shared" si="539"/>
        <v>759576.16350000002</v>
      </c>
      <c r="AE853" s="147">
        <v>39.28</v>
      </c>
      <c r="AF853" s="147">
        <v>42</v>
      </c>
      <c r="AG853" s="147">
        <v>39.15</v>
      </c>
      <c r="AH853" s="287">
        <v>4.0000000000000001E-3</v>
      </c>
      <c r="AI853" s="287">
        <v>4.5999999999999999E-2</v>
      </c>
      <c r="AJ853" s="287">
        <v>4.9000000000000002E-2</v>
      </c>
      <c r="AK853" s="318">
        <f t="shared" si="556"/>
        <v>49137.392857142884</v>
      </c>
      <c r="AL853" s="193">
        <f>150*10+30*15</f>
        <v>1950</v>
      </c>
      <c r="AM853" s="193">
        <f t="shared" si="558"/>
        <v>2896.52</v>
      </c>
      <c r="AN853" s="319">
        <v>0</v>
      </c>
      <c r="AO853" s="320">
        <f t="shared" si="555"/>
        <v>1595</v>
      </c>
      <c r="AP853" s="193"/>
      <c r="AQ853" s="318">
        <v>0</v>
      </c>
      <c r="AR853" s="318">
        <f t="shared" si="541"/>
        <v>55578.912857142881</v>
      </c>
      <c r="AS853" s="318">
        <f t="shared" si="542"/>
        <v>58358</v>
      </c>
      <c r="AT853" s="321">
        <v>20</v>
      </c>
      <c r="AU853" s="136"/>
      <c r="AV853" s="136"/>
      <c r="AW853" s="318">
        <f t="shared" si="543"/>
        <v>9080</v>
      </c>
      <c r="AX853" s="193"/>
      <c r="AY853" s="318">
        <f t="shared" si="544"/>
        <v>9080</v>
      </c>
      <c r="AZ853" s="318">
        <f t="shared" si="545"/>
        <v>9060</v>
      </c>
      <c r="BA853" s="318">
        <f t="shared" si="546"/>
        <v>20</v>
      </c>
      <c r="BB853" s="318">
        <f t="shared" si="547"/>
        <v>18.16</v>
      </c>
      <c r="BC853" s="318">
        <v>0</v>
      </c>
      <c r="BD853" s="373"/>
      <c r="BE853" s="147">
        <v>90.8</v>
      </c>
      <c r="BF853" s="374">
        <f t="shared" si="548"/>
        <v>0.13619999999999999</v>
      </c>
      <c r="BG853" s="197">
        <f t="shared" si="540"/>
        <v>90.663799999999995</v>
      </c>
      <c r="BH853" s="375">
        <f t="shared" si="549"/>
        <v>90.6</v>
      </c>
      <c r="BI853" s="322">
        <f t="shared" si="550"/>
        <v>20.000000000000284</v>
      </c>
      <c r="BJ853" s="322">
        <v>0</v>
      </c>
      <c r="BK853" s="318">
        <f t="shared" si="551"/>
        <v>20.000000000000284</v>
      </c>
      <c r="BL853" s="67"/>
      <c r="BM853" s="68" t="str">
        <f t="shared" si="552"/>
        <v>Unloading no. 826 Bill No 27 ,Deduction For Oil Deduction= 49137.3928571429 ,Bardana= 1950 ,F.M= 2896.52 Brokerage/Rate Difference 0 ,Shortage = 1595 ,Greenish=  ,Moisture= 0</v>
      </c>
      <c r="BN853" s="69"/>
      <c r="BO853" s="70" t="str">
        <f t="shared" si="553"/>
        <v xml:space="preserve"> Party Condition 42  ,F.M% 0.4 ,Greenish 4.6 ,Moisture 4.9 ,Shortage in KG= 20  ,Oil% 39.15</v>
      </c>
      <c r="BP853" s="71">
        <f t="shared" si="554"/>
        <v>7379.1510722169669</v>
      </c>
      <c r="BQ853" s="41"/>
      <c r="BR853" s="41"/>
      <c r="BS853" s="41"/>
      <c r="BT853" s="41"/>
      <c r="BU853" s="41"/>
      <c r="BV853" s="41"/>
      <c r="BW853" s="85"/>
      <c r="BX853" s="27">
        <v>39.28</v>
      </c>
      <c r="BY853" s="27">
        <v>39.15</v>
      </c>
    </row>
    <row r="854" spans="1:77" ht="14.1" hidden="1" customHeight="1" x14ac:dyDescent="0.3">
      <c r="A854" s="128" t="s">
        <v>1744</v>
      </c>
      <c r="B854" s="146">
        <v>46178</v>
      </c>
      <c r="C854" s="138">
        <v>827</v>
      </c>
      <c r="D854" s="135" t="s">
        <v>1784</v>
      </c>
      <c r="E854" s="129">
        <v>46179</v>
      </c>
      <c r="F854" s="128" t="s">
        <v>1803</v>
      </c>
      <c r="G854" s="128" t="s">
        <v>1804</v>
      </c>
      <c r="H854" s="128" t="s">
        <v>100</v>
      </c>
      <c r="I854" s="136"/>
      <c r="J854" s="347" t="s">
        <v>1455</v>
      </c>
      <c r="K854" s="136"/>
      <c r="L854" s="146">
        <v>46178</v>
      </c>
      <c r="M854" s="136"/>
      <c r="N854" s="281">
        <v>26</v>
      </c>
      <c r="O854" s="130">
        <v>46179</v>
      </c>
      <c r="P854" s="138">
        <v>0</v>
      </c>
      <c r="Q854" s="138">
        <v>170</v>
      </c>
      <c r="R854" s="138">
        <v>10</v>
      </c>
      <c r="S854" s="138">
        <v>180</v>
      </c>
      <c r="T854" s="138">
        <v>180</v>
      </c>
      <c r="U854" s="136"/>
      <c r="V854" s="136"/>
      <c r="W854" s="148">
        <v>90.6</v>
      </c>
      <c r="X854" s="148">
        <v>90.4</v>
      </c>
      <c r="Y854" s="148">
        <v>722535</v>
      </c>
      <c r="Z854" s="128"/>
      <c r="AA854" s="147">
        <v>18063.38</v>
      </c>
      <c r="AB854" s="147">
        <v>18063.38</v>
      </c>
      <c r="AC854" s="147">
        <v>758661.75</v>
      </c>
      <c r="AD854" s="315">
        <f t="shared" si="539"/>
        <v>757903.08825000003</v>
      </c>
      <c r="AE854" s="147">
        <v>39.69</v>
      </c>
      <c r="AF854" s="147">
        <v>42</v>
      </c>
      <c r="AG854" s="147">
        <v>39.6</v>
      </c>
      <c r="AH854" s="287">
        <v>4.7999999999999996E-3</v>
      </c>
      <c r="AI854" s="287">
        <v>4.4499999999999998E-2</v>
      </c>
      <c r="AJ854" s="287">
        <v>4.8000000000000001E-2</v>
      </c>
      <c r="AK854" s="318">
        <f t="shared" si="556"/>
        <v>41287.714285714261</v>
      </c>
      <c r="AL854" s="193">
        <f>170*10+10*15</f>
        <v>1850</v>
      </c>
      <c r="AM854" s="193">
        <f t="shared" si="558"/>
        <v>3468.1679999999997</v>
      </c>
      <c r="AN854" s="319">
        <v>0</v>
      </c>
      <c r="AO854" s="320">
        <f t="shared" si="555"/>
        <v>1595</v>
      </c>
      <c r="AP854" s="193"/>
      <c r="AQ854" s="318">
        <v>0</v>
      </c>
      <c r="AR854" s="318">
        <f t="shared" si="541"/>
        <v>48200.882285714259</v>
      </c>
      <c r="AS854" s="318">
        <f t="shared" si="542"/>
        <v>50611</v>
      </c>
      <c r="AT854" s="321">
        <v>20</v>
      </c>
      <c r="AU854" s="136"/>
      <c r="AV854" s="136"/>
      <c r="AW854" s="318">
        <f t="shared" si="543"/>
        <v>9060</v>
      </c>
      <c r="AX854" s="193"/>
      <c r="AY854" s="318">
        <f t="shared" si="544"/>
        <v>9060</v>
      </c>
      <c r="AZ854" s="318">
        <f t="shared" si="545"/>
        <v>9040</v>
      </c>
      <c r="BA854" s="318">
        <f t="shared" si="546"/>
        <v>20</v>
      </c>
      <c r="BB854" s="318">
        <f t="shared" si="547"/>
        <v>18.12</v>
      </c>
      <c r="BC854" s="318">
        <v>0</v>
      </c>
      <c r="BD854" s="373"/>
      <c r="BE854" s="147">
        <v>90.6</v>
      </c>
      <c r="BF854" s="374">
        <f t="shared" si="548"/>
        <v>0.13589999999999999</v>
      </c>
      <c r="BG854" s="197">
        <f t="shared" si="540"/>
        <v>90.464099999999988</v>
      </c>
      <c r="BH854" s="375">
        <f t="shared" si="549"/>
        <v>90.4</v>
      </c>
      <c r="BI854" s="322">
        <f t="shared" si="550"/>
        <v>19.999999999998863</v>
      </c>
      <c r="BJ854" s="322">
        <v>0</v>
      </c>
      <c r="BK854" s="318">
        <f t="shared" si="551"/>
        <v>19.999999999998863</v>
      </c>
      <c r="BL854" s="67"/>
      <c r="BM854" s="68" t="str">
        <f t="shared" si="552"/>
        <v>Unloading no. 827 Bill No 26 ,Deduction For Oil Deduction= 41287.7142857143 ,Bardana= 1850 ,F.M= 3468.168 Brokerage/Rate Difference 0 ,Shortage = 1595 ,Greenish=  ,Moisture= 0</v>
      </c>
      <c r="BN854" s="69"/>
      <c r="BO854" s="70" t="str">
        <f t="shared" si="553"/>
        <v xml:space="preserve"> Party Condition 42  ,F.M% 0.48 ,Greenish 4.45 ,Moisture 4.8 ,Shortage in KG= 20  ,Oil% 39.6</v>
      </c>
      <c r="BP854" s="71">
        <f t="shared" si="554"/>
        <v>7459.4482048040454</v>
      </c>
      <c r="BQ854" s="41"/>
      <c r="BR854" s="41"/>
      <c r="BS854" s="41"/>
      <c r="BT854" s="41"/>
      <c r="BU854" s="41"/>
      <c r="BV854" s="41"/>
      <c r="BW854" s="85"/>
      <c r="BX854" s="27">
        <v>39.69</v>
      </c>
      <c r="BY854" s="27">
        <v>39.6</v>
      </c>
    </row>
    <row r="855" spans="1:77" ht="14.1" hidden="1" customHeight="1" x14ac:dyDescent="0.3">
      <c r="A855" s="128" t="s">
        <v>1745</v>
      </c>
      <c r="B855" s="146">
        <v>46178</v>
      </c>
      <c r="C855" s="138">
        <v>828</v>
      </c>
      <c r="D855" s="135" t="s">
        <v>1785</v>
      </c>
      <c r="E855" s="129">
        <v>46179</v>
      </c>
      <c r="F855" s="128" t="s">
        <v>1080</v>
      </c>
      <c r="G855" s="128" t="s">
        <v>1081</v>
      </c>
      <c r="H855" s="128" t="s">
        <v>1082</v>
      </c>
      <c r="I855" s="206" t="s">
        <v>1829</v>
      </c>
      <c r="J855" s="347" t="s">
        <v>1455</v>
      </c>
      <c r="K855" s="136"/>
      <c r="L855" s="146">
        <v>46178</v>
      </c>
      <c r="M855" s="136"/>
      <c r="N855" s="281">
        <v>125</v>
      </c>
      <c r="O855" s="130">
        <v>46178</v>
      </c>
      <c r="P855" s="138">
        <v>0</v>
      </c>
      <c r="Q855" s="138">
        <v>800</v>
      </c>
      <c r="R855" s="138">
        <v>89</v>
      </c>
      <c r="S855" s="138">
        <v>889</v>
      </c>
      <c r="T855" s="138">
        <v>889</v>
      </c>
      <c r="U855" s="136"/>
      <c r="V855" s="136"/>
      <c r="W855" s="148">
        <v>444.1</v>
      </c>
      <c r="X855" s="148">
        <v>443.4</v>
      </c>
      <c r="Y855" s="148">
        <v>3563902.5</v>
      </c>
      <c r="Z855" s="128"/>
      <c r="AA855" s="147">
        <v>89097.56</v>
      </c>
      <c r="AB855" s="147">
        <v>89097.56</v>
      </c>
      <c r="AC855" s="147">
        <v>3742097.63</v>
      </c>
      <c r="AD855" s="315">
        <f t="shared" si="539"/>
        <v>3738355.5323699997</v>
      </c>
      <c r="AE855" s="147">
        <v>40.92</v>
      </c>
      <c r="AF855" s="147">
        <v>42</v>
      </c>
      <c r="AG855" s="147">
        <v>40.74</v>
      </c>
      <c r="AH855" s="287">
        <v>4.7000000000000002E-3</v>
      </c>
      <c r="AI855" s="287">
        <v>3.6999999999999998E-2</v>
      </c>
      <c r="AJ855" s="287">
        <v>4.2999999999999997E-2</v>
      </c>
      <c r="AK855" s="318">
        <f t="shared" si="556"/>
        <v>106917.07499999984</v>
      </c>
      <c r="AL855" s="193">
        <f>800*10+89*15</f>
        <v>9335</v>
      </c>
      <c r="AM855" s="193">
        <f>AH855*Y855</f>
        <v>16750.34175</v>
      </c>
      <c r="AN855" s="319">
        <f>W855*14</f>
        <v>6217.4000000000005</v>
      </c>
      <c r="AO855" s="320">
        <f t="shared" si="555"/>
        <v>5617.5</v>
      </c>
      <c r="AP855" s="193"/>
      <c r="AQ855" s="318">
        <v>0</v>
      </c>
      <c r="AR855" s="318">
        <f t="shared" si="541"/>
        <v>144837.31674999982</v>
      </c>
      <c r="AS855" s="318">
        <f t="shared" si="542"/>
        <v>152079</v>
      </c>
      <c r="AT855" s="321">
        <v>70</v>
      </c>
      <c r="AU855" s="136"/>
      <c r="AV855" s="136"/>
      <c r="AW855" s="318">
        <f t="shared" si="543"/>
        <v>44410</v>
      </c>
      <c r="AX855" s="193"/>
      <c r="AY855" s="318">
        <f t="shared" si="544"/>
        <v>44410</v>
      </c>
      <c r="AZ855" s="318">
        <f t="shared" si="545"/>
        <v>44340</v>
      </c>
      <c r="BA855" s="318">
        <f t="shared" si="546"/>
        <v>70</v>
      </c>
      <c r="BB855" s="318">
        <f t="shared" si="547"/>
        <v>88.82</v>
      </c>
      <c r="BC855" s="318">
        <v>0</v>
      </c>
      <c r="BD855" s="373"/>
      <c r="BE855" s="147">
        <v>444.1</v>
      </c>
      <c r="BF855" s="374">
        <f t="shared" si="548"/>
        <v>0.66614999999999991</v>
      </c>
      <c r="BG855" s="197">
        <f t="shared" si="540"/>
        <v>443.43385000000001</v>
      </c>
      <c r="BH855" s="375">
        <f t="shared" si="549"/>
        <v>443.4</v>
      </c>
      <c r="BI855" s="322">
        <f t="shared" si="550"/>
        <v>70.000000000004547</v>
      </c>
      <c r="BJ855" s="322">
        <v>0</v>
      </c>
      <c r="BK855" s="318">
        <f t="shared" si="551"/>
        <v>70.000000000004547</v>
      </c>
      <c r="BL855" s="67"/>
      <c r="BM855" s="68" t="str">
        <f t="shared" si="552"/>
        <v>Unloading no. 828 Bill No 125 ,Deduction For Oil Deduction= 106917.075 ,Bardana= 9335 ,F.M= 16750.34175 Brokerage/Rate Difference 6217.4 ,Shortage = 5617.5 ,Greenish=  ,Moisture= 0</v>
      </c>
      <c r="BN855" s="69"/>
      <c r="BO855" s="70" t="str">
        <f t="shared" si="553"/>
        <v xml:space="preserve"> Party Condition 42  ,F.M% 0.47 ,Greenish 3.7 ,Moisture 4.3 ,Shortage in KG= 70  ,Oil% 40.74</v>
      </c>
      <c r="BP855" s="71">
        <f t="shared" si="554"/>
        <v>7711.0175535633753</v>
      </c>
      <c r="BQ855" s="41"/>
      <c r="BR855" s="41"/>
      <c r="BS855" s="41"/>
      <c r="BT855" s="41"/>
      <c r="BU855" s="41"/>
      <c r="BV855" s="41"/>
      <c r="BW855" s="85"/>
      <c r="BX855" s="27">
        <v>40.92</v>
      </c>
      <c r="BY855" s="27">
        <v>40.74</v>
      </c>
    </row>
    <row r="856" spans="1:77" ht="14.1" hidden="1" customHeight="1" x14ac:dyDescent="0.3">
      <c r="A856" s="128" t="s">
        <v>1746</v>
      </c>
      <c r="B856" s="146">
        <v>46177</v>
      </c>
      <c r="C856" s="190">
        <v>829</v>
      </c>
      <c r="D856" s="135" t="s">
        <v>1786</v>
      </c>
      <c r="E856" s="129">
        <v>46179</v>
      </c>
      <c r="F856" s="128" t="s">
        <v>110</v>
      </c>
      <c r="G856" s="159" t="s">
        <v>111</v>
      </c>
      <c r="H856" s="128" t="s">
        <v>112</v>
      </c>
      <c r="I856" s="136"/>
      <c r="J856" s="347" t="s">
        <v>1455</v>
      </c>
      <c r="K856" s="136"/>
      <c r="L856" s="146">
        <v>46177</v>
      </c>
      <c r="M856" s="136"/>
      <c r="N856" s="281" t="s">
        <v>1821</v>
      </c>
      <c r="O856" s="130">
        <v>46178</v>
      </c>
      <c r="P856" s="138">
        <v>0</v>
      </c>
      <c r="Q856" s="138">
        <v>127</v>
      </c>
      <c r="R856" s="138">
        <v>0</v>
      </c>
      <c r="S856" s="138">
        <v>127</v>
      </c>
      <c r="T856" s="138">
        <v>127</v>
      </c>
      <c r="U856" s="136"/>
      <c r="V856" s="136"/>
      <c r="W856" s="148">
        <v>762</v>
      </c>
      <c r="X856" s="148">
        <v>243.7</v>
      </c>
      <c r="Y856" s="148">
        <v>615238.80000000005</v>
      </c>
      <c r="Z856" s="128"/>
      <c r="AA856" s="147">
        <v>15380.97</v>
      </c>
      <c r="AB856" s="147">
        <v>15380.97</v>
      </c>
      <c r="AC856" s="147">
        <v>646000.74</v>
      </c>
      <c r="AD856" s="315">
        <f t="shared" si="539"/>
        <v>645354.73925999994</v>
      </c>
      <c r="AE856" s="147">
        <v>41.51</v>
      </c>
      <c r="AF856" s="147">
        <v>41.35</v>
      </c>
      <c r="AG856" s="147">
        <v>41.3</v>
      </c>
      <c r="AH856" s="287">
        <v>3.3E-3</v>
      </c>
      <c r="AI856" s="287">
        <v>3.9E-2</v>
      </c>
      <c r="AJ856" s="287">
        <v>4.7E-2</v>
      </c>
      <c r="AK856" s="318">
        <v>0</v>
      </c>
      <c r="AL856" s="193">
        <v>0</v>
      </c>
      <c r="AM856" s="193"/>
      <c r="AN856" s="319">
        <v>0</v>
      </c>
      <c r="AO856" s="320">
        <f t="shared" si="555"/>
        <v>0</v>
      </c>
      <c r="AP856" s="193"/>
      <c r="AQ856" s="318">
        <v>0</v>
      </c>
      <c r="AR856" s="318">
        <f t="shared" si="541"/>
        <v>0</v>
      </c>
      <c r="AS856" s="318">
        <f t="shared" si="542"/>
        <v>0</v>
      </c>
      <c r="AT856" s="321">
        <v>0</v>
      </c>
      <c r="AU856" s="136"/>
      <c r="AV856" s="136"/>
      <c r="AW856" s="318">
        <f t="shared" si="543"/>
        <v>76200</v>
      </c>
      <c r="AX856" s="193"/>
      <c r="AY856" s="318">
        <f t="shared" si="544"/>
        <v>76200</v>
      </c>
      <c r="AZ856" s="318">
        <f t="shared" si="545"/>
        <v>24370</v>
      </c>
      <c r="BA856" s="318">
        <f t="shared" si="546"/>
        <v>51830</v>
      </c>
      <c r="BB856" s="318">
        <f t="shared" si="547"/>
        <v>152.4</v>
      </c>
      <c r="BC856" s="318">
        <v>0</v>
      </c>
      <c r="BD856" s="373"/>
      <c r="BE856" s="147">
        <v>243.7</v>
      </c>
      <c r="BF856" s="374">
        <f t="shared" si="548"/>
        <v>0.36554999999999999</v>
      </c>
      <c r="BG856" s="197">
        <f t="shared" si="540"/>
        <v>243.33444999999998</v>
      </c>
      <c r="BH856" s="375">
        <f t="shared" si="549"/>
        <v>243.7</v>
      </c>
      <c r="BI856" s="322">
        <f t="shared" si="550"/>
        <v>0</v>
      </c>
      <c r="BJ856" s="322">
        <v>0</v>
      </c>
      <c r="BK856" s="318">
        <f t="shared" si="551"/>
        <v>0</v>
      </c>
      <c r="BL856" s="67"/>
      <c r="BM856" s="68" t="str">
        <f t="shared" si="552"/>
        <v>Unloading no. 829 Bill No G1717/18/19 ,Deduction For Oil Deduction= 0 ,Bardana= 0 ,F.M=  Brokerage/Rate Difference 0 ,Shortage = 0 ,Greenish=  ,Moisture= 0</v>
      </c>
      <c r="BN856" s="69"/>
      <c r="BO856" s="70" t="str">
        <f t="shared" si="553"/>
        <v xml:space="preserve"> Party Condition 41.35  ,F.M% 0.33 ,Greenish 3.9 ,Moisture 4.7 ,Shortage in KG= 0  ,Oil% 41.3</v>
      </c>
      <c r="BP856" s="71">
        <f t="shared" si="554"/>
        <v>2524.5744768157574</v>
      </c>
      <c r="BQ856" s="41"/>
      <c r="BR856" s="41"/>
      <c r="BS856" s="41"/>
      <c r="BT856" s="41"/>
      <c r="BU856" s="41"/>
      <c r="BV856" s="41"/>
      <c r="BW856" s="85"/>
      <c r="BX856" s="27">
        <v>41.51</v>
      </c>
      <c r="BY856" s="27">
        <v>41.3</v>
      </c>
    </row>
    <row r="857" spans="1:77" ht="14.1" hidden="1" customHeight="1" x14ac:dyDescent="0.3">
      <c r="A857" s="128" t="s">
        <v>1747</v>
      </c>
      <c r="B857" s="146">
        <v>46176</v>
      </c>
      <c r="C857" s="190">
        <v>829</v>
      </c>
      <c r="D857" s="135" t="s">
        <v>1786</v>
      </c>
      <c r="E857" s="129">
        <v>46179</v>
      </c>
      <c r="F857" s="128" t="s">
        <v>110</v>
      </c>
      <c r="G857" s="159" t="s">
        <v>111</v>
      </c>
      <c r="H857" s="128" t="s">
        <v>112</v>
      </c>
      <c r="I857" s="136"/>
      <c r="J857" s="347" t="s">
        <v>1455</v>
      </c>
      <c r="K857" s="136"/>
      <c r="L857" s="146">
        <v>46176</v>
      </c>
      <c r="M857" s="136"/>
      <c r="N857" s="281" t="s">
        <v>1821</v>
      </c>
      <c r="O857" s="130">
        <v>46178</v>
      </c>
      <c r="P857" s="138">
        <v>0</v>
      </c>
      <c r="Q857" s="138">
        <v>196</v>
      </c>
      <c r="R857" s="138">
        <v>0</v>
      </c>
      <c r="S857" s="138">
        <v>196</v>
      </c>
      <c r="T857" s="138">
        <v>196</v>
      </c>
      <c r="U857" s="136"/>
      <c r="V857" s="136"/>
      <c r="W857" s="148">
        <v>117.6</v>
      </c>
      <c r="X857" s="148">
        <v>243.7</v>
      </c>
      <c r="Y857" s="148">
        <v>941035.2</v>
      </c>
      <c r="Z857" s="128"/>
      <c r="AA857" s="147">
        <v>23525.88</v>
      </c>
      <c r="AB857" s="147">
        <v>23525.88</v>
      </c>
      <c r="AC857" s="147">
        <v>988086.96</v>
      </c>
      <c r="AD857" s="315">
        <f t="shared" si="539"/>
        <v>987098.87303999998</v>
      </c>
      <c r="AE857" s="147">
        <v>41.51</v>
      </c>
      <c r="AF857" s="147">
        <v>41.2</v>
      </c>
      <c r="AG857" s="147">
        <v>41.3</v>
      </c>
      <c r="AH857" s="287">
        <v>3.3E-3</v>
      </c>
      <c r="AI857" s="287">
        <v>3.9E-2</v>
      </c>
      <c r="AJ857" s="287">
        <v>4.7E-2</v>
      </c>
      <c r="AK857" s="318">
        <f t="shared" si="556"/>
        <v>0</v>
      </c>
      <c r="AL857" s="193">
        <v>0</v>
      </c>
      <c r="AM857" s="193"/>
      <c r="AN857" s="319">
        <v>0</v>
      </c>
      <c r="AO857" s="320">
        <f t="shared" si="555"/>
        <v>0</v>
      </c>
      <c r="AP857" s="193"/>
      <c r="AQ857" s="318">
        <v>0</v>
      </c>
      <c r="AR857" s="318">
        <f t="shared" si="541"/>
        <v>0</v>
      </c>
      <c r="AS857" s="318">
        <f t="shared" si="542"/>
        <v>0</v>
      </c>
      <c r="AT857" s="321">
        <v>0</v>
      </c>
      <c r="AU857" s="136"/>
      <c r="AV857" s="136"/>
      <c r="AW857" s="318">
        <f t="shared" si="543"/>
        <v>11760</v>
      </c>
      <c r="AX857" s="193"/>
      <c r="AY857" s="318">
        <f t="shared" si="544"/>
        <v>11760</v>
      </c>
      <c r="AZ857" s="318">
        <f t="shared" si="545"/>
        <v>24370</v>
      </c>
      <c r="BA857" s="318">
        <f t="shared" si="546"/>
        <v>-12610</v>
      </c>
      <c r="BB857" s="318">
        <f t="shared" si="547"/>
        <v>23.52</v>
      </c>
      <c r="BC857" s="318">
        <v>0</v>
      </c>
      <c r="BD857" s="373"/>
      <c r="BE857" s="147">
        <v>243.7</v>
      </c>
      <c r="BF857" s="374">
        <f t="shared" si="548"/>
        <v>0.36554999999999999</v>
      </c>
      <c r="BG857" s="197">
        <f t="shared" si="540"/>
        <v>243.33444999999998</v>
      </c>
      <c r="BH857" s="375">
        <f t="shared" si="549"/>
        <v>243.7</v>
      </c>
      <c r="BI857" s="322">
        <f t="shared" si="550"/>
        <v>0</v>
      </c>
      <c r="BJ857" s="322">
        <v>0</v>
      </c>
      <c r="BK857" s="318">
        <f t="shared" si="551"/>
        <v>0</v>
      </c>
      <c r="BL857" s="67"/>
      <c r="BM857" s="68" t="str">
        <f t="shared" si="552"/>
        <v>Unloading no. 829 Bill No G1717/18/19 ,Deduction For Oil Deduction= 0 ,Bardana= 0 ,F.M=  Brokerage/Rate Difference 0 ,Shortage = 0 ,Greenish=  ,Moisture= 0</v>
      </c>
      <c r="BN857" s="69"/>
      <c r="BO857" s="70" t="str">
        <f t="shared" si="553"/>
        <v xml:space="preserve"> Party Condition 41.2  ,F.M% 0.33 ,Greenish 3.9 ,Moisture 4.7 ,Shortage in KG= 0  ,Oil% 41.3</v>
      </c>
      <c r="BP857" s="71">
        <f t="shared" si="554"/>
        <v>3861.4493229380387</v>
      </c>
      <c r="BQ857" s="41"/>
      <c r="BR857" s="41"/>
      <c r="BS857" s="41"/>
      <c r="BT857" s="41"/>
      <c r="BU857" s="41"/>
      <c r="BV857" s="41"/>
      <c r="BW857" s="85"/>
      <c r="BX857" s="27">
        <v>41.51</v>
      </c>
      <c r="BY857" s="27">
        <v>41.3</v>
      </c>
    </row>
    <row r="858" spans="1:77" ht="14.1" hidden="1" customHeight="1" x14ac:dyDescent="0.3">
      <c r="A858" s="128" t="s">
        <v>1748</v>
      </c>
      <c r="B858" s="146">
        <v>46178</v>
      </c>
      <c r="C858" s="190">
        <v>829</v>
      </c>
      <c r="D858" s="135" t="s">
        <v>1786</v>
      </c>
      <c r="E858" s="129">
        <v>46179</v>
      </c>
      <c r="F858" s="128" t="s">
        <v>110</v>
      </c>
      <c r="G858" s="159" t="s">
        <v>111</v>
      </c>
      <c r="H858" s="128" t="s">
        <v>112</v>
      </c>
      <c r="I858" s="136"/>
      <c r="J858" s="347" t="s">
        <v>1455</v>
      </c>
      <c r="K858" s="136"/>
      <c r="L858" s="146">
        <v>46178</v>
      </c>
      <c r="M858" s="136"/>
      <c r="N858" s="281" t="s">
        <v>1821</v>
      </c>
      <c r="O858" s="130">
        <v>46178</v>
      </c>
      <c r="P858" s="138">
        <v>0</v>
      </c>
      <c r="Q858" s="138">
        <v>27</v>
      </c>
      <c r="R858" s="138">
        <v>51</v>
      </c>
      <c r="S858" s="138">
        <v>78</v>
      </c>
      <c r="T858" s="138">
        <v>78</v>
      </c>
      <c r="U858" s="136"/>
      <c r="V858" s="136"/>
      <c r="W858" s="148">
        <v>46.8</v>
      </c>
      <c r="X858" s="148">
        <v>243.7</v>
      </c>
      <c r="Y858" s="148">
        <v>368643.6</v>
      </c>
      <c r="Z858" s="128"/>
      <c r="AA858" s="147">
        <v>9216.09</v>
      </c>
      <c r="AB858" s="147">
        <v>9216.09</v>
      </c>
      <c r="AC858" s="147">
        <v>387075.78</v>
      </c>
      <c r="AD858" s="315">
        <f t="shared" si="539"/>
        <v>386688.70422000001</v>
      </c>
      <c r="AE858" s="147">
        <v>41.51</v>
      </c>
      <c r="AF858" s="147">
        <v>40.869999999999997</v>
      </c>
      <c r="AG858" s="147">
        <v>41.3</v>
      </c>
      <c r="AH858" s="287">
        <v>3.3E-3</v>
      </c>
      <c r="AI858" s="287">
        <v>3.9E-2</v>
      </c>
      <c r="AJ858" s="287">
        <v>4.7E-2</v>
      </c>
      <c r="AK858" s="318">
        <f t="shared" si="556"/>
        <v>0</v>
      </c>
      <c r="AL858" s="193">
        <v>0</v>
      </c>
      <c r="AM858" s="193"/>
      <c r="AN858" s="319">
        <v>0</v>
      </c>
      <c r="AO858" s="320">
        <f t="shared" si="555"/>
        <v>0</v>
      </c>
      <c r="AP858" s="193"/>
      <c r="AQ858" s="318">
        <v>0</v>
      </c>
      <c r="AR858" s="318">
        <f t="shared" si="541"/>
        <v>0</v>
      </c>
      <c r="AS858" s="318">
        <f t="shared" si="542"/>
        <v>0</v>
      </c>
      <c r="AT858" s="321">
        <v>0</v>
      </c>
      <c r="AU858" s="136"/>
      <c r="AV858" s="136"/>
      <c r="AW858" s="318">
        <f t="shared" si="543"/>
        <v>4680</v>
      </c>
      <c r="AX858" s="193"/>
      <c r="AY858" s="318">
        <f t="shared" si="544"/>
        <v>4680</v>
      </c>
      <c r="AZ858" s="318">
        <f t="shared" si="545"/>
        <v>24370</v>
      </c>
      <c r="BA858" s="318">
        <f t="shared" si="546"/>
        <v>-19690</v>
      </c>
      <c r="BB858" s="318">
        <f t="shared" si="547"/>
        <v>9.36</v>
      </c>
      <c r="BC858" s="318">
        <v>0</v>
      </c>
      <c r="BD858" s="373"/>
      <c r="BE858" s="147">
        <v>243.7</v>
      </c>
      <c r="BF858" s="374">
        <f t="shared" si="548"/>
        <v>0.36554999999999999</v>
      </c>
      <c r="BG858" s="197">
        <f t="shared" si="540"/>
        <v>243.33444999999998</v>
      </c>
      <c r="BH858" s="375">
        <f t="shared" si="549"/>
        <v>243.7</v>
      </c>
      <c r="BI858" s="322">
        <f t="shared" si="550"/>
        <v>0</v>
      </c>
      <c r="BJ858" s="322">
        <v>0</v>
      </c>
      <c r="BK858" s="318">
        <f t="shared" si="551"/>
        <v>0</v>
      </c>
      <c r="BL858" s="67"/>
      <c r="BM858" s="68" t="str">
        <f t="shared" si="552"/>
        <v>Unloading no. 829 Bill No G1717/18/19 ,Deduction For Oil Deduction= 0 ,Bardana= 0 ,F.M=  Brokerage/Rate Difference 0 ,Shortage = 0 ,Greenish=  ,Moisture= 0</v>
      </c>
      <c r="BN858" s="69"/>
      <c r="BO858" s="70" t="str">
        <f t="shared" si="553"/>
        <v xml:space="preserve"> Party Condition 40.87  ,F.M% 0.33 ,Greenish 3.9 ,Moisture 4.7 ,Shortage in KG= 0  ,Oil% 41.3</v>
      </c>
      <c r="BP858" s="71">
        <f t="shared" si="554"/>
        <v>1512.6942962659007</v>
      </c>
      <c r="BQ858" s="41"/>
      <c r="BR858" s="41"/>
      <c r="BS858" s="41"/>
      <c r="BT858" s="41"/>
      <c r="BU858" s="41"/>
      <c r="BV858" s="41"/>
      <c r="BW858" s="85"/>
      <c r="BX858" s="27">
        <v>41.51</v>
      </c>
      <c r="BY858" s="27">
        <v>41.3</v>
      </c>
    </row>
    <row r="859" spans="1:77" ht="14.1" hidden="1" customHeight="1" x14ac:dyDescent="0.3">
      <c r="A859" s="128" t="s">
        <v>1749</v>
      </c>
      <c r="B859" s="146">
        <v>46177</v>
      </c>
      <c r="C859" s="138">
        <v>830</v>
      </c>
      <c r="D859" s="135" t="s">
        <v>1787</v>
      </c>
      <c r="E859" s="129">
        <v>46180</v>
      </c>
      <c r="F859" s="128" t="s">
        <v>1805</v>
      </c>
      <c r="G859" s="281" t="s">
        <v>1806</v>
      </c>
      <c r="H859" s="281" t="s">
        <v>1511</v>
      </c>
      <c r="I859" s="136"/>
      <c r="J859" s="347" t="s">
        <v>1455</v>
      </c>
      <c r="K859" s="136"/>
      <c r="L859" s="146">
        <v>46177</v>
      </c>
      <c r="M859" s="136"/>
      <c r="N859" s="128" t="s">
        <v>1822</v>
      </c>
      <c r="O859" s="130">
        <v>46178</v>
      </c>
      <c r="P859" s="138">
        <v>0</v>
      </c>
      <c r="Q859" s="138">
        <v>460</v>
      </c>
      <c r="R859" s="138">
        <v>220</v>
      </c>
      <c r="S859" s="138">
        <v>680</v>
      </c>
      <c r="T859" s="138">
        <v>680</v>
      </c>
      <c r="U859" s="136"/>
      <c r="V859" s="136"/>
      <c r="W859" s="148">
        <v>388.25</v>
      </c>
      <c r="X859" s="148">
        <v>388</v>
      </c>
      <c r="Y859" s="148">
        <v>3135118.75</v>
      </c>
      <c r="Z859" s="128"/>
      <c r="AA859" s="147">
        <v>78377.97</v>
      </c>
      <c r="AB859" s="147">
        <v>78377.97</v>
      </c>
      <c r="AC859" s="147">
        <v>3291874.69</v>
      </c>
      <c r="AD859" s="315">
        <f t="shared" si="539"/>
        <v>3288582.81531</v>
      </c>
      <c r="AE859" s="147">
        <v>40.15</v>
      </c>
      <c r="AF859" s="147">
        <v>42</v>
      </c>
      <c r="AG859" s="147">
        <v>40</v>
      </c>
      <c r="AH859" s="287">
        <v>4.1000000000000003E-3</v>
      </c>
      <c r="AI859" s="287">
        <v>3.3799999999999997E-2</v>
      </c>
      <c r="AJ859" s="287">
        <v>5.0999999999999997E-2</v>
      </c>
      <c r="AK859" s="318">
        <f t="shared" ref="AK859:AK873" si="559">+IF(AF859=42,IF(MIN(AE859,AG859)&lt;AF859,Y859*((AF859-MIN(AE859,AG859))/AF859)),IF(MIN(AE859,AG859)&lt;AF859,Y859*((AF859-MIN(AE859,AG859))/AF859),0))</f>
        <v>149291.36904761905</v>
      </c>
      <c r="AL859" s="193">
        <f>460*10+220*15</f>
        <v>7900</v>
      </c>
      <c r="AM859" s="319">
        <f t="shared" ref="AM859:AM873" si="560">Y859*AH859</f>
        <v>12853.986875000001</v>
      </c>
      <c r="AN859" s="319">
        <v>0</v>
      </c>
      <c r="AO859" s="320">
        <f t="shared" ref="AO859:AO873" si="561">AT859*Y859/AW859</f>
        <v>2018.75</v>
      </c>
      <c r="AP859" s="193"/>
      <c r="AQ859" s="318">
        <v>0</v>
      </c>
      <c r="AR859" s="318">
        <f t="shared" si="541"/>
        <v>172064.10592261906</v>
      </c>
      <c r="AS859" s="318">
        <f t="shared" si="542"/>
        <v>180667</v>
      </c>
      <c r="AT859" s="321">
        <v>25</v>
      </c>
      <c r="AU859" s="136"/>
      <c r="AV859" s="136"/>
      <c r="AW859" s="318">
        <f t="shared" si="543"/>
        <v>38825</v>
      </c>
      <c r="AX859" s="193"/>
      <c r="AY859" s="318">
        <f t="shared" si="544"/>
        <v>38825</v>
      </c>
      <c r="AZ859" s="318">
        <f t="shared" si="545"/>
        <v>38800</v>
      </c>
      <c r="BA859" s="318">
        <f t="shared" si="546"/>
        <v>25</v>
      </c>
      <c r="BB859" s="318">
        <f t="shared" si="547"/>
        <v>77.650000000000006</v>
      </c>
      <c r="BC859" s="318">
        <v>0</v>
      </c>
      <c r="BD859" s="373"/>
      <c r="BE859" s="138">
        <v>388.25</v>
      </c>
      <c r="BF859" s="374">
        <f t="shared" si="548"/>
        <v>0.58237499999999998</v>
      </c>
      <c r="BG859" s="197">
        <f t="shared" si="540"/>
        <v>387.66762499999999</v>
      </c>
      <c r="BH859" s="375">
        <f t="shared" si="549"/>
        <v>388</v>
      </c>
      <c r="BI859" s="322">
        <f t="shared" si="550"/>
        <v>25</v>
      </c>
      <c r="BJ859" s="322">
        <v>0</v>
      </c>
      <c r="BK859" s="318">
        <f t="shared" si="551"/>
        <v>25</v>
      </c>
      <c r="BL859" s="67"/>
      <c r="BM859" s="68" t="str">
        <f t="shared" si="552"/>
        <v>Unloading no. 830 Bill No 2/2026-27 ,Deduction For Oil Deduction= 149291.369047619 ,Bardana= 7900 ,F.M= 12853.986875 Brokerage/Rate Difference 0 ,Shortage = 2018.75 ,Greenish=  ,Moisture= 0</v>
      </c>
      <c r="BN859" s="69"/>
      <c r="BO859" s="70" t="str">
        <f t="shared" si="553"/>
        <v xml:space="preserve"> Party Condition 42  ,F.M% 0.41 ,Greenish 3.38 ,Moisture 5.1 ,Shortage in KG= 25  ,Oil% 40</v>
      </c>
      <c r="BP859" s="71">
        <f t="shared" si="554"/>
        <v>7636.7387733953119</v>
      </c>
      <c r="BQ859" s="41"/>
      <c r="BR859" s="41"/>
      <c r="BS859" s="41"/>
      <c r="BT859" s="41"/>
      <c r="BU859" s="41"/>
      <c r="BV859" s="41"/>
      <c r="BW859" s="85"/>
      <c r="BX859" s="27">
        <v>40.15</v>
      </c>
      <c r="BY859" s="27">
        <v>40</v>
      </c>
    </row>
    <row r="860" spans="1:77" ht="14.1" hidden="1" customHeight="1" x14ac:dyDescent="0.3">
      <c r="A860" s="128" t="s">
        <v>1621</v>
      </c>
      <c r="B860" s="146">
        <v>46177</v>
      </c>
      <c r="C860" s="138">
        <v>831</v>
      </c>
      <c r="D860" s="135" t="s">
        <v>1788</v>
      </c>
      <c r="E860" s="129">
        <v>46180</v>
      </c>
      <c r="F860" s="128" t="s">
        <v>98</v>
      </c>
      <c r="G860" s="281" t="s">
        <v>99</v>
      </c>
      <c r="H860" s="281" t="s">
        <v>100</v>
      </c>
      <c r="I860" s="136"/>
      <c r="J860" s="347" t="s">
        <v>1455</v>
      </c>
      <c r="K860" s="136"/>
      <c r="L860" s="146">
        <v>46177</v>
      </c>
      <c r="M860" s="136"/>
      <c r="N860" s="128">
        <v>129</v>
      </c>
      <c r="O860" s="130">
        <v>46178</v>
      </c>
      <c r="P860" s="138">
        <v>0</v>
      </c>
      <c r="Q860" s="138">
        <v>180</v>
      </c>
      <c r="R860" s="138">
        <v>150</v>
      </c>
      <c r="S860" s="138">
        <v>330</v>
      </c>
      <c r="T860" s="138">
        <v>330</v>
      </c>
      <c r="U860" s="136"/>
      <c r="V860" s="136"/>
      <c r="W860" s="148">
        <v>198.75</v>
      </c>
      <c r="X860" s="148">
        <v>197.8</v>
      </c>
      <c r="Y860" s="148">
        <v>1604906.25</v>
      </c>
      <c r="Z860" s="128"/>
      <c r="AA860" s="147">
        <v>40122.660000000003</v>
      </c>
      <c r="AB860" s="147">
        <v>40122.660000000003</v>
      </c>
      <c r="AC860" s="147">
        <v>1685151.56</v>
      </c>
      <c r="AD860" s="315">
        <f t="shared" si="539"/>
        <v>1683466.4084400001</v>
      </c>
      <c r="AE860" s="147">
        <v>40.18</v>
      </c>
      <c r="AF860" s="147">
        <v>42</v>
      </c>
      <c r="AG860" s="147">
        <v>40.130000000000003</v>
      </c>
      <c r="AH860" s="287">
        <v>3.8999999999999998E-3</v>
      </c>
      <c r="AI860" s="287">
        <v>3.2000000000000001E-2</v>
      </c>
      <c r="AJ860" s="287">
        <v>4.3999999999999997E-2</v>
      </c>
      <c r="AK860" s="318">
        <f t="shared" si="559"/>
        <v>71456.540178571333</v>
      </c>
      <c r="AL860" s="193">
        <f>180*10+150*15</f>
        <v>4050</v>
      </c>
      <c r="AM860" s="319">
        <f t="shared" si="560"/>
        <v>6259.1343749999996</v>
      </c>
      <c r="AN860" s="319">
        <v>0</v>
      </c>
      <c r="AO860" s="320">
        <f t="shared" si="561"/>
        <v>7671.25</v>
      </c>
      <c r="AP860" s="193"/>
      <c r="AQ860" s="318">
        <v>0</v>
      </c>
      <c r="AR860" s="318">
        <f t="shared" si="541"/>
        <v>89436.924553571327</v>
      </c>
      <c r="AS860" s="318">
        <f t="shared" si="542"/>
        <v>93909</v>
      </c>
      <c r="AT860" s="321">
        <v>95</v>
      </c>
      <c r="AU860" s="136"/>
      <c r="AV860" s="136"/>
      <c r="AW860" s="318">
        <f t="shared" si="543"/>
        <v>19875</v>
      </c>
      <c r="AX860" s="193"/>
      <c r="AY860" s="318">
        <f t="shared" si="544"/>
        <v>19875</v>
      </c>
      <c r="AZ860" s="318">
        <f t="shared" si="545"/>
        <v>19780</v>
      </c>
      <c r="BA860" s="318">
        <f t="shared" si="546"/>
        <v>95</v>
      </c>
      <c r="BB860" s="318">
        <f t="shared" si="547"/>
        <v>39.75</v>
      </c>
      <c r="BC860" s="318">
        <v>0</v>
      </c>
      <c r="BD860" s="373"/>
      <c r="BE860" s="138">
        <v>198.75</v>
      </c>
      <c r="BF860" s="374">
        <f t="shared" si="548"/>
        <v>0.29812499999999997</v>
      </c>
      <c r="BG860" s="197">
        <f t="shared" si="540"/>
        <v>198.451875</v>
      </c>
      <c r="BH860" s="375">
        <f t="shared" si="549"/>
        <v>197.8</v>
      </c>
      <c r="BI860" s="322">
        <f t="shared" si="550"/>
        <v>94.999999999998863</v>
      </c>
      <c r="BJ860" s="322">
        <v>0</v>
      </c>
      <c r="BK860" s="318">
        <f t="shared" si="551"/>
        <v>94.999999999998863</v>
      </c>
      <c r="BL860" s="67"/>
      <c r="BM860" s="68" t="str">
        <f t="shared" si="552"/>
        <v>Unloading no. 831 Bill No 129 ,Deduction For Oil Deduction= 71456.5401785713 ,Bardana= 4050 ,F.M= 6259.134375 Brokerage/Rate Difference 0 ,Shortage = 7671.25 ,Greenish=  ,Moisture= 0</v>
      </c>
      <c r="BN860" s="69"/>
      <c r="BO860" s="70" t="str">
        <f t="shared" si="553"/>
        <v xml:space="preserve"> Party Condition 42  ,F.M% 0.39 ,Greenish 3.2 ,Moisture 4.4 ,Shortage in KG= 95  ,Oil% 40.13</v>
      </c>
      <c r="BP860" s="71">
        <f t="shared" si="554"/>
        <v>7661.6244966957966</v>
      </c>
      <c r="BQ860" s="41"/>
      <c r="BR860" s="41"/>
      <c r="BS860" s="41"/>
      <c r="BT860" s="41"/>
      <c r="BU860" s="41"/>
      <c r="BV860" s="41"/>
      <c r="BW860" s="85"/>
      <c r="BX860" s="27">
        <v>40.18</v>
      </c>
      <c r="BY860" s="27">
        <v>40.130000000000003</v>
      </c>
    </row>
    <row r="861" spans="1:77" ht="14.1" hidden="1" customHeight="1" x14ac:dyDescent="0.3">
      <c r="A861" s="128" t="s">
        <v>1750</v>
      </c>
      <c r="B861" s="146">
        <v>46178</v>
      </c>
      <c r="C861" s="138">
        <v>832</v>
      </c>
      <c r="D861" s="135" t="s">
        <v>1789</v>
      </c>
      <c r="E861" s="129">
        <v>46180</v>
      </c>
      <c r="F861" s="128" t="s">
        <v>1512</v>
      </c>
      <c r="G861" s="281" t="s">
        <v>1513</v>
      </c>
      <c r="H861" s="281" t="s">
        <v>1514</v>
      </c>
      <c r="I861" s="136"/>
      <c r="J861" s="347" t="s">
        <v>1455</v>
      </c>
      <c r="K861" s="136"/>
      <c r="L861" s="146">
        <v>46178</v>
      </c>
      <c r="M861" s="136"/>
      <c r="N861" s="128">
        <v>32</v>
      </c>
      <c r="O861" s="130">
        <v>46178</v>
      </c>
      <c r="P861" s="138">
        <v>0</v>
      </c>
      <c r="Q861" s="138">
        <v>300</v>
      </c>
      <c r="R861" s="138">
        <v>276</v>
      </c>
      <c r="S861" s="138">
        <v>576</v>
      </c>
      <c r="T861" s="138">
        <v>576</v>
      </c>
      <c r="U861" s="136"/>
      <c r="V861" s="136"/>
      <c r="W861" s="148">
        <v>353.3</v>
      </c>
      <c r="X861" s="148">
        <v>353.2</v>
      </c>
      <c r="Y861" s="148">
        <f>2811031.45-2296.45</f>
        <v>2808735</v>
      </c>
      <c r="Z861" s="128"/>
      <c r="AA861" s="147">
        <v>70275.789999999994</v>
      </c>
      <c r="AB861" s="147">
        <v>70275.789999999994</v>
      </c>
      <c r="AC861" s="147">
        <v>2951583.02</v>
      </c>
      <c r="AD861" s="315">
        <f t="shared" si="539"/>
        <v>2948631.4369800002</v>
      </c>
      <c r="AE861" s="147">
        <v>39.5</v>
      </c>
      <c r="AF861" s="147">
        <v>42</v>
      </c>
      <c r="AG861" s="147">
        <v>39.54</v>
      </c>
      <c r="AH861" s="287">
        <v>4.8999999999999998E-3</v>
      </c>
      <c r="AI861" s="287">
        <v>3.7999999999999999E-2</v>
      </c>
      <c r="AJ861" s="287">
        <v>4.9000000000000002E-2</v>
      </c>
      <c r="AK861" s="318">
        <f t="shared" si="559"/>
        <v>167186.60714285713</v>
      </c>
      <c r="AL861" s="193">
        <f>300*10+276*15</f>
        <v>7140</v>
      </c>
      <c r="AM861" s="319">
        <f t="shared" si="560"/>
        <v>13762.8015</v>
      </c>
      <c r="AN861" s="324">
        <v>2296.4499999999998</v>
      </c>
      <c r="AO861" s="320">
        <f t="shared" si="561"/>
        <v>795</v>
      </c>
      <c r="AP861" s="193"/>
      <c r="AQ861" s="318">
        <v>0</v>
      </c>
      <c r="AR861" s="318">
        <f t="shared" si="541"/>
        <v>191180.85864285714</v>
      </c>
      <c r="AS861" s="318">
        <f t="shared" si="542"/>
        <v>200740</v>
      </c>
      <c r="AT861" s="321">
        <v>10</v>
      </c>
      <c r="AU861" s="136" t="s">
        <v>1535</v>
      </c>
      <c r="AV861" s="136"/>
      <c r="AW861" s="318">
        <f t="shared" si="543"/>
        <v>35330</v>
      </c>
      <c r="AX861" s="193"/>
      <c r="AY861" s="318">
        <f t="shared" si="544"/>
        <v>35330</v>
      </c>
      <c r="AZ861" s="318">
        <f t="shared" si="545"/>
        <v>35320</v>
      </c>
      <c r="BA861" s="318">
        <f t="shared" si="546"/>
        <v>10</v>
      </c>
      <c r="BB861" s="318">
        <f t="shared" si="547"/>
        <v>70.66</v>
      </c>
      <c r="BC861" s="318">
        <v>0</v>
      </c>
      <c r="BD861" s="373"/>
      <c r="BE861" s="138">
        <v>353.3</v>
      </c>
      <c r="BF861" s="374">
        <f t="shared" si="548"/>
        <v>0.52994999999999992</v>
      </c>
      <c r="BG861" s="197">
        <f t="shared" si="540"/>
        <v>352.77005000000003</v>
      </c>
      <c r="BH861" s="375">
        <f t="shared" si="549"/>
        <v>353.2</v>
      </c>
      <c r="BI861" s="322">
        <f t="shared" si="550"/>
        <v>10.000000000002274</v>
      </c>
      <c r="BJ861" s="322">
        <v>0</v>
      </c>
      <c r="BK861" s="318">
        <f t="shared" si="551"/>
        <v>10.000000000002274</v>
      </c>
      <c r="BL861" s="67"/>
      <c r="BM861" s="68" t="str">
        <f t="shared" si="552"/>
        <v>Unloading no. 832 Bill No 32 ,Deduction For Oil Deduction= 167186.607142857 ,Bardana= 7140 ,F.M= 13762.8015 Brokerage/Rate Difference 2296.45 ,Shortage = 795 ,Greenish=  ,Moisture= 0</v>
      </c>
      <c r="BN861" s="69"/>
      <c r="BO861" s="70" t="str">
        <f t="shared" si="553"/>
        <v xml:space="preserve"> Party Condition 42  ,F.M% 0.49 ,Greenish 3.8 ,Moisture 4.9 ,Shortage in KG= 10  ,Oil% 39.5</v>
      </c>
      <c r="BP861" s="71">
        <f t="shared" si="554"/>
        <v>7410.9686901391369</v>
      </c>
      <c r="BQ861" s="41"/>
      <c r="BR861" s="41"/>
      <c r="BS861" s="41"/>
      <c r="BT861" s="41"/>
      <c r="BU861" s="41"/>
      <c r="BV861" s="41"/>
      <c r="BW861" s="85"/>
      <c r="BX861" s="27">
        <v>39.5</v>
      </c>
      <c r="BY861" s="27">
        <v>39.54</v>
      </c>
    </row>
    <row r="862" spans="1:77" ht="14.1" hidden="1" customHeight="1" x14ac:dyDescent="0.3">
      <c r="A862" s="128" t="s">
        <v>1751</v>
      </c>
      <c r="B862" s="146">
        <v>46178</v>
      </c>
      <c r="C862" s="138">
        <v>833</v>
      </c>
      <c r="D862" s="135" t="s">
        <v>1790</v>
      </c>
      <c r="E862" s="129">
        <v>46180</v>
      </c>
      <c r="F862" s="128" t="s">
        <v>95</v>
      </c>
      <c r="G862" s="281" t="s">
        <v>96</v>
      </c>
      <c r="H862" s="281" t="s">
        <v>97</v>
      </c>
      <c r="I862" s="136"/>
      <c r="J862" s="347" t="s">
        <v>1455</v>
      </c>
      <c r="K862" s="136"/>
      <c r="L862" s="146">
        <v>46178</v>
      </c>
      <c r="M862" s="136"/>
      <c r="N862" s="128">
        <v>199</v>
      </c>
      <c r="O862" s="130">
        <v>46179</v>
      </c>
      <c r="P862" s="138">
        <v>0</v>
      </c>
      <c r="Q862" s="138">
        <v>315</v>
      </c>
      <c r="R862" s="138">
        <v>200</v>
      </c>
      <c r="S862" s="138">
        <v>515</v>
      </c>
      <c r="T862" s="138">
        <v>515</v>
      </c>
      <c r="U862" s="136"/>
      <c r="V862" s="136"/>
      <c r="W862" s="148">
        <v>312.89999999999998</v>
      </c>
      <c r="X862" s="148">
        <v>312.8</v>
      </c>
      <c r="Y862" s="148">
        <f>2512773.5-1751</f>
        <v>2511022.5</v>
      </c>
      <c r="Z862" s="128"/>
      <c r="AA862" s="147">
        <v>62819.34</v>
      </c>
      <c r="AB862" s="147">
        <v>62819.34</v>
      </c>
      <c r="AC862" s="147">
        <v>2638412.1800000002</v>
      </c>
      <c r="AD862" s="315">
        <f t="shared" si="539"/>
        <v>2635773.7678200002</v>
      </c>
      <c r="AE862" s="147">
        <v>40.46</v>
      </c>
      <c r="AF862" s="147">
        <v>42</v>
      </c>
      <c r="AG862" s="147">
        <v>40.270000000000003</v>
      </c>
      <c r="AH862" s="287">
        <v>4.1000000000000003E-3</v>
      </c>
      <c r="AI862" s="287">
        <v>3.2000000000000001E-2</v>
      </c>
      <c r="AJ862" s="287">
        <v>4.9000000000000002E-2</v>
      </c>
      <c r="AK862" s="318">
        <f t="shared" si="559"/>
        <v>103430.21249999982</v>
      </c>
      <c r="AL862" s="193">
        <f>315*10+200*15</f>
        <v>6150</v>
      </c>
      <c r="AM862" s="319">
        <f t="shared" si="560"/>
        <v>10295.19225</v>
      </c>
      <c r="AN862" s="324">
        <v>1751</v>
      </c>
      <c r="AO862" s="320">
        <f t="shared" si="561"/>
        <v>802.50000000000011</v>
      </c>
      <c r="AP862" s="193"/>
      <c r="AQ862" s="318">
        <v>0</v>
      </c>
      <c r="AR862" s="318">
        <f t="shared" si="541"/>
        <v>122428.90474999981</v>
      </c>
      <c r="AS862" s="318">
        <f t="shared" si="542"/>
        <v>128550</v>
      </c>
      <c r="AT862" s="321">
        <v>10</v>
      </c>
      <c r="AU862" s="136" t="s">
        <v>1535</v>
      </c>
      <c r="AV862" s="136"/>
      <c r="AW862" s="318">
        <f t="shared" si="543"/>
        <v>31289.999999999996</v>
      </c>
      <c r="AX862" s="193"/>
      <c r="AY862" s="318">
        <f t="shared" si="544"/>
        <v>31289.999999999996</v>
      </c>
      <c r="AZ862" s="318">
        <f t="shared" si="545"/>
        <v>31280</v>
      </c>
      <c r="BA862" s="318">
        <f t="shared" si="546"/>
        <v>9.999999999996362</v>
      </c>
      <c r="BB862" s="318">
        <f t="shared" si="547"/>
        <v>62.579999999999991</v>
      </c>
      <c r="BC862" s="318">
        <v>0</v>
      </c>
      <c r="BD862" s="373"/>
      <c r="BE862" s="138">
        <v>312.89999999999998</v>
      </c>
      <c r="BF862" s="374">
        <f t="shared" si="548"/>
        <v>0.46934999999999993</v>
      </c>
      <c r="BG862" s="197">
        <f t="shared" si="540"/>
        <v>312.43064999999996</v>
      </c>
      <c r="BH862" s="375">
        <f t="shared" si="549"/>
        <v>312.8</v>
      </c>
      <c r="BI862" s="322">
        <f t="shared" si="550"/>
        <v>9.9999999999965894</v>
      </c>
      <c r="BJ862" s="322">
        <v>0</v>
      </c>
      <c r="BK862" s="318">
        <f t="shared" si="551"/>
        <v>9.9999999999965894</v>
      </c>
      <c r="BL862" s="67"/>
      <c r="BM862" s="68" t="str">
        <f t="shared" si="552"/>
        <v>Unloading no. 833 Bill No 199 ,Deduction For Oil Deduction= 103430.2125 ,Bardana= 6150 ,F.M= 10295.19225 Brokerage/Rate Difference 1751 ,Shortage = 802.5 ,Greenish=  ,Moisture= 0</v>
      </c>
      <c r="BN862" s="69"/>
      <c r="BO862" s="70" t="str">
        <f t="shared" si="553"/>
        <v xml:space="preserve"> Party Condition 42  ,F.M% 0.41 ,Greenish 3.2 ,Moisture 4.9 ,Shortage in KG= 10  ,Oil% 40.27</v>
      </c>
      <c r="BP862" s="71">
        <f t="shared" si="554"/>
        <v>7636.1687827685428</v>
      </c>
      <c r="BQ862" s="41"/>
      <c r="BR862" s="41"/>
      <c r="BS862" s="41"/>
      <c r="BT862" s="41"/>
      <c r="BU862" s="41"/>
      <c r="BV862" s="41"/>
      <c r="BW862" s="85"/>
      <c r="BX862" s="27">
        <v>40.46</v>
      </c>
      <c r="BY862" s="27">
        <v>40.270000000000003</v>
      </c>
    </row>
    <row r="863" spans="1:77" ht="14.1" hidden="1" customHeight="1" x14ac:dyDescent="0.3">
      <c r="A863" s="128" t="s">
        <v>1742</v>
      </c>
      <c r="B863" s="146">
        <v>46177</v>
      </c>
      <c r="C863" s="138">
        <v>834</v>
      </c>
      <c r="D863" s="135" t="s">
        <v>1791</v>
      </c>
      <c r="E863" s="129">
        <v>46180</v>
      </c>
      <c r="F863" s="128" t="s">
        <v>1382</v>
      </c>
      <c r="G863" s="281" t="s">
        <v>1383</v>
      </c>
      <c r="H863" s="281" t="s">
        <v>1384</v>
      </c>
      <c r="I863" s="136"/>
      <c r="J863" s="347" t="s">
        <v>1455</v>
      </c>
      <c r="K863" s="136"/>
      <c r="L863" s="146">
        <v>46177</v>
      </c>
      <c r="M863" s="136"/>
      <c r="N863" s="128">
        <v>18</v>
      </c>
      <c r="O863" s="130">
        <v>46178</v>
      </c>
      <c r="P863" s="138">
        <v>0</v>
      </c>
      <c r="Q863" s="138">
        <v>80</v>
      </c>
      <c r="R863" s="138">
        <v>425</v>
      </c>
      <c r="S863" s="138">
        <v>505</v>
      </c>
      <c r="T863" s="138">
        <v>505</v>
      </c>
      <c r="U863" s="136"/>
      <c r="V863" s="136"/>
      <c r="W863" s="148">
        <v>307.25</v>
      </c>
      <c r="X863" s="148">
        <v>307</v>
      </c>
      <c r="Y863" s="148">
        <v>2481043.75</v>
      </c>
      <c r="Z863" s="128"/>
      <c r="AA863" s="147">
        <v>62026.09</v>
      </c>
      <c r="AB863" s="147">
        <v>62026.09</v>
      </c>
      <c r="AC863" s="147">
        <v>2605095.94</v>
      </c>
      <c r="AD863" s="315">
        <f t="shared" si="539"/>
        <v>2602490.84406</v>
      </c>
      <c r="AE863" s="147">
        <v>38.35</v>
      </c>
      <c r="AF863" s="147">
        <v>42</v>
      </c>
      <c r="AG863" s="147">
        <v>38.369999999999997</v>
      </c>
      <c r="AH863" s="292">
        <v>4.4000000000000003E-3</v>
      </c>
      <c r="AI863" s="287">
        <v>4.9000000000000002E-2</v>
      </c>
      <c r="AJ863" s="287">
        <v>4.4999999999999998E-2</v>
      </c>
      <c r="AK863" s="318">
        <f t="shared" si="559"/>
        <v>215614.51636904755</v>
      </c>
      <c r="AL863" s="193">
        <f>80*10+425*15</f>
        <v>7175</v>
      </c>
      <c r="AM863" s="319">
        <f t="shared" si="560"/>
        <v>10916.592500000001</v>
      </c>
      <c r="AN863" s="319">
        <v>0</v>
      </c>
      <c r="AO863" s="320">
        <f t="shared" si="561"/>
        <v>2018.75</v>
      </c>
      <c r="AP863" s="193"/>
      <c r="AQ863" s="318">
        <v>0</v>
      </c>
      <c r="AR863" s="318">
        <f t="shared" si="541"/>
        <v>235724.85886904754</v>
      </c>
      <c r="AS863" s="318">
        <f t="shared" si="542"/>
        <v>247511</v>
      </c>
      <c r="AT863" s="321">
        <v>25</v>
      </c>
      <c r="AU863" s="136"/>
      <c r="AV863" s="136"/>
      <c r="AW863" s="318">
        <f t="shared" si="543"/>
        <v>30725</v>
      </c>
      <c r="AX863" s="193"/>
      <c r="AY863" s="318">
        <f t="shared" si="544"/>
        <v>30725</v>
      </c>
      <c r="AZ863" s="318">
        <f t="shared" si="545"/>
        <v>30700</v>
      </c>
      <c r="BA863" s="318">
        <f t="shared" si="546"/>
        <v>25</v>
      </c>
      <c r="BB863" s="318">
        <f t="shared" si="547"/>
        <v>61.45</v>
      </c>
      <c r="BC863" s="318">
        <v>0</v>
      </c>
      <c r="BD863" s="373"/>
      <c r="BE863" s="138">
        <v>307.25</v>
      </c>
      <c r="BF863" s="374">
        <f t="shared" si="548"/>
        <v>0.46087499999999998</v>
      </c>
      <c r="BG863" s="197">
        <f t="shared" si="540"/>
        <v>306.78912500000001</v>
      </c>
      <c r="BH863" s="375">
        <f t="shared" si="549"/>
        <v>307</v>
      </c>
      <c r="BI863" s="322">
        <f t="shared" si="550"/>
        <v>25</v>
      </c>
      <c r="BJ863" s="322">
        <v>0</v>
      </c>
      <c r="BK863" s="318">
        <f t="shared" si="551"/>
        <v>25</v>
      </c>
      <c r="BL863" s="67"/>
      <c r="BM863" s="68" t="str">
        <f t="shared" si="552"/>
        <v>Unloading no. 834 Bill No 18 ,Deduction For Oil Deduction= 215614.516369048 ,Bardana= 7175 ,F.M= 10916.5925 Brokerage/Rate Difference 0 ,Shortage = 2018.75 ,Greenish=  ,Moisture= 0</v>
      </c>
      <c r="BN863" s="69"/>
      <c r="BO863" s="70" t="str">
        <f t="shared" si="553"/>
        <v xml:space="preserve"> Party Condition 42  ,F.M% 0.44 ,Greenish 4.9 ,Moisture 4.5 ,Shortage in KG= 25  ,Oil% 38.35</v>
      </c>
      <c r="BP863" s="71">
        <f t="shared" si="554"/>
        <v>7313.7423163874682</v>
      </c>
      <c r="BQ863" s="41"/>
      <c r="BR863" s="41"/>
      <c r="BS863" s="41"/>
      <c r="BT863" s="41"/>
      <c r="BU863" s="41"/>
      <c r="BV863" s="41"/>
      <c r="BW863" s="85"/>
      <c r="BX863" s="27">
        <v>38.35</v>
      </c>
      <c r="BY863" s="27">
        <v>38.369999999999997</v>
      </c>
    </row>
    <row r="864" spans="1:77" ht="14.1" hidden="1" customHeight="1" x14ac:dyDescent="0.3">
      <c r="A864" s="128" t="s">
        <v>1739</v>
      </c>
      <c r="B864" s="146">
        <v>46177</v>
      </c>
      <c r="C864" s="138">
        <v>835</v>
      </c>
      <c r="D864" s="135" t="s">
        <v>1792</v>
      </c>
      <c r="E864" s="129">
        <v>46180</v>
      </c>
      <c r="F864" s="128" t="s">
        <v>1083</v>
      </c>
      <c r="G864" s="281" t="s">
        <v>1084</v>
      </c>
      <c r="H864" s="281" t="s">
        <v>1454</v>
      </c>
      <c r="I864" s="136"/>
      <c r="J864" s="347" t="s">
        <v>1455</v>
      </c>
      <c r="K864" s="136"/>
      <c r="L864" s="146">
        <v>46177</v>
      </c>
      <c r="M864" s="136"/>
      <c r="N864" s="128">
        <v>37</v>
      </c>
      <c r="O864" s="130">
        <v>46179</v>
      </c>
      <c r="P864" s="138">
        <v>0</v>
      </c>
      <c r="Q864" s="138">
        <v>216</v>
      </c>
      <c r="R864" s="138">
        <v>210</v>
      </c>
      <c r="S864" s="138">
        <v>426</v>
      </c>
      <c r="T864" s="138">
        <v>426</v>
      </c>
      <c r="U864" s="136"/>
      <c r="V864" s="136"/>
      <c r="W864" s="148">
        <v>270.39999999999998</v>
      </c>
      <c r="X864" s="148">
        <v>269.89999999999998</v>
      </c>
      <c r="Y864" s="148">
        <v>2183480</v>
      </c>
      <c r="Z864" s="128"/>
      <c r="AA864" s="147">
        <v>54587</v>
      </c>
      <c r="AB864" s="147">
        <v>54587</v>
      </c>
      <c r="AC864" s="147">
        <v>2292654</v>
      </c>
      <c r="AD864" s="315">
        <f t="shared" si="539"/>
        <v>2290361.3459999999</v>
      </c>
      <c r="AE864" s="147">
        <v>39.58</v>
      </c>
      <c r="AF864" s="147">
        <v>42</v>
      </c>
      <c r="AG864" s="147">
        <v>39.549999999999997</v>
      </c>
      <c r="AH864" s="287">
        <v>5.1999999999999998E-3</v>
      </c>
      <c r="AI864" s="287">
        <v>3.4000000000000002E-2</v>
      </c>
      <c r="AJ864" s="287">
        <v>4.7E-2</v>
      </c>
      <c r="AK864" s="318">
        <f t="shared" si="559"/>
        <v>127369.66666666682</v>
      </c>
      <c r="AL864" s="193">
        <f>216*10+210*15</f>
        <v>5310</v>
      </c>
      <c r="AM864" s="319">
        <f t="shared" si="560"/>
        <v>11354.096</v>
      </c>
      <c r="AN864" s="319">
        <f>W864*15</f>
        <v>4055.9999999999995</v>
      </c>
      <c r="AO864" s="320">
        <f t="shared" si="561"/>
        <v>4037.5000000000005</v>
      </c>
      <c r="AP864" s="193"/>
      <c r="AQ864" s="318">
        <v>0</v>
      </c>
      <c r="AR864" s="318">
        <f t="shared" si="541"/>
        <v>152127.26266666679</v>
      </c>
      <c r="AS864" s="318">
        <f t="shared" si="542"/>
        <v>159734</v>
      </c>
      <c r="AT864" s="321">
        <v>50</v>
      </c>
      <c r="AU864" s="136" t="s">
        <v>1832</v>
      </c>
      <c r="AV864" s="136"/>
      <c r="AW864" s="318">
        <f t="shared" si="543"/>
        <v>27039.999999999996</v>
      </c>
      <c r="AX864" s="193"/>
      <c r="AY864" s="318">
        <f t="shared" si="544"/>
        <v>27039.999999999996</v>
      </c>
      <c r="AZ864" s="318">
        <f t="shared" si="545"/>
        <v>26989.999999999996</v>
      </c>
      <c r="BA864" s="318">
        <f t="shared" si="546"/>
        <v>50</v>
      </c>
      <c r="BB864" s="318">
        <f t="shared" si="547"/>
        <v>54.079999999999991</v>
      </c>
      <c r="BC864" s="318">
        <v>0</v>
      </c>
      <c r="BD864" s="373"/>
      <c r="BE864" s="138">
        <v>270.39999999999998</v>
      </c>
      <c r="BF864" s="374">
        <f t="shared" si="548"/>
        <v>0.40559999999999996</v>
      </c>
      <c r="BG864" s="197">
        <f t="shared" si="540"/>
        <v>269.99439999999998</v>
      </c>
      <c r="BH864" s="375">
        <f t="shared" si="549"/>
        <v>269.89999999999998</v>
      </c>
      <c r="BI864" s="322">
        <f t="shared" si="550"/>
        <v>50</v>
      </c>
      <c r="BJ864" s="322">
        <v>0</v>
      </c>
      <c r="BK864" s="318">
        <f t="shared" si="551"/>
        <v>50</v>
      </c>
      <c r="BL864" s="67"/>
      <c r="BM864" s="68" t="str">
        <f t="shared" si="552"/>
        <v>Unloading no. 835 Bill No 37 ,Deduction For Oil Deduction= 127369.666666667 ,Bardana= 5310 ,F.M= 11354.096 Brokerage/Rate Difference 4056 ,Shortage = 4037.5 ,Greenish=  ,Moisture= 0</v>
      </c>
      <c r="BN864" s="69"/>
      <c r="BO864" s="70" t="str">
        <f t="shared" si="553"/>
        <v xml:space="preserve"> Party Condition 42  ,F.M% 0.52 ,Greenish 3.4 ,Moisture 4.7 ,Shortage in KG= 50  ,Oil% 39.55</v>
      </c>
      <c r="BP864" s="71">
        <f t="shared" si="554"/>
        <v>7526.3161813017168</v>
      </c>
      <c r="BQ864" s="41"/>
      <c r="BR864" s="41"/>
      <c r="BS864" s="41"/>
      <c r="BT864" s="41"/>
      <c r="BU864" s="41"/>
      <c r="BV864" s="41"/>
      <c r="BW864" s="85"/>
      <c r="BX864" s="27">
        <v>39.58</v>
      </c>
      <c r="BY864" s="27">
        <v>39.549999999999997</v>
      </c>
    </row>
    <row r="865" spans="1:77" ht="14.1" hidden="1" customHeight="1" x14ac:dyDescent="0.3">
      <c r="A865" s="128" t="s">
        <v>1752</v>
      </c>
      <c r="B865" s="146">
        <v>46178</v>
      </c>
      <c r="C865" s="138">
        <v>836</v>
      </c>
      <c r="D865" s="135" t="s">
        <v>1793</v>
      </c>
      <c r="E865" s="129">
        <v>46180</v>
      </c>
      <c r="F865" s="128" t="s">
        <v>1807</v>
      </c>
      <c r="G865" s="281" t="s">
        <v>1808</v>
      </c>
      <c r="H865" s="281" t="s">
        <v>100</v>
      </c>
      <c r="I865" s="136"/>
      <c r="J865" s="347" t="s">
        <v>1455</v>
      </c>
      <c r="K865" s="136"/>
      <c r="L865" s="146">
        <v>46178</v>
      </c>
      <c r="M865" s="136"/>
      <c r="N865" s="128" t="s">
        <v>1823</v>
      </c>
      <c r="O865" s="130">
        <v>46179</v>
      </c>
      <c r="P865" s="138">
        <v>0</v>
      </c>
      <c r="Q865" s="138">
        <v>300</v>
      </c>
      <c r="R865" s="138">
        <v>240</v>
      </c>
      <c r="S865" s="138">
        <v>540</v>
      </c>
      <c r="T865" s="138">
        <v>540</v>
      </c>
      <c r="U865" s="136"/>
      <c r="V865" s="136"/>
      <c r="W865" s="148">
        <v>330.5</v>
      </c>
      <c r="X865" s="148">
        <v>330.9</v>
      </c>
      <c r="Y865" s="148">
        <v>2635737.5</v>
      </c>
      <c r="Z865" s="128"/>
      <c r="AA865" s="147">
        <v>65893.440000000002</v>
      </c>
      <c r="AB865" s="147">
        <v>65893.440000000002</v>
      </c>
      <c r="AC865" s="147">
        <v>2767524.38</v>
      </c>
      <c r="AD865" s="315">
        <f t="shared" si="539"/>
        <v>2764756.85562</v>
      </c>
      <c r="AE865" s="147">
        <v>39.1</v>
      </c>
      <c r="AF865" s="147">
        <v>42</v>
      </c>
      <c r="AG865" s="147">
        <v>39.11</v>
      </c>
      <c r="AH865" s="292">
        <v>4.7000000000000002E-3</v>
      </c>
      <c r="AI865" s="287">
        <v>3.2199999999999999E-2</v>
      </c>
      <c r="AJ865" s="287">
        <v>4.2999999999999997E-2</v>
      </c>
      <c r="AK865" s="318">
        <f t="shared" si="559"/>
        <v>181991.3988095237</v>
      </c>
      <c r="AL865" s="193">
        <f>300*10+240*15</f>
        <v>6600</v>
      </c>
      <c r="AM865" s="319">
        <f t="shared" si="560"/>
        <v>12387.966250000001</v>
      </c>
      <c r="AN865" s="319">
        <f>W865*15</f>
        <v>4957.5</v>
      </c>
      <c r="AO865" s="320">
        <f t="shared" si="561"/>
        <v>0</v>
      </c>
      <c r="AP865" s="193"/>
      <c r="AQ865" s="318">
        <v>0</v>
      </c>
      <c r="AR865" s="318">
        <f t="shared" si="541"/>
        <v>205936.8650595237</v>
      </c>
      <c r="AS865" s="318">
        <f t="shared" si="542"/>
        <v>216234</v>
      </c>
      <c r="AT865" s="321">
        <v>0</v>
      </c>
      <c r="AU865" s="136" t="s">
        <v>1832</v>
      </c>
      <c r="AV865" s="136"/>
      <c r="AW865" s="318">
        <f t="shared" si="543"/>
        <v>33050</v>
      </c>
      <c r="AX865" s="193"/>
      <c r="AY865" s="318">
        <f t="shared" si="544"/>
        <v>33050</v>
      </c>
      <c r="AZ865" s="318">
        <f t="shared" si="545"/>
        <v>33090</v>
      </c>
      <c r="BA865" s="318">
        <f t="shared" si="546"/>
        <v>-40</v>
      </c>
      <c r="BB865" s="318">
        <f t="shared" si="547"/>
        <v>66.099999999999994</v>
      </c>
      <c r="BC865" s="318">
        <v>0</v>
      </c>
      <c r="BD865" s="373"/>
      <c r="BE865" s="138">
        <v>330.5</v>
      </c>
      <c r="BF865" s="374">
        <f t="shared" si="548"/>
        <v>0.49574999999999997</v>
      </c>
      <c r="BG865" s="197">
        <f t="shared" si="540"/>
        <v>330.00425000000001</v>
      </c>
      <c r="BH865" s="375">
        <f t="shared" si="549"/>
        <v>330.9</v>
      </c>
      <c r="BI865" s="322">
        <f t="shared" si="550"/>
        <v>-39.999999999997726</v>
      </c>
      <c r="BJ865" s="322">
        <v>0</v>
      </c>
      <c r="BK865" s="318">
        <f t="shared" si="551"/>
        <v>-39.999999999997726</v>
      </c>
      <c r="BL865" s="67"/>
      <c r="BM865" s="68" t="str">
        <f t="shared" si="552"/>
        <v>Unloading no. 836 Bill No 2026-27/3 ,Deduction For Oil Deduction= 181991.398809524 ,Bardana= 6600 ,F.M= 12387.96625 Brokerage/Rate Difference 4957.5 ,Shortage = 0 ,Greenish=  ,Moisture= 0</v>
      </c>
      <c r="BN865" s="69"/>
      <c r="BO865" s="70" t="str">
        <f t="shared" si="553"/>
        <v xml:space="preserve"> Party Condition 42  ,F.M% 0.47 ,Greenish 3.22 ,Moisture 4.3 ,Shortage in KG= 0  ,Oil% 39.1</v>
      </c>
      <c r="BP865" s="71">
        <f t="shared" si="554"/>
        <v>7343.0058475082387</v>
      </c>
      <c r="BQ865" s="41"/>
      <c r="BR865" s="41"/>
      <c r="BS865" s="41"/>
      <c r="BT865" s="41"/>
      <c r="BU865" s="41"/>
      <c r="BV865" s="41"/>
      <c r="BW865" s="85"/>
      <c r="BX865" s="27">
        <v>39.1</v>
      </c>
      <c r="BY865" s="27">
        <v>39.11</v>
      </c>
    </row>
    <row r="866" spans="1:77" ht="14.1" hidden="1" customHeight="1" x14ac:dyDescent="0.3">
      <c r="A866" s="128" t="s">
        <v>1753</v>
      </c>
      <c r="B866" s="146">
        <v>46178</v>
      </c>
      <c r="C866" s="138">
        <v>837</v>
      </c>
      <c r="D866" s="135" t="s">
        <v>1794</v>
      </c>
      <c r="E866" s="129">
        <v>46180</v>
      </c>
      <c r="F866" s="128" t="s">
        <v>1382</v>
      </c>
      <c r="G866" s="281" t="s">
        <v>1383</v>
      </c>
      <c r="H866" s="281" t="s">
        <v>1384</v>
      </c>
      <c r="I866" s="136"/>
      <c r="J866" s="347" t="s">
        <v>1455</v>
      </c>
      <c r="K866" s="136"/>
      <c r="L866" s="146">
        <v>46178</v>
      </c>
      <c r="M866" s="136"/>
      <c r="N866" s="128">
        <v>19</v>
      </c>
      <c r="O866" s="130">
        <v>46179</v>
      </c>
      <c r="P866" s="138">
        <v>0</v>
      </c>
      <c r="Q866" s="138">
        <v>380</v>
      </c>
      <c r="R866" s="138">
        <v>120</v>
      </c>
      <c r="S866" s="138">
        <v>500</v>
      </c>
      <c r="T866" s="138">
        <v>500</v>
      </c>
      <c r="U866" s="136"/>
      <c r="V866" s="136"/>
      <c r="W866" s="148">
        <v>305.85000000000002</v>
      </c>
      <c r="X866" s="148">
        <v>269.89999999999998</v>
      </c>
      <c r="Y866" s="296">
        <f>2454446.25-288498.75</f>
        <v>2165947.5</v>
      </c>
      <c r="Z866" s="128"/>
      <c r="AA866" s="147">
        <v>61361.16</v>
      </c>
      <c r="AB866" s="147">
        <v>61361.16</v>
      </c>
      <c r="AC866" s="147">
        <v>2577168.56</v>
      </c>
      <c r="AD866" s="315">
        <f t="shared" si="539"/>
        <v>2574591.3914399999</v>
      </c>
      <c r="AE866" s="147">
        <v>38.72</v>
      </c>
      <c r="AF866" s="147">
        <v>42</v>
      </c>
      <c r="AG866" s="147">
        <v>38.619999999999997</v>
      </c>
      <c r="AH866" s="292">
        <v>4.4999999999999997E-3</v>
      </c>
      <c r="AI866" s="287">
        <v>3.4500000000000003E-2</v>
      </c>
      <c r="AJ866" s="287">
        <v>4.9000000000000002E-2</v>
      </c>
      <c r="AK866" s="318">
        <f t="shared" si="559"/>
        <v>174307.20357142869</v>
      </c>
      <c r="AL866" s="328">
        <f>322*10+120*15</f>
        <v>5020</v>
      </c>
      <c r="AM866" s="319">
        <f t="shared" si="560"/>
        <v>9746.7637500000001</v>
      </c>
      <c r="AN866" s="319">
        <v>0</v>
      </c>
      <c r="AO866" s="320">
        <f t="shared" si="561"/>
        <v>0</v>
      </c>
      <c r="AP866" s="193"/>
      <c r="AQ866" s="318">
        <v>0</v>
      </c>
      <c r="AR866" s="318">
        <f t="shared" si="541"/>
        <v>189073.9673214287</v>
      </c>
      <c r="AS866" s="318">
        <f t="shared" si="542"/>
        <v>198528</v>
      </c>
      <c r="AT866" s="321">
        <v>0</v>
      </c>
      <c r="AU866" s="136" t="s">
        <v>1830</v>
      </c>
      <c r="AV866" s="136"/>
      <c r="AW866" s="318">
        <f t="shared" si="543"/>
        <v>30585.000000000004</v>
      </c>
      <c r="AX866" s="193"/>
      <c r="AY866" s="318">
        <f t="shared" si="544"/>
        <v>30585.000000000004</v>
      </c>
      <c r="AZ866" s="318">
        <f t="shared" si="545"/>
        <v>26989.999999999996</v>
      </c>
      <c r="BA866" s="318">
        <f t="shared" si="546"/>
        <v>3595.0000000000073</v>
      </c>
      <c r="BB866" s="318">
        <f t="shared" si="547"/>
        <v>61.170000000000009</v>
      </c>
      <c r="BC866" s="318">
        <v>0</v>
      </c>
      <c r="BD866" s="373"/>
      <c r="BE866" s="138">
        <v>305.85000000000002</v>
      </c>
      <c r="BF866" s="374">
        <f t="shared" si="548"/>
        <v>0.45877500000000004</v>
      </c>
      <c r="BG866" s="197">
        <f t="shared" si="540"/>
        <v>305.39122500000002</v>
      </c>
      <c r="BH866" s="375">
        <f t="shared" si="549"/>
        <v>269.89999999999998</v>
      </c>
      <c r="BI866" s="322">
        <f t="shared" si="550"/>
        <v>3595.0000000000045</v>
      </c>
      <c r="BJ866" s="322">
        <v>0</v>
      </c>
      <c r="BK866" s="318">
        <f t="shared" si="551"/>
        <v>3595.0000000000045</v>
      </c>
      <c r="BL866" s="67"/>
      <c r="BM866" s="68" t="str">
        <f t="shared" si="552"/>
        <v>Unloading no. 837 Bill No 19 ,Deduction For Oil Deduction= 174307.203571429 ,Bardana= 5020 ,F.M= 9746.76375 Brokerage/Rate Difference 0 ,Shortage = 0 ,Greenish=  ,Moisture= 0</v>
      </c>
      <c r="BN866" s="69"/>
      <c r="BO866" s="70" t="str">
        <f t="shared" si="553"/>
        <v xml:space="preserve"> Party Condition 42  ,F.M% 0.45 ,Greenish 3.45 ,Moisture 4.9 ,Shortage in KG= 0  ,Oil% 38.62</v>
      </c>
      <c r="BP866" s="71">
        <f t="shared" si="554"/>
        <v>7324.4665901392054</v>
      </c>
      <c r="BQ866" s="41"/>
      <c r="BR866" s="41"/>
      <c r="BS866" s="41"/>
      <c r="BT866" s="41"/>
      <c r="BU866" s="41"/>
      <c r="BV866" s="41"/>
      <c r="BW866" s="85"/>
      <c r="BX866" s="27">
        <v>38.72</v>
      </c>
      <c r="BY866" s="27">
        <v>38.619999999999997</v>
      </c>
    </row>
    <row r="867" spans="1:77" ht="14.1" hidden="1" customHeight="1" x14ac:dyDescent="0.3">
      <c r="A867" s="128" t="s">
        <v>1754</v>
      </c>
      <c r="B867" s="146">
        <v>46177</v>
      </c>
      <c r="C867" s="138">
        <v>838</v>
      </c>
      <c r="D867" s="135" t="s">
        <v>1795</v>
      </c>
      <c r="E867" s="129">
        <v>46180</v>
      </c>
      <c r="F867" s="128" t="s">
        <v>1689</v>
      </c>
      <c r="G867" s="281" t="s">
        <v>1690</v>
      </c>
      <c r="H867" s="281" t="s">
        <v>1511</v>
      </c>
      <c r="I867" s="136"/>
      <c r="J867" s="347" t="s">
        <v>1455</v>
      </c>
      <c r="K867" s="136"/>
      <c r="L867" s="146">
        <v>46177</v>
      </c>
      <c r="M867" s="136"/>
      <c r="N867" s="128" t="s">
        <v>1824</v>
      </c>
      <c r="O867" s="130">
        <v>46179</v>
      </c>
      <c r="P867" s="138">
        <v>0</v>
      </c>
      <c r="Q867" s="138">
        <v>360</v>
      </c>
      <c r="R867" s="138">
        <v>46</v>
      </c>
      <c r="S867" s="138">
        <v>406</v>
      </c>
      <c r="T867" s="138">
        <v>406</v>
      </c>
      <c r="U867" s="136"/>
      <c r="V867" s="136"/>
      <c r="W867" s="148">
        <v>247.7</v>
      </c>
      <c r="X867" s="148">
        <v>247.6</v>
      </c>
      <c r="Y867" s="148">
        <v>1987792.5</v>
      </c>
      <c r="Z867" s="128"/>
      <c r="AA867" s="147">
        <v>49694.81</v>
      </c>
      <c r="AB867" s="147">
        <v>49694.81</v>
      </c>
      <c r="AC867" s="147">
        <v>2087182.13</v>
      </c>
      <c r="AD867" s="315">
        <f t="shared" si="539"/>
        <v>2085094.9478699998</v>
      </c>
      <c r="AE867" s="147">
        <v>38.380000000000003</v>
      </c>
      <c r="AF867" s="147">
        <v>42</v>
      </c>
      <c r="AG867" s="147">
        <v>38.35</v>
      </c>
      <c r="AH867" s="287">
        <v>5.0000000000000001E-3</v>
      </c>
      <c r="AI867" s="287">
        <v>3.5000000000000003E-2</v>
      </c>
      <c r="AJ867" s="287">
        <v>4.5999999999999999E-2</v>
      </c>
      <c r="AK867" s="318">
        <f t="shared" si="559"/>
        <v>172748.63392857136</v>
      </c>
      <c r="AL867" s="328">
        <f>360*10+46*15</f>
        <v>4290</v>
      </c>
      <c r="AM867" s="319">
        <f t="shared" si="560"/>
        <v>9938.9624999999996</v>
      </c>
      <c r="AN867" s="319">
        <v>0</v>
      </c>
      <c r="AO867" s="320">
        <f t="shared" si="561"/>
        <v>802.5</v>
      </c>
      <c r="AP867" s="193"/>
      <c r="AQ867" s="318">
        <v>0</v>
      </c>
      <c r="AR867" s="318">
        <f t="shared" si="541"/>
        <v>187780.09642857136</v>
      </c>
      <c r="AS867" s="318">
        <f t="shared" si="542"/>
        <v>197169</v>
      </c>
      <c r="AT867" s="321">
        <v>10</v>
      </c>
      <c r="AU867" s="136" t="s">
        <v>1831</v>
      </c>
      <c r="AV867" s="136"/>
      <c r="AW867" s="318">
        <f t="shared" si="543"/>
        <v>24770</v>
      </c>
      <c r="AX867" s="193"/>
      <c r="AY867" s="318">
        <f t="shared" si="544"/>
        <v>24770</v>
      </c>
      <c r="AZ867" s="318">
        <f t="shared" si="545"/>
        <v>24760</v>
      </c>
      <c r="BA867" s="318">
        <f t="shared" si="546"/>
        <v>10</v>
      </c>
      <c r="BB867" s="318">
        <f t="shared" si="547"/>
        <v>49.54</v>
      </c>
      <c r="BC867" s="318">
        <v>0</v>
      </c>
      <c r="BD867" s="373"/>
      <c r="BE867" s="138">
        <v>247.7</v>
      </c>
      <c r="BF867" s="374">
        <f t="shared" si="548"/>
        <v>0.37154999999999994</v>
      </c>
      <c r="BG867" s="197">
        <f t="shared" si="540"/>
        <v>247.32844999999998</v>
      </c>
      <c r="BH867" s="375">
        <f t="shared" si="549"/>
        <v>247.6</v>
      </c>
      <c r="BI867" s="322">
        <f t="shared" si="550"/>
        <v>9.9999999999994316</v>
      </c>
      <c r="BJ867" s="322">
        <v>0</v>
      </c>
      <c r="BK867" s="318">
        <f t="shared" si="551"/>
        <v>9.9999999999994316</v>
      </c>
      <c r="BL867" s="67"/>
      <c r="BM867" s="68" t="str">
        <f t="shared" si="552"/>
        <v>Unloading no. 838 Bill No GST22 ,Deduction For Oil Deduction= 172748.633928571 ,Bardana= 4290 ,F.M= 9938.9625 Brokerage/Rate Difference 0 ,Shortage = 802.5 ,Greenish=  ,Moisture= 0</v>
      </c>
      <c r="BN867" s="69"/>
      <c r="BO867" s="70" t="str">
        <f t="shared" si="553"/>
        <v xml:space="preserve"> Party Condition 42  ,F.M% 0.5 ,Greenish 3.5 ,Moisture 4.6 ,Shortage in KG= 10  ,Oil% 38.35</v>
      </c>
      <c r="BP867" s="71">
        <f t="shared" si="554"/>
        <v>7269.840079044543</v>
      </c>
      <c r="BQ867" s="41"/>
      <c r="BR867" s="41"/>
      <c r="BS867" s="41"/>
      <c r="BT867" s="41"/>
      <c r="BU867" s="41"/>
      <c r="BV867" s="41"/>
      <c r="BW867" s="85"/>
      <c r="BX867" s="27">
        <v>38.380000000000003</v>
      </c>
      <c r="BY867" s="27">
        <v>38.35</v>
      </c>
    </row>
    <row r="868" spans="1:77" ht="14.1" hidden="1" customHeight="1" x14ac:dyDescent="0.3">
      <c r="A868" s="128" t="s">
        <v>1751</v>
      </c>
      <c r="B868" s="146">
        <v>46178</v>
      </c>
      <c r="C868" s="138">
        <v>839</v>
      </c>
      <c r="D868" s="135" t="s">
        <v>1796</v>
      </c>
      <c r="E868" s="129">
        <v>46180</v>
      </c>
      <c r="F868" s="128" t="s">
        <v>95</v>
      </c>
      <c r="G868" s="281" t="s">
        <v>96</v>
      </c>
      <c r="H868" s="281" t="s">
        <v>97</v>
      </c>
      <c r="I868" s="136"/>
      <c r="J868" s="347" t="s">
        <v>1455</v>
      </c>
      <c r="K868" s="136"/>
      <c r="L868" s="146">
        <v>46178</v>
      </c>
      <c r="M868" s="136"/>
      <c r="N868" s="128">
        <v>198</v>
      </c>
      <c r="O868" s="130">
        <v>46179</v>
      </c>
      <c r="P868" s="138">
        <v>0</v>
      </c>
      <c r="Q868" s="138">
        <v>420</v>
      </c>
      <c r="R868" s="138">
        <v>83</v>
      </c>
      <c r="S868" s="138">
        <v>503</v>
      </c>
      <c r="T868" s="138">
        <v>503</v>
      </c>
      <c r="U868" s="136"/>
      <c r="V868" s="136"/>
      <c r="W868" s="148">
        <v>303.60000000000002</v>
      </c>
      <c r="X868" s="148">
        <v>303.7</v>
      </c>
      <c r="Y868" s="148">
        <f>2438100.2-1710.2</f>
        <v>2436390</v>
      </c>
      <c r="Z868" s="128"/>
      <c r="AA868" s="147">
        <v>6202.51</v>
      </c>
      <c r="AB868" s="147">
        <v>6202.51</v>
      </c>
      <c r="AC868" s="147">
        <v>260505.21</v>
      </c>
      <c r="AD868" s="315">
        <f t="shared" si="539"/>
        <v>260244.70478999999</v>
      </c>
      <c r="AE868" s="147">
        <v>40.479999999999997</v>
      </c>
      <c r="AF868" s="147">
        <v>42</v>
      </c>
      <c r="AG868" s="147">
        <v>40.39</v>
      </c>
      <c r="AH868" s="292">
        <v>4.7000000000000002E-3</v>
      </c>
      <c r="AI868" s="287">
        <v>3.1E-2</v>
      </c>
      <c r="AJ868" s="287">
        <v>4.5999999999999999E-2</v>
      </c>
      <c r="AK868" s="318">
        <f t="shared" si="559"/>
        <v>93394.949999999953</v>
      </c>
      <c r="AL868" s="193">
        <f>420*10+83*15</f>
        <v>5445</v>
      </c>
      <c r="AM868" s="319">
        <f t="shared" si="560"/>
        <v>11451.033000000001</v>
      </c>
      <c r="AN868" s="324">
        <v>1710.2</v>
      </c>
      <c r="AO868" s="320">
        <f t="shared" si="561"/>
        <v>0</v>
      </c>
      <c r="AP868" s="193"/>
      <c r="AQ868" s="318">
        <v>0</v>
      </c>
      <c r="AR868" s="318">
        <f t="shared" si="541"/>
        <v>112001.18299999995</v>
      </c>
      <c r="AS868" s="318">
        <f t="shared" si="542"/>
        <v>117601</v>
      </c>
      <c r="AT868" s="321">
        <v>0</v>
      </c>
      <c r="AU868" s="136" t="s">
        <v>1535</v>
      </c>
      <c r="AV868" s="136"/>
      <c r="AW868" s="318">
        <f t="shared" si="543"/>
        <v>30360.000000000004</v>
      </c>
      <c r="AX868" s="193"/>
      <c r="AY868" s="318">
        <f t="shared" si="544"/>
        <v>30360.000000000004</v>
      </c>
      <c r="AZ868" s="318">
        <f t="shared" si="545"/>
        <v>30370</v>
      </c>
      <c r="BA868" s="318">
        <f t="shared" si="546"/>
        <v>-9.999999999996362</v>
      </c>
      <c r="BB868" s="318">
        <f t="shared" si="547"/>
        <v>60.720000000000006</v>
      </c>
      <c r="BC868" s="318">
        <v>0</v>
      </c>
      <c r="BD868" s="373"/>
      <c r="BE868" s="138">
        <v>303.60000000000002</v>
      </c>
      <c r="BF868" s="374">
        <f t="shared" si="548"/>
        <v>0.45539999999999997</v>
      </c>
      <c r="BG868" s="197">
        <f t="shared" si="540"/>
        <v>303.14460000000003</v>
      </c>
      <c r="BH868" s="375">
        <f t="shared" si="549"/>
        <v>303.7</v>
      </c>
      <c r="BI868" s="322">
        <f t="shared" si="550"/>
        <v>-9.9999999999965894</v>
      </c>
      <c r="BJ868" s="322">
        <v>0</v>
      </c>
      <c r="BK868" s="318">
        <f t="shared" si="551"/>
        <v>-9.9999999999965894</v>
      </c>
      <c r="BL868" s="67"/>
      <c r="BM868" s="68" t="str">
        <f t="shared" si="552"/>
        <v>Unloading no. 839 Bill No 198 ,Deduction For Oil Deduction= 93394.95 ,Bardana= 5445 ,F.M= 11451.033 Brokerage/Rate Difference 1710.2 ,Shortage = 0 ,Greenish=  ,Moisture= 0</v>
      </c>
      <c r="BN868" s="69"/>
      <c r="BO868" s="70" t="str">
        <f t="shared" si="553"/>
        <v xml:space="preserve"> Party Condition 42  ,F.M% 0.47 ,Greenish 3.1 ,Moisture 4.6 ,Shortage in KG= 0  ,Oil% 40.39</v>
      </c>
      <c r="BP868" s="71">
        <f t="shared" si="554"/>
        <v>7653.5687092525532</v>
      </c>
      <c r="BQ868" s="41"/>
      <c r="BR868" s="41"/>
      <c r="BS868" s="41"/>
      <c r="BT868" s="41"/>
      <c r="BU868" s="41"/>
      <c r="BV868" s="41"/>
      <c r="BW868" s="85"/>
      <c r="BX868" s="27">
        <v>40.479999999999997</v>
      </c>
      <c r="BY868" s="27">
        <v>40.39</v>
      </c>
    </row>
    <row r="869" spans="1:77" ht="14.1" hidden="1" customHeight="1" x14ac:dyDescent="0.3">
      <c r="A869" s="128" t="s">
        <v>1755</v>
      </c>
      <c r="B869" s="146">
        <v>46178</v>
      </c>
      <c r="C869" s="138">
        <v>840</v>
      </c>
      <c r="D869" s="135" t="s">
        <v>1797</v>
      </c>
      <c r="E869" s="129">
        <v>46180</v>
      </c>
      <c r="F869" s="128" t="s">
        <v>1450</v>
      </c>
      <c r="G869" s="281" t="s">
        <v>1451</v>
      </c>
      <c r="H869" s="281" t="s">
        <v>199</v>
      </c>
      <c r="I869" s="136"/>
      <c r="J869" s="347" t="s">
        <v>1455</v>
      </c>
      <c r="K869" s="136"/>
      <c r="L869" s="146">
        <v>46178</v>
      </c>
      <c r="M869" s="136"/>
      <c r="N869" s="128" t="s">
        <v>1825</v>
      </c>
      <c r="O869" s="130">
        <v>46179</v>
      </c>
      <c r="P869" s="138">
        <v>0</v>
      </c>
      <c r="Q869" s="138">
        <v>250</v>
      </c>
      <c r="R869" s="138">
        <v>0</v>
      </c>
      <c r="S869" s="138">
        <v>250</v>
      </c>
      <c r="T869" s="138">
        <v>250</v>
      </c>
      <c r="U869" s="136"/>
      <c r="V869" s="136"/>
      <c r="W869" s="148">
        <v>152.05000000000001</v>
      </c>
      <c r="X869" s="148">
        <v>151.80000000000001</v>
      </c>
      <c r="Y869" s="148">
        <f>1213602.28-1003.53</f>
        <v>1212598.75</v>
      </c>
      <c r="Z869" s="128"/>
      <c r="AA869" s="147">
        <v>30340.06</v>
      </c>
      <c r="AB869" s="147">
        <v>30340.06</v>
      </c>
      <c r="AC869" s="147">
        <v>1274282.3899999999</v>
      </c>
      <c r="AD869" s="315">
        <f t="shared" si="539"/>
        <v>1273008.1076099998</v>
      </c>
      <c r="AE869" s="147">
        <v>41.53</v>
      </c>
      <c r="AF869" s="147">
        <v>42</v>
      </c>
      <c r="AG869" s="147">
        <v>41.33</v>
      </c>
      <c r="AH869" s="292">
        <v>4.1000000000000003E-3</v>
      </c>
      <c r="AI869" s="287">
        <v>3.7499999999999999E-2</v>
      </c>
      <c r="AJ869" s="287">
        <v>4.8000000000000001E-2</v>
      </c>
      <c r="AK869" s="318">
        <f t="shared" si="559"/>
        <v>19343.837202381001</v>
      </c>
      <c r="AL869" s="193">
        <f>250*10</f>
        <v>2500</v>
      </c>
      <c r="AM869" s="319">
        <f t="shared" si="560"/>
        <v>4971.6548750000002</v>
      </c>
      <c r="AN869" s="324">
        <v>1003.53</v>
      </c>
      <c r="AO869" s="320">
        <f t="shared" si="561"/>
        <v>1993.7499999999998</v>
      </c>
      <c r="AP869" s="193"/>
      <c r="AQ869" s="318">
        <v>0</v>
      </c>
      <c r="AR869" s="318">
        <f t="shared" si="541"/>
        <v>29812.772077381</v>
      </c>
      <c r="AS869" s="318">
        <f t="shared" si="542"/>
        <v>31303</v>
      </c>
      <c r="AT869" s="321">
        <v>25</v>
      </c>
      <c r="AU869" s="136" t="s">
        <v>1535</v>
      </c>
      <c r="AV869" s="136"/>
      <c r="AW869" s="318">
        <f t="shared" si="543"/>
        <v>15205.000000000002</v>
      </c>
      <c r="AX869" s="193"/>
      <c r="AY869" s="318">
        <f t="shared" si="544"/>
        <v>15205.000000000002</v>
      </c>
      <c r="AZ869" s="318">
        <f t="shared" si="545"/>
        <v>15180.000000000002</v>
      </c>
      <c r="BA869" s="318">
        <f t="shared" si="546"/>
        <v>25</v>
      </c>
      <c r="BB869" s="318">
        <f t="shared" si="547"/>
        <v>30.410000000000004</v>
      </c>
      <c r="BC869" s="318">
        <v>0</v>
      </c>
      <c r="BD869" s="373"/>
      <c r="BE869" s="138">
        <v>152.05000000000001</v>
      </c>
      <c r="BF869" s="374">
        <f t="shared" si="548"/>
        <v>0.228075</v>
      </c>
      <c r="BG869" s="197">
        <f t="shared" si="540"/>
        <v>151.82192500000002</v>
      </c>
      <c r="BH869" s="375">
        <f t="shared" si="549"/>
        <v>151.80000000000001</v>
      </c>
      <c r="BI869" s="322">
        <f t="shared" si="550"/>
        <v>25</v>
      </c>
      <c r="BJ869" s="322">
        <v>0</v>
      </c>
      <c r="BK869" s="318">
        <f t="shared" si="551"/>
        <v>25</v>
      </c>
      <c r="BL869" s="67"/>
      <c r="BM869" s="68" t="str">
        <f t="shared" si="552"/>
        <v>Unloading no. 840 Bill No ST-20 ,Deduction For Oil Deduction= 19343.837202381 ,Bardana= 2500 ,F.M= 4971.654875 Brokerage/Rate Difference 1003.53 ,Shortage = 1993.75 ,Greenish=  ,Moisture= 0</v>
      </c>
      <c r="BN869" s="69"/>
      <c r="BO869" s="70" t="str">
        <f t="shared" si="553"/>
        <v xml:space="preserve"> Party Condition 42  ,F.M% 0.41 ,Greenish 3.75 ,Moisture 4.8 ,Shortage in KG= 25  ,Oil% 41.33</v>
      </c>
      <c r="BP869" s="71">
        <f t="shared" si="554"/>
        <v>7791.7389849974898</v>
      </c>
      <c r="BQ869" s="41"/>
      <c r="BR869" s="41"/>
      <c r="BS869" s="41"/>
      <c r="BT869" s="41"/>
      <c r="BU869" s="41"/>
      <c r="BV869" s="41"/>
      <c r="BW869" s="85"/>
      <c r="BX869" s="27">
        <v>41.53</v>
      </c>
      <c r="BY869" s="27">
        <v>41.33</v>
      </c>
    </row>
    <row r="870" spans="1:77" ht="14.1" hidden="1" customHeight="1" x14ac:dyDescent="0.3">
      <c r="A870" s="128" t="s">
        <v>1756</v>
      </c>
      <c r="B870" s="146">
        <v>46178</v>
      </c>
      <c r="C870" s="138">
        <v>841</v>
      </c>
      <c r="D870" s="135" t="s">
        <v>1798</v>
      </c>
      <c r="E870" s="129">
        <v>46180</v>
      </c>
      <c r="F870" s="128" t="s">
        <v>1450</v>
      </c>
      <c r="G870" s="281" t="s">
        <v>1451</v>
      </c>
      <c r="H870" s="281" t="s">
        <v>199</v>
      </c>
      <c r="I870" s="136"/>
      <c r="J870" s="347" t="s">
        <v>1455</v>
      </c>
      <c r="K870" s="136"/>
      <c r="L870" s="146">
        <v>46178</v>
      </c>
      <c r="M870" s="136"/>
      <c r="N870" s="128" t="s">
        <v>1826</v>
      </c>
      <c r="O870" s="130">
        <v>46179</v>
      </c>
      <c r="P870" s="138">
        <v>0</v>
      </c>
      <c r="Q870" s="138">
        <v>210</v>
      </c>
      <c r="R870" s="138">
        <v>40</v>
      </c>
      <c r="S870" s="138">
        <v>250</v>
      </c>
      <c r="T870" s="138">
        <v>250</v>
      </c>
      <c r="U870" s="136"/>
      <c r="V870" s="136"/>
      <c r="W870" s="148">
        <v>151.15</v>
      </c>
      <c r="X870" s="148">
        <v>150.80000000000001</v>
      </c>
      <c r="Y870" s="148">
        <f>1202646.03-1003.53</f>
        <v>1201642.5</v>
      </c>
      <c r="Z870" s="128"/>
      <c r="AA870" s="147">
        <v>30066.15</v>
      </c>
      <c r="AB870" s="147">
        <v>30066.15</v>
      </c>
      <c r="AC870" s="147">
        <v>1262778.33</v>
      </c>
      <c r="AD870" s="315">
        <f t="shared" si="539"/>
        <v>1261515.5516700002</v>
      </c>
      <c r="AE870" s="147">
        <v>41.46</v>
      </c>
      <c r="AF870" s="147">
        <v>42</v>
      </c>
      <c r="AG870" s="147">
        <v>41.25</v>
      </c>
      <c r="AH870" s="292">
        <v>4.1999999999999997E-3</v>
      </c>
      <c r="AI870" s="287">
        <v>3.1800000000000002E-2</v>
      </c>
      <c r="AJ870" s="287">
        <v>4.4999999999999998E-2</v>
      </c>
      <c r="AK870" s="318">
        <f t="shared" si="559"/>
        <v>21457.901785714286</v>
      </c>
      <c r="AL870" s="193">
        <f>210*10+40*15</f>
        <v>2700</v>
      </c>
      <c r="AM870" s="319">
        <f t="shared" si="560"/>
        <v>5046.8984999999993</v>
      </c>
      <c r="AN870" s="324">
        <v>1003.53</v>
      </c>
      <c r="AO870" s="320">
        <f t="shared" si="561"/>
        <v>2782.5</v>
      </c>
      <c r="AP870" s="193"/>
      <c r="AQ870" s="318">
        <v>0</v>
      </c>
      <c r="AR870" s="318">
        <f t="shared" si="541"/>
        <v>32990.830285714284</v>
      </c>
      <c r="AS870" s="318">
        <f t="shared" si="542"/>
        <v>34640</v>
      </c>
      <c r="AT870" s="321">
        <v>35</v>
      </c>
      <c r="AU870" s="136" t="s">
        <v>1535</v>
      </c>
      <c r="AV870" s="136"/>
      <c r="AW870" s="318">
        <f t="shared" si="543"/>
        <v>15115</v>
      </c>
      <c r="AX870" s="193"/>
      <c r="AY870" s="318">
        <f t="shared" si="544"/>
        <v>15115</v>
      </c>
      <c r="AZ870" s="318">
        <f t="shared" si="545"/>
        <v>15080.000000000002</v>
      </c>
      <c r="BA870" s="318">
        <f t="shared" si="546"/>
        <v>34.999999999998181</v>
      </c>
      <c r="BB870" s="318">
        <f t="shared" si="547"/>
        <v>30.23</v>
      </c>
      <c r="BC870" s="318">
        <v>0</v>
      </c>
      <c r="BD870" s="373"/>
      <c r="BE870" s="138">
        <v>151.15</v>
      </c>
      <c r="BF870" s="374">
        <f t="shared" si="548"/>
        <v>0.22672499999999998</v>
      </c>
      <c r="BG870" s="197">
        <f t="shared" si="540"/>
        <v>150.92327500000002</v>
      </c>
      <c r="BH870" s="375">
        <f t="shared" si="549"/>
        <v>150.80000000000001</v>
      </c>
      <c r="BI870" s="322">
        <f t="shared" si="550"/>
        <v>34.999999999999432</v>
      </c>
      <c r="BJ870" s="322">
        <v>0</v>
      </c>
      <c r="BK870" s="318">
        <f t="shared" si="551"/>
        <v>34.999999999999432</v>
      </c>
      <c r="BL870" s="67"/>
      <c r="BM870" s="68" t="str">
        <f t="shared" si="552"/>
        <v>Unloading no. 841 Bill No ST-21 ,Deduction For Oil Deduction= 21457.9017857143 ,Bardana= 2700 ,F.M= 5046.8985 Brokerage/Rate Difference 1003.53 ,Shortage = 2782.5 ,Greenish=  ,Moisture= 0</v>
      </c>
      <c r="BN870" s="69"/>
      <c r="BO870" s="70" t="str">
        <f t="shared" si="553"/>
        <v xml:space="preserve"> Party Condition 42  ,F.M% 0.42 ,Greenish 3.18 ,Moisture 4.5 ,Shortage in KG= 35  ,Oil% 41.25</v>
      </c>
      <c r="BP870" s="71">
        <f t="shared" si="554"/>
        <v>7749.6795073891626</v>
      </c>
      <c r="BQ870" s="41"/>
      <c r="BR870" s="41"/>
      <c r="BS870" s="41"/>
      <c r="BT870" s="41"/>
      <c r="BU870" s="41"/>
      <c r="BV870" s="41"/>
      <c r="BW870" s="85"/>
      <c r="BX870" s="27">
        <v>41.46</v>
      </c>
      <c r="BY870" s="27">
        <v>41.25</v>
      </c>
    </row>
    <row r="871" spans="1:77" ht="14.1" hidden="1" customHeight="1" x14ac:dyDescent="0.3">
      <c r="A871" s="128" t="s">
        <v>1757</v>
      </c>
      <c r="B871" s="146">
        <v>46178</v>
      </c>
      <c r="C871" s="138">
        <v>842</v>
      </c>
      <c r="D871" s="135" t="s">
        <v>1799</v>
      </c>
      <c r="E871" s="129">
        <v>46180</v>
      </c>
      <c r="F871" s="128" t="s">
        <v>1686</v>
      </c>
      <c r="G871" s="281" t="s">
        <v>1687</v>
      </c>
      <c r="H871" s="281" t="s">
        <v>1688</v>
      </c>
      <c r="I871" s="136"/>
      <c r="J871" s="347" t="s">
        <v>1455</v>
      </c>
      <c r="K871" s="136"/>
      <c r="L871" s="146">
        <v>46178</v>
      </c>
      <c r="M871" s="136"/>
      <c r="N871" s="128" t="s">
        <v>1827</v>
      </c>
      <c r="O871" s="130">
        <v>46179</v>
      </c>
      <c r="P871" s="138">
        <v>0</v>
      </c>
      <c r="Q871" s="138">
        <v>150</v>
      </c>
      <c r="R871" s="138">
        <v>100</v>
      </c>
      <c r="S871" s="138">
        <v>250</v>
      </c>
      <c r="T871" s="138">
        <v>250</v>
      </c>
      <c r="U871" s="136"/>
      <c r="V871" s="136"/>
      <c r="W871" s="148">
        <v>152.30000000000001</v>
      </c>
      <c r="X871" s="148">
        <v>151.80000000000001</v>
      </c>
      <c r="Y871" s="148">
        <v>1214592.5</v>
      </c>
      <c r="Z871" s="128"/>
      <c r="AA871" s="147">
        <v>30364.81</v>
      </c>
      <c r="AB871" s="147">
        <v>30364.81</v>
      </c>
      <c r="AC871" s="147">
        <v>1275322.1299999999</v>
      </c>
      <c r="AD871" s="315">
        <f t="shared" si="539"/>
        <v>1274046.8078699999</v>
      </c>
      <c r="AE871" s="147">
        <v>39.94</v>
      </c>
      <c r="AF871" s="147">
        <v>42</v>
      </c>
      <c r="AG871" s="147">
        <v>39.76</v>
      </c>
      <c r="AH871" s="287">
        <v>3.7000000000000002E-3</v>
      </c>
      <c r="AI871" s="287">
        <v>3.2399999999999998E-2</v>
      </c>
      <c r="AJ871" s="287">
        <v>4.8000000000000001E-2</v>
      </c>
      <c r="AK871" s="318">
        <f t="shared" si="559"/>
        <v>64778.266666666721</v>
      </c>
      <c r="AL871" s="193">
        <f>150*10+100*15</f>
        <v>3000</v>
      </c>
      <c r="AM871" s="319">
        <f t="shared" si="560"/>
        <v>4493.9922500000002</v>
      </c>
      <c r="AN871" s="319">
        <v>0</v>
      </c>
      <c r="AO871" s="320">
        <f t="shared" si="561"/>
        <v>3987.4999999999995</v>
      </c>
      <c r="AP871" s="193"/>
      <c r="AQ871" s="318">
        <v>0</v>
      </c>
      <c r="AR871" s="318">
        <f t="shared" si="541"/>
        <v>76259.758916666717</v>
      </c>
      <c r="AS871" s="318">
        <f t="shared" si="542"/>
        <v>80073</v>
      </c>
      <c r="AT871" s="321">
        <v>50</v>
      </c>
      <c r="AU871" s="136"/>
      <c r="AV871" s="136"/>
      <c r="AW871" s="318">
        <f t="shared" si="543"/>
        <v>15230.000000000002</v>
      </c>
      <c r="AX871" s="193"/>
      <c r="AY871" s="318">
        <f t="shared" si="544"/>
        <v>15230.000000000002</v>
      </c>
      <c r="AZ871" s="318">
        <f t="shared" si="545"/>
        <v>15180.000000000002</v>
      </c>
      <c r="BA871" s="318">
        <f t="shared" si="546"/>
        <v>50</v>
      </c>
      <c r="BB871" s="318">
        <f t="shared" si="547"/>
        <v>30.460000000000004</v>
      </c>
      <c r="BC871" s="318">
        <v>0</v>
      </c>
      <c r="BD871" s="373"/>
      <c r="BE871" s="138">
        <v>152.30000000000001</v>
      </c>
      <c r="BF871" s="374">
        <f t="shared" si="548"/>
        <v>0.22845000000000001</v>
      </c>
      <c r="BG871" s="197">
        <f t="shared" si="540"/>
        <v>152.07155</v>
      </c>
      <c r="BH871" s="375">
        <f t="shared" si="549"/>
        <v>151.80000000000001</v>
      </c>
      <c r="BI871" s="322">
        <f t="shared" si="550"/>
        <v>50</v>
      </c>
      <c r="BJ871" s="322">
        <v>0</v>
      </c>
      <c r="BK871" s="318">
        <f t="shared" si="551"/>
        <v>50</v>
      </c>
      <c r="BL871" s="67"/>
      <c r="BM871" s="68" t="str">
        <f t="shared" si="552"/>
        <v>Unloading no. 842 Bill No KAI/2026-27/122 ,Deduction For Oil Deduction= 64778.2666666667 ,Bardana= 3000 ,F.M= 4493.99225 Brokerage/Rate Difference 0 ,Shortage = 3987.5 ,Greenish=  ,Moisture= 0</v>
      </c>
      <c r="BN871" s="69"/>
      <c r="BO871" s="70" t="str">
        <f t="shared" si="553"/>
        <v xml:space="preserve"> Party Condition 42  ,F.M% 0.37 ,Greenish 3.24 ,Moisture 4.8 ,Shortage in KG= 50  ,Oil% 39.76</v>
      </c>
      <c r="BP871" s="71">
        <f t="shared" si="554"/>
        <v>7498.8981626043033</v>
      </c>
      <c r="BQ871" s="41"/>
      <c r="BR871" s="41"/>
      <c r="BS871" s="41"/>
      <c r="BT871" s="41"/>
      <c r="BU871" s="41"/>
      <c r="BV871" s="41"/>
      <c r="BW871" s="85"/>
      <c r="BX871" s="27">
        <v>39.94</v>
      </c>
      <c r="BY871" s="27">
        <v>39.76</v>
      </c>
    </row>
    <row r="872" spans="1:77" ht="14.1" hidden="1" customHeight="1" x14ac:dyDescent="0.3">
      <c r="A872" s="128" t="s">
        <v>1757</v>
      </c>
      <c r="B872" s="146">
        <v>46178</v>
      </c>
      <c r="C872" s="138">
        <v>843</v>
      </c>
      <c r="D872" s="135" t="s">
        <v>1800</v>
      </c>
      <c r="E872" s="129">
        <v>46180</v>
      </c>
      <c r="F872" s="128" t="s">
        <v>1686</v>
      </c>
      <c r="G872" s="281" t="s">
        <v>1687</v>
      </c>
      <c r="H872" s="281" t="s">
        <v>1688</v>
      </c>
      <c r="I872" s="136"/>
      <c r="J872" s="347" t="s">
        <v>1455</v>
      </c>
      <c r="K872" s="136"/>
      <c r="L872" s="146">
        <v>46178</v>
      </c>
      <c r="M872" s="136"/>
      <c r="N872" s="128" t="s">
        <v>1828</v>
      </c>
      <c r="O872" s="130">
        <v>46179</v>
      </c>
      <c r="P872" s="138">
        <v>0</v>
      </c>
      <c r="Q872" s="138">
        <v>150</v>
      </c>
      <c r="R872" s="138">
        <v>99</v>
      </c>
      <c r="S872" s="138">
        <v>249</v>
      </c>
      <c r="T872" s="138">
        <v>249</v>
      </c>
      <c r="U872" s="136"/>
      <c r="V872" s="136"/>
      <c r="W872" s="148">
        <v>152.35</v>
      </c>
      <c r="X872" s="148">
        <v>151.5</v>
      </c>
      <c r="Y872" s="148">
        <v>1214991.25</v>
      </c>
      <c r="Z872" s="128"/>
      <c r="AA872" s="147">
        <v>30374.78</v>
      </c>
      <c r="AB872" s="147">
        <v>30374.78</v>
      </c>
      <c r="AC872" s="147">
        <v>1275740.81</v>
      </c>
      <c r="AD872" s="315">
        <f t="shared" si="539"/>
        <v>1274465.06919</v>
      </c>
      <c r="AE872" s="147">
        <v>39.56</v>
      </c>
      <c r="AF872" s="147">
        <v>42</v>
      </c>
      <c r="AG872" s="147">
        <v>39.450000000000003</v>
      </c>
      <c r="AH872" s="287">
        <v>4.1000000000000003E-3</v>
      </c>
      <c r="AI872" s="287">
        <v>0.03</v>
      </c>
      <c r="AJ872" s="287">
        <v>4.9000000000000002E-2</v>
      </c>
      <c r="AK872" s="318">
        <f t="shared" si="559"/>
        <v>73767.325892857058</v>
      </c>
      <c r="AL872" s="193">
        <f>150*10+99*15</f>
        <v>2985</v>
      </c>
      <c r="AM872" s="319">
        <f t="shared" si="560"/>
        <v>4981.4641250000004</v>
      </c>
      <c r="AN872" s="319">
        <v>0</v>
      </c>
      <c r="AO872" s="320">
        <f t="shared" si="561"/>
        <v>6778.75</v>
      </c>
      <c r="AP872" s="193"/>
      <c r="AQ872" s="318">
        <v>0</v>
      </c>
      <c r="AR872" s="318">
        <f t="shared" si="541"/>
        <v>88512.540017857056</v>
      </c>
      <c r="AS872" s="318">
        <f t="shared" si="542"/>
        <v>92938</v>
      </c>
      <c r="AT872" s="321">
        <v>85</v>
      </c>
      <c r="AU872" s="136"/>
      <c r="AV872" s="136"/>
      <c r="AW872" s="318">
        <f t="shared" si="543"/>
        <v>15235</v>
      </c>
      <c r="AX872" s="193"/>
      <c r="AY872" s="318">
        <f t="shared" si="544"/>
        <v>15235</v>
      </c>
      <c r="AZ872" s="318">
        <f t="shared" si="545"/>
        <v>15150</v>
      </c>
      <c r="BA872" s="318">
        <f t="shared" si="546"/>
        <v>85</v>
      </c>
      <c r="BB872" s="318">
        <f t="shared" si="547"/>
        <v>30.47</v>
      </c>
      <c r="BC872" s="318">
        <v>0</v>
      </c>
      <c r="BD872" s="373"/>
      <c r="BE872" s="138">
        <v>152.35</v>
      </c>
      <c r="BF872" s="374">
        <f t="shared" si="548"/>
        <v>0.22852499999999998</v>
      </c>
      <c r="BG872" s="197">
        <f t="shared" si="540"/>
        <v>152.121475</v>
      </c>
      <c r="BH872" s="375">
        <f t="shared" si="549"/>
        <v>151.5</v>
      </c>
      <c r="BI872" s="322">
        <f t="shared" si="550"/>
        <v>84.999999999999432</v>
      </c>
      <c r="BJ872" s="322">
        <v>0</v>
      </c>
      <c r="BK872" s="318">
        <f t="shared" si="551"/>
        <v>84.999999999999432</v>
      </c>
      <c r="BL872" s="67"/>
      <c r="BM872" s="68" t="str">
        <f t="shared" si="552"/>
        <v>Unloading no. 843 Bill No KAI/2026-27/123 ,Deduction For Oil Deduction= 73767.3258928571 ,Bardana= 2985 ,F.M= 4981.464125 Brokerage/Rate Difference 0 ,Shortage = 6778.75 ,Greenish=  ,Moisture= 0</v>
      </c>
      <c r="BN872" s="69"/>
      <c r="BO872" s="70" t="str">
        <f t="shared" si="553"/>
        <v xml:space="preserve"> Party Condition 42  ,F.M% 0.41 ,Greenish 3 ,Moisture 4.9 ,Shortage in KG= 85  ,Oil% 39.45</v>
      </c>
      <c r="BP872" s="71">
        <f t="shared" si="554"/>
        <v>7435.5030361857625</v>
      </c>
      <c r="BQ872" s="41"/>
      <c r="BR872" s="41"/>
      <c r="BS872" s="41"/>
      <c r="BT872" s="41"/>
      <c r="BU872" s="41"/>
      <c r="BV872" s="41"/>
      <c r="BW872" s="85"/>
      <c r="BX872" s="27">
        <v>39.56</v>
      </c>
      <c r="BY872" s="27">
        <v>39.450000000000003</v>
      </c>
    </row>
    <row r="873" spans="1:77" ht="14.1" hidden="1" customHeight="1" x14ac:dyDescent="0.3">
      <c r="A873" s="174" t="s">
        <v>1745</v>
      </c>
      <c r="B873" s="376">
        <v>46178</v>
      </c>
      <c r="C873" s="275">
        <v>844</v>
      </c>
      <c r="D873" s="377" t="s">
        <v>1801</v>
      </c>
      <c r="E873" s="231">
        <v>46180</v>
      </c>
      <c r="F873" s="174" t="s">
        <v>1080</v>
      </c>
      <c r="G873" s="284" t="s">
        <v>1081</v>
      </c>
      <c r="H873" s="284" t="s">
        <v>1082</v>
      </c>
      <c r="I873" s="176"/>
      <c r="J873" s="378" t="s">
        <v>1455</v>
      </c>
      <c r="K873" s="176"/>
      <c r="L873" s="376">
        <v>46178</v>
      </c>
      <c r="M873" s="176"/>
      <c r="N873" s="174">
        <v>127</v>
      </c>
      <c r="O873" s="175">
        <v>46179</v>
      </c>
      <c r="P873" s="275">
        <v>0</v>
      </c>
      <c r="Q873" s="275">
        <v>901</v>
      </c>
      <c r="R873" s="275">
        <v>11</v>
      </c>
      <c r="S873" s="275">
        <v>912</v>
      </c>
      <c r="T873" s="275">
        <v>912</v>
      </c>
      <c r="U873" s="176"/>
      <c r="V873" s="176"/>
      <c r="W873" s="305">
        <v>455.1</v>
      </c>
      <c r="X873" s="305">
        <v>454.1</v>
      </c>
      <c r="Y873" s="305">
        <v>3652177.5</v>
      </c>
      <c r="Z873" s="174"/>
      <c r="AA873" s="178">
        <v>91304.44</v>
      </c>
      <c r="AB873" s="178">
        <v>91304.44</v>
      </c>
      <c r="AC873" s="178">
        <v>3834786.38</v>
      </c>
      <c r="AD873" s="339">
        <f t="shared" ref="AD873:AD936" si="562">SUM(AC873-AC873*0.1%)</f>
        <v>3830951.5936199999</v>
      </c>
      <c r="AE873" s="178">
        <v>41.11</v>
      </c>
      <c r="AF873" s="178">
        <v>42</v>
      </c>
      <c r="AG873" s="178">
        <v>40.92</v>
      </c>
      <c r="AH873" s="379">
        <v>4.3E-3</v>
      </c>
      <c r="AI873" s="308">
        <v>3.49E-2</v>
      </c>
      <c r="AJ873" s="308">
        <v>4.2000000000000003E-2</v>
      </c>
      <c r="AK873" s="342">
        <f t="shared" si="559"/>
        <v>93913.135714285556</v>
      </c>
      <c r="AL873" s="335">
        <f>901*10+11*15</f>
        <v>9175</v>
      </c>
      <c r="AM873" s="343">
        <f t="shared" si="560"/>
        <v>15704.36325</v>
      </c>
      <c r="AN873" s="343">
        <f>W873*14</f>
        <v>6371.4000000000005</v>
      </c>
      <c r="AO873" s="344">
        <f t="shared" si="561"/>
        <v>8025</v>
      </c>
      <c r="AP873" s="335"/>
      <c r="AQ873" s="342">
        <v>0</v>
      </c>
      <c r="AR873" s="342">
        <f t="shared" si="541"/>
        <v>133188.89896428556</v>
      </c>
      <c r="AS873" s="342">
        <f t="shared" si="542"/>
        <v>139848</v>
      </c>
      <c r="AT873" s="345">
        <v>100</v>
      </c>
      <c r="AU873" s="176" t="s">
        <v>1736</v>
      </c>
      <c r="AV873" s="176"/>
      <c r="AW873" s="342">
        <f t="shared" si="543"/>
        <v>45510</v>
      </c>
      <c r="AX873" s="335"/>
      <c r="AY873" s="342">
        <f t="shared" si="544"/>
        <v>45510</v>
      </c>
      <c r="AZ873" s="342">
        <f t="shared" si="545"/>
        <v>45410</v>
      </c>
      <c r="BA873" s="342">
        <f t="shared" si="546"/>
        <v>100</v>
      </c>
      <c r="BB873" s="342">
        <f t="shared" si="547"/>
        <v>91.02</v>
      </c>
      <c r="BC873" s="342">
        <v>0</v>
      </c>
      <c r="BD873" s="380"/>
      <c r="BE873" s="275">
        <v>455.1</v>
      </c>
      <c r="BF873" s="381">
        <f t="shared" si="548"/>
        <v>0.68264999999999998</v>
      </c>
      <c r="BG873" s="210">
        <f t="shared" si="540"/>
        <v>454.41735</v>
      </c>
      <c r="BH873" s="382">
        <f t="shared" si="549"/>
        <v>454.1</v>
      </c>
      <c r="BI873" s="346">
        <f t="shared" si="550"/>
        <v>100</v>
      </c>
      <c r="BJ873" s="346">
        <v>0</v>
      </c>
      <c r="BK873" s="342">
        <f t="shared" si="551"/>
        <v>100</v>
      </c>
      <c r="BL873" s="73"/>
      <c r="BM873" s="74" t="str">
        <f t="shared" si="552"/>
        <v>Unloading no. 844 Bill No 127 ,Deduction For Oil Deduction= 93913.1357142856 ,Bardana= 9175 ,F.M= 15704.36325 Brokerage/Rate Difference 6371.4 ,Shortage = 8025 ,Greenish=  ,Moisture= 0</v>
      </c>
      <c r="BN873" s="72"/>
      <c r="BO873" s="77" t="str">
        <f t="shared" si="553"/>
        <v xml:space="preserve"> Party Condition 42  ,F.M% 0.43 ,Greenish 3.49 ,Moisture 4.2 ,Shortage in KG= 100  ,Oil% 40.92</v>
      </c>
      <c r="BP873" s="78">
        <f t="shared" si="554"/>
        <v>7749.3693041966844</v>
      </c>
      <c r="BQ873" s="52"/>
      <c r="BR873" s="52"/>
      <c r="BS873" s="52"/>
      <c r="BT873" s="52"/>
      <c r="BU873" s="52"/>
      <c r="BV873" s="52"/>
      <c r="BW873" s="86"/>
      <c r="BX873" s="30">
        <v>41.11</v>
      </c>
      <c r="BY873" s="30">
        <v>40.92</v>
      </c>
    </row>
    <row r="874" spans="1:77" ht="14.1" hidden="1" customHeight="1" x14ac:dyDescent="0.3">
      <c r="A874" s="347" t="s">
        <v>1752</v>
      </c>
      <c r="B874" s="168">
        <v>46178</v>
      </c>
      <c r="C874" s="347">
        <v>845</v>
      </c>
      <c r="D874" s="348" t="s">
        <v>1842</v>
      </c>
      <c r="E874" s="349">
        <v>46181</v>
      </c>
      <c r="F874" s="347" t="s">
        <v>1807</v>
      </c>
      <c r="G874" s="383" t="s">
        <v>1808</v>
      </c>
      <c r="H874" s="383" t="s">
        <v>100</v>
      </c>
      <c r="I874" s="136"/>
      <c r="J874" s="347" t="s">
        <v>1455</v>
      </c>
      <c r="K874" s="136"/>
      <c r="L874" s="168">
        <v>46178</v>
      </c>
      <c r="M874" s="136"/>
      <c r="N874" s="348" t="s">
        <v>1902</v>
      </c>
      <c r="O874" s="168">
        <v>46179</v>
      </c>
      <c r="P874" s="347">
        <v>0</v>
      </c>
      <c r="Q874" s="347">
        <v>265</v>
      </c>
      <c r="R874" s="347">
        <v>150</v>
      </c>
      <c r="S874" s="347">
        <v>415</v>
      </c>
      <c r="T874" s="347">
        <v>415</v>
      </c>
      <c r="U874" s="136"/>
      <c r="V874" s="136"/>
      <c r="W874" s="384">
        <v>290.7</v>
      </c>
      <c r="X874" s="384">
        <v>290.10000000000002</v>
      </c>
      <c r="Y874" s="167">
        <v>2318332.5</v>
      </c>
      <c r="Z874" s="167"/>
      <c r="AA874" s="347">
        <v>57958.31</v>
      </c>
      <c r="AB874" s="347">
        <v>57958.31</v>
      </c>
      <c r="AC874" s="347">
        <v>2434249.13</v>
      </c>
      <c r="AD874" s="315">
        <f t="shared" si="562"/>
        <v>2431814.88087</v>
      </c>
      <c r="AE874" s="347">
        <v>40.14</v>
      </c>
      <c r="AF874" s="173">
        <v>42</v>
      </c>
      <c r="AG874" s="347">
        <v>39.94</v>
      </c>
      <c r="AH874" s="351">
        <v>4.7999999999999996E-3</v>
      </c>
      <c r="AI874" s="292">
        <v>8.7800000000000003E-2</v>
      </c>
      <c r="AJ874" s="351">
        <v>4.5999999999999999E-2</v>
      </c>
      <c r="AK874" s="318">
        <f t="shared" ref="AK874:AK933" si="563">+IF(AF874=42,IF(MIN(AE874,AG874)&lt;AF874,Y874*((AF874-MIN(AE874,AG874))/AF874)),IF(MIN(AE874,AG874)&lt;AF874,Y874*((AF874-MIN(AE874,AG874))/AF874),0))</f>
        <v>113708.68928571441</v>
      </c>
      <c r="AL874" s="193">
        <f>265*10+150*15</f>
        <v>4900</v>
      </c>
      <c r="AM874" s="319">
        <f>Y874*AH874</f>
        <v>11127.995999999999</v>
      </c>
      <c r="AN874" s="319">
        <f>W874*15</f>
        <v>4360.5</v>
      </c>
      <c r="AO874" s="320">
        <f t="shared" ref="AO874:AO933" si="564">AT874*Y874/AW874</f>
        <v>4785</v>
      </c>
      <c r="AP874" s="385">
        <f>W874*101.04</f>
        <v>29372.328000000001</v>
      </c>
      <c r="AQ874" s="318">
        <v>0</v>
      </c>
      <c r="AR874" s="318">
        <f t="shared" ref="AR874:AR933" si="565">SUM(AK874:AQ874)</f>
        <v>168254.51328571441</v>
      </c>
      <c r="AS874" s="318">
        <f t="shared" ref="AS874:AS933" si="566">ROUND(AR874*1.05,0)</f>
        <v>176667</v>
      </c>
      <c r="AT874" s="321">
        <v>60</v>
      </c>
      <c r="AU874" s="136" t="s">
        <v>1954</v>
      </c>
      <c r="AV874" s="136"/>
      <c r="AW874" s="318">
        <f t="shared" ref="AW874" si="567">W874*100</f>
        <v>29070</v>
      </c>
      <c r="AX874" s="193"/>
      <c r="AY874" s="318">
        <f t="shared" ref="AY874" si="568">+AW874+AX874</f>
        <v>29070</v>
      </c>
      <c r="AZ874" s="318">
        <f t="shared" ref="AZ874" si="569">X874*100</f>
        <v>29010.000000000004</v>
      </c>
      <c r="BA874" s="318">
        <f t="shared" ref="BA874" si="570">AY874-AZ874</f>
        <v>59.999999999996362</v>
      </c>
      <c r="BB874" s="318">
        <f t="shared" ref="BB874" si="571">AW874*2/1000</f>
        <v>58.14</v>
      </c>
      <c r="BC874" s="318">
        <v>0</v>
      </c>
      <c r="BD874" s="193"/>
      <c r="BE874" s="347">
        <v>290.7</v>
      </c>
      <c r="BF874" s="321">
        <f t="shared" ref="BF874:BF933" si="572">+BE874*0.15/100</f>
        <v>0.43604999999999999</v>
      </c>
      <c r="BG874" s="197">
        <f t="shared" ref="BG874:BG933" si="573">BE874-BF874</f>
        <v>290.26394999999997</v>
      </c>
      <c r="BH874" s="321">
        <f t="shared" ref="BH874:BH933" si="574">X874</f>
        <v>290.10000000000002</v>
      </c>
      <c r="BI874" s="322">
        <f t="shared" ref="BI874:BI933" si="575">(BE874-BH874)*100</f>
        <v>59.999999999996589</v>
      </c>
      <c r="BJ874" s="322">
        <v>0</v>
      </c>
      <c r="BK874" s="318">
        <f t="shared" ref="BK874:BK933" si="576">BI874</f>
        <v>59.999999999996589</v>
      </c>
      <c r="BL874" s="67"/>
      <c r="BM874" s="68" t="str">
        <f t="shared" ref="BM874:BM933" si="577">+$C$1&amp;" "&amp;C874 &amp;" "&amp;$N$1&amp;" "&amp;N874&amp;" "&amp;$BM$1&amp;" "&amp;$AK$1&amp;" "&amp;AK874&amp;" "&amp;$AL$1&amp;" "&amp;AL874&amp;" "&amp;$AM$1&amp;" "&amp;AM874&amp;" "&amp;$AN$1&amp;" "&amp;AN874&amp;" "&amp;$AO$1&amp;" "&amp;AO874&amp;" "&amp;$AP$1&amp;" "&amp;AP874&amp;" "&amp;$AQ$1&amp;" "&amp;AQ874</f>
        <v>Unloading no. 845 Bill No 2026-27/2 ,Deduction For Oil Deduction= 113708.689285714 ,Bardana= 4900 ,F.M= 11127.996 Brokerage/Rate Difference 4360.5 ,Shortage = 4785 ,Greenish= 29372.328 ,Moisture= 0</v>
      </c>
      <c r="BN874" s="69"/>
      <c r="BO874" s="70" t="str">
        <f t="shared" ref="BO874:BO933" si="578">+" "&amp;$AF$1&amp;" "&amp;AF874&amp;" "&amp;" "&amp;$AH$1&amp;" "&amp;AH874*100&amp;" "&amp;$AI$1&amp;" "&amp;AI874*100&amp;" "&amp;$AJ$1&amp;" "&amp;AJ874*100&amp;" ,"&amp;$AT$1&amp;" "&amp;AT874&amp;" "&amp;IF(AE874&gt;AG874," ,Oil%"&amp;" "&amp;AG874," ,Oil%"&amp;" "&amp;AE874)</f>
        <v xml:space="preserve"> Party Condition 42  ,F.M% 0.48 ,Greenish 8.78 ,Moisture 4.6 ,Shortage in KG= 60  ,Oil% 39.94</v>
      </c>
      <c r="BP874" s="71">
        <f t="shared" ref="BP874:BP933" si="579">(Y874-AR874)/X874</f>
        <v>7411.5063313143246</v>
      </c>
      <c r="BQ874" s="41"/>
      <c r="BR874" s="41"/>
      <c r="BS874" s="41"/>
      <c r="BT874" s="41"/>
      <c r="BU874" s="41"/>
      <c r="BV874" s="41"/>
      <c r="BW874" s="85"/>
      <c r="BX874" s="30">
        <v>40.14</v>
      </c>
      <c r="BY874" s="30">
        <v>39.94</v>
      </c>
    </row>
    <row r="875" spans="1:77" ht="14.1" hidden="1" customHeight="1" x14ac:dyDescent="0.3">
      <c r="A875" s="138" t="s">
        <v>1752</v>
      </c>
      <c r="B875" s="146">
        <v>46178</v>
      </c>
      <c r="C875" s="138">
        <v>846</v>
      </c>
      <c r="D875" s="135" t="s">
        <v>1843</v>
      </c>
      <c r="E875" s="129">
        <v>46181</v>
      </c>
      <c r="F875" s="138" t="s">
        <v>1807</v>
      </c>
      <c r="G875" s="281" t="s">
        <v>1808</v>
      </c>
      <c r="H875" s="281" t="s">
        <v>100</v>
      </c>
      <c r="I875" s="136"/>
      <c r="J875" s="347" t="s">
        <v>1455</v>
      </c>
      <c r="K875" s="136"/>
      <c r="L875" s="146">
        <v>46178</v>
      </c>
      <c r="M875" s="136"/>
      <c r="N875" s="135" t="s">
        <v>1903</v>
      </c>
      <c r="O875" s="146">
        <v>46179</v>
      </c>
      <c r="P875" s="138">
        <v>0</v>
      </c>
      <c r="Q875" s="138">
        <v>100</v>
      </c>
      <c r="R875" s="138">
        <v>340</v>
      </c>
      <c r="S875" s="138">
        <v>440</v>
      </c>
      <c r="T875" s="138">
        <v>440</v>
      </c>
      <c r="U875" s="136"/>
      <c r="V875" s="136"/>
      <c r="W875" s="169">
        <v>297.35000000000002</v>
      </c>
      <c r="X875" s="169">
        <v>296.89999999999998</v>
      </c>
      <c r="Y875" s="128">
        <v>2371366.25</v>
      </c>
      <c r="Z875" s="128"/>
      <c r="AA875" s="138">
        <v>59284.160000000003</v>
      </c>
      <c r="AB875" s="138">
        <v>59284.160000000003</v>
      </c>
      <c r="AC875" s="138">
        <v>2489934.56</v>
      </c>
      <c r="AD875" s="315">
        <f t="shared" si="562"/>
        <v>2487444.6254400001</v>
      </c>
      <c r="AE875" s="147">
        <v>39.340000000000003</v>
      </c>
      <c r="AF875" s="147">
        <v>42</v>
      </c>
      <c r="AG875" s="147">
        <v>39.19</v>
      </c>
      <c r="AH875" s="286">
        <v>7.7999999999999996E-3</v>
      </c>
      <c r="AI875" s="292">
        <v>8.2000000000000003E-2</v>
      </c>
      <c r="AJ875" s="287">
        <v>5.0999999999999997E-2</v>
      </c>
      <c r="AK875" s="318">
        <f t="shared" si="563"/>
        <v>158655.69434523821</v>
      </c>
      <c r="AL875" s="193">
        <f>100*10+340*15</f>
        <v>6100</v>
      </c>
      <c r="AM875" s="319">
        <f>Y875*AH875</f>
        <v>18496.656749999998</v>
      </c>
      <c r="AN875" s="319">
        <f>W875*15</f>
        <v>4460.25</v>
      </c>
      <c r="AO875" s="320">
        <f t="shared" si="564"/>
        <v>3588.7499999999995</v>
      </c>
      <c r="AP875" s="386">
        <f>W875*89.32</f>
        <v>26559.302</v>
      </c>
      <c r="AQ875" s="318">
        <v>0</v>
      </c>
      <c r="AR875" s="318">
        <f t="shared" si="565"/>
        <v>217860.6530952382</v>
      </c>
      <c r="AS875" s="318">
        <f t="shared" si="566"/>
        <v>228754</v>
      </c>
      <c r="AT875" s="321">
        <v>45</v>
      </c>
      <c r="AU875" s="136" t="s">
        <v>1955</v>
      </c>
      <c r="AV875" s="136"/>
      <c r="AW875" s="318">
        <f t="shared" ref="AW875:AW933" si="580">W875*100</f>
        <v>29735.000000000004</v>
      </c>
      <c r="AX875" s="193"/>
      <c r="AY875" s="318">
        <f t="shared" ref="AY875:AY933" si="581">+AW875+AX875</f>
        <v>29735.000000000004</v>
      </c>
      <c r="AZ875" s="318">
        <f t="shared" ref="AZ875:AZ933" si="582">X875*100</f>
        <v>29689.999999999996</v>
      </c>
      <c r="BA875" s="318">
        <f t="shared" ref="BA875:BA933" si="583">AY875-AZ875</f>
        <v>45.000000000007276</v>
      </c>
      <c r="BB875" s="318">
        <f t="shared" ref="BB875:BB933" si="584">AW875*2/1000</f>
        <v>59.470000000000006</v>
      </c>
      <c r="BC875" s="318">
        <v>0</v>
      </c>
      <c r="BD875" s="193"/>
      <c r="BE875" s="138">
        <v>297.35000000000002</v>
      </c>
      <c r="BF875" s="321">
        <f t="shared" si="572"/>
        <v>0.446025</v>
      </c>
      <c r="BG875" s="197">
        <f t="shared" si="573"/>
        <v>296.903975</v>
      </c>
      <c r="BH875" s="321">
        <f t="shared" si="574"/>
        <v>296.89999999999998</v>
      </c>
      <c r="BI875" s="322">
        <f t="shared" si="575"/>
        <v>45.000000000004547</v>
      </c>
      <c r="BJ875" s="322">
        <v>0</v>
      </c>
      <c r="BK875" s="318">
        <f t="shared" si="576"/>
        <v>45.000000000004547</v>
      </c>
      <c r="BL875" s="67"/>
      <c r="BM875" s="68" t="str">
        <f t="shared" si="577"/>
        <v>Unloading no. 846 Bill No 2026-27/4 ,Deduction For Oil Deduction= 158655.694345238 ,Bardana= 6100 ,F.M= 18496.65675 Brokerage/Rate Difference 4460.25 ,Shortage = 3588.75 ,Greenish= 26559.302 ,Moisture= 0</v>
      </c>
      <c r="BN875" s="69"/>
      <c r="BO875" s="70" t="str">
        <f t="shared" si="578"/>
        <v xml:space="preserve"> Party Condition 42  ,F.M% 0.78 ,Greenish 8.2 ,Moisture 5.1 ,Shortage in KG= 45  ,Oil% 39.19</v>
      </c>
      <c r="BP875" s="71">
        <f t="shared" si="579"/>
        <v>7253.3027851288707</v>
      </c>
      <c r="BQ875" s="41"/>
      <c r="BR875" s="41"/>
      <c r="BS875" s="41"/>
      <c r="BT875" s="41"/>
      <c r="BU875" s="41"/>
      <c r="BV875" s="41"/>
      <c r="BW875" s="85"/>
      <c r="BX875" s="27">
        <v>39.340000000000003</v>
      </c>
      <c r="BY875" s="27">
        <v>39.19</v>
      </c>
    </row>
    <row r="876" spans="1:77" ht="14.1" hidden="1" customHeight="1" x14ac:dyDescent="0.3">
      <c r="A876" s="387" t="s">
        <v>1616</v>
      </c>
      <c r="B876" s="146">
        <v>46174</v>
      </c>
      <c r="C876" s="138">
        <v>847</v>
      </c>
      <c r="D876" s="135" t="s">
        <v>1844</v>
      </c>
      <c r="E876" s="129">
        <v>46181</v>
      </c>
      <c r="F876" s="138" t="s">
        <v>1509</v>
      </c>
      <c r="G876" s="281" t="s">
        <v>1510</v>
      </c>
      <c r="H876" s="281" t="s">
        <v>1511</v>
      </c>
      <c r="I876" s="136"/>
      <c r="J876" s="347" t="s">
        <v>1455</v>
      </c>
      <c r="K876" s="136"/>
      <c r="L876" s="146">
        <v>46174</v>
      </c>
      <c r="M876" s="136"/>
      <c r="N876" s="135" t="s">
        <v>1904</v>
      </c>
      <c r="O876" s="146">
        <v>46179</v>
      </c>
      <c r="P876" s="138">
        <v>0</v>
      </c>
      <c r="Q876" s="138">
        <v>70</v>
      </c>
      <c r="R876" s="138">
        <v>543</v>
      </c>
      <c r="S876" s="138">
        <v>613</v>
      </c>
      <c r="T876" s="138">
        <v>613</v>
      </c>
      <c r="U876" s="136"/>
      <c r="V876" s="136"/>
      <c r="W876" s="169">
        <v>339.75</v>
      </c>
      <c r="X876" s="169">
        <v>339.4</v>
      </c>
      <c r="Y876" s="128">
        <v>2726493.75</v>
      </c>
      <c r="Z876" s="128"/>
      <c r="AA876" s="138">
        <v>68162.34</v>
      </c>
      <c r="AB876" s="138">
        <v>68162.34</v>
      </c>
      <c r="AC876" s="138">
        <v>2862818.44</v>
      </c>
      <c r="AD876" s="315">
        <f t="shared" si="562"/>
        <v>2859955.6215599999</v>
      </c>
      <c r="AE876" s="147">
        <v>40.51</v>
      </c>
      <c r="AF876" s="147">
        <v>42</v>
      </c>
      <c r="AG876" s="147">
        <v>40.31</v>
      </c>
      <c r="AH876" s="287">
        <v>4.4999999999999997E-3</v>
      </c>
      <c r="AI876" s="287">
        <v>3.1600000000000003E-2</v>
      </c>
      <c r="AJ876" s="287">
        <v>5.0999999999999997E-2</v>
      </c>
      <c r="AK876" s="318">
        <f t="shared" si="563"/>
        <v>109708.91517857127</v>
      </c>
      <c r="AL876" s="193">
        <f>70*10+543*15</f>
        <v>8845</v>
      </c>
      <c r="AM876" s="319">
        <f>Y876*AH876</f>
        <v>12269.221874999999</v>
      </c>
      <c r="AN876" s="388">
        <f>W876*25</f>
        <v>8493.75</v>
      </c>
      <c r="AO876" s="320">
        <f t="shared" si="564"/>
        <v>2808.75</v>
      </c>
      <c r="AP876" s="193"/>
      <c r="AQ876" s="318">
        <v>0</v>
      </c>
      <c r="AR876" s="318">
        <f t="shared" si="565"/>
        <v>142125.63705357129</v>
      </c>
      <c r="AS876" s="318">
        <f t="shared" si="566"/>
        <v>149232</v>
      </c>
      <c r="AT876" s="321">
        <v>35</v>
      </c>
      <c r="AU876" s="136" t="s">
        <v>1956</v>
      </c>
      <c r="AV876" s="136"/>
      <c r="AW876" s="318">
        <f t="shared" si="580"/>
        <v>33975</v>
      </c>
      <c r="AX876" s="193"/>
      <c r="AY876" s="318">
        <f t="shared" si="581"/>
        <v>33975</v>
      </c>
      <c r="AZ876" s="318">
        <f t="shared" si="582"/>
        <v>33940</v>
      </c>
      <c r="BA876" s="318">
        <f t="shared" si="583"/>
        <v>35</v>
      </c>
      <c r="BB876" s="318">
        <f t="shared" si="584"/>
        <v>67.95</v>
      </c>
      <c r="BC876" s="318">
        <v>0</v>
      </c>
      <c r="BD876" s="193"/>
      <c r="BE876" s="138">
        <v>339.75</v>
      </c>
      <c r="BF876" s="321">
        <f t="shared" si="572"/>
        <v>0.50962499999999999</v>
      </c>
      <c r="BG876" s="197">
        <f t="shared" si="573"/>
        <v>339.24037499999997</v>
      </c>
      <c r="BH876" s="321">
        <f t="shared" si="574"/>
        <v>339.4</v>
      </c>
      <c r="BI876" s="322">
        <f t="shared" si="575"/>
        <v>35.000000000002274</v>
      </c>
      <c r="BJ876" s="322">
        <v>0</v>
      </c>
      <c r="BK876" s="318">
        <f t="shared" si="576"/>
        <v>35.000000000002274</v>
      </c>
      <c r="BL876" s="67"/>
      <c r="BM876" s="68" t="str">
        <f t="shared" si="577"/>
        <v>Unloading no. 847 Bill No 2026-27/025 ,Deduction For Oil Deduction= 109708.915178571 ,Bardana= 8845 ,F.M= 12269.221875 Brokerage/Rate Difference 8493.75 ,Shortage = 2808.75 ,Greenish=  ,Moisture= 0</v>
      </c>
      <c r="BN876" s="69"/>
      <c r="BO876" s="70" t="str">
        <f t="shared" si="578"/>
        <v xml:space="preserve"> Party Condition 42  ,F.M% 0.45 ,Greenish 3.16 ,Moisture 5.1 ,Shortage in KG= 35  ,Oil% 40.31</v>
      </c>
      <c r="BP876" s="71">
        <f t="shared" si="579"/>
        <v>7614.5200735015587</v>
      </c>
      <c r="BQ876" s="41"/>
      <c r="BR876" s="41"/>
      <c r="BS876" s="41"/>
      <c r="BT876" s="41"/>
      <c r="BU876" s="41"/>
      <c r="BV876" s="41"/>
      <c r="BW876" s="85"/>
      <c r="BX876" s="27">
        <v>40.51</v>
      </c>
      <c r="BY876" s="27">
        <v>40.31</v>
      </c>
    </row>
    <row r="877" spans="1:77" ht="14.1" hidden="1" customHeight="1" x14ac:dyDescent="0.3">
      <c r="A877" s="387" t="s">
        <v>1740</v>
      </c>
      <c r="B877" s="146">
        <v>46177</v>
      </c>
      <c r="C877" s="138">
        <v>848</v>
      </c>
      <c r="D877" s="135" t="s">
        <v>1845</v>
      </c>
      <c r="E877" s="129">
        <v>46181</v>
      </c>
      <c r="F877" s="138" t="s">
        <v>1689</v>
      </c>
      <c r="G877" s="281" t="s">
        <v>1690</v>
      </c>
      <c r="H877" s="281" t="s">
        <v>1511</v>
      </c>
      <c r="I877" s="136"/>
      <c r="J877" s="347" t="s">
        <v>1455</v>
      </c>
      <c r="K877" s="136"/>
      <c r="L877" s="146">
        <v>46177</v>
      </c>
      <c r="M877" s="136"/>
      <c r="N877" s="135" t="s">
        <v>1905</v>
      </c>
      <c r="O877" s="146">
        <v>46180</v>
      </c>
      <c r="P877" s="138">
        <v>0</v>
      </c>
      <c r="Q877" s="138">
        <v>300</v>
      </c>
      <c r="R877" s="138">
        <v>307</v>
      </c>
      <c r="S877" s="138">
        <v>607</v>
      </c>
      <c r="T877" s="138">
        <v>607</v>
      </c>
      <c r="U877" s="136"/>
      <c r="V877" s="136"/>
      <c r="W877" s="169">
        <v>361.75</v>
      </c>
      <c r="X877" s="169">
        <v>361</v>
      </c>
      <c r="Y877" s="128">
        <v>2912087.5</v>
      </c>
      <c r="Z877" s="174"/>
      <c r="AA877" s="138">
        <v>72802.19</v>
      </c>
      <c r="AB877" s="138">
        <v>72802.19</v>
      </c>
      <c r="AC877" s="138">
        <v>3057691.88</v>
      </c>
      <c r="AD877" s="315">
        <f t="shared" si="562"/>
        <v>3054634.1881200001</v>
      </c>
      <c r="AE877" s="147">
        <v>40.54</v>
      </c>
      <c r="AF877" s="147">
        <v>42</v>
      </c>
      <c r="AG877" s="147">
        <v>40.409999999999997</v>
      </c>
      <c r="AH877" s="287">
        <v>4.4999999999999997E-3</v>
      </c>
      <c r="AI877" s="287">
        <v>3.3300000000000003E-2</v>
      </c>
      <c r="AJ877" s="287">
        <v>5.2999999999999999E-2</v>
      </c>
      <c r="AK877" s="318">
        <f t="shared" si="563"/>
        <v>110243.31250000023</v>
      </c>
      <c r="AL877" s="193">
        <f>300*10+307*15</f>
        <v>7605</v>
      </c>
      <c r="AM877" s="319">
        <f>Y877*AH877</f>
        <v>13104.393749999999</v>
      </c>
      <c r="AN877" s="388">
        <f>W877*50</f>
        <v>18087.5</v>
      </c>
      <c r="AO877" s="320">
        <f t="shared" si="564"/>
        <v>6037.5</v>
      </c>
      <c r="AP877" s="193"/>
      <c r="AQ877" s="318">
        <v>0</v>
      </c>
      <c r="AR877" s="318">
        <f t="shared" si="565"/>
        <v>155077.70625000022</v>
      </c>
      <c r="AS877" s="318">
        <f t="shared" si="566"/>
        <v>162832</v>
      </c>
      <c r="AT877" s="321">
        <v>75</v>
      </c>
      <c r="AU877" s="136" t="s">
        <v>1957</v>
      </c>
      <c r="AV877" s="136"/>
      <c r="AW877" s="318">
        <f t="shared" si="580"/>
        <v>36175</v>
      </c>
      <c r="AX877" s="193"/>
      <c r="AY877" s="318">
        <f t="shared" si="581"/>
        <v>36175</v>
      </c>
      <c r="AZ877" s="318">
        <f t="shared" si="582"/>
        <v>36100</v>
      </c>
      <c r="BA877" s="318">
        <f t="shared" si="583"/>
        <v>75</v>
      </c>
      <c r="BB877" s="318">
        <f t="shared" si="584"/>
        <v>72.349999999999994</v>
      </c>
      <c r="BC877" s="318">
        <v>0</v>
      </c>
      <c r="BD877" s="193"/>
      <c r="BE877" s="138">
        <v>361.75</v>
      </c>
      <c r="BF877" s="321">
        <f t="shared" si="572"/>
        <v>0.54262499999999991</v>
      </c>
      <c r="BG877" s="197">
        <f t="shared" si="573"/>
        <v>361.20737500000001</v>
      </c>
      <c r="BH877" s="321">
        <f t="shared" si="574"/>
        <v>361</v>
      </c>
      <c r="BI877" s="322">
        <f t="shared" si="575"/>
        <v>75</v>
      </c>
      <c r="BJ877" s="322">
        <v>0</v>
      </c>
      <c r="BK877" s="318">
        <f t="shared" si="576"/>
        <v>75</v>
      </c>
      <c r="BL877" s="67"/>
      <c r="BM877" s="68" t="str">
        <f t="shared" si="577"/>
        <v>Unloading no. 848 Bill No GST23 ,Deduction For Oil Deduction= 110243.3125 ,Bardana= 7605 ,F.M= 13104.39375 Brokerage/Rate Difference 18087.5 ,Shortage = 6037.5 ,Greenish=  ,Moisture= 0</v>
      </c>
      <c r="BN877" s="69"/>
      <c r="BO877" s="70" t="str">
        <f t="shared" si="578"/>
        <v xml:space="preserve"> Party Condition 42  ,F.M% 0.45 ,Greenish 3.33 ,Moisture 5.3 ,Shortage in KG= 75  ,Oil% 40.41</v>
      </c>
      <c r="BP877" s="71">
        <f t="shared" si="579"/>
        <v>7637.1462430747915</v>
      </c>
      <c r="BQ877" s="41"/>
      <c r="BR877" s="41"/>
      <c r="BS877" s="41"/>
      <c r="BT877" s="41"/>
      <c r="BU877" s="41"/>
      <c r="BV877" s="41"/>
      <c r="BW877" s="85"/>
      <c r="BX877" s="27">
        <v>40.54</v>
      </c>
      <c r="BY877" s="27">
        <v>40.409999999999997</v>
      </c>
    </row>
    <row r="878" spans="1:77" ht="14.1" hidden="1" customHeight="1" x14ac:dyDescent="0.3">
      <c r="A878" s="138" t="s">
        <v>1539</v>
      </c>
      <c r="B878" s="146">
        <v>46174</v>
      </c>
      <c r="C878" s="138">
        <v>849</v>
      </c>
      <c r="D878" s="135" t="s">
        <v>1846</v>
      </c>
      <c r="E878" s="129">
        <v>46181</v>
      </c>
      <c r="F878" s="138" t="s">
        <v>1144</v>
      </c>
      <c r="G878" s="281" t="s">
        <v>1145</v>
      </c>
      <c r="H878" s="281" t="s">
        <v>1901</v>
      </c>
      <c r="I878" s="136"/>
      <c r="J878" s="347" t="s">
        <v>1455</v>
      </c>
      <c r="K878" s="136"/>
      <c r="L878" s="146">
        <v>46174</v>
      </c>
      <c r="M878" s="136"/>
      <c r="N878" s="135" t="s">
        <v>1906</v>
      </c>
      <c r="O878" s="146">
        <v>46181</v>
      </c>
      <c r="P878" s="138">
        <v>0</v>
      </c>
      <c r="Q878" s="138">
        <v>130</v>
      </c>
      <c r="R878" s="138">
        <v>20</v>
      </c>
      <c r="S878" s="138">
        <v>150</v>
      </c>
      <c r="T878" s="138">
        <v>150</v>
      </c>
      <c r="U878" s="136"/>
      <c r="V878" s="136"/>
      <c r="W878" s="169">
        <v>87.9</v>
      </c>
      <c r="X878" s="169">
        <v>87.9</v>
      </c>
      <c r="Y878" s="389">
        <v>703200</v>
      </c>
      <c r="Z878" s="147">
        <v>39.72</v>
      </c>
      <c r="AA878" s="390">
        <v>17580</v>
      </c>
      <c r="AB878" s="147">
        <v>17580</v>
      </c>
      <c r="AC878" s="147">
        <v>738360</v>
      </c>
      <c r="AD878" s="315">
        <f t="shared" si="562"/>
        <v>737621.64</v>
      </c>
      <c r="AE878" s="236">
        <v>39.72</v>
      </c>
      <c r="AF878" s="147">
        <v>42</v>
      </c>
      <c r="AG878" s="236">
        <v>39.72</v>
      </c>
      <c r="AH878" s="287">
        <v>4.0000000000000001E-3</v>
      </c>
      <c r="AI878" s="287">
        <v>3.4000000000000002E-2</v>
      </c>
      <c r="AJ878" s="287">
        <v>5.0999999999999997E-2</v>
      </c>
      <c r="AK878" s="318">
        <f t="shared" si="563"/>
        <v>38173.714285714304</v>
      </c>
      <c r="AL878" s="193"/>
      <c r="AM878" s="319"/>
      <c r="AN878" s="319"/>
      <c r="AO878" s="320">
        <f t="shared" si="564"/>
        <v>0</v>
      </c>
      <c r="AP878" s="193"/>
      <c r="AQ878" s="318">
        <v>0</v>
      </c>
      <c r="AR878" s="318">
        <f t="shared" si="565"/>
        <v>38173.714285714304</v>
      </c>
      <c r="AS878" s="318">
        <f t="shared" si="566"/>
        <v>40082</v>
      </c>
      <c r="AT878" s="321">
        <v>0</v>
      </c>
      <c r="AU878" s="136"/>
      <c r="AV878" s="136"/>
      <c r="AW878" s="318">
        <f t="shared" si="580"/>
        <v>8790</v>
      </c>
      <c r="AX878" s="193"/>
      <c r="AY878" s="318">
        <f t="shared" si="581"/>
        <v>8790</v>
      </c>
      <c r="AZ878" s="318">
        <f t="shared" si="582"/>
        <v>8790</v>
      </c>
      <c r="BA878" s="318">
        <f t="shared" si="583"/>
        <v>0</v>
      </c>
      <c r="BB878" s="318">
        <f t="shared" si="584"/>
        <v>17.579999999999998</v>
      </c>
      <c r="BC878" s="318">
        <v>0</v>
      </c>
      <c r="BD878" s="193"/>
      <c r="BE878" s="138">
        <v>87.9</v>
      </c>
      <c r="BF878" s="321">
        <f t="shared" si="572"/>
        <v>0.13184999999999999</v>
      </c>
      <c r="BG878" s="197">
        <f t="shared" si="573"/>
        <v>87.768150000000006</v>
      </c>
      <c r="BH878" s="321">
        <f t="shared" si="574"/>
        <v>87.9</v>
      </c>
      <c r="BI878" s="322">
        <f t="shared" si="575"/>
        <v>0</v>
      </c>
      <c r="BJ878" s="322">
        <v>0</v>
      </c>
      <c r="BK878" s="318">
        <f t="shared" si="576"/>
        <v>0</v>
      </c>
      <c r="BL878" s="67"/>
      <c r="BM878" s="68" t="str">
        <f t="shared" si="577"/>
        <v>Unloading no. 849 Bill No 2026-27/203 ,Deduction For Oil Deduction= 38173.7142857143 ,Bardana=  ,F.M=  Brokerage/Rate Difference  ,Shortage = 0 ,Greenish=  ,Moisture= 0</v>
      </c>
      <c r="BN878" s="69"/>
      <c r="BO878" s="70" t="str">
        <f t="shared" si="578"/>
        <v xml:space="preserve"> Party Condition 42  ,F.M% 0.4 ,Greenish 3.4 ,Moisture 5.1 ,Shortage in KG= 0  ,Oil% 39.72</v>
      </c>
      <c r="BP878" s="71">
        <f t="shared" si="579"/>
        <v>7565.7142857142844</v>
      </c>
      <c r="BQ878" s="41"/>
      <c r="BR878" s="41"/>
      <c r="BS878" s="41"/>
      <c r="BT878" s="41"/>
      <c r="BU878" s="41"/>
      <c r="BV878" s="41"/>
      <c r="BW878" s="85"/>
      <c r="BX878" s="27">
        <v>39.43</v>
      </c>
      <c r="BY878" s="27">
        <v>39.24</v>
      </c>
    </row>
    <row r="879" spans="1:77" ht="14.1" hidden="1" customHeight="1" x14ac:dyDescent="0.3">
      <c r="A879" s="138" t="s">
        <v>1539</v>
      </c>
      <c r="B879" s="146">
        <v>46174</v>
      </c>
      <c r="C879" s="138">
        <v>850</v>
      </c>
      <c r="D879" s="135" t="s">
        <v>1847</v>
      </c>
      <c r="E879" s="129">
        <v>46181</v>
      </c>
      <c r="F879" s="138" t="s">
        <v>1144</v>
      </c>
      <c r="G879" s="281" t="s">
        <v>1145</v>
      </c>
      <c r="H879" s="281" t="s">
        <v>1901</v>
      </c>
      <c r="I879" s="136"/>
      <c r="J879" s="347" t="s">
        <v>1455</v>
      </c>
      <c r="K879" s="136"/>
      <c r="L879" s="146">
        <v>46174</v>
      </c>
      <c r="M879" s="136"/>
      <c r="N879" s="135" t="s">
        <v>1907</v>
      </c>
      <c r="O879" s="146">
        <v>46181</v>
      </c>
      <c r="P879" s="138">
        <v>0</v>
      </c>
      <c r="Q879" s="138">
        <v>80</v>
      </c>
      <c r="R879" s="138">
        <v>70</v>
      </c>
      <c r="S879" s="138">
        <v>150</v>
      </c>
      <c r="T879" s="138">
        <v>150</v>
      </c>
      <c r="U879" s="136"/>
      <c r="V879" s="136"/>
      <c r="W879" s="169">
        <v>86.1</v>
      </c>
      <c r="X879" s="169">
        <v>86</v>
      </c>
      <c r="Y879" s="389">
        <v>688800</v>
      </c>
      <c r="Z879" s="147">
        <v>39.68</v>
      </c>
      <c r="AA879" s="390">
        <v>17220</v>
      </c>
      <c r="AB879" s="147">
        <v>17220</v>
      </c>
      <c r="AC879" s="147">
        <v>723240</v>
      </c>
      <c r="AD879" s="315">
        <f t="shared" si="562"/>
        <v>722516.76</v>
      </c>
      <c r="AE879" s="236">
        <v>39.68</v>
      </c>
      <c r="AF879" s="147">
        <v>42</v>
      </c>
      <c r="AG879" s="236">
        <v>39.68</v>
      </c>
      <c r="AH879" s="287">
        <v>4.1999999999999997E-3</v>
      </c>
      <c r="AI879" s="287">
        <v>3.6999999999999998E-2</v>
      </c>
      <c r="AJ879" s="287">
        <v>0.05</v>
      </c>
      <c r="AK879" s="318">
        <f t="shared" si="563"/>
        <v>38048.000000000007</v>
      </c>
      <c r="AL879" s="193"/>
      <c r="AM879" s="319"/>
      <c r="AN879" s="319"/>
      <c r="AO879" s="320">
        <f t="shared" si="564"/>
        <v>0</v>
      </c>
      <c r="AP879" s="193"/>
      <c r="AQ879" s="318">
        <v>0</v>
      </c>
      <c r="AR879" s="318">
        <f t="shared" si="565"/>
        <v>38048.000000000007</v>
      </c>
      <c r="AS879" s="318">
        <f t="shared" si="566"/>
        <v>39950</v>
      </c>
      <c r="AT879" s="321">
        <v>0</v>
      </c>
      <c r="AU879" s="136"/>
      <c r="AV879" s="136"/>
      <c r="AW879" s="318">
        <f t="shared" si="580"/>
        <v>8610</v>
      </c>
      <c r="AX879" s="193"/>
      <c r="AY879" s="318">
        <f t="shared" si="581"/>
        <v>8610</v>
      </c>
      <c r="AZ879" s="318">
        <f t="shared" si="582"/>
        <v>8600</v>
      </c>
      <c r="BA879" s="318">
        <f t="shared" si="583"/>
        <v>10</v>
      </c>
      <c r="BB879" s="318">
        <f t="shared" si="584"/>
        <v>17.22</v>
      </c>
      <c r="BC879" s="318">
        <v>0</v>
      </c>
      <c r="BD879" s="193"/>
      <c r="BE879" s="138">
        <v>86.1</v>
      </c>
      <c r="BF879" s="321">
        <f t="shared" si="572"/>
        <v>0.12914999999999999</v>
      </c>
      <c r="BG879" s="197">
        <f t="shared" si="573"/>
        <v>85.970849999999999</v>
      </c>
      <c r="BH879" s="321">
        <f t="shared" si="574"/>
        <v>86</v>
      </c>
      <c r="BI879" s="322">
        <f t="shared" si="575"/>
        <v>9.9999999999994316</v>
      </c>
      <c r="BJ879" s="322">
        <v>0</v>
      </c>
      <c r="BK879" s="318">
        <f t="shared" si="576"/>
        <v>9.9999999999994316</v>
      </c>
      <c r="BL879" s="67"/>
      <c r="BM879" s="68" t="str">
        <f t="shared" si="577"/>
        <v>Unloading no. 850 Bill No 2026-27/204 ,Deduction For Oil Deduction= 38048 ,Bardana=  ,F.M=  Brokerage/Rate Difference  ,Shortage = 0 ,Greenish=  ,Moisture= 0</v>
      </c>
      <c r="BN879" s="69"/>
      <c r="BO879" s="70" t="str">
        <f t="shared" si="578"/>
        <v xml:space="preserve"> Party Condition 42  ,F.M% 0.42 ,Greenish 3.7 ,Moisture 5 ,Shortage in KG= 0  ,Oil% 39.68</v>
      </c>
      <c r="BP879" s="71">
        <f t="shared" si="579"/>
        <v>7566.8837209302328</v>
      </c>
      <c r="BQ879" s="41"/>
      <c r="BR879" s="41"/>
      <c r="BS879" s="41"/>
      <c r="BT879" s="41"/>
      <c r="BU879" s="41"/>
      <c r="BV879" s="41"/>
      <c r="BW879" s="85"/>
      <c r="BX879" s="27">
        <v>39.18</v>
      </c>
      <c r="BY879" s="27">
        <v>39.049999999999997</v>
      </c>
    </row>
    <row r="880" spans="1:77" ht="14.1" hidden="1" customHeight="1" x14ac:dyDescent="0.3">
      <c r="A880" s="138" t="s">
        <v>1539</v>
      </c>
      <c r="B880" s="146">
        <v>46174</v>
      </c>
      <c r="C880" s="138">
        <v>851</v>
      </c>
      <c r="D880" s="135" t="s">
        <v>1848</v>
      </c>
      <c r="E880" s="129">
        <v>46181</v>
      </c>
      <c r="F880" s="138" t="s">
        <v>1144</v>
      </c>
      <c r="G880" s="281" t="s">
        <v>1145</v>
      </c>
      <c r="H880" s="281" t="s">
        <v>1901</v>
      </c>
      <c r="I880" s="136"/>
      <c r="J880" s="347" t="s">
        <v>1455</v>
      </c>
      <c r="K880" s="136"/>
      <c r="L880" s="146">
        <v>46174</v>
      </c>
      <c r="M880" s="136"/>
      <c r="N880" s="135" t="s">
        <v>1908</v>
      </c>
      <c r="O880" s="146">
        <v>46181</v>
      </c>
      <c r="P880" s="138">
        <v>0</v>
      </c>
      <c r="Q880" s="138">
        <v>140</v>
      </c>
      <c r="R880" s="138">
        <v>10</v>
      </c>
      <c r="S880" s="138">
        <v>150</v>
      </c>
      <c r="T880" s="138">
        <v>150</v>
      </c>
      <c r="U880" s="136"/>
      <c r="V880" s="136"/>
      <c r="W880" s="169">
        <v>87.9</v>
      </c>
      <c r="X880" s="169">
        <v>87.9</v>
      </c>
      <c r="Y880" s="389">
        <v>703200</v>
      </c>
      <c r="Z880" s="147">
        <v>39.64</v>
      </c>
      <c r="AA880" s="390">
        <v>17580</v>
      </c>
      <c r="AB880" s="147">
        <v>17580</v>
      </c>
      <c r="AC880" s="147">
        <v>738360</v>
      </c>
      <c r="AD880" s="315">
        <f t="shared" si="562"/>
        <v>737621.64</v>
      </c>
      <c r="AE880" s="236">
        <v>39.64</v>
      </c>
      <c r="AF880" s="147">
        <v>42</v>
      </c>
      <c r="AG880" s="236">
        <v>39.64</v>
      </c>
      <c r="AH880" s="287">
        <v>3.5000000000000001E-3</v>
      </c>
      <c r="AI880" s="287">
        <v>4.2799999999999998E-2</v>
      </c>
      <c r="AJ880" s="287">
        <v>4.9000000000000002E-2</v>
      </c>
      <c r="AK880" s="318">
        <f t="shared" si="563"/>
        <v>39513.142857142848</v>
      </c>
      <c r="AL880" s="193"/>
      <c r="AM880" s="319"/>
      <c r="AN880" s="319"/>
      <c r="AO880" s="320">
        <f t="shared" si="564"/>
        <v>0</v>
      </c>
      <c r="AP880" s="193"/>
      <c r="AQ880" s="318">
        <v>0</v>
      </c>
      <c r="AR880" s="318">
        <f t="shared" si="565"/>
        <v>39513.142857142848</v>
      </c>
      <c r="AS880" s="318">
        <f t="shared" si="566"/>
        <v>41489</v>
      </c>
      <c r="AT880" s="321">
        <v>0</v>
      </c>
      <c r="AU880" s="136"/>
      <c r="AV880" s="136"/>
      <c r="AW880" s="318">
        <f t="shared" si="580"/>
        <v>8790</v>
      </c>
      <c r="AX880" s="193"/>
      <c r="AY880" s="318">
        <f t="shared" si="581"/>
        <v>8790</v>
      </c>
      <c r="AZ880" s="318">
        <f t="shared" si="582"/>
        <v>8790</v>
      </c>
      <c r="BA880" s="318">
        <f t="shared" si="583"/>
        <v>0</v>
      </c>
      <c r="BB880" s="318">
        <f t="shared" si="584"/>
        <v>17.579999999999998</v>
      </c>
      <c r="BC880" s="318">
        <v>0</v>
      </c>
      <c r="BD880" s="193"/>
      <c r="BE880" s="138">
        <v>87.9</v>
      </c>
      <c r="BF880" s="321">
        <f t="shared" si="572"/>
        <v>0.13184999999999999</v>
      </c>
      <c r="BG880" s="197">
        <f t="shared" si="573"/>
        <v>87.768150000000006</v>
      </c>
      <c r="BH880" s="321">
        <f t="shared" si="574"/>
        <v>87.9</v>
      </c>
      <c r="BI880" s="322">
        <f t="shared" si="575"/>
        <v>0</v>
      </c>
      <c r="BJ880" s="322">
        <v>0</v>
      </c>
      <c r="BK880" s="318">
        <f t="shared" si="576"/>
        <v>0</v>
      </c>
      <c r="BL880" s="67"/>
      <c r="BM880" s="68" t="str">
        <f t="shared" si="577"/>
        <v>Unloading no. 851 Bill No 2026-27/205 ,Deduction For Oil Deduction= 39513.1428571428 ,Bardana=  ,F.M=  Brokerage/Rate Difference  ,Shortage = 0 ,Greenish=  ,Moisture= 0</v>
      </c>
      <c r="BN880" s="69"/>
      <c r="BO880" s="70" t="str">
        <f t="shared" si="578"/>
        <v xml:space="preserve"> Party Condition 42  ,F.M% 0.35 ,Greenish 4.28 ,Moisture 4.9 ,Shortage in KG= 0  ,Oil% 39.64</v>
      </c>
      <c r="BP880" s="71">
        <f t="shared" si="579"/>
        <v>7550.4761904761899</v>
      </c>
      <c r="BQ880" s="41"/>
      <c r="BR880" s="41"/>
      <c r="BS880" s="41"/>
      <c r="BT880" s="41"/>
      <c r="BU880" s="41"/>
      <c r="BV880" s="41"/>
      <c r="BW880" s="85"/>
      <c r="BX880" s="27">
        <v>39.92</v>
      </c>
      <c r="BY880" s="27">
        <v>39.770000000000003</v>
      </c>
    </row>
    <row r="881" spans="1:77" ht="14.1" hidden="1" customHeight="1" x14ac:dyDescent="0.3">
      <c r="A881" s="138" t="s">
        <v>1539</v>
      </c>
      <c r="B881" s="146">
        <v>46174</v>
      </c>
      <c r="C881" s="138">
        <v>852</v>
      </c>
      <c r="D881" s="135" t="s">
        <v>1849</v>
      </c>
      <c r="E881" s="129">
        <v>46181</v>
      </c>
      <c r="F881" s="138" t="s">
        <v>1144</v>
      </c>
      <c r="G881" s="281" t="s">
        <v>1145</v>
      </c>
      <c r="H881" s="281" t="s">
        <v>1901</v>
      </c>
      <c r="I881" s="136"/>
      <c r="J881" s="347" t="s">
        <v>1455</v>
      </c>
      <c r="K881" s="136"/>
      <c r="L881" s="146">
        <v>46174</v>
      </c>
      <c r="M881" s="136"/>
      <c r="N881" s="135" t="s">
        <v>1909</v>
      </c>
      <c r="O881" s="146">
        <v>46181</v>
      </c>
      <c r="P881" s="138">
        <v>0</v>
      </c>
      <c r="Q881" s="138">
        <v>50</v>
      </c>
      <c r="R881" s="138">
        <v>100</v>
      </c>
      <c r="S881" s="138">
        <v>150</v>
      </c>
      <c r="T881" s="138">
        <v>150</v>
      </c>
      <c r="U881" s="136"/>
      <c r="V881" s="136"/>
      <c r="W881" s="169">
        <v>88.1</v>
      </c>
      <c r="X881" s="169">
        <v>88.1</v>
      </c>
      <c r="Y881" s="389">
        <v>704800</v>
      </c>
      <c r="Z881" s="147">
        <v>39.9</v>
      </c>
      <c r="AA881" s="390">
        <v>17620</v>
      </c>
      <c r="AB881" s="147">
        <v>17620</v>
      </c>
      <c r="AC881" s="147">
        <v>740040</v>
      </c>
      <c r="AD881" s="315">
        <f t="shared" si="562"/>
        <v>739299.96</v>
      </c>
      <c r="AE881" s="236">
        <v>39.9</v>
      </c>
      <c r="AF881" s="147">
        <v>42</v>
      </c>
      <c r="AG881" s="236">
        <v>39.9</v>
      </c>
      <c r="AH881" s="287">
        <v>3.7000000000000002E-3</v>
      </c>
      <c r="AI881" s="287">
        <v>0.05</v>
      </c>
      <c r="AJ881" s="287">
        <v>5.3999999999999999E-2</v>
      </c>
      <c r="AK881" s="318">
        <f t="shared" si="563"/>
        <v>35240.000000000022</v>
      </c>
      <c r="AL881" s="193"/>
      <c r="AM881" s="319"/>
      <c r="AN881" s="319"/>
      <c r="AO881" s="320">
        <f t="shared" si="564"/>
        <v>0</v>
      </c>
      <c r="AP881" s="193"/>
      <c r="AQ881" s="318">
        <v>0</v>
      </c>
      <c r="AR881" s="318">
        <f t="shared" si="565"/>
        <v>35240.000000000022</v>
      </c>
      <c r="AS881" s="318">
        <f t="shared" si="566"/>
        <v>37002</v>
      </c>
      <c r="AT881" s="321">
        <v>0</v>
      </c>
      <c r="AU881" s="136"/>
      <c r="AV881" s="136"/>
      <c r="AW881" s="318">
        <f t="shared" si="580"/>
        <v>8810</v>
      </c>
      <c r="AX881" s="193"/>
      <c r="AY881" s="318">
        <f t="shared" si="581"/>
        <v>8810</v>
      </c>
      <c r="AZ881" s="318">
        <f t="shared" si="582"/>
        <v>8810</v>
      </c>
      <c r="BA881" s="318">
        <f t="shared" si="583"/>
        <v>0</v>
      </c>
      <c r="BB881" s="318">
        <f t="shared" si="584"/>
        <v>17.62</v>
      </c>
      <c r="BC881" s="318">
        <v>0</v>
      </c>
      <c r="BD881" s="193"/>
      <c r="BE881" s="138">
        <v>88.1</v>
      </c>
      <c r="BF881" s="321">
        <f t="shared" si="572"/>
        <v>0.13214999999999999</v>
      </c>
      <c r="BG881" s="197">
        <f t="shared" si="573"/>
        <v>87.967849999999999</v>
      </c>
      <c r="BH881" s="321">
        <f t="shared" si="574"/>
        <v>88.1</v>
      </c>
      <c r="BI881" s="322">
        <f t="shared" si="575"/>
        <v>0</v>
      </c>
      <c r="BJ881" s="322">
        <v>0</v>
      </c>
      <c r="BK881" s="318">
        <f t="shared" si="576"/>
        <v>0</v>
      </c>
      <c r="BL881" s="67"/>
      <c r="BM881" s="68" t="str">
        <f t="shared" si="577"/>
        <v>Unloading no. 852 Bill No 2026-27/206 ,Deduction For Oil Deduction= 35240 ,Bardana=  ,F.M=  Brokerage/Rate Difference  ,Shortage = 0 ,Greenish=  ,Moisture= 0</v>
      </c>
      <c r="BN881" s="69"/>
      <c r="BO881" s="70" t="str">
        <f t="shared" si="578"/>
        <v xml:space="preserve"> Party Condition 42  ,F.M% 0.37 ,Greenish 5 ,Moisture 5.4 ,Shortage in KG= 0  ,Oil% 39.9</v>
      </c>
      <c r="BP881" s="71">
        <f t="shared" si="579"/>
        <v>7600.0000000000009</v>
      </c>
      <c r="BQ881" s="41"/>
      <c r="BR881" s="41"/>
      <c r="BS881" s="41"/>
      <c r="BT881" s="41"/>
      <c r="BU881" s="41"/>
      <c r="BV881" s="41"/>
      <c r="BW881" s="85"/>
      <c r="BX881" s="27">
        <v>39.549999999999997</v>
      </c>
      <c r="BY881" s="27">
        <v>39.42</v>
      </c>
    </row>
    <row r="882" spans="1:77" ht="14.1" hidden="1" customHeight="1" x14ac:dyDescent="0.3">
      <c r="A882" s="187" t="s">
        <v>1539</v>
      </c>
      <c r="B882" s="171">
        <v>46174</v>
      </c>
      <c r="C882" s="187">
        <v>853</v>
      </c>
      <c r="D882" s="164" t="s">
        <v>1850</v>
      </c>
      <c r="E882" s="162">
        <v>46181</v>
      </c>
      <c r="F882" s="187" t="s">
        <v>1144</v>
      </c>
      <c r="G882" s="282" t="s">
        <v>1145</v>
      </c>
      <c r="H882" s="281" t="s">
        <v>1901</v>
      </c>
      <c r="I882" s="136"/>
      <c r="J882" s="347" t="s">
        <v>1455</v>
      </c>
      <c r="K882" s="136"/>
      <c r="L882" s="146">
        <v>46174</v>
      </c>
      <c r="M882" s="136"/>
      <c r="N882" s="135" t="s">
        <v>1910</v>
      </c>
      <c r="O882" s="146">
        <v>46181</v>
      </c>
      <c r="P882" s="138">
        <v>0</v>
      </c>
      <c r="Q882" s="138">
        <v>30</v>
      </c>
      <c r="R882" s="138">
        <v>120</v>
      </c>
      <c r="S882" s="138">
        <v>150</v>
      </c>
      <c r="T882" s="138">
        <v>150</v>
      </c>
      <c r="U882" s="136"/>
      <c r="V882" s="136"/>
      <c r="W882" s="169">
        <v>87.2</v>
      </c>
      <c r="X882" s="148">
        <v>87.2</v>
      </c>
      <c r="Y882" s="389">
        <v>697600</v>
      </c>
      <c r="Z882" s="147">
        <v>40.15</v>
      </c>
      <c r="AA882" s="390">
        <v>17440</v>
      </c>
      <c r="AB882" s="147">
        <v>17440</v>
      </c>
      <c r="AC882" s="147">
        <v>732480</v>
      </c>
      <c r="AD882" s="315">
        <f t="shared" si="562"/>
        <v>731747.52</v>
      </c>
      <c r="AE882" s="236">
        <v>40.15</v>
      </c>
      <c r="AF882" s="147">
        <v>42</v>
      </c>
      <c r="AG882" s="236">
        <v>40.15</v>
      </c>
      <c r="AH882" s="287">
        <v>4.0000000000000001E-3</v>
      </c>
      <c r="AI882" s="287">
        <v>4.1500000000000002E-2</v>
      </c>
      <c r="AJ882" s="287">
        <v>5.2999999999999999E-2</v>
      </c>
      <c r="AK882" s="318">
        <f t="shared" si="563"/>
        <v>30727.619047619068</v>
      </c>
      <c r="AL882" s="193"/>
      <c r="AM882" s="319"/>
      <c r="AN882" s="319"/>
      <c r="AO882" s="320">
        <f t="shared" si="564"/>
        <v>0</v>
      </c>
      <c r="AP882" s="193"/>
      <c r="AQ882" s="318">
        <v>0</v>
      </c>
      <c r="AR882" s="318">
        <f t="shared" si="565"/>
        <v>30727.619047619068</v>
      </c>
      <c r="AS882" s="318">
        <f t="shared" si="566"/>
        <v>32264</v>
      </c>
      <c r="AT882" s="321">
        <v>0</v>
      </c>
      <c r="AU882" s="136"/>
      <c r="AV882" s="136"/>
      <c r="AW882" s="318">
        <f t="shared" si="580"/>
        <v>8720</v>
      </c>
      <c r="AX882" s="193"/>
      <c r="AY882" s="318">
        <f t="shared" si="581"/>
        <v>8720</v>
      </c>
      <c r="AZ882" s="318">
        <f t="shared" si="582"/>
        <v>8720</v>
      </c>
      <c r="BA882" s="318">
        <f t="shared" si="583"/>
        <v>0</v>
      </c>
      <c r="BB882" s="318">
        <f t="shared" si="584"/>
        <v>17.440000000000001</v>
      </c>
      <c r="BC882" s="318">
        <v>0</v>
      </c>
      <c r="BD882" s="193"/>
      <c r="BE882" s="138">
        <v>87.2</v>
      </c>
      <c r="BF882" s="321">
        <f t="shared" si="572"/>
        <v>0.1308</v>
      </c>
      <c r="BG882" s="197">
        <f t="shared" si="573"/>
        <v>87.069200000000009</v>
      </c>
      <c r="BH882" s="321">
        <f t="shared" si="574"/>
        <v>87.2</v>
      </c>
      <c r="BI882" s="322">
        <f t="shared" si="575"/>
        <v>0</v>
      </c>
      <c r="BJ882" s="322">
        <v>0</v>
      </c>
      <c r="BK882" s="318">
        <f t="shared" si="576"/>
        <v>0</v>
      </c>
      <c r="BL882" s="67"/>
      <c r="BM882" s="68" t="str">
        <f t="shared" si="577"/>
        <v>Unloading no. 853 Bill No 2026-27/207 ,Deduction For Oil Deduction= 30727.6190476191 ,Bardana=  ,F.M=  Brokerage/Rate Difference  ,Shortage = 0 ,Greenish=  ,Moisture= 0</v>
      </c>
      <c r="BN882" s="69"/>
      <c r="BO882" s="70" t="str">
        <f t="shared" si="578"/>
        <v xml:space="preserve"> Party Condition 42  ,F.M% 0.4 ,Greenish 4.15 ,Moisture 5.3 ,Shortage in KG= 0  ,Oil% 40.15</v>
      </c>
      <c r="BP882" s="71">
        <f t="shared" si="579"/>
        <v>7647.6190476190477</v>
      </c>
      <c r="BQ882" s="41"/>
      <c r="BR882" s="41"/>
      <c r="BS882" s="41"/>
      <c r="BT882" s="41"/>
      <c r="BU882" s="41"/>
      <c r="BV882" s="41"/>
      <c r="BW882" s="85"/>
      <c r="BX882" s="27">
        <v>39.79</v>
      </c>
      <c r="BY882" s="27">
        <v>39.619999999999997</v>
      </c>
    </row>
    <row r="883" spans="1:77" ht="14.1" hidden="1" customHeight="1" x14ac:dyDescent="0.3">
      <c r="A883" s="138" t="s">
        <v>1833</v>
      </c>
      <c r="B883" s="146">
        <v>46175</v>
      </c>
      <c r="C883" s="190">
        <v>854</v>
      </c>
      <c r="D883" s="135" t="s">
        <v>1851</v>
      </c>
      <c r="E883" s="129">
        <v>46182</v>
      </c>
      <c r="F883" s="281" t="s">
        <v>1142</v>
      </c>
      <c r="G883" s="281" t="s">
        <v>1143</v>
      </c>
      <c r="H883" s="281" t="s">
        <v>103</v>
      </c>
      <c r="I883" s="136"/>
      <c r="J883" s="347" t="s">
        <v>1455</v>
      </c>
      <c r="K883" s="136"/>
      <c r="L883" s="146">
        <v>46175</v>
      </c>
      <c r="M883" s="136"/>
      <c r="N883" s="138" t="s">
        <v>1911</v>
      </c>
      <c r="O883" s="146">
        <v>46179</v>
      </c>
      <c r="P883" s="138">
        <v>0</v>
      </c>
      <c r="Q883" s="138">
        <v>274</v>
      </c>
      <c r="R883" s="138">
        <v>300</v>
      </c>
      <c r="S883" s="138">
        <v>574</v>
      </c>
      <c r="T883" s="138">
        <v>574</v>
      </c>
      <c r="U883" s="136"/>
      <c r="V883" s="136"/>
      <c r="W883" s="148">
        <v>310</v>
      </c>
      <c r="X883" s="148">
        <v>344.9</v>
      </c>
      <c r="Y883" s="391">
        <v>2511000</v>
      </c>
      <c r="Z883" s="138"/>
      <c r="AA883" s="390">
        <v>62775</v>
      </c>
      <c r="AB883" s="147">
        <v>62775</v>
      </c>
      <c r="AC883" s="147">
        <v>2636550</v>
      </c>
      <c r="AD883" s="315">
        <f t="shared" si="562"/>
        <v>2633913.4500000002</v>
      </c>
      <c r="AE883" s="147">
        <v>40</v>
      </c>
      <c r="AF883" s="147">
        <v>42</v>
      </c>
      <c r="AG883" s="147">
        <v>39.83</v>
      </c>
      <c r="AH883" s="292">
        <v>4.7999999999999996E-3</v>
      </c>
      <c r="AI883" s="392">
        <v>5.2900000000000003E-2</v>
      </c>
      <c r="AJ883" s="287">
        <v>5.8000000000000003E-2</v>
      </c>
      <c r="AK883" s="318">
        <f t="shared" si="563"/>
        <v>129735.0000000001</v>
      </c>
      <c r="AL883" s="193">
        <f>375*10+300*15</f>
        <v>8250</v>
      </c>
      <c r="AM883" s="319">
        <f>AH883*Y883</f>
        <v>12052.8</v>
      </c>
      <c r="AN883" s="393">
        <f>W883*100</f>
        <v>31000</v>
      </c>
      <c r="AO883" s="320">
        <f t="shared" si="564"/>
        <v>0</v>
      </c>
      <c r="AP883" s="319">
        <f>W883*8.12</f>
        <v>2517.1999999999998</v>
      </c>
      <c r="AQ883" s="318">
        <v>0</v>
      </c>
      <c r="AR883" s="325">
        <f t="shared" si="565"/>
        <v>183555.00000000012</v>
      </c>
      <c r="AS883" s="318">
        <f t="shared" si="566"/>
        <v>192733</v>
      </c>
      <c r="AT883" s="321">
        <v>0</v>
      </c>
      <c r="AU883" s="136" t="s">
        <v>1958</v>
      </c>
      <c r="AV883" s="136"/>
      <c r="AW883" s="318">
        <f t="shared" si="580"/>
        <v>31000</v>
      </c>
      <c r="AX883" s="193"/>
      <c r="AY883" s="318">
        <f t="shared" si="581"/>
        <v>31000</v>
      </c>
      <c r="AZ883" s="318">
        <f t="shared" si="582"/>
        <v>34490</v>
      </c>
      <c r="BA883" s="318">
        <f t="shared" si="583"/>
        <v>-3490</v>
      </c>
      <c r="BB883" s="318">
        <f t="shared" si="584"/>
        <v>62</v>
      </c>
      <c r="BC883" s="318">
        <v>0</v>
      </c>
      <c r="BD883" s="193"/>
      <c r="BE883" s="138">
        <v>361.8</v>
      </c>
      <c r="BF883" s="321">
        <f t="shared" si="572"/>
        <v>0.54270000000000007</v>
      </c>
      <c r="BG883" s="197">
        <f t="shared" si="573"/>
        <v>361.25729999999999</v>
      </c>
      <c r="BH883" s="321">
        <f t="shared" si="574"/>
        <v>344.9</v>
      </c>
      <c r="BI883" s="322">
        <f t="shared" si="575"/>
        <v>1690.0000000000034</v>
      </c>
      <c r="BJ883" s="322">
        <v>0</v>
      </c>
      <c r="BK883" s="318">
        <f t="shared" si="576"/>
        <v>1690.0000000000034</v>
      </c>
      <c r="BL883" s="67"/>
      <c r="BM883" s="68" t="str">
        <f t="shared" si="577"/>
        <v>Unloading no. 854 Bill No 2026-27/6925 ,Deduction For Oil Deduction= 129735 ,Bardana= 8250 ,F.M= 12052.8 Brokerage/Rate Difference 31000 ,Shortage = 0 ,Greenish= 2517.2 ,Moisture= 0</v>
      </c>
      <c r="BN883" s="69"/>
      <c r="BO883" s="70" t="str">
        <f t="shared" si="578"/>
        <v xml:space="preserve"> Party Condition 42  ,F.M% 0.48 ,Greenish 5.29 ,Moisture 5.8 ,Shortage in KG= 0  ,Oil% 39.83</v>
      </c>
      <c r="BP883" s="71">
        <f t="shared" si="579"/>
        <v>6748.1733835894465</v>
      </c>
      <c r="BQ883" s="41"/>
      <c r="BR883" s="41"/>
      <c r="BS883" s="41"/>
      <c r="BT883" s="41"/>
      <c r="BU883" s="41"/>
      <c r="BV883" s="41"/>
      <c r="BW883" s="85"/>
      <c r="BX883" s="27">
        <v>40</v>
      </c>
      <c r="BY883" s="27">
        <v>39.83</v>
      </c>
    </row>
    <row r="884" spans="1:77" ht="14.1" hidden="1" customHeight="1" x14ac:dyDescent="0.3">
      <c r="A884" s="138" t="s">
        <v>1834</v>
      </c>
      <c r="B884" s="146">
        <v>46177</v>
      </c>
      <c r="C884" s="190">
        <v>854</v>
      </c>
      <c r="D884" s="135" t="s">
        <v>1851</v>
      </c>
      <c r="E884" s="129">
        <v>46182</v>
      </c>
      <c r="F884" s="281" t="s">
        <v>1142</v>
      </c>
      <c r="G884" s="281" t="s">
        <v>1143</v>
      </c>
      <c r="H884" s="281" t="s">
        <v>103</v>
      </c>
      <c r="I884" s="136"/>
      <c r="J884" s="347" t="s">
        <v>1455</v>
      </c>
      <c r="K884" s="136"/>
      <c r="L884" s="146">
        <v>46177</v>
      </c>
      <c r="M884" s="136"/>
      <c r="N884" s="138" t="s">
        <v>1911</v>
      </c>
      <c r="O884" s="146">
        <v>46179</v>
      </c>
      <c r="P884" s="138">
        <v>0</v>
      </c>
      <c r="Q884" s="138">
        <v>101</v>
      </c>
      <c r="R884" s="138">
        <v>0</v>
      </c>
      <c r="S884" s="138">
        <v>101</v>
      </c>
      <c r="T884" s="138">
        <v>101</v>
      </c>
      <c r="U884" s="136"/>
      <c r="V884" s="136"/>
      <c r="W884" s="148">
        <f>51.8-16.9</f>
        <v>34.9</v>
      </c>
      <c r="X884" s="148">
        <v>344.9</v>
      </c>
      <c r="Y884" s="391">
        <f>414400-135200</f>
        <v>279200</v>
      </c>
      <c r="Z884" s="138"/>
      <c r="AA884" s="390">
        <v>10360</v>
      </c>
      <c r="AB884" s="147">
        <v>10360</v>
      </c>
      <c r="AC884" s="147">
        <v>435120</v>
      </c>
      <c r="AD884" s="315">
        <f t="shared" si="562"/>
        <v>434684.88</v>
      </c>
      <c r="AE884" s="147">
        <v>40</v>
      </c>
      <c r="AF884" s="147">
        <v>42</v>
      </c>
      <c r="AG884" s="147">
        <v>39.83</v>
      </c>
      <c r="AH884" s="292">
        <v>4.7999999999999996E-3</v>
      </c>
      <c r="AI884" s="392">
        <v>5.2900000000000003E-2</v>
      </c>
      <c r="AJ884" s="287">
        <v>5.8000000000000003E-2</v>
      </c>
      <c r="AK884" s="318">
        <f t="shared" si="563"/>
        <v>14425.333333333345</v>
      </c>
      <c r="AL884" s="193"/>
      <c r="AM884" s="319">
        <f>AH884*Y884</f>
        <v>1340.1599999999999</v>
      </c>
      <c r="AN884" s="319"/>
      <c r="AO884" s="320">
        <f t="shared" si="564"/>
        <v>0</v>
      </c>
      <c r="AP884" s="319">
        <f>W884*8.12</f>
        <v>283.38799999999998</v>
      </c>
      <c r="AQ884" s="318">
        <v>0</v>
      </c>
      <c r="AR884" s="325">
        <f t="shared" si="565"/>
        <v>16048.881333333346</v>
      </c>
      <c r="AS884" s="318">
        <f t="shared" si="566"/>
        <v>16851</v>
      </c>
      <c r="AT884" s="321">
        <v>0</v>
      </c>
      <c r="AU884" s="136"/>
      <c r="AV884" s="136"/>
      <c r="AW884" s="318">
        <f t="shared" si="580"/>
        <v>3490</v>
      </c>
      <c r="AX884" s="193"/>
      <c r="AY884" s="318">
        <f t="shared" si="581"/>
        <v>3490</v>
      </c>
      <c r="AZ884" s="318">
        <f t="shared" si="582"/>
        <v>34490</v>
      </c>
      <c r="BA884" s="318">
        <f t="shared" si="583"/>
        <v>-31000</v>
      </c>
      <c r="BB884" s="318">
        <f t="shared" si="584"/>
        <v>6.98</v>
      </c>
      <c r="BC884" s="318">
        <v>0</v>
      </c>
      <c r="BD884" s="193"/>
      <c r="BE884" s="138">
        <v>361.8</v>
      </c>
      <c r="BF884" s="321">
        <f t="shared" si="572"/>
        <v>0.54270000000000007</v>
      </c>
      <c r="BG884" s="197">
        <f t="shared" si="573"/>
        <v>361.25729999999999</v>
      </c>
      <c r="BH884" s="321">
        <f t="shared" si="574"/>
        <v>344.9</v>
      </c>
      <c r="BI884" s="322">
        <f t="shared" si="575"/>
        <v>1690.0000000000034</v>
      </c>
      <c r="BJ884" s="322">
        <v>0</v>
      </c>
      <c r="BK884" s="318">
        <f t="shared" si="576"/>
        <v>1690.0000000000034</v>
      </c>
      <c r="BL884" s="67"/>
      <c r="BM884" s="68" t="str">
        <f t="shared" si="577"/>
        <v>Unloading no. 854 Bill No 2026-27/6925 ,Deduction For Oil Deduction= 14425.3333333333 ,Bardana=  ,F.M= 1340.16 Brokerage/Rate Difference  ,Shortage = 0 ,Greenish= 283.388 ,Moisture= 0</v>
      </c>
      <c r="BN884" s="69"/>
      <c r="BO884" s="70" t="str">
        <f t="shared" si="578"/>
        <v xml:space="preserve"> Party Condition 42  ,F.M% 0.48 ,Greenish 5.29 ,Moisture 5.8 ,Shortage in KG= 0  ,Oil% 39.83</v>
      </c>
      <c r="BP884" s="71">
        <f t="shared" si="579"/>
        <v>762.97801874939603</v>
      </c>
      <c r="BQ884" s="41"/>
      <c r="BR884" s="41"/>
      <c r="BS884" s="41"/>
      <c r="BT884" s="41"/>
      <c r="BU884" s="41"/>
      <c r="BV884" s="41"/>
      <c r="BW884" s="85"/>
      <c r="BX884" s="27">
        <v>40</v>
      </c>
      <c r="BY884" s="27">
        <v>39.83</v>
      </c>
    </row>
    <row r="885" spans="1:77" ht="14.1" hidden="1" customHeight="1" x14ac:dyDescent="0.3">
      <c r="A885" s="138" t="s">
        <v>1539</v>
      </c>
      <c r="B885" s="146">
        <v>46174</v>
      </c>
      <c r="C885" s="138">
        <v>855</v>
      </c>
      <c r="D885" s="135" t="s">
        <v>1852</v>
      </c>
      <c r="E885" s="129">
        <v>46181</v>
      </c>
      <c r="F885" s="138" t="s">
        <v>1144</v>
      </c>
      <c r="G885" s="281" t="s">
        <v>1145</v>
      </c>
      <c r="H885" s="281" t="s">
        <v>1901</v>
      </c>
      <c r="I885" s="136"/>
      <c r="J885" s="347" t="s">
        <v>1455</v>
      </c>
      <c r="K885" s="136"/>
      <c r="L885" s="146">
        <v>46174</v>
      </c>
      <c r="M885" s="136"/>
      <c r="N885" s="135" t="s">
        <v>1912</v>
      </c>
      <c r="O885" s="146">
        <v>46181</v>
      </c>
      <c r="P885" s="138">
        <v>0</v>
      </c>
      <c r="Q885" s="138">
        <v>140</v>
      </c>
      <c r="R885" s="138">
        <v>10</v>
      </c>
      <c r="S885" s="138">
        <v>150</v>
      </c>
      <c r="T885" s="138">
        <v>150</v>
      </c>
      <c r="U885" s="136"/>
      <c r="V885" s="136"/>
      <c r="W885" s="169">
        <v>88.3</v>
      </c>
      <c r="X885" s="169">
        <v>88.2</v>
      </c>
      <c r="Y885" s="389">
        <v>706400</v>
      </c>
      <c r="Z885" s="147">
        <v>40.18</v>
      </c>
      <c r="AA885" s="390">
        <v>17660</v>
      </c>
      <c r="AB885" s="147">
        <v>17660</v>
      </c>
      <c r="AC885" s="147">
        <v>741720</v>
      </c>
      <c r="AD885" s="315">
        <f t="shared" si="562"/>
        <v>740978.28</v>
      </c>
      <c r="AE885" s="236">
        <v>40.18</v>
      </c>
      <c r="AF885" s="147">
        <v>42</v>
      </c>
      <c r="AG885" s="236">
        <v>40.18</v>
      </c>
      <c r="AH885" s="287">
        <v>4.4000000000000003E-3</v>
      </c>
      <c r="AI885" s="287">
        <v>0.04</v>
      </c>
      <c r="AJ885" s="287">
        <v>4.5999999999999999E-2</v>
      </c>
      <c r="AK885" s="318">
        <f t="shared" si="563"/>
        <v>30610.666666666672</v>
      </c>
      <c r="AL885" s="193"/>
      <c r="AM885" s="319"/>
      <c r="AN885" s="319"/>
      <c r="AO885" s="320">
        <f t="shared" si="564"/>
        <v>0</v>
      </c>
      <c r="AP885" s="193"/>
      <c r="AQ885" s="318">
        <v>0</v>
      </c>
      <c r="AR885" s="318">
        <f t="shared" si="565"/>
        <v>30610.666666666672</v>
      </c>
      <c r="AS885" s="318">
        <f t="shared" si="566"/>
        <v>32141</v>
      </c>
      <c r="AT885" s="321">
        <v>0</v>
      </c>
      <c r="AU885" s="136"/>
      <c r="AV885" s="136"/>
      <c r="AW885" s="318">
        <f t="shared" si="580"/>
        <v>8830</v>
      </c>
      <c r="AX885" s="193"/>
      <c r="AY885" s="318">
        <f t="shared" si="581"/>
        <v>8830</v>
      </c>
      <c r="AZ885" s="318">
        <f t="shared" si="582"/>
        <v>8820</v>
      </c>
      <c r="BA885" s="318">
        <f t="shared" si="583"/>
        <v>10</v>
      </c>
      <c r="BB885" s="318">
        <f t="shared" si="584"/>
        <v>17.66</v>
      </c>
      <c r="BC885" s="318">
        <v>0</v>
      </c>
      <c r="BD885" s="193"/>
      <c r="BE885" s="138">
        <v>88.3</v>
      </c>
      <c r="BF885" s="321">
        <f t="shared" si="572"/>
        <v>0.13244999999999998</v>
      </c>
      <c r="BG885" s="197">
        <f t="shared" si="573"/>
        <v>88.167549999999991</v>
      </c>
      <c r="BH885" s="321">
        <f t="shared" si="574"/>
        <v>88.2</v>
      </c>
      <c r="BI885" s="322">
        <f t="shared" si="575"/>
        <v>9.9999999999994316</v>
      </c>
      <c r="BJ885" s="322">
        <v>0</v>
      </c>
      <c r="BK885" s="318">
        <f t="shared" si="576"/>
        <v>9.9999999999994316</v>
      </c>
      <c r="BL885" s="67"/>
      <c r="BM885" s="68" t="str">
        <f t="shared" si="577"/>
        <v>Unloading no. 855 Bill No 2026-27/208 ,Deduction For Oil Deduction= 30610.6666666667 ,Bardana=  ,F.M=  Brokerage/Rate Difference  ,Shortage = 0 ,Greenish=  ,Moisture= 0</v>
      </c>
      <c r="BN885" s="69"/>
      <c r="BO885" s="70" t="str">
        <f t="shared" si="578"/>
        <v xml:space="preserve"> Party Condition 42  ,F.M% 0.44 ,Greenish 4 ,Moisture 4.6 ,Shortage in KG= 0  ,Oil% 40.18</v>
      </c>
      <c r="BP885" s="71">
        <f t="shared" si="579"/>
        <v>7662.0105820105819</v>
      </c>
      <c r="BQ885" s="41"/>
      <c r="BR885" s="41"/>
      <c r="BS885" s="41"/>
      <c r="BT885" s="41"/>
      <c r="BU885" s="41"/>
      <c r="BV885" s="41"/>
      <c r="BW885" s="85"/>
      <c r="BX885" s="27">
        <v>40.33</v>
      </c>
      <c r="BY885" s="27">
        <v>40.17</v>
      </c>
    </row>
    <row r="886" spans="1:77" ht="14.1" hidden="1" customHeight="1" x14ac:dyDescent="0.3">
      <c r="A886" s="138" t="s">
        <v>1539</v>
      </c>
      <c r="B886" s="146">
        <v>46174</v>
      </c>
      <c r="C886" s="138">
        <v>856</v>
      </c>
      <c r="D886" s="135" t="s">
        <v>1853</v>
      </c>
      <c r="E886" s="129">
        <v>46181</v>
      </c>
      <c r="F886" s="138" t="s">
        <v>1144</v>
      </c>
      <c r="G886" s="281" t="s">
        <v>1145</v>
      </c>
      <c r="H886" s="281" t="s">
        <v>1901</v>
      </c>
      <c r="I886" s="136"/>
      <c r="J886" s="347" t="s">
        <v>1455</v>
      </c>
      <c r="K886" s="136"/>
      <c r="L886" s="146">
        <v>46174</v>
      </c>
      <c r="M886" s="136"/>
      <c r="N886" s="135" t="s">
        <v>1913</v>
      </c>
      <c r="O886" s="146">
        <v>46181</v>
      </c>
      <c r="P886" s="138">
        <v>0</v>
      </c>
      <c r="Q886" s="138">
        <v>40</v>
      </c>
      <c r="R886" s="138">
        <v>110</v>
      </c>
      <c r="S886" s="138">
        <v>150</v>
      </c>
      <c r="T886" s="138">
        <v>150</v>
      </c>
      <c r="U886" s="136"/>
      <c r="V886" s="136"/>
      <c r="W886" s="169">
        <v>87.2</v>
      </c>
      <c r="X886" s="169">
        <v>87.2</v>
      </c>
      <c r="Y886" s="389">
        <v>697600</v>
      </c>
      <c r="Z886" s="147">
        <v>40.54</v>
      </c>
      <c r="AA886" s="390">
        <v>17440</v>
      </c>
      <c r="AB886" s="147">
        <v>17440</v>
      </c>
      <c r="AC886" s="147">
        <v>732480</v>
      </c>
      <c r="AD886" s="315">
        <f t="shared" si="562"/>
        <v>731747.52</v>
      </c>
      <c r="AE886" s="236">
        <v>40.54</v>
      </c>
      <c r="AF886" s="147">
        <v>42</v>
      </c>
      <c r="AG886" s="236">
        <v>40.54</v>
      </c>
      <c r="AH886" s="287">
        <v>4.1000000000000003E-3</v>
      </c>
      <c r="AI886" s="287">
        <v>3.7999999999999999E-2</v>
      </c>
      <c r="AJ886" s="287">
        <v>4.8000000000000001E-2</v>
      </c>
      <c r="AK886" s="318">
        <f t="shared" si="563"/>
        <v>24249.904761904778</v>
      </c>
      <c r="AL886" s="193"/>
      <c r="AM886" s="319"/>
      <c r="AN886" s="319"/>
      <c r="AO886" s="320">
        <f t="shared" si="564"/>
        <v>0</v>
      </c>
      <c r="AP886" s="193"/>
      <c r="AQ886" s="318">
        <v>0</v>
      </c>
      <c r="AR886" s="318">
        <f t="shared" si="565"/>
        <v>24249.904761904778</v>
      </c>
      <c r="AS886" s="318">
        <f t="shared" si="566"/>
        <v>25462</v>
      </c>
      <c r="AT886" s="321">
        <v>0</v>
      </c>
      <c r="AU886" s="136"/>
      <c r="AV886" s="136"/>
      <c r="AW886" s="318">
        <f t="shared" si="580"/>
        <v>8720</v>
      </c>
      <c r="AX886" s="193"/>
      <c r="AY886" s="318">
        <f t="shared" si="581"/>
        <v>8720</v>
      </c>
      <c r="AZ886" s="318">
        <f t="shared" si="582"/>
        <v>8720</v>
      </c>
      <c r="BA886" s="318">
        <f t="shared" si="583"/>
        <v>0</v>
      </c>
      <c r="BB886" s="318">
        <f t="shared" si="584"/>
        <v>17.440000000000001</v>
      </c>
      <c r="BC886" s="318">
        <v>0</v>
      </c>
      <c r="BD886" s="193"/>
      <c r="BE886" s="138">
        <v>87.2</v>
      </c>
      <c r="BF886" s="321">
        <f t="shared" si="572"/>
        <v>0.1308</v>
      </c>
      <c r="BG886" s="197">
        <f t="shared" si="573"/>
        <v>87.069200000000009</v>
      </c>
      <c r="BH886" s="321">
        <f t="shared" si="574"/>
        <v>87.2</v>
      </c>
      <c r="BI886" s="322">
        <f t="shared" si="575"/>
        <v>0</v>
      </c>
      <c r="BJ886" s="322">
        <v>0</v>
      </c>
      <c r="BK886" s="318">
        <f t="shared" si="576"/>
        <v>0</v>
      </c>
      <c r="BL886" s="67"/>
      <c r="BM886" s="68" t="str">
        <f t="shared" si="577"/>
        <v>Unloading no. 856 Bill No 2026-27/209 ,Deduction For Oil Deduction= 24249.9047619048 ,Bardana=  ,F.M=  Brokerage/Rate Difference  ,Shortage = 0 ,Greenish=  ,Moisture= 0</v>
      </c>
      <c r="BN886" s="69"/>
      <c r="BO886" s="70" t="str">
        <f t="shared" si="578"/>
        <v xml:space="preserve"> Party Condition 42  ,F.M% 0.41 ,Greenish 3.8 ,Moisture 4.8 ,Shortage in KG= 0  ,Oil% 40.54</v>
      </c>
      <c r="BP886" s="71">
        <f t="shared" si="579"/>
        <v>7721.9047619047624</v>
      </c>
      <c r="BQ886" s="41"/>
      <c r="BR886" s="41"/>
      <c r="BS886" s="41"/>
      <c r="BT886" s="41"/>
      <c r="BU886" s="41"/>
      <c r="BV886" s="41"/>
      <c r="BW886" s="85"/>
      <c r="BX886" s="27">
        <v>40.19</v>
      </c>
      <c r="BY886" s="27">
        <v>40</v>
      </c>
    </row>
    <row r="887" spans="1:77" ht="14.1" hidden="1" customHeight="1" x14ac:dyDescent="0.3">
      <c r="A887" s="138" t="s">
        <v>1835</v>
      </c>
      <c r="B887" s="146">
        <v>46178</v>
      </c>
      <c r="C887" s="138">
        <v>857</v>
      </c>
      <c r="D887" s="135" t="s">
        <v>1854</v>
      </c>
      <c r="E887" s="129">
        <v>46181</v>
      </c>
      <c r="F887" s="138" t="s">
        <v>1803</v>
      </c>
      <c r="G887" s="281" t="s">
        <v>1804</v>
      </c>
      <c r="H887" s="281" t="s">
        <v>100</v>
      </c>
      <c r="I887" s="136"/>
      <c r="J887" s="347" t="s">
        <v>1455</v>
      </c>
      <c r="K887" s="136"/>
      <c r="L887" s="146">
        <v>46178</v>
      </c>
      <c r="M887" s="136"/>
      <c r="N887" s="135">
        <v>28</v>
      </c>
      <c r="O887" s="146">
        <v>46181</v>
      </c>
      <c r="P887" s="138">
        <v>0</v>
      </c>
      <c r="Q887" s="138">
        <v>125</v>
      </c>
      <c r="R887" s="138">
        <v>60</v>
      </c>
      <c r="S887" s="138">
        <v>185</v>
      </c>
      <c r="T887" s="138">
        <v>185</v>
      </c>
      <c r="U887" s="136"/>
      <c r="V887" s="136"/>
      <c r="W887" s="169">
        <v>94.2</v>
      </c>
      <c r="X887" s="169">
        <v>94</v>
      </c>
      <c r="Y887" s="389">
        <v>751245</v>
      </c>
      <c r="Z887" s="138"/>
      <c r="AA887" s="390">
        <v>18781.13</v>
      </c>
      <c r="AB887" s="147">
        <v>18781.13</v>
      </c>
      <c r="AC887" s="147">
        <v>788807.25</v>
      </c>
      <c r="AD887" s="315">
        <f t="shared" si="562"/>
        <v>788018.44275000005</v>
      </c>
      <c r="AE887" s="147">
        <v>39.590000000000003</v>
      </c>
      <c r="AF887" s="147">
        <v>42</v>
      </c>
      <c r="AG887" s="147">
        <v>39.49</v>
      </c>
      <c r="AH887" s="286">
        <v>4.7000000000000002E-3</v>
      </c>
      <c r="AI887" s="287">
        <v>3.9E-2</v>
      </c>
      <c r="AJ887" s="287">
        <v>0.05</v>
      </c>
      <c r="AK887" s="318">
        <f t="shared" si="563"/>
        <v>44895.832142857107</v>
      </c>
      <c r="AL887" s="193">
        <f>125*10+60*15</f>
        <v>2150</v>
      </c>
      <c r="AM887" s="319">
        <f>Y887*AH887</f>
        <v>3530.8515000000002</v>
      </c>
      <c r="AN887" s="319"/>
      <c r="AO887" s="320">
        <f t="shared" si="564"/>
        <v>1595</v>
      </c>
      <c r="AP887" s="193"/>
      <c r="AQ887" s="318">
        <v>0</v>
      </c>
      <c r="AR887" s="318">
        <f t="shared" si="565"/>
        <v>52171.683642857104</v>
      </c>
      <c r="AS887" s="318">
        <f t="shared" si="566"/>
        <v>54780</v>
      </c>
      <c r="AT887" s="321">
        <v>20</v>
      </c>
      <c r="AU887" s="136"/>
      <c r="AV887" s="136"/>
      <c r="AW887" s="318">
        <f t="shared" si="580"/>
        <v>9420</v>
      </c>
      <c r="AX887" s="193"/>
      <c r="AY887" s="318">
        <f t="shared" si="581"/>
        <v>9420</v>
      </c>
      <c r="AZ887" s="318">
        <f t="shared" si="582"/>
        <v>9400</v>
      </c>
      <c r="BA887" s="318">
        <f t="shared" si="583"/>
        <v>20</v>
      </c>
      <c r="BB887" s="318">
        <f t="shared" si="584"/>
        <v>18.84</v>
      </c>
      <c r="BC887" s="318">
        <v>0</v>
      </c>
      <c r="BD887" s="193"/>
      <c r="BE887" s="138">
        <v>94.2</v>
      </c>
      <c r="BF887" s="321">
        <f t="shared" si="572"/>
        <v>0.14130000000000001</v>
      </c>
      <c r="BG887" s="197">
        <f t="shared" si="573"/>
        <v>94.058700000000002</v>
      </c>
      <c r="BH887" s="321">
        <f t="shared" si="574"/>
        <v>94</v>
      </c>
      <c r="BI887" s="322">
        <f t="shared" si="575"/>
        <v>20.000000000000284</v>
      </c>
      <c r="BJ887" s="322">
        <v>0</v>
      </c>
      <c r="BK887" s="318">
        <f t="shared" si="576"/>
        <v>20.000000000000284</v>
      </c>
      <c r="BL887" s="67"/>
      <c r="BM887" s="68" t="str">
        <f t="shared" si="577"/>
        <v>Unloading no. 857 Bill No 28 ,Deduction For Oil Deduction= 44895.8321428571 ,Bardana= 2150 ,F.M= 3530.8515 Brokerage/Rate Difference  ,Shortage = 1595 ,Greenish=  ,Moisture= 0</v>
      </c>
      <c r="BN887" s="69"/>
      <c r="BO887" s="70" t="str">
        <f t="shared" si="578"/>
        <v xml:space="preserve"> Party Condition 42  ,F.M% 0.47 ,Greenish 3.9 ,Moisture 5 ,Shortage in KG= 20  ,Oil% 39.49</v>
      </c>
      <c r="BP887" s="71">
        <f t="shared" si="579"/>
        <v>7436.9501740121586</v>
      </c>
      <c r="BQ887" s="41"/>
      <c r="BR887" s="41"/>
      <c r="BS887" s="41"/>
      <c r="BT887" s="41"/>
      <c r="BU887" s="41"/>
      <c r="BV887" s="41"/>
      <c r="BW887" s="85"/>
      <c r="BX887" s="27">
        <v>39.590000000000003</v>
      </c>
      <c r="BY887" s="27">
        <v>39.49</v>
      </c>
    </row>
    <row r="888" spans="1:77" ht="14.1" hidden="1" customHeight="1" x14ac:dyDescent="0.3">
      <c r="A888" s="138" t="s">
        <v>1835</v>
      </c>
      <c r="B888" s="146">
        <v>46178</v>
      </c>
      <c r="C888" s="138">
        <v>858</v>
      </c>
      <c r="D888" s="135" t="s">
        <v>1855</v>
      </c>
      <c r="E888" s="129">
        <v>46181</v>
      </c>
      <c r="F888" s="138" t="s">
        <v>1803</v>
      </c>
      <c r="G888" s="281" t="s">
        <v>1804</v>
      </c>
      <c r="H888" s="281" t="s">
        <v>100</v>
      </c>
      <c r="I888" s="136"/>
      <c r="J888" s="347" t="s">
        <v>1455</v>
      </c>
      <c r="K888" s="136"/>
      <c r="L888" s="146">
        <v>46178</v>
      </c>
      <c r="M888" s="136"/>
      <c r="N888" s="135">
        <v>29</v>
      </c>
      <c r="O888" s="146">
        <v>46181</v>
      </c>
      <c r="P888" s="138">
        <v>0</v>
      </c>
      <c r="Q888" s="138">
        <v>160</v>
      </c>
      <c r="R888" s="138">
        <v>25</v>
      </c>
      <c r="S888" s="138">
        <v>185</v>
      </c>
      <c r="T888" s="138">
        <v>185</v>
      </c>
      <c r="U888" s="136"/>
      <c r="V888" s="136"/>
      <c r="W888" s="169">
        <v>93.3</v>
      </c>
      <c r="X888" s="169">
        <v>93.1</v>
      </c>
      <c r="Y888" s="389">
        <v>744067.5</v>
      </c>
      <c r="Z888" s="138"/>
      <c r="AA888" s="390">
        <v>18601.689999999999</v>
      </c>
      <c r="AB888" s="147">
        <v>18601.689999999999</v>
      </c>
      <c r="AC888" s="147">
        <v>781270.88</v>
      </c>
      <c r="AD888" s="315">
        <f t="shared" si="562"/>
        <v>780489.60912000004</v>
      </c>
      <c r="AE888" s="147">
        <v>39.909999999999997</v>
      </c>
      <c r="AF888" s="147">
        <v>42</v>
      </c>
      <c r="AG888" s="147">
        <v>39.72</v>
      </c>
      <c r="AH888" s="287">
        <v>3.8E-3</v>
      </c>
      <c r="AI888" s="287">
        <v>4.2999999999999997E-2</v>
      </c>
      <c r="AJ888" s="287">
        <v>4.9000000000000002E-2</v>
      </c>
      <c r="AK888" s="318">
        <f t="shared" si="563"/>
        <v>40392.235714285736</v>
      </c>
      <c r="AL888" s="193">
        <f>160*10+25*15</f>
        <v>1975</v>
      </c>
      <c r="AM888" s="319">
        <f>Y888*AH888</f>
        <v>2827.4564999999998</v>
      </c>
      <c r="AN888" s="319"/>
      <c r="AO888" s="320">
        <f t="shared" si="564"/>
        <v>1595</v>
      </c>
      <c r="AP888" s="193"/>
      <c r="AQ888" s="318">
        <v>0</v>
      </c>
      <c r="AR888" s="318">
        <f t="shared" si="565"/>
        <v>46789.692214285737</v>
      </c>
      <c r="AS888" s="318">
        <f t="shared" si="566"/>
        <v>49129</v>
      </c>
      <c r="AT888" s="321">
        <v>20</v>
      </c>
      <c r="AU888" s="136"/>
      <c r="AV888" s="136"/>
      <c r="AW888" s="318">
        <f t="shared" si="580"/>
        <v>9330</v>
      </c>
      <c r="AX888" s="193"/>
      <c r="AY888" s="318">
        <f t="shared" si="581"/>
        <v>9330</v>
      </c>
      <c r="AZ888" s="318">
        <f t="shared" si="582"/>
        <v>9310</v>
      </c>
      <c r="BA888" s="318">
        <f t="shared" si="583"/>
        <v>20</v>
      </c>
      <c r="BB888" s="318">
        <f t="shared" si="584"/>
        <v>18.66</v>
      </c>
      <c r="BC888" s="318">
        <v>0</v>
      </c>
      <c r="BD888" s="193"/>
      <c r="BE888" s="138">
        <v>93.3</v>
      </c>
      <c r="BF888" s="321">
        <f t="shared" si="572"/>
        <v>0.13994999999999999</v>
      </c>
      <c r="BG888" s="197">
        <f t="shared" si="573"/>
        <v>93.160049999999998</v>
      </c>
      <c r="BH888" s="321">
        <f t="shared" si="574"/>
        <v>93.1</v>
      </c>
      <c r="BI888" s="322">
        <f t="shared" si="575"/>
        <v>20.000000000000284</v>
      </c>
      <c r="BJ888" s="322">
        <v>0</v>
      </c>
      <c r="BK888" s="318">
        <f t="shared" si="576"/>
        <v>20.000000000000284</v>
      </c>
      <c r="BL888" s="67"/>
      <c r="BM888" s="68" t="str">
        <f t="shared" si="577"/>
        <v>Unloading no. 858 Bill No 29 ,Deduction For Oil Deduction= 40392.2357142857 ,Bardana= 1975 ,F.M= 2827.4565 Brokerage/Rate Difference  ,Shortage = 1595 ,Greenish=  ,Moisture= 0</v>
      </c>
      <c r="BN888" s="69"/>
      <c r="BO888" s="70" t="str">
        <f t="shared" si="578"/>
        <v xml:space="preserve"> Party Condition 42  ,F.M% 0.38 ,Greenish 4.3 ,Moisture 4.9 ,Shortage in KG= 20  ,Oil% 39.72</v>
      </c>
      <c r="BP888" s="71">
        <f t="shared" si="579"/>
        <v>7489.5575487187361</v>
      </c>
      <c r="BQ888" s="41"/>
      <c r="BR888" s="41"/>
      <c r="BS888" s="41"/>
      <c r="BT888" s="41"/>
      <c r="BU888" s="41"/>
      <c r="BV888" s="41"/>
      <c r="BW888" s="85"/>
      <c r="BX888" s="27">
        <v>39.909999999999997</v>
      </c>
      <c r="BY888" s="27">
        <v>39.72</v>
      </c>
    </row>
    <row r="889" spans="1:77" ht="14.1" hidden="1" customHeight="1" x14ac:dyDescent="0.3">
      <c r="A889" s="138" t="s">
        <v>1835</v>
      </c>
      <c r="B889" s="146">
        <v>46178</v>
      </c>
      <c r="C889" s="138">
        <v>859</v>
      </c>
      <c r="D889" s="135" t="s">
        <v>1856</v>
      </c>
      <c r="E889" s="129">
        <v>46181</v>
      </c>
      <c r="F889" s="138" t="s">
        <v>1803</v>
      </c>
      <c r="G889" s="281" t="s">
        <v>1804</v>
      </c>
      <c r="H889" s="281" t="s">
        <v>100</v>
      </c>
      <c r="I889" s="136"/>
      <c r="J889" s="347" t="s">
        <v>1455</v>
      </c>
      <c r="K889" s="136"/>
      <c r="L889" s="146">
        <v>46178</v>
      </c>
      <c r="M889" s="136"/>
      <c r="N889" s="135">
        <v>30</v>
      </c>
      <c r="O889" s="146">
        <v>46181</v>
      </c>
      <c r="P889" s="138">
        <v>0</v>
      </c>
      <c r="Q889" s="138">
        <v>145</v>
      </c>
      <c r="R889" s="138">
        <v>40</v>
      </c>
      <c r="S889" s="138">
        <v>185</v>
      </c>
      <c r="T889" s="138">
        <v>185</v>
      </c>
      <c r="U889" s="136"/>
      <c r="V889" s="136"/>
      <c r="W889" s="169">
        <v>92.7</v>
      </c>
      <c r="X889" s="169">
        <v>92.6</v>
      </c>
      <c r="Y889" s="389">
        <v>739282.5</v>
      </c>
      <c r="Z889" s="138"/>
      <c r="AA889" s="390">
        <v>18482.060000000001</v>
      </c>
      <c r="AB889" s="147">
        <v>18482.060000000001</v>
      </c>
      <c r="AC889" s="147">
        <v>776246.63</v>
      </c>
      <c r="AD889" s="315">
        <f t="shared" si="562"/>
        <v>775470.38337000005</v>
      </c>
      <c r="AE889" s="147">
        <v>39.92</v>
      </c>
      <c r="AF889" s="147">
        <v>42</v>
      </c>
      <c r="AG889" s="147">
        <v>39.78</v>
      </c>
      <c r="AH889" s="287">
        <v>4.4999999999999997E-3</v>
      </c>
      <c r="AI889" s="287">
        <v>4.4999999999999998E-2</v>
      </c>
      <c r="AJ889" s="287">
        <v>5.6000000000000001E-2</v>
      </c>
      <c r="AK889" s="318">
        <f t="shared" si="563"/>
        <v>39076.360714285693</v>
      </c>
      <c r="AL889" s="193">
        <f>145*10+40*15</f>
        <v>2050</v>
      </c>
      <c r="AM889" s="319">
        <f>Y889*AH889</f>
        <v>3326.7712499999998</v>
      </c>
      <c r="AN889" s="319"/>
      <c r="AO889" s="320">
        <f t="shared" si="564"/>
        <v>797.5</v>
      </c>
      <c r="AP889" s="193"/>
      <c r="AQ889" s="318">
        <v>0</v>
      </c>
      <c r="AR889" s="318">
        <f t="shared" si="565"/>
        <v>45250.631964285691</v>
      </c>
      <c r="AS889" s="318">
        <f t="shared" si="566"/>
        <v>47513</v>
      </c>
      <c r="AT889" s="321">
        <v>10</v>
      </c>
      <c r="AU889" s="136"/>
      <c r="AV889" s="136"/>
      <c r="AW889" s="318">
        <f t="shared" si="580"/>
        <v>9270</v>
      </c>
      <c r="AX889" s="193"/>
      <c r="AY889" s="318">
        <f t="shared" si="581"/>
        <v>9270</v>
      </c>
      <c r="AZ889" s="318">
        <f t="shared" si="582"/>
        <v>9260</v>
      </c>
      <c r="BA889" s="318">
        <f t="shared" si="583"/>
        <v>10</v>
      </c>
      <c r="BB889" s="318">
        <f t="shared" si="584"/>
        <v>18.54</v>
      </c>
      <c r="BC889" s="318">
        <v>0</v>
      </c>
      <c r="BD889" s="193"/>
      <c r="BE889" s="138">
        <v>92.7</v>
      </c>
      <c r="BF889" s="321">
        <f t="shared" si="572"/>
        <v>0.13905000000000001</v>
      </c>
      <c r="BG889" s="197">
        <f t="shared" si="573"/>
        <v>92.560950000000005</v>
      </c>
      <c r="BH889" s="321">
        <f t="shared" si="574"/>
        <v>92.6</v>
      </c>
      <c r="BI889" s="322">
        <f t="shared" si="575"/>
        <v>10.000000000000853</v>
      </c>
      <c r="BJ889" s="322">
        <v>0</v>
      </c>
      <c r="BK889" s="318">
        <f t="shared" si="576"/>
        <v>10.000000000000853</v>
      </c>
      <c r="BL889" s="67"/>
      <c r="BM889" s="68" t="str">
        <f t="shared" si="577"/>
        <v>Unloading no. 859 Bill No 30 ,Deduction For Oil Deduction= 39076.3607142857 ,Bardana= 2050 ,F.M= 3326.77125 Brokerage/Rate Difference  ,Shortage = 797.5 ,Greenish=  ,Moisture= 0</v>
      </c>
      <c r="BN889" s="69"/>
      <c r="BO889" s="70" t="str">
        <f t="shared" si="578"/>
        <v xml:space="preserve"> Party Condition 42  ,F.M% 0.45 ,Greenish 4.5 ,Moisture 5.6 ,Shortage in KG= 10  ,Oil% 39.78</v>
      </c>
      <c r="BP889" s="71">
        <f t="shared" si="579"/>
        <v>7494.9445792193765</v>
      </c>
      <c r="BQ889" s="41"/>
      <c r="BR889" s="41"/>
      <c r="BS889" s="41"/>
      <c r="BT889" s="41"/>
      <c r="BU889" s="41"/>
      <c r="BV889" s="41"/>
      <c r="BW889" s="85"/>
      <c r="BX889" s="27">
        <v>39.92</v>
      </c>
      <c r="BY889" s="27">
        <v>39.78</v>
      </c>
    </row>
    <row r="890" spans="1:77" ht="14.1" hidden="1" customHeight="1" x14ac:dyDescent="0.3">
      <c r="A890" s="138" t="s">
        <v>1539</v>
      </c>
      <c r="B890" s="146">
        <v>46174</v>
      </c>
      <c r="C890" s="138">
        <v>860</v>
      </c>
      <c r="D890" s="135" t="s">
        <v>1857</v>
      </c>
      <c r="E890" s="129">
        <v>46181</v>
      </c>
      <c r="F890" s="138" t="s">
        <v>1144</v>
      </c>
      <c r="G890" s="281" t="s">
        <v>1145</v>
      </c>
      <c r="H890" s="281" t="s">
        <v>1901</v>
      </c>
      <c r="I890" s="136"/>
      <c r="J890" s="347" t="s">
        <v>1455</v>
      </c>
      <c r="K890" s="136"/>
      <c r="L890" s="146">
        <v>46174</v>
      </c>
      <c r="M890" s="136"/>
      <c r="N890" s="135" t="s">
        <v>1914</v>
      </c>
      <c r="O890" s="146">
        <v>46181</v>
      </c>
      <c r="P890" s="138">
        <v>0</v>
      </c>
      <c r="Q890" s="138">
        <v>120</v>
      </c>
      <c r="R890" s="138">
        <v>30</v>
      </c>
      <c r="S890" s="138">
        <v>150</v>
      </c>
      <c r="T890" s="138">
        <v>150</v>
      </c>
      <c r="U890" s="136"/>
      <c r="V890" s="136"/>
      <c r="W890" s="169">
        <v>88.1</v>
      </c>
      <c r="X890" s="169">
        <v>88.1</v>
      </c>
      <c r="Y890" s="389">
        <v>704800</v>
      </c>
      <c r="Z890" s="147">
        <v>40.229999999999997</v>
      </c>
      <c r="AA890" s="390">
        <v>17620</v>
      </c>
      <c r="AB890" s="147">
        <v>17620</v>
      </c>
      <c r="AC890" s="147">
        <v>740040</v>
      </c>
      <c r="AD890" s="315">
        <f t="shared" si="562"/>
        <v>739299.96</v>
      </c>
      <c r="AE890" s="236">
        <v>40.229999999999997</v>
      </c>
      <c r="AF890" s="147">
        <v>42</v>
      </c>
      <c r="AG890" s="236">
        <v>40.229999999999997</v>
      </c>
      <c r="AH890" s="287">
        <v>3.8E-3</v>
      </c>
      <c r="AI890" s="287">
        <v>4.3999999999999997E-2</v>
      </c>
      <c r="AJ890" s="287">
        <v>0.05</v>
      </c>
      <c r="AK890" s="318">
        <f t="shared" si="563"/>
        <v>29702.285714285768</v>
      </c>
      <c r="AL890" s="193"/>
      <c r="AM890" s="319"/>
      <c r="AN890" s="319"/>
      <c r="AO890" s="320">
        <f t="shared" si="564"/>
        <v>0</v>
      </c>
      <c r="AP890" s="193"/>
      <c r="AQ890" s="318">
        <v>0</v>
      </c>
      <c r="AR890" s="318">
        <f t="shared" si="565"/>
        <v>29702.285714285768</v>
      </c>
      <c r="AS890" s="318">
        <f t="shared" si="566"/>
        <v>31187</v>
      </c>
      <c r="AT890" s="321">
        <v>0</v>
      </c>
      <c r="AU890" s="136"/>
      <c r="AV890" s="136"/>
      <c r="AW890" s="318">
        <f t="shared" si="580"/>
        <v>8810</v>
      </c>
      <c r="AX890" s="193"/>
      <c r="AY890" s="318">
        <f t="shared" si="581"/>
        <v>8810</v>
      </c>
      <c r="AZ890" s="318">
        <f t="shared" si="582"/>
        <v>8810</v>
      </c>
      <c r="BA890" s="318">
        <f t="shared" si="583"/>
        <v>0</v>
      </c>
      <c r="BB890" s="318">
        <f t="shared" si="584"/>
        <v>17.62</v>
      </c>
      <c r="BC890" s="318">
        <v>0</v>
      </c>
      <c r="BD890" s="193"/>
      <c r="BE890" s="138">
        <v>88.1</v>
      </c>
      <c r="BF890" s="321">
        <f t="shared" si="572"/>
        <v>0.13214999999999999</v>
      </c>
      <c r="BG890" s="197">
        <f t="shared" si="573"/>
        <v>87.967849999999999</v>
      </c>
      <c r="BH890" s="321">
        <f t="shared" si="574"/>
        <v>88.1</v>
      </c>
      <c r="BI890" s="322">
        <f t="shared" si="575"/>
        <v>0</v>
      </c>
      <c r="BJ890" s="322">
        <v>0</v>
      </c>
      <c r="BK890" s="318">
        <f t="shared" si="576"/>
        <v>0</v>
      </c>
      <c r="BL890" s="67"/>
      <c r="BM890" s="68" t="str">
        <f t="shared" si="577"/>
        <v>Unloading no. 860 Bill No 2026-27/210 ,Deduction For Oil Deduction= 29702.2857142858 ,Bardana=  ,F.M=  Brokerage/Rate Difference  ,Shortage = 0 ,Greenish=  ,Moisture= 0</v>
      </c>
      <c r="BN890" s="69"/>
      <c r="BO890" s="70" t="str">
        <f t="shared" si="578"/>
        <v xml:space="preserve"> Party Condition 42  ,F.M% 0.38 ,Greenish 4.4 ,Moisture 5 ,Shortage in KG= 0  ,Oil% 40.23</v>
      </c>
      <c r="BP890" s="71">
        <f t="shared" si="579"/>
        <v>7662.8571428571422</v>
      </c>
      <c r="BQ890" s="41"/>
      <c r="BR890" s="41"/>
      <c r="BS890" s="41"/>
      <c r="BT890" s="41"/>
      <c r="BU890" s="41"/>
      <c r="BV890" s="41"/>
      <c r="BW890" s="85"/>
      <c r="BX890" s="27">
        <v>40.21</v>
      </c>
      <c r="BY890" s="27">
        <v>40</v>
      </c>
    </row>
    <row r="891" spans="1:77" ht="14.1" hidden="1" customHeight="1" x14ac:dyDescent="0.3">
      <c r="A891" s="138" t="s">
        <v>1835</v>
      </c>
      <c r="B891" s="146">
        <v>46178</v>
      </c>
      <c r="C891" s="138">
        <v>861</v>
      </c>
      <c r="D891" s="135" t="s">
        <v>1858</v>
      </c>
      <c r="E891" s="129">
        <v>46181</v>
      </c>
      <c r="F891" s="138" t="s">
        <v>1803</v>
      </c>
      <c r="G891" s="281" t="s">
        <v>1804</v>
      </c>
      <c r="H891" s="281" t="s">
        <v>100</v>
      </c>
      <c r="I891" s="136"/>
      <c r="J891" s="347" t="s">
        <v>1455</v>
      </c>
      <c r="K891" s="136"/>
      <c r="L891" s="146">
        <v>46178</v>
      </c>
      <c r="M891" s="136"/>
      <c r="N891" s="135">
        <v>31</v>
      </c>
      <c r="O891" s="146">
        <v>46181</v>
      </c>
      <c r="P891" s="138">
        <v>0</v>
      </c>
      <c r="Q891" s="138">
        <v>160</v>
      </c>
      <c r="R891" s="138">
        <v>25</v>
      </c>
      <c r="S891" s="138">
        <v>185</v>
      </c>
      <c r="T891" s="138">
        <v>185</v>
      </c>
      <c r="U891" s="136"/>
      <c r="V891" s="136"/>
      <c r="W891" s="169">
        <v>92.2</v>
      </c>
      <c r="X891" s="169">
        <v>92.1</v>
      </c>
      <c r="Y891" s="389">
        <v>735295</v>
      </c>
      <c r="Z891" s="128"/>
      <c r="AA891" s="390">
        <v>18382.38</v>
      </c>
      <c r="AB891" s="147">
        <v>18382.38</v>
      </c>
      <c r="AC891" s="147">
        <v>772059.75</v>
      </c>
      <c r="AD891" s="315">
        <f t="shared" si="562"/>
        <v>771287.69024999999</v>
      </c>
      <c r="AE891" s="147">
        <v>39.08</v>
      </c>
      <c r="AF891" s="147">
        <v>42</v>
      </c>
      <c r="AG891" s="147">
        <v>38.96</v>
      </c>
      <c r="AH891" s="286">
        <v>4.0000000000000001E-3</v>
      </c>
      <c r="AI891" s="287">
        <v>4.48E-2</v>
      </c>
      <c r="AJ891" s="287">
        <v>4.8000000000000001E-2</v>
      </c>
      <c r="AK891" s="318">
        <f t="shared" si="563"/>
        <v>53221.352380952369</v>
      </c>
      <c r="AL891" s="193">
        <f>160*10+25*15</f>
        <v>1975</v>
      </c>
      <c r="AM891" s="319">
        <f>Y891*AH891</f>
        <v>2941.18</v>
      </c>
      <c r="AN891" s="319"/>
      <c r="AO891" s="320">
        <f t="shared" si="564"/>
        <v>797.5</v>
      </c>
      <c r="AP891" s="193"/>
      <c r="AQ891" s="318">
        <v>0</v>
      </c>
      <c r="AR891" s="318">
        <f t="shared" si="565"/>
        <v>58935.032380952369</v>
      </c>
      <c r="AS891" s="318">
        <f t="shared" si="566"/>
        <v>61882</v>
      </c>
      <c r="AT891" s="321">
        <v>10</v>
      </c>
      <c r="AU891" s="136"/>
      <c r="AV891" s="136"/>
      <c r="AW891" s="318">
        <f t="shared" si="580"/>
        <v>9220</v>
      </c>
      <c r="AX891" s="193"/>
      <c r="AY891" s="318">
        <f t="shared" si="581"/>
        <v>9220</v>
      </c>
      <c r="AZ891" s="318">
        <f t="shared" si="582"/>
        <v>9210</v>
      </c>
      <c r="BA891" s="318">
        <f t="shared" si="583"/>
        <v>10</v>
      </c>
      <c r="BB891" s="318">
        <f t="shared" si="584"/>
        <v>18.440000000000001</v>
      </c>
      <c r="BC891" s="318">
        <v>0</v>
      </c>
      <c r="BD891" s="193"/>
      <c r="BE891" s="138">
        <v>92.2</v>
      </c>
      <c r="BF891" s="321">
        <f t="shared" si="572"/>
        <v>0.13830000000000001</v>
      </c>
      <c r="BG891" s="197">
        <f t="shared" si="573"/>
        <v>92.061700000000002</v>
      </c>
      <c r="BH891" s="321">
        <f t="shared" si="574"/>
        <v>92.1</v>
      </c>
      <c r="BI891" s="322">
        <f t="shared" si="575"/>
        <v>10.000000000000853</v>
      </c>
      <c r="BJ891" s="322">
        <v>0</v>
      </c>
      <c r="BK891" s="318">
        <f t="shared" si="576"/>
        <v>10.000000000000853</v>
      </c>
      <c r="BL891" s="67"/>
      <c r="BM891" s="68" t="str">
        <f t="shared" si="577"/>
        <v>Unloading no. 861 Bill No 31 ,Deduction For Oil Deduction= 53221.3523809524 ,Bardana= 1975 ,F.M= 2941.18 Brokerage/Rate Difference  ,Shortage = 797.5 ,Greenish=  ,Moisture= 0</v>
      </c>
      <c r="BN891" s="69"/>
      <c r="BO891" s="70" t="str">
        <f t="shared" si="578"/>
        <v xml:space="preserve"> Party Condition 42  ,F.M% 0.4 ,Greenish 4.48 ,Moisture 4.8 ,Shortage in KG= 10  ,Oil% 38.96</v>
      </c>
      <c r="BP891" s="71">
        <f t="shared" si="579"/>
        <v>7343.7564345173469</v>
      </c>
      <c r="BQ891" s="41"/>
      <c r="BR891" s="41"/>
      <c r="BS891" s="41"/>
      <c r="BT891" s="41"/>
      <c r="BU891" s="41"/>
      <c r="BV891" s="41"/>
      <c r="BW891" s="85"/>
      <c r="BX891" s="27">
        <v>39.08</v>
      </c>
      <c r="BY891" s="27">
        <v>38.96</v>
      </c>
    </row>
    <row r="892" spans="1:77" ht="14.1" hidden="1" customHeight="1" x14ac:dyDescent="0.3">
      <c r="A892" s="138" t="s">
        <v>1835</v>
      </c>
      <c r="B892" s="146">
        <v>46178</v>
      </c>
      <c r="C892" s="138">
        <v>862</v>
      </c>
      <c r="D892" s="135" t="s">
        <v>1859</v>
      </c>
      <c r="E892" s="129">
        <v>46181</v>
      </c>
      <c r="F892" s="138" t="s">
        <v>1803</v>
      </c>
      <c r="G892" s="281" t="s">
        <v>1804</v>
      </c>
      <c r="H892" s="281" t="s">
        <v>100</v>
      </c>
      <c r="I892" s="136"/>
      <c r="J892" s="347" t="s">
        <v>1455</v>
      </c>
      <c r="K892" s="136"/>
      <c r="L892" s="146">
        <v>46178</v>
      </c>
      <c r="M892" s="136"/>
      <c r="N892" s="135">
        <v>32</v>
      </c>
      <c r="O892" s="146">
        <v>46181</v>
      </c>
      <c r="P892" s="138">
        <v>0</v>
      </c>
      <c r="Q892" s="138">
        <v>160</v>
      </c>
      <c r="R892" s="138">
        <v>20</v>
      </c>
      <c r="S892" s="138">
        <v>180</v>
      </c>
      <c r="T892" s="138">
        <v>180</v>
      </c>
      <c r="U892" s="136"/>
      <c r="V892" s="136"/>
      <c r="W892" s="169">
        <v>90.3</v>
      </c>
      <c r="X892" s="169">
        <v>90.3</v>
      </c>
      <c r="Y892" s="389">
        <v>720142.5</v>
      </c>
      <c r="Z892" s="128"/>
      <c r="AA892" s="390">
        <v>18003.560000000001</v>
      </c>
      <c r="AB892" s="147">
        <v>18003.560000000001</v>
      </c>
      <c r="AC892" s="147">
        <v>756149.63</v>
      </c>
      <c r="AD892" s="315">
        <f t="shared" si="562"/>
        <v>755393.48037</v>
      </c>
      <c r="AE892" s="147">
        <v>38.340000000000003</v>
      </c>
      <c r="AF892" s="147">
        <v>42</v>
      </c>
      <c r="AG892" s="147">
        <v>38.24</v>
      </c>
      <c r="AH892" s="287">
        <v>4.1000000000000003E-3</v>
      </c>
      <c r="AI892" s="287">
        <v>3.9E-2</v>
      </c>
      <c r="AJ892" s="287">
        <v>5.3999999999999999E-2</v>
      </c>
      <c r="AK892" s="318">
        <f t="shared" si="563"/>
        <v>64469.899999999965</v>
      </c>
      <c r="AL892" s="193">
        <f>160*10+20*15</f>
        <v>1900</v>
      </c>
      <c r="AM892" s="319">
        <f>Y892*AH892</f>
        <v>2952.5842500000003</v>
      </c>
      <c r="AN892" s="319"/>
      <c r="AO892" s="320">
        <f t="shared" si="564"/>
        <v>0</v>
      </c>
      <c r="AP892" s="193"/>
      <c r="AQ892" s="318">
        <v>0</v>
      </c>
      <c r="AR892" s="318">
        <f t="shared" si="565"/>
        <v>69322.484249999965</v>
      </c>
      <c r="AS892" s="318">
        <f t="shared" si="566"/>
        <v>72789</v>
      </c>
      <c r="AT892" s="321">
        <v>0</v>
      </c>
      <c r="AU892" s="136"/>
      <c r="AV892" s="136"/>
      <c r="AW892" s="318">
        <f t="shared" si="580"/>
        <v>9030</v>
      </c>
      <c r="AX892" s="193"/>
      <c r="AY892" s="318">
        <f t="shared" si="581"/>
        <v>9030</v>
      </c>
      <c r="AZ892" s="318">
        <f t="shared" si="582"/>
        <v>9030</v>
      </c>
      <c r="BA892" s="318">
        <f t="shared" si="583"/>
        <v>0</v>
      </c>
      <c r="BB892" s="318">
        <f t="shared" si="584"/>
        <v>18.059999999999999</v>
      </c>
      <c r="BC892" s="318">
        <v>0</v>
      </c>
      <c r="BD892" s="193"/>
      <c r="BE892" s="138">
        <v>90.3</v>
      </c>
      <c r="BF892" s="321">
        <f t="shared" si="572"/>
        <v>0.13544999999999999</v>
      </c>
      <c r="BG892" s="197">
        <f t="shared" si="573"/>
        <v>90.164549999999991</v>
      </c>
      <c r="BH892" s="321">
        <f t="shared" si="574"/>
        <v>90.3</v>
      </c>
      <c r="BI892" s="322">
        <f t="shared" si="575"/>
        <v>0</v>
      </c>
      <c r="BJ892" s="322">
        <v>0</v>
      </c>
      <c r="BK892" s="318">
        <f t="shared" si="576"/>
        <v>0</v>
      </c>
      <c r="BL892" s="67"/>
      <c r="BM892" s="68" t="str">
        <f t="shared" si="577"/>
        <v>Unloading no. 862 Bill No 32 ,Deduction For Oil Deduction= 64469.9 ,Bardana= 1900 ,F.M= 2952.58425 Brokerage/Rate Difference  ,Shortage = 0 ,Greenish=  ,Moisture= 0</v>
      </c>
      <c r="BN892" s="69"/>
      <c r="BO892" s="70" t="str">
        <f t="shared" si="578"/>
        <v xml:space="preserve"> Party Condition 42  ,F.M% 0.41 ,Greenish 3.9 ,Moisture 5.4 ,Shortage in KG= 0  ,Oil% 38.24</v>
      </c>
      <c r="BP892" s="71">
        <f t="shared" si="579"/>
        <v>7207.3091445182727</v>
      </c>
      <c r="BQ892" s="41"/>
      <c r="BR892" s="41"/>
      <c r="BS892" s="41"/>
      <c r="BT892" s="41"/>
      <c r="BU892" s="41"/>
      <c r="BV892" s="41"/>
      <c r="BW892" s="85"/>
      <c r="BX892" s="27">
        <v>38.340000000000003</v>
      </c>
      <c r="BY892" s="27">
        <v>38.24</v>
      </c>
    </row>
    <row r="893" spans="1:77" ht="14.1" hidden="1" customHeight="1" x14ac:dyDescent="0.3">
      <c r="A893" s="138" t="s">
        <v>1539</v>
      </c>
      <c r="B893" s="146">
        <v>46174</v>
      </c>
      <c r="C893" s="138">
        <v>863</v>
      </c>
      <c r="D893" s="135" t="s">
        <v>1860</v>
      </c>
      <c r="E893" s="129">
        <v>46181</v>
      </c>
      <c r="F893" s="138" t="s">
        <v>1144</v>
      </c>
      <c r="G893" s="281" t="s">
        <v>1145</v>
      </c>
      <c r="H893" s="281" t="s">
        <v>1901</v>
      </c>
      <c r="I893" s="136"/>
      <c r="J893" s="347" t="s">
        <v>1455</v>
      </c>
      <c r="K893" s="136"/>
      <c r="L893" s="146">
        <v>46174</v>
      </c>
      <c r="M893" s="136"/>
      <c r="N893" s="135" t="s">
        <v>1915</v>
      </c>
      <c r="O893" s="146">
        <v>46181</v>
      </c>
      <c r="P893" s="138">
        <v>0</v>
      </c>
      <c r="Q893" s="138">
        <v>130</v>
      </c>
      <c r="R893" s="138">
        <v>20</v>
      </c>
      <c r="S893" s="138">
        <v>150</v>
      </c>
      <c r="T893" s="138">
        <v>150</v>
      </c>
      <c r="U893" s="136"/>
      <c r="V893" s="136"/>
      <c r="W893" s="169">
        <v>87.1</v>
      </c>
      <c r="X893" s="169">
        <v>87.1</v>
      </c>
      <c r="Y893" s="389">
        <v>696800</v>
      </c>
      <c r="Z893" s="147">
        <v>40.15</v>
      </c>
      <c r="AA893" s="390">
        <v>17420</v>
      </c>
      <c r="AB893" s="147">
        <v>17420</v>
      </c>
      <c r="AC893" s="147">
        <v>731640</v>
      </c>
      <c r="AD893" s="315">
        <f t="shared" si="562"/>
        <v>730908.36</v>
      </c>
      <c r="AE893" s="236">
        <v>40.15</v>
      </c>
      <c r="AF893" s="147">
        <v>42</v>
      </c>
      <c r="AG893" s="236">
        <v>40.15</v>
      </c>
      <c r="AH893" s="287">
        <v>3.3999999999999998E-3</v>
      </c>
      <c r="AI893" s="287">
        <v>3.4500000000000003E-2</v>
      </c>
      <c r="AJ893" s="287">
        <v>5.5E-2</v>
      </c>
      <c r="AK893" s="318">
        <f t="shared" si="563"/>
        <v>30692.380952380972</v>
      </c>
      <c r="AL893" s="193"/>
      <c r="AM893" s="319"/>
      <c r="AN893" s="319"/>
      <c r="AO893" s="320">
        <f t="shared" si="564"/>
        <v>0</v>
      </c>
      <c r="AP893" s="193"/>
      <c r="AQ893" s="318">
        <v>0</v>
      </c>
      <c r="AR893" s="318">
        <f t="shared" si="565"/>
        <v>30692.380952380972</v>
      </c>
      <c r="AS893" s="318">
        <f t="shared" si="566"/>
        <v>32227</v>
      </c>
      <c r="AT893" s="321">
        <v>0</v>
      </c>
      <c r="AU893" s="136"/>
      <c r="AV893" s="136"/>
      <c r="AW893" s="318">
        <f t="shared" si="580"/>
        <v>8710</v>
      </c>
      <c r="AX893" s="193"/>
      <c r="AY893" s="318">
        <f t="shared" si="581"/>
        <v>8710</v>
      </c>
      <c r="AZ893" s="318">
        <f t="shared" si="582"/>
        <v>8710</v>
      </c>
      <c r="BA893" s="318">
        <f t="shared" si="583"/>
        <v>0</v>
      </c>
      <c r="BB893" s="318">
        <f t="shared" si="584"/>
        <v>17.420000000000002</v>
      </c>
      <c r="BC893" s="318">
        <v>0</v>
      </c>
      <c r="BD893" s="193"/>
      <c r="BE893" s="138">
        <v>87.1</v>
      </c>
      <c r="BF893" s="321">
        <f t="shared" si="572"/>
        <v>0.13064999999999999</v>
      </c>
      <c r="BG893" s="197">
        <f t="shared" si="573"/>
        <v>86.969349999999991</v>
      </c>
      <c r="BH893" s="321">
        <f t="shared" si="574"/>
        <v>87.1</v>
      </c>
      <c r="BI893" s="322">
        <f t="shared" si="575"/>
        <v>0</v>
      </c>
      <c r="BJ893" s="322">
        <v>0</v>
      </c>
      <c r="BK893" s="318">
        <f t="shared" si="576"/>
        <v>0</v>
      </c>
      <c r="BL893" s="67"/>
      <c r="BM893" s="68" t="str">
        <f t="shared" si="577"/>
        <v>Unloading no. 863 Bill No 2026-27/211 ,Deduction For Oil Deduction= 30692.380952381 ,Bardana=  ,F.M=  Brokerage/Rate Difference  ,Shortage = 0 ,Greenish=  ,Moisture= 0</v>
      </c>
      <c r="BN893" s="69"/>
      <c r="BO893" s="70" t="str">
        <f t="shared" si="578"/>
        <v xml:space="preserve"> Party Condition 42  ,F.M% 0.34 ,Greenish 3.45 ,Moisture 5.5 ,Shortage in KG= 0  ,Oil% 40.15</v>
      </c>
      <c r="BP893" s="71">
        <f t="shared" si="579"/>
        <v>7647.6190476190486</v>
      </c>
      <c r="BQ893" s="41"/>
      <c r="BR893" s="41"/>
      <c r="BS893" s="41"/>
      <c r="BT893" s="41"/>
      <c r="BU893" s="41"/>
      <c r="BV893" s="41"/>
      <c r="BW893" s="85"/>
      <c r="BX893" s="27">
        <v>40</v>
      </c>
      <c r="BY893" s="27">
        <v>39.81</v>
      </c>
    </row>
    <row r="894" spans="1:77" ht="14.1" hidden="1" customHeight="1" x14ac:dyDescent="0.3">
      <c r="A894" s="138" t="s">
        <v>1539</v>
      </c>
      <c r="B894" s="146">
        <v>46174</v>
      </c>
      <c r="C894" s="138">
        <v>864</v>
      </c>
      <c r="D894" s="135" t="s">
        <v>1861</v>
      </c>
      <c r="E894" s="129">
        <v>46181</v>
      </c>
      <c r="F894" s="138" t="s">
        <v>1144</v>
      </c>
      <c r="G894" s="281" t="s">
        <v>1145</v>
      </c>
      <c r="H894" s="281" t="s">
        <v>1901</v>
      </c>
      <c r="I894" s="136"/>
      <c r="J894" s="347" t="s">
        <v>1455</v>
      </c>
      <c r="K894" s="136"/>
      <c r="L894" s="146">
        <v>46174</v>
      </c>
      <c r="M894" s="136"/>
      <c r="N894" s="135" t="s">
        <v>1916</v>
      </c>
      <c r="O894" s="146">
        <v>46181</v>
      </c>
      <c r="P894" s="138">
        <v>0</v>
      </c>
      <c r="Q894" s="138">
        <v>100</v>
      </c>
      <c r="R894" s="138">
        <v>50</v>
      </c>
      <c r="S894" s="138">
        <v>150</v>
      </c>
      <c r="T894" s="138">
        <v>150</v>
      </c>
      <c r="U894" s="136"/>
      <c r="V894" s="136"/>
      <c r="W894" s="169">
        <v>87.6</v>
      </c>
      <c r="X894" s="169">
        <v>87.8</v>
      </c>
      <c r="Y894" s="389">
        <v>700800</v>
      </c>
      <c r="Z894" s="147">
        <v>39.99</v>
      </c>
      <c r="AA894" s="390">
        <v>17520</v>
      </c>
      <c r="AB894" s="147">
        <v>17520</v>
      </c>
      <c r="AC894" s="147">
        <v>735840</v>
      </c>
      <c r="AD894" s="315">
        <f t="shared" si="562"/>
        <v>735104.16</v>
      </c>
      <c r="AE894" s="236">
        <v>39.99</v>
      </c>
      <c r="AF894" s="147">
        <v>42</v>
      </c>
      <c r="AG894" s="236">
        <v>39.99</v>
      </c>
      <c r="AH894" s="287">
        <v>4.0000000000000001E-3</v>
      </c>
      <c r="AI894" s="287">
        <v>4.2599999999999999E-2</v>
      </c>
      <c r="AJ894" s="287">
        <v>5.7000000000000002E-2</v>
      </c>
      <c r="AK894" s="318">
        <f t="shared" si="563"/>
        <v>33538.285714285681</v>
      </c>
      <c r="AL894" s="193"/>
      <c r="AM894" s="319"/>
      <c r="AN894" s="319"/>
      <c r="AO894" s="320">
        <f t="shared" si="564"/>
        <v>0</v>
      </c>
      <c r="AP894" s="193"/>
      <c r="AQ894" s="318">
        <v>0</v>
      </c>
      <c r="AR894" s="318">
        <f t="shared" si="565"/>
        <v>33538.285714285681</v>
      </c>
      <c r="AS894" s="318">
        <f t="shared" si="566"/>
        <v>35215</v>
      </c>
      <c r="AT894" s="321">
        <v>0</v>
      </c>
      <c r="AU894" s="136"/>
      <c r="AV894" s="136"/>
      <c r="AW894" s="318">
        <f t="shared" si="580"/>
        <v>8760</v>
      </c>
      <c r="AX894" s="193"/>
      <c r="AY894" s="318">
        <f t="shared" si="581"/>
        <v>8760</v>
      </c>
      <c r="AZ894" s="318">
        <f t="shared" si="582"/>
        <v>8780</v>
      </c>
      <c r="BA894" s="318">
        <f t="shared" si="583"/>
        <v>-20</v>
      </c>
      <c r="BB894" s="318">
        <f t="shared" si="584"/>
        <v>17.52</v>
      </c>
      <c r="BC894" s="318">
        <v>0</v>
      </c>
      <c r="BD894" s="193"/>
      <c r="BE894" s="138">
        <v>87.6</v>
      </c>
      <c r="BF894" s="321">
        <f t="shared" si="572"/>
        <v>0.13139999999999999</v>
      </c>
      <c r="BG894" s="197">
        <f t="shared" si="573"/>
        <v>87.468599999999995</v>
      </c>
      <c r="BH894" s="321">
        <f t="shared" si="574"/>
        <v>87.8</v>
      </c>
      <c r="BI894" s="322">
        <f t="shared" si="575"/>
        <v>-20.000000000000284</v>
      </c>
      <c r="BJ894" s="322">
        <v>0</v>
      </c>
      <c r="BK894" s="318">
        <f t="shared" si="576"/>
        <v>-20.000000000000284</v>
      </c>
      <c r="BL894" s="67"/>
      <c r="BM894" s="68" t="str">
        <f t="shared" si="577"/>
        <v>Unloading no. 864 Bill No 2026-27/212 ,Deduction For Oil Deduction= 33538.2857142856 ,Bardana=  ,F.M=  Brokerage/Rate Difference  ,Shortage = 0 ,Greenish=  ,Moisture= 0</v>
      </c>
      <c r="BN894" s="69"/>
      <c r="BO894" s="70" t="str">
        <f t="shared" si="578"/>
        <v xml:space="preserve"> Party Condition 42  ,F.M% 0.4 ,Greenish 4.26 ,Moisture 5.7 ,Shortage in KG= 0  ,Oil% 39.99</v>
      </c>
      <c r="BP894" s="71">
        <f t="shared" si="579"/>
        <v>7599.7917344614389</v>
      </c>
      <c r="BQ894" s="41"/>
      <c r="BR894" s="41"/>
      <c r="BS894" s="41"/>
      <c r="BT894" s="41"/>
      <c r="BU894" s="41"/>
      <c r="BV894" s="41"/>
      <c r="BW894" s="85"/>
      <c r="BX894" s="27">
        <v>40.54</v>
      </c>
      <c r="BY894" s="27">
        <v>40</v>
      </c>
    </row>
    <row r="895" spans="1:77" ht="14.1" hidden="1" customHeight="1" x14ac:dyDescent="0.3">
      <c r="A895" s="138" t="s">
        <v>1539</v>
      </c>
      <c r="B895" s="146">
        <v>46174</v>
      </c>
      <c r="C895" s="138">
        <v>865</v>
      </c>
      <c r="D895" s="135" t="s">
        <v>1862</v>
      </c>
      <c r="E895" s="129">
        <v>46182</v>
      </c>
      <c r="F895" s="138" t="s">
        <v>1144</v>
      </c>
      <c r="G895" s="281" t="s">
        <v>1145</v>
      </c>
      <c r="H895" s="281" t="s">
        <v>1901</v>
      </c>
      <c r="I895" s="136"/>
      <c r="J895" s="347" t="s">
        <v>1455</v>
      </c>
      <c r="K895" s="136"/>
      <c r="L895" s="146">
        <v>46174</v>
      </c>
      <c r="M895" s="136"/>
      <c r="N895" s="138" t="s">
        <v>1917</v>
      </c>
      <c r="O895" s="146">
        <v>46181</v>
      </c>
      <c r="P895" s="138">
        <v>0</v>
      </c>
      <c r="Q895" s="138">
        <v>110</v>
      </c>
      <c r="R895" s="138">
        <v>40</v>
      </c>
      <c r="S895" s="138">
        <v>150</v>
      </c>
      <c r="T895" s="138">
        <v>150</v>
      </c>
      <c r="U895" s="136"/>
      <c r="V895" s="136"/>
      <c r="W895" s="148">
        <v>88.1</v>
      </c>
      <c r="X895" s="148">
        <v>88.2</v>
      </c>
      <c r="Y895" s="391">
        <v>704800</v>
      </c>
      <c r="Z895" s="276">
        <v>39.99</v>
      </c>
      <c r="AA895" s="390">
        <v>17620</v>
      </c>
      <c r="AB895" s="147">
        <v>17620</v>
      </c>
      <c r="AC895" s="147">
        <v>740040</v>
      </c>
      <c r="AD895" s="315">
        <f t="shared" si="562"/>
        <v>739299.96</v>
      </c>
      <c r="AE895" s="147">
        <v>39.99</v>
      </c>
      <c r="AF895" s="147">
        <v>42</v>
      </c>
      <c r="AG895" s="147">
        <v>39.99</v>
      </c>
      <c r="AH895" s="287">
        <v>4.3E-3</v>
      </c>
      <c r="AI895" s="287">
        <v>4.1599999999999998E-2</v>
      </c>
      <c r="AJ895" s="287">
        <v>5.0999999999999997E-2</v>
      </c>
      <c r="AK895" s="318">
        <f t="shared" si="563"/>
        <v>33729.714285714253</v>
      </c>
      <c r="AL895" s="193"/>
      <c r="AM895" s="319"/>
      <c r="AN895" s="319"/>
      <c r="AO895" s="320">
        <f t="shared" si="564"/>
        <v>0</v>
      </c>
      <c r="AP895" s="193"/>
      <c r="AQ895" s="318">
        <v>0</v>
      </c>
      <c r="AR895" s="318">
        <f t="shared" si="565"/>
        <v>33729.714285714253</v>
      </c>
      <c r="AS895" s="318">
        <f t="shared" si="566"/>
        <v>35416</v>
      </c>
      <c r="AT895" s="321">
        <v>0</v>
      </c>
      <c r="AU895" s="136"/>
      <c r="AV895" s="136"/>
      <c r="AW895" s="318">
        <f t="shared" si="580"/>
        <v>8810</v>
      </c>
      <c r="AX895" s="193"/>
      <c r="AY895" s="318">
        <f t="shared" si="581"/>
        <v>8810</v>
      </c>
      <c r="AZ895" s="318">
        <f t="shared" si="582"/>
        <v>8820</v>
      </c>
      <c r="BA895" s="318">
        <f t="shared" si="583"/>
        <v>-10</v>
      </c>
      <c r="BB895" s="318">
        <f t="shared" si="584"/>
        <v>17.62</v>
      </c>
      <c r="BC895" s="318">
        <v>0</v>
      </c>
      <c r="BD895" s="193"/>
      <c r="BE895" s="138">
        <v>88.1</v>
      </c>
      <c r="BF895" s="321">
        <f t="shared" si="572"/>
        <v>0.13214999999999999</v>
      </c>
      <c r="BG895" s="197">
        <f t="shared" si="573"/>
        <v>87.967849999999999</v>
      </c>
      <c r="BH895" s="321">
        <f t="shared" si="574"/>
        <v>88.2</v>
      </c>
      <c r="BI895" s="322">
        <f t="shared" si="575"/>
        <v>-10.000000000000853</v>
      </c>
      <c r="BJ895" s="322">
        <v>0</v>
      </c>
      <c r="BK895" s="318">
        <f t="shared" si="576"/>
        <v>-10.000000000000853</v>
      </c>
      <c r="BL895" s="67"/>
      <c r="BM895" s="68" t="str">
        <f t="shared" si="577"/>
        <v>Unloading no. 865 Bill No 2026-27/213 ,Deduction For Oil Deduction= 33729.7142857143 ,Bardana=  ,F.M=  Brokerage/Rate Difference  ,Shortage = 0 ,Greenish=  ,Moisture= 0</v>
      </c>
      <c r="BN895" s="69"/>
      <c r="BO895" s="70" t="str">
        <f t="shared" si="578"/>
        <v xml:space="preserve"> Party Condition 42  ,F.M% 0.43 ,Greenish 4.16 ,Moisture 5.1 ,Shortage in KG= 0  ,Oil% 39.99</v>
      </c>
      <c r="BP895" s="71">
        <f t="shared" si="579"/>
        <v>7608.5066407515396</v>
      </c>
      <c r="BQ895" s="41"/>
      <c r="BR895" s="41"/>
      <c r="BS895" s="41"/>
      <c r="BT895" s="41"/>
      <c r="BU895" s="41"/>
      <c r="BV895" s="41"/>
      <c r="BW895" s="85"/>
      <c r="BX895" s="27">
        <v>39.65</v>
      </c>
      <c r="BY895" s="27">
        <v>39.46</v>
      </c>
    </row>
    <row r="896" spans="1:77" ht="14.1" hidden="1" customHeight="1" x14ac:dyDescent="0.3">
      <c r="A896" s="138" t="s">
        <v>1539</v>
      </c>
      <c r="B896" s="146">
        <v>46174</v>
      </c>
      <c r="C896" s="138">
        <v>866</v>
      </c>
      <c r="D896" s="135" t="s">
        <v>1863</v>
      </c>
      <c r="E896" s="129">
        <v>46181</v>
      </c>
      <c r="F896" s="138" t="s">
        <v>1144</v>
      </c>
      <c r="G896" s="281" t="s">
        <v>1145</v>
      </c>
      <c r="H896" s="281" t="s">
        <v>1901</v>
      </c>
      <c r="I896" s="136"/>
      <c r="J896" s="347" t="s">
        <v>1455</v>
      </c>
      <c r="K896" s="136"/>
      <c r="L896" s="146">
        <v>46174</v>
      </c>
      <c r="M896" s="136"/>
      <c r="N896" s="135" t="s">
        <v>1918</v>
      </c>
      <c r="O896" s="146">
        <v>46181</v>
      </c>
      <c r="P896" s="138">
        <v>0</v>
      </c>
      <c r="Q896" s="138">
        <v>100</v>
      </c>
      <c r="R896" s="138">
        <v>50</v>
      </c>
      <c r="S896" s="138">
        <v>150</v>
      </c>
      <c r="T896" s="138">
        <v>150</v>
      </c>
      <c r="U896" s="136"/>
      <c r="V896" s="136"/>
      <c r="W896" s="169">
        <v>87.7</v>
      </c>
      <c r="X896" s="169">
        <v>87.7</v>
      </c>
      <c r="Y896" s="389">
        <v>701600</v>
      </c>
      <c r="Z896" s="147">
        <v>40.19</v>
      </c>
      <c r="AA896" s="390">
        <v>17540</v>
      </c>
      <c r="AB896" s="147">
        <v>17540</v>
      </c>
      <c r="AC896" s="147">
        <v>736680</v>
      </c>
      <c r="AD896" s="315">
        <f t="shared" si="562"/>
        <v>735943.32</v>
      </c>
      <c r="AE896" s="236">
        <v>40.19</v>
      </c>
      <c r="AF896" s="147">
        <v>42</v>
      </c>
      <c r="AG896" s="236">
        <v>40.19</v>
      </c>
      <c r="AH896" s="287">
        <v>4.1999999999999997E-3</v>
      </c>
      <c r="AI896" s="287">
        <v>3.5999999999999997E-2</v>
      </c>
      <c r="AJ896" s="287">
        <v>5.2999999999999999E-2</v>
      </c>
      <c r="AK896" s="318">
        <f t="shared" si="563"/>
        <v>30235.619047619086</v>
      </c>
      <c r="AL896" s="193"/>
      <c r="AM896" s="319"/>
      <c r="AN896" s="319"/>
      <c r="AO896" s="320">
        <f t="shared" si="564"/>
        <v>0</v>
      </c>
      <c r="AP896" s="193"/>
      <c r="AQ896" s="318">
        <v>0</v>
      </c>
      <c r="AR896" s="318">
        <f t="shared" si="565"/>
        <v>30235.619047619086</v>
      </c>
      <c r="AS896" s="318">
        <f t="shared" si="566"/>
        <v>31747</v>
      </c>
      <c r="AT896" s="321">
        <v>0</v>
      </c>
      <c r="AU896" s="136"/>
      <c r="AV896" s="136"/>
      <c r="AW896" s="318">
        <f t="shared" si="580"/>
        <v>8770</v>
      </c>
      <c r="AX896" s="193"/>
      <c r="AY896" s="318">
        <f t="shared" si="581"/>
        <v>8770</v>
      </c>
      <c r="AZ896" s="318">
        <f t="shared" si="582"/>
        <v>8770</v>
      </c>
      <c r="BA896" s="318">
        <f t="shared" si="583"/>
        <v>0</v>
      </c>
      <c r="BB896" s="318">
        <f t="shared" si="584"/>
        <v>17.54</v>
      </c>
      <c r="BC896" s="318">
        <v>0</v>
      </c>
      <c r="BD896" s="193"/>
      <c r="BE896" s="138">
        <v>87.7</v>
      </c>
      <c r="BF896" s="321">
        <f t="shared" si="572"/>
        <v>0.13155</v>
      </c>
      <c r="BG896" s="197">
        <f t="shared" si="573"/>
        <v>87.568449999999999</v>
      </c>
      <c r="BH896" s="321">
        <f t="shared" si="574"/>
        <v>87.7</v>
      </c>
      <c r="BI896" s="322">
        <f t="shared" si="575"/>
        <v>0</v>
      </c>
      <c r="BJ896" s="322">
        <v>0</v>
      </c>
      <c r="BK896" s="318">
        <f t="shared" si="576"/>
        <v>0</v>
      </c>
      <c r="BL896" s="67"/>
      <c r="BM896" s="68" t="str">
        <f t="shared" si="577"/>
        <v>Unloading no. 866 Bill No 2026-27/214 ,Deduction For Oil Deduction= 30235.6190476191 ,Bardana=  ,F.M=  Brokerage/Rate Difference  ,Shortage = 0 ,Greenish=  ,Moisture= 0</v>
      </c>
      <c r="BN896" s="69"/>
      <c r="BO896" s="70" t="str">
        <f t="shared" si="578"/>
        <v xml:space="preserve"> Party Condition 42  ,F.M% 0.42 ,Greenish 3.6 ,Moisture 5.3 ,Shortage in KG= 0  ,Oil% 40.19</v>
      </c>
      <c r="BP896" s="71">
        <f t="shared" si="579"/>
        <v>7655.2380952380945</v>
      </c>
      <c r="BQ896" s="41"/>
      <c r="BR896" s="41"/>
      <c r="BS896" s="41"/>
      <c r="BT896" s="41"/>
      <c r="BU896" s="41"/>
      <c r="BV896" s="41"/>
      <c r="BW896" s="85"/>
      <c r="BX896" s="27">
        <v>40.22</v>
      </c>
      <c r="BY896" s="27">
        <v>40.03</v>
      </c>
    </row>
    <row r="897" spans="1:77" ht="14.1" hidden="1" customHeight="1" x14ac:dyDescent="0.3">
      <c r="A897" s="138" t="s">
        <v>1539</v>
      </c>
      <c r="B897" s="146">
        <v>46174</v>
      </c>
      <c r="C897" s="138">
        <v>867</v>
      </c>
      <c r="D897" s="135" t="s">
        <v>1864</v>
      </c>
      <c r="E897" s="129">
        <v>46181</v>
      </c>
      <c r="F897" s="138" t="s">
        <v>1144</v>
      </c>
      <c r="G897" s="281" t="s">
        <v>1145</v>
      </c>
      <c r="H897" s="281" t="s">
        <v>1901</v>
      </c>
      <c r="I897" s="136"/>
      <c r="J897" s="347" t="s">
        <v>1455</v>
      </c>
      <c r="K897" s="136"/>
      <c r="L897" s="146">
        <v>46174</v>
      </c>
      <c r="M897" s="136"/>
      <c r="N897" s="135" t="s">
        <v>1919</v>
      </c>
      <c r="O897" s="146">
        <v>46181</v>
      </c>
      <c r="P897" s="138">
        <v>0</v>
      </c>
      <c r="Q897" s="138">
        <v>100</v>
      </c>
      <c r="R897" s="138">
        <v>32</v>
      </c>
      <c r="S897" s="138">
        <v>132</v>
      </c>
      <c r="T897" s="138">
        <v>132</v>
      </c>
      <c r="U897" s="136"/>
      <c r="V897" s="136"/>
      <c r="W897" s="169">
        <v>75.7</v>
      </c>
      <c r="X897" s="169">
        <v>75.8</v>
      </c>
      <c r="Y897" s="389">
        <v>605600</v>
      </c>
      <c r="Z897" s="147">
        <v>39.92</v>
      </c>
      <c r="AA897" s="390">
        <v>15140</v>
      </c>
      <c r="AB897" s="147">
        <v>15140</v>
      </c>
      <c r="AC897" s="147">
        <v>635880</v>
      </c>
      <c r="AD897" s="315">
        <f t="shared" si="562"/>
        <v>635244.12</v>
      </c>
      <c r="AE897" s="236">
        <v>39.92</v>
      </c>
      <c r="AF897" s="147">
        <v>42</v>
      </c>
      <c r="AG897" s="236">
        <v>39.92</v>
      </c>
      <c r="AH897" s="287">
        <v>4.0000000000000001E-3</v>
      </c>
      <c r="AI897" s="287">
        <v>0.04</v>
      </c>
      <c r="AJ897" s="287">
        <v>5.5E-2</v>
      </c>
      <c r="AK897" s="318">
        <f t="shared" si="563"/>
        <v>29991.619047619024</v>
      </c>
      <c r="AL897" s="193"/>
      <c r="AM897" s="319"/>
      <c r="AN897" s="319"/>
      <c r="AO897" s="320">
        <f t="shared" si="564"/>
        <v>0</v>
      </c>
      <c r="AP897" s="193"/>
      <c r="AQ897" s="318">
        <v>0</v>
      </c>
      <c r="AR897" s="318">
        <f t="shared" si="565"/>
        <v>29991.619047619024</v>
      </c>
      <c r="AS897" s="318">
        <f t="shared" si="566"/>
        <v>31491</v>
      </c>
      <c r="AT897" s="321">
        <v>0</v>
      </c>
      <c r="AU897" s="136"/>
      <c r="AV897" s="136"/>
      <c r="AW897" s="318">
        <f t="shared" si="580"/>
        <v>7570</v>
      </c>
      <c r="AX897" s="193"/>
      <c r="AY897" s="318">
        <f t="shared" si="581"/>
        <v>7570</v>
      </c>
      <c r="AZ897" s="318">
        <f t="shared" si="582"/>
        <v>7580</v>
      </c>
      <c r="BA897" s="318">
        <f t="shared" si="583"/>
        <v>-10</v>
      </c>
      <c r="BB897" s="318">
        <f t="shared" si="584"/>
        <v>15.14</v>
      </c>
      <c r="BC897" s="318">
        <v>0</v>
      </c>
      <c r="BD897" s="193"/>
      <c r="BE897" s="138">
        <v>75.7</v>
      </c>
      <c r="BF897" s="321">
        <f t="shared" si="572"/>
        <v>0.11355</v>
      </c>
      <c r="BG897" s="197">
        <f t="shared" si="573"/>
        <v>75.586449999999999</v>
      </c>
      <c r="BH897" s="321">
        <f t="shared" si="574"/>
        <v>75.8</v>
      </c>
      <c r="BI897" s="322">
        <f t="shared" si="575"/>
        <v>-9.9999999999994316</v>
      </c>
      <c r="BJ897" s="322">
        <v>0</v>
      </c>
      <c r="BK897" s="318">
        <f t="shared" si="576"/>
        <v>-9.9999999999994316</v>
      </c>
      <c r="BL897" s="67"/>
      <c r="BM897" s="68" t="str">
        <f t="shared" si="577"/>
        <v>Unloading no. 867 Bill No 2026-27/215 ,Deduction For Oil Deduction= 29991.619047619 ,Bardana=  ,F.M=  Brokerage/Rate Difference  ,Shortage = 0 ,Greenish=  ,Moisture= 0</v>
      </c>
      <c r="BN897" s="69"/>
      <c r="BO897" s="70" t="str">
        <f t="shared" si="578"/>
        <v xml:space="preserve"> Party Condition 42  ,F.M% 0.4 ,Greenish 4 ,Moisture 5.5 ,Shortage in KG= 0  ,Oil% 39.92</v>
      </c>
      <c r="BP897" s="71">
        <f t="shared" si="579"/>
        <v>7593.778112828245</v>
      </c>
      <c r="BQ897" s="41"/>
      <c r="BR897" s="41"/>
      <c r="BS897" s="41"/>
      <c r="BT897" s="41"/>
      <c r="BU897" s="41"/>
      <c r="BV897" s="41"/>
      <c r="BW897" s="85"/>
      <c r="BX897" s="27">
        <v>39.880000000000003</v>
      </c>
      <c r="BY897" s="27">
        <v>39.78</v>
      </c>
    </row>
    <row r="898" spans="1:77" ht="14.1" hidden="1" customHeight="1" x14ac:dyDescent="0.3">
      <c r="A898" s="138" t="s">
        <v>1753</v>
      </c>
      <c r="B898" s="146">
        <v>46178</v>
      </c>
      <c r="C898" s="138">
        <v>868</v>
      </c>
      <c r="D898" s="135" t="s">
        <v>1865</v>
      </c>
      <c r="E898" s="129">
        <v>46182</v>
      </c>
      <c r="F898" s="138" t="s">
        <v>1382</v>
      </c>
      <c r="G898" s="281" t="s">
        <v>1383</v>
      </c>
      <c r="H898" s="281" t="s">
        <v>1384</v>
      </c>
      <c r="I898" s="136"/>
      <c r="J898" s="347" t="s">
        <v>1455</v>
      </c>
      <c r="K898" s="136"/>
      <c r="L898" s="146">
        <v>46178</v>
      </c>
      <c r="M898" s="136"/>
      <c r="N898" s="138">
        <v>20</v>
      </c>
      <c r="O898" s="146">
        <v>46180</v>
      </c>
      <c r="P898" s="138">
        <v>0</v>
      </c>
      <c r="Q898" s="138">
        <v>380</v>
      </c>
      <c r="R898" s="138">
        <v>121</v>
      </c>
      <c r="S898" s="138">
        <v>501</v>
      </c>
      <c r="T898" s="138">
        <v>501</v>
      </c>
      <c r="U898" s="136"/>
      <c r="V898" s="136"/>
      <c r="W898" s="148">
        <v>304.75</v>
      </c>
      <c r="X898" s="148">
        <v>303.8</v>
      </c>
      <c r="Y898" s="391">
        <v>2445618.75</v>
      </c>
      <c r="Z898" s="128"/>
      <c r="AA898" s="390">
        <v>61140.47</v>
      </c>
      <c r="AB898" s="147">
        <v>61140.47</v>
      </c>
      <c r="AC898" s="147">
        <v>2567899.69</v>
      </c>
      <c r="AD898" s="315">
        <f t="shared" si="562"/>
        <v>2565331.7903100001</v>
      </c>
      <c r="AE898" s="147">
        <v>38.51</v>
      </c>
      <c r="AF898" s="147">
        <v>42</v>
      </c>
      <c r="AG898" s="147">
        <v>38.549999999999997</v>
      </c>
      <c r="AH898" s="292">
        <v>4.4000000000000003E-3</v>
      </c>
      <c r="AI898" s="287">
        <v>3.49E-2</v>
      </c>
      <c r="AJ898" s="287">
        <v>4.9000000000000002E-2</v>
      </c>
      <c r="AK898" s="318">
        <f t="shared" si="563"/>
        <v>203219.27232142867</v>
      </c>
      <c r="AL898" s="193">
        <f>380*10+121*15</f>
        <v>5615</v>
      </c>
      <c r="AM898" s="319">
        <f>AH898*Y898</f>
        <v>10760.7225</v>
      </c>
      <c r="AN898" s="319"/>
      <c r="AO898" s="320">
        <f t="shared" si="564"/>
        <v>7623.75</v>
      </c>
      <c r="AP898" s="193"/>
      <c r="AQ898" s="318">
        <v>0</v>
      </c>
      <c r="AR898" s="318">
        <f t="shared" si="565"/>
        <v>227218.74482142867</v>
      </c>
      <c r="AS898" s="318">
        <f t="shared" si="566"/>
        <v>238580</v>
      </c>
      <c r="AT898" s="321">
        <v>95</v>
      </c>
      <c r="AU898" s="136"/>
      <c r="AV898" s="136"/>
      <c r="AW898" s="318">
        <f t="shared" si="580"/>
        <v>30475</v>
      </c>
      <c r="AX898" s="193"/>
      <c r="AY898" s="318">
        <f t="shared" si="581"/>
        <v>30475</v>
      </c>
      <c r="AZ898" s="318">
        <f t="shared" si="582"/>
        <v>30380</v>
      </c>
      <c r="BA898" s="318">
        <f t="shared" si="583"/>
        <v>95</v>
      </c>
      <c r="BB898" s="318">
        <f t="shared" si="584"/>
        <v>60.95</v>
      </c>
      <c r="BC898" s="318">
        <v>0</v>
      </c>
      <c r="BD898" s="193"/>
      <c r="BE898" s="138">
        <v>304.75</v>
      </c>
      <c r="BF898" s="321">
        <f t="shared" si="572"/>
        <v>0.457125</v>
      </c>
      <c r="BG898" s="197">
        <f t="shared" si="573"/>
        <v>304.29287499999998</v>
      </c>
      <c r="BH898" s="321">
        <f t="shared" si="574"/>
        <v>303.8</v>
      </c>
      <c r="BI898" s="322">
        <f t="shared" si="575"/>
        <v>94.999999999998863</v>
      </c>
      <c r="BJ898" s="322">
        <v>0</v>
      </c>
      <c r="BK898" s="318">
        <f t="shared" si="576"/>
        <v>94.999999999998863</v>
      </c>
      <c r="BL898" s="67"/>
      <c r="BM898" s="68" t="str">
        <f t="shared" si="577"/>
        <v>Unloading no. 868 Bill No 20 ,Deduction For Oil Deduction= 203219.272321429 ,Bardana= 5615 ,F.M= 10760.7225 Brokerage/Rate Difference  ,Shortage = 7623.75 ,Greenish=  ,Moisture= 0</v>
      </c>
      <c r="BN898" s="69"/>
      <c r="BO898" s="70" t="str">
        <f t="shared" si="578"/>
        <v xml:space="preserve"> Party Condition 42  ,F.M% 0.44 ,Greenish 3.49 ,Moisture 4.9 ,Shortage in KG= 95  ,Oil% 38.51</v>
      </c>
      <c r="BP898" s="71">
        <f t="shared" si="579"/>
        <v>7302.1724989419718</v>
      </c>
      <c r="BQ898" s="41"/>
      <c r="BR898" s="41"/>
      <c r="BS898" s="41"/>
      <c r="BT898" s="41"/>
      <c r="BU898" s="41"/>
      <c r="BV898" s="41"/>
      <c r="BW898" s="85"/>
      <c r="BX898" s="27">
        <v>38.51</v>
      </c>
      <c r="BY898" s="27">
        <v>38.549999999999997</v>
      </c>
    </row>
    <row r="899" spans="1:77" ht="14.1" hidden="1" customHeight="1" x14ac:dyDescent="0.3">
      <c r="A899" s="138" t="s">
        <v>1757</v>
      </c>
      <c r="B899" s="146">
        <v>46178</v>
      </c>
      <c r="C899" s="138">
        <v>869</v>
      </c>
      <c r="D899" s="135" t="s">
        <v>1866</v>
      </c>
      <c r="E899" s="129">
        <v>46182</v>
      </c>
      <c r="F899" s="138" t="s">
        <v>1686</v>
      </c>
      <c r="G899" s="281" t="s">
        <v>1687</v>
      </c>
      <c r="H899" s="281" t="s">
        <v>1688</v>
      </c>
      <c r="I899" s="136"/>
      <c r="J899" s="347" t="s">
        <v>1455</v>
      </c>
      <c r="K899" s="136"/>
      <c r="L899" s="146">
        <v>46178</v>
      </c>
      <c r="M899" s="136"/>
      <c r="N899" s="138" t="s">
        <v>1920</v>
      </c>
      <c r="O899" s="146">
        <v>46181</v>
      </c>
      <c r="P899" s="138">
        <v>0</v>
      </c>
      <c r="Q899" s="138">
        <v>200</v>
      </c>
      <c r="R899" s="138">
        <v>55</v>
      </c>
      <c r="S899" s="138">
        <v>255</v>
      </c>
      <c r="T899" s="138">
        <v>255</v>
      </c>
      <c r="U899" s="136"/>
      <c r="V899" s="136"/>
      <c r="W899" s="148">
        <v>155.30000000000001</v>
      </c>
      <c r="X899" s="148">
        <v>155</v>
      </c>
      <c r="Y899" s="391">
        <v>1238517.5</v>
      </c>
      <c r="Z899" s="128"/>
      <c r="AA899" s="390">
        <v>30962.94</v>
      </c>
      <c r="AB899" s="147">
        <v>30962.94</v>
      </c>
      <c r="AC899" s="147">
        <v>1300443.3799999999</v>
      </c>
      <c r="AD899" s="315">
        <f t="shared" si="562"/>
        <v>1299142.9366199998</v>
      </c>
      <c r="AE899" s="147">
        <v>40.200000000000003</v>
      </c>
      <c r="AF899" s="147">
        <v>42</v>
      </c>
      <c r="AG899" s="147">
        <v>40.01</v>
      </c>
      <c r="AH899" s="292">
        <v>3.8E-3</v>
      </c>
      <c r="AI899" s="287">
        <v>3.6999999999999998E-2</v>
      </c>
      <c r="AJ899" s="287">
        <v>4.7E-2</v>
      </c>
      <c r="AK899" s="318">
        <f t="shared" si="563"/>
        <v>58682.138690476248</v>
      </c>
      <c r="AL899" s="193">
        <f>200*10+55*15</f>
        <v>2825</v>
      </c>
      <c r="AM899" s="319">
        <f>AH899*Y899</f>
        <v>4706.3665000000001</v>
      </c>
      <c r="AN899" s="319"/>
      <c r="AO899" s="320">
        <f t="shared" si="564"/>
        <v>2392.4999999999995</v>
      </c>
      <c r="AP899" s="193"/>
      <c r="AQ899" s="318">
        <v>0</v>
      </c>
      <c r="AR899" s="318">
        <f t="shared" si="565"/>
        <v>68606.005190476251</v>
      </c>
      <c r="AS899" s="318">
        <f t="shared" si="566"/>
        <v>72036</v>
      </c>
      <c r="AT899" s="321">
        <v>30</v>
      </c>
      <c r="AU899" s="136"/>
      <c r="AV899" s="136"/>
      <c r="AW899" s="318">
        <f t="shared" si="580"/>
        <v>15530.000000000002</v>
      </c>
      <c r="AX899" s="193"/>
      <c r="AY899" s="318">
        <f t="shared" si="581"/>
        <v>15530.000000000002</v>
      </c>
      <c r="AZ899" s="318">
        <f t="shared" si="582"/>
        <v>15500</v>
      </c>
      <c r="BA899" s="318">
        <f t="shared" si="583"/>
        <v>30.000000000001819</v>
      </c>
      <c r="BB899" s="318">
        <f t="shared" si="584"/>
        <v>31.060000000000002</v>
      </c>
      <c r="BC899" s="318">
        <v>0</v>
      </c>
      <c r="BD899" s="193"/>
      <c r="BE899" s="138">
        <v>155.30000000000001</v>
      </c>
      <c r="BF899" s="321">
        <f t="shared" si="572"/>
        <v>0.23295000000000002</v>
      </c>
      <c r="BG899" s="197">
        <f t="shared" si="573"/>
        <v>155.06705000000002</v>
      </c>
      <c r="BH899" s="321">
        <f t="shared" si="574"/>
        <v>155</v>
      </c>
      <c r="BI899" s="322">
        <f t="shared" si="575"/>
        <v>30.000000000001137</v>
      </c>
      <c r="BJ899" s="322">
        <v>0</v>
      </c>
      <c r="BK899" s="318">
        <f t="shared" si="576"/>
        <v>30.000000000001137</v>
      </c>
      <c r="BL899" s="67"/>
      <c r="BM899" s="68" t="str">
        <f t="shared" si="577"/>
        <v>Unloading no. 869 Bill No KAI/2026-27/127 ,Deduction For Oil Deduction= 58682.1386904762 ,Bardana= 2825 ,F.M= 4706.3665 Brokerage/Rate Difference  ,Shortage = 2392.5 ,Greenish=  ,Moisture= 0</v>
      </c>
      <c r="BN899" s="69"/>
      <c r="BO899" s="70" t="str">
        <f t="shared" si="578"/>
        <v xml:space="preserve"> Party Condition 42  ,F.M% 0.38 ,Greenish 3.7 ,Moisture 4.7 ,Shortage in KG= 30  ,Oil% 40.01</v>
      </c>
      <c r="BP899" s="71">
        <f t="shared" si="579"/>
        <v>7547.8160955453141</v>
      </c>
      <c r="BQ899" s="41"/>
      <c r="BR899" s="41"/>
      <c r="BS899" s="41"/>
      <c r="BT899" s="41"/>
      <c r="BU899" s="41"/>
      <c r="BV899" s="41"/>
      <c r="BW899" s="85"/>
      <c r="BX899" s="27">
        <v>40.200000000000003</v>
      </c>
      <c r="BY899" s="27">
        <v>40.01</v>
      </c>
    </row>
    <row r="900" spans="1:77" ht="14.1" hidden="1" customHeight="1" x14ac:dyDescent="0.3">
      <c r="A900" s="138" t="s">
        <v>1836</v>
      </c>
      <c r="B900" s="146">
        <v>46178</v>
      </c>
      <c r="C900" s="138">
        <v>870</v>
      </c>
      <c r="D900" s="135" t="s">
        <v>1867</v>
      </c>
      <c r="E900" s="129">
        <v>46182</v>
      </c>
      <c r="F900" s="138" t="s">
        <v>1805</v>
      </c>
      <c r="G900" s="281" t="s">
        <v>1806</v>
      </c>
      <c r="H900" s="281" t="s">
        <v>1511</v>
      </c>
      <c r="I900" s="136"/>
      <c r="J900" s="347" t="s">
        <v>1455</v>
      </c>
      <c r="K900" s="136"/>
      <c r="L900" s="146">
        <v>46178</v>
      </c>
      <c r="M900" s="136"/>
      <c r="N900" s="138" t="s">
        <v>1921</v>
      </c>
      <c r="O900" s="146">
        <v>46181</v>
      </c>
      <c r="P900" s="138">
        <v>0</v>
      </c>
      <c r="Q900" s="138">
        <v>280</v>
      </c>
      <c r="R900" s="138">
        <v>135</v>
      </c>
      <c r="S900" s="138">
        <v>415</v>
      </c>
      <c r="T900" s="138">
        <v>415</v>
      </c>
      <c r="U900" s="136"/>
      <c r="V900" s="136"/>
      <c r="W900" s="148">
        <v>249</v>
      </c>
      <c r="X900" s="148">
        <v>248.7</v>
      </c>
      <c r="Y900" s="391">
        <v>1979550</v>
      </c>
      <c r="Z900" s="128"/>
      <c r="AA900" s="390">
        <v>49488.75</v>
      </c>
      <c r="AB900" s="147">
        <v>49488.75</v>
      </c>
      <c r="AC900" s="147">
        <v>2078527.5</v>
      </c>
      <c r="AD900" s="315">
        <f t="shared" si="562"/>
        <v>2076448.9724999999</v>
      </c>
      <c r="AE900" s="147">
        <v>39.880000000000003</v>
      </c>
      <c r="AF900" s="147">
        <v>42</v>
      </c>
      <c r="AG900" s="147">
        <v>39.79</v>
      </c>
      <c r="AH900" s="292">
        <v>4.4999999999999997E-3</v>
      </c>
      <c r="AI900" s="287">
        <v>3.6999999999999998E-2</v>
      </c>
      <c r="AJ900" s="287">
        <v>4.9000000000000002E-2</v>
      </c>
      <c r="AK900" s="318">
        <f t="shared" si="563"/>
        <v>104162.03571428575</v>
      </c>
      <c r="AL900" s="193">
        <f>280*10+135*15</f>
        <v>4825</v>
      </c>
      <c r="AM900" s="319">
        <f>AH900*Y900</f>
        <v>8907.9749999999985</v>
      </c>
      <c r="AN900" s="319"/>
      <c r="AO900" s="320">
        <f t="shared" si="564"/>
        <v>2385</v>
      </c>
      <c r="AP900" s="193"/>
      <c r="AQ900" s="318">
        <v>0</v>
      </c>
      <c r="AR900" s="318">
        <f t="shared" si="565"/>
        <v>120280.01071428575</v>
      </c>
      <c r="AS900" s="318">
        <f t="shared" si="566"/>
        <v>126294</v>
      </c>
      <c r="AT900" s="321">
        <v>30</v>
      </c>
      <c r="AU900" s="136"/>
      <c r="AV900" s="136"/>
      <c r="AW900" s="318">
        <f t="shared" si="580"/>
        <v>24900</v>
      </c>
      <c r="AX900" s="193"/>
      <c r="AY900" s="318">
        <f t="shared" si="581"/>
        <v>24900</v>
      </c>
      <c r="AZ900" s="318">
        <f t="shared" si="582"/>
        <v>24870</v>
      </c>
      <c r="BA900" s="318">
        <f t="shared" si="583"/>
        <v>30</v>
      </c>
      <c r="BB900" s="318">
        <f t="shared" si="584"/>
        <v>49.8</v>
      </c>
      <c r="BC900" s="318">
        <v>0</v>
      </c>
      <c r="BD900" s="193"/>
      <c r="BE900" s="138">
        <v>249</v>
      </c>
      <c r="BF900" s="321">
        <f t="shared" si="572"/>
        <v>0.3735</v>
      </c>
      <c r="BG900" s="197">
        <f t="shared" si="573"/>
        <v>248.62649999999999</v>
      </c>
      <c r="BH900" s="321">
        <f t="shared" si="574"/>
        <v>248.7</v>
      </c>
      <c r="BI900" s="322">
        <f t="shared" si="575"/>
        <v>30.000000000001137</v>
      </c>
      <c r="BJ900" s="322">
        <v>0</v>
      </c>
      <c r="BK900" s="318">
        <f t="shared" si="576"/>
        <v>30.000000000001137</v>
      </c>
      <c r="BL900" s="67"/>
      <c r="BM900" s="68" t="str">
        <f t="shared" si="577"/>
        <v>Unloading no. 870 Bill No 3/2026-27 ,Deduction For Oil Deduction= 104162.035714286 ,Bardana= 4825 ,F.M= 8907.975 Brokerage/Rate Difference  ,Shortage = 2385 ,Greenish=  ,Moisture= 0</v>
      </c>
      <c r="BN900" s="69"/>
      <c r="BO900" s="70" t="str">
        <f t="shared" si="578"/>
        <v xml:space="preserve"> Party Condition 42  ,F.M% 0.45 ,Greenish 3.7 ,Moisture 4.9 ,Shortage in KG= 30  ,Oil% 39.79</v>
      </c>
      <c r="BP900" s="71">
        <f t="shared" si="579"/>
        <v>7475.9549227411107</v>
      </c>
      <c r="BQ900" s="41"/>
      <c r="BR900" s="41"/>
      <c r="BS900" s="41"/>
      <c r="BT900" s="41"/>
      <c r="BU900" s="41"/>
      <c r="BV900" s="41"/>
      <c r="BW900" s="85"/>
      <c r="BX900" s="27">
        <v>39.880000000000003</v>
      </c>
      <c r="BY900" s="27">
        <v>39.79</v>
      </c>
    </row>
    <row r="901" spans="1:77" ht="14.1" hidden="1" customHeight="1" x14ac:dyDescent="0.3">
      <c r="A901" s="138" t="s">
        <v>1837</v>
      </c>
      <c r="B901" s="146">
        <v>46181</v>
      </c>
      <c r="C901" s="138">
        <v>871</v>
      </c>
      <c r="D901" s="135" t="s">
        <v>1868</v>
      </c>
      <c r="E901" s="129">
        <v>46182</v>
      </c>
      <c r="F901" s="138" t="s">
        <v>1450</v>
      </c>
      <c r="G901" s="281" t="s">
        <v>1451</v>
      </c>
      <c r="H901" s="281" t="s">
        <v>199</v>
      </c>
      <c r="I901" s="136"/>
      <c r="J901" s="347" t="s">
        <v>1455</v>
      </c>
      <c r="K901" s="136"/>
      <c r="L901" s="146">
        <v>46181</v>
      </c>
      <c r="M901" s="136"/>
      <c r="N901" s="138" t="s">
        <v>1922</v>
      </c>
      <c r="O901" s="146">
        <v>46181</v>
      </c>
      <c r="P901" s="138">
        <v>0</v>
      </c>
      <c r="Q901" s="138">
        <v>190</v>
      </c>
      <c r="R901" s="138">
        <v>65</v>
      </c>
      <c r="S901" s="138">
        <v>255</v>
      </c>
      <c r="T901" s="138">
        <v>255</v>
      </c>
      <c r="U901" s="136"/>
      <c r="V901" s="136"/>
      <c r="W901" s="148">
        <v>154.35</v>
      </c>
      <c r="X901" s="148">
        <v>154.30000000000001</v>
      </c>
      <c r="Y901" s="391">
        <f>1234800</f>
        <v>1234800</v>
      </c>
      <c r="Z901" s="128"/>
      <c r="AA901" s="390">
        <v>30870</v>
      </c>
      <c r="AB901" s="147">
        <v>30870</v>
      </c>
      <c r="AC901" s="147">
        <v>1296540</v>
      </c>
      <c r="AD901" s="315">
        <f t="shared" si="562"/>
        <v>1295243.46</v>
      </c>
      <c r="AE901" s="147">
        <v>39.89</v>
      </c>
      <c r="AF901" s="147">
        <v>42</v>
      </c>
      <c r="AG901" s="147">
        <v>39.83</v>
      </c>
      <c r="AH901" s="292">
        <v>4.3E-3</v>
      </c>
      <c r="AI901" s="287">
        <v>4.1000000000000002E-2</v>
      </c>
      <c r="AJ901" s="287">
        <v>5.2999999999999999E-2</v>
      </c>
      <c r="AK901" s="318">
        <f t="shared" si="563"/>
        <v>63798.000000000051</v>
      </c>
      <c r="AL901" s="193">
        <f>190*10+65*15</f>
        <v>2875</v>
      </c>
      <c r="AM901" s="319">
        <f>AH901*Y901</f>
        <v>5309.64</v>
      </c>
      <c r="AN901" s="324">
        <v>1018.71</v>
      </c>
      <c r="AO901" s="320">
        <f t="shared" si="564"/>
        <v>400</v>
      </c>
      <c r="AP901" s="193"/>
      <c r="AQ901" s="318">
        <v>0</v>
      </c>
      <c r="AR901" s="318">
        <f t="shared" si="565"/>
        <v>73401.350000000064</v>
      </c>
      <c r="AS901" s="318">
        <f t="shared" si="566"/>
        <v>77071</v>
      </c>
      <c r="AT901" s="321">
        <v>5</v>
      </c>
      <c r="AU901" s="136" t="s">
        <v>1535</v>
      </c>
      <c r="AV901" s="136"/>
      <c r="AW901" s="318">
        <f t="shared" si="580"/>
        <v>15435</v>
      </c>
      <c r="AX901" s="193"/>
      <c r="AY901" s="318">
        <f t="shared" si="581"/>
        <v>15435</v>
      </c>
      <c r="AZ901" s="318">
        <f t="shared" si="582"/>
        <v>15430.000000000002</v>
      </c>
      <c r="BA901" s="318">
        <f t="shared" si="583"/>
        <v>4.999999999998181</v>
      </c>
      <c r="BB901" s="318">
        <f t="shared" si="584"/>
        <v>30.87</v>
      </c>
      <c r="BC901" s="318">
        <v>0</v>
      </c>
      <c r="BD901" s="193"/>
      <c r="BE901" s="138">
        <v>154.35</v>
      </c>
      <c r="BF901" s="321">
        <f t="shared" si="572"/>
        <v>0.23152500000000001</v>
      </c>
      <c r="BG901" s="197">
        <f t="shared" si="573"/>
        <v>154.11847499999999</v>
      </c>
      <c r="BH901" s="321">
        <f t="shared" si="574"/>
        <v>154.30000000000001</v>
      </c>
      <c r="BI901" s="322">
        <f t="shared" si="575"/>
        <v>4.9999999999982947</v>
      </c>
      <c r="BJ901" s="322">
        <v>0</v>
      </c>
      <c r="BK901" s="318">
        <f t="shared" si="576"/>
        <v>4.9999999999982947</v>
      </c>
      <c r="BL901" s="67"/>
      <c r="BM901" s="68" t="str">
        <f t="shared" si="577"/>
        <v>Unloading no. 871 Bill No ST-22 ,Deduction For Oil Deduction= 63798.0000000001 ,Bardana= 2875 ,F.M= 5309.64 Brokerage/Rate Difference 1018.71 ,Shortage = 400 ,Greenish=  ,Moisture= 0</v>
      </c>
      <c r="BN901" s="69"/>
      <c r="BO901" s="70" t="str">
        <f t="shared" si="578"/>
        <v xml:space="preserve"> Party Condition 42  ,F.M% 0.43 ,Greenish 4.1 ,Moisture 5.3 ,Shortage in KG= 5  ,Oil% 39.83</v>
      </c>
      <c r="BP901" s="71">
        <f t="shared" si="579"/>
        <v>7526.8869086195709</v>
      </c>
      <c r="BQ901" s="41"/>
      <c r="BR901" s="41"/>
      <c r="BS901" s="41"/>
      <c r="BT901" s="41"/>
      <c r="BU901" s="41"/>
      <c r="BV901" s="41"/>
      <c r="BW901" s="85"/>
      <c r="BX901" s="27">
        <v>39.89</v>
      </c>
      <c r="BY901" s="27">
        <v>39.83</v>
      </c>
    </row>
    <row r="902" spans="1:77" ht="14.1" hidden="1" customHeight="1" x14ac:dyDescent="0.3">
      <c r="A902" s="138" t="s">
        <v>1539</v>
      </c>
      <c r="B902" s="146">
        <v>46174</v>
      </c>
      <c r="C902" s="138">
        <v>872</v>
      </c>
      <c r="D902" s="135" t="s">
        <v>1869</v>
      </c>
      <c r="E902" s="129">
        <v>46182</v>
      </c>
      <c r="F902" s="138" t="s">
        <v>1144</v>
      </c>
      <c r="G902" s="281" t="s">
        <v>1145</v>
      </c>
      <c r="H902" s="281" t="s">
        <v>1901</v>
      </c>
      <c r="I902" s="136"/>
      <c r="J902" s="347" t="s">
        <v>1455</v>
      </c>
      <c r="K902" s="136"/>
      <c r="L902" s="146">
        <v>46174</v>
      </c>
      <c r="M902" s="136"/>
      <c r="N902" s="138" t="s">
        <v>1923</v>
      </c>
      <c r="O902" s="146">
        <v>46182</v>
      </c>
      <c r="P902" s="138">
        <v>0</v>
      </c>
      <c r="Q902" s="138">
        <v>118</v>
      </c>
      <c r="R902" s="138">
        <v>30</v>
      </c>
      <c r="S902" s="138">
        <v>148</v>
      </c>
      <c r="T902" s="138">
        <v>148</v>
      </c>
      <c r="U902" s="136"/>
      <c r="V902" s="136"/>
      <c r="W902" s="148">
        <v>87.6</v>
      </c>
      <c r="X902" s="148">
        <v>87.6</v>
      </c>
      <c r="Y902" s="391">
        <v>700800</v>
      </c>
      <c r="Z902" s="236">
        <v>38.96</v>
      </c>
      <c r="AA902" s="390">
        <v>17520</v>
      </c>
      <c r="AB902" s="147">
        <v>17520</v>
      </c>
      <c r="AC902" s="147">
        <v>735840</v>
      </c>
      <c r="AD902" s="315">
        <f t="shared" si="562"/>
        <v>735104.16</v>
      </c>
      <c r="AE902" s="147">
        <v>38.96</v>
      </c>
      <c r="AF902" s="147">
        <v>42</v>
      </c>
      <c r="AG902" s="147">
        <v>38.96</v>
      </c>
      <c r="AH902" s="287">
        <v>4.0000000000000001E-3</v>
      </c>
      <c r="AI902" s="287">
        <v>4.3999999999999997E-2</v>
      </c>
      <c r="AJ902" s="287">
        <v>4.5999999999999999E-2</v>
      </c>
      <c r="AK902" s="318">
        <f t="shared" si="563"/>
        <v>50724.57142857142</v>
      </c>
      <c r="AL902" s="193"/>
      <c r="AM902" s="319"/>
      <c r="AN902" s="319"/>
      <c r="AO902" s="320">
        <f t="shared" si="564"/>
        <v>0</v>
      </c>
      <c r="AP902" s="193"/>
      <c r="AQ902" s="318">
        <v>0</v>
      </c>
      <c r="AR902" s="318">
        <f t="shared" si="565"/>
        <v>50724.57142857142</v>
      </c>
      <c r="AS902" s="318">
        <f t="shared" si="566"/>
        <v>53261</v>
      </c>
      <c r="AT902" s="321">
        <v>0</v>
      </c>
      <c r="AU902" s="136"/>
      <c r="AV902" s="136"/>
      <c r="AW902" s="318">
        <f t="shared" si="580"/>
        <v>8760</v>
      </c>
      <c r="AX902" s="193"/>
      <c r="AY902" s="318">
        <f t="shared" si="581"/>
        <v>8760</v>
      </c>
      <c r="AZ902" s="318">
        <f t="shared" si="582"/>
        <v>8760</v>
      </c>
      <c r="BA902" s="318">
        <f t="shared" si="583"/>
        <v>0</v>
      </c>
      <c r="BB902" s="318">
        <f t="shared" si="584"/>
        <v>17.52</v>
      </c>
      <c r="BC902" s="318">
        <v>0</v>
      </c>
      <c r="BD902" s="193"/>
      <c r="BE902" s="138">
        <v>87.6</v>
      </c>
      <c r="BF902" s="321">
        <f t="shared" si="572"/>
        <v>0.13139999999999999</v>
      </c>
      <c r="BG902" s="197">
        <f t="shared" si="573"/>
        <v>87.468599999999995</v>
      </c>
      <c r="BH902" s="321">
        <f t="shared" si="574"/>
        <v>87.6</v>
      </c>
      <c r="BI902" s="322">
        <f t="shared" si="575"/>
        <v>0</v>
      </c>
      <c r="BJ902" s="322">
        <v>0</v>
      </c>
      <c r="BK902" s="318">
        <f t="shared" si="576"/>
        <v>0</v>
      </c>
      <c r="BL902" s="67"/>
      <c r="BM902" s="68" t="str">
        <f t="shared" si="577"/>
        <v>Unloading no. 872 Bill No 2026-27/216 ,Deduction For Oil Deduction= 50724.5714285714 ,Bardana=  ,F.M=  Brokerage/Rate Difference  ,Shortage = 0 ,Greenish=  ,Moisture= 0</v>
      </c>
      <c r="BN902" s="69"/>
      <c r="BO902" s="70" t="str">
        <f t="shared" si="578"/>
        <v xml:space="preserve"> Party Condition 42  ,F.M% 0.4 ,Greenish 4.4 ,Moisture 4.6 ,Shortage in KG= 0  ,Oil% 38.96</v>
      </c>
      <c r="BP902" s="71">
        <f t="shared" si="579"/>
        <v>7420.9523809523826</v>
      </c>
      <c r="BQ902" s="41"/>
      <c r="BR902" s="41"/>
      <c r="BS902" s="41"/>
      <c r="BT902" s="41"/>
      <c r="BU902" s="41"/>
      <c r="BV902" s="41"/>
      <c r="BW902" s="85"/>
      <c r="BX902" s="27">
        <v>39.08</v>
      </c>
      <c r="BY902" s="27">
        <v>38.97</v>
      </c>
    </row>
    <row r="903" spans="1:77" ht="14.1" hidden="1" customHeight="1" x14ac:dyDescent="0.3">
      <c r="A903" s="138" t="s">
        <v>1539</v>
      </c>
      <c r="B903" s="146">
        <v>46174</v>
      </c>
      <c r="C903" s="138">
        <v>873</v>
      </c>
      <c r="D903" s="135" t="s">
        <v>1870</v>
      </c>
      <c r="E903" s="129">
        <v>46182</v>
      </c>
      <c r="F903" s="138" t="s">
        <v>1144</v>
      </c>
      <c r="G903" s="281" t="s">
        <v>1145</v>
      </c>
      <c r="H903" s="281" t="s">
        <v>1901</v>
      </c>
      <c r="I903" s="136"/>
      <c r="J903" s="347" t="s">
        <v>1455</v>
      </c>
      <c r="K903" s="136"/>
      <c r="L903" s="146">
        <v>46174</v>
      </c>
      <c r="M903" s="136"/>
      <c r="N903" s="138" t="s">
        <v>1924</v>
      </c>
      <c r="O903" s="146">
        <v>46182</v>
      </c>
      <c r="P903" s="138">
        <v>0</v>
      </c>
      <c r="Q903" s="138">
        <v>80</v>
      </c>
      <c r="R903" s="138">
        <v>64</v>
      </c>
      <c r="S903" s="138">
        <v>144</v>
      </c>
      <c r="T903" s="138">
        <v>144</v>
      </c>
      <c r="U903" s="136"/>
      <c r="V903" s="136"/>
      <c r="W903" s="148">
        <v>83.5</v>
      </c>
      <c r="X903" s="148">
        <v>83.5</v>
      </c>
      <c r="Y903" s="391">
        <v>668000</v>
      </c>
      <c r="Z903" s="236">
        <v>38.97</v>
      </c>
      <c r="AA903" s="390">
        <v>16700</v>
      </c>
      <c r="AB903" s="147">
        <v>16700</v>
      </c>
      <c r="AC903" s="147">
        <v>701400</v>
      </c>
      <c r="AD903" s="315">
        <f t="shared" si="562"/>
        <v>700698.6</v>
      </c>
      <c r="AE903" s="147">
        <v>38.97</v>
      </c>
      <c r="AF903" s="147">
        <v>42</v>
      </c>
      <c r="AG903" s="147">
        <v>38.97</v>
      </c>
      <c r="AH903" s="287">
        <v>4.1999999999999997E-3</v>
      </c>
      <c r="AI903" s="287">
        <v>4.2999999999999997E-2</v>
      </c>
      <c r="AJ903" s="287">
        <v>4.4999999999999998E-2</v>
      </c>
      <c r="AK903" s="318">
        <f t="shared" si="563"/>
        <v>48191.428571428594</v>
      </c>
      <c r="AL903" s="193"/>
      <c r="AM903" s="319"/>
      <c r="AN903" s="319"/>
      <c r="AO903" s="320">
        <f t="shared" si="564"/>
        <v>0</v>
      </c>
      <c r="AP903" s="193"/>
      <c r="AQ903" s="318">
        <v>0</v>
      </c>
      <c r="AR903" s="318">
        <f t="shared" si="565"/>
        <v>48191.428571428594</v>
      </c>
      <c r="AS903" s="318">
        <f t="shared" si="566"/>
        <v>50601</v>
      </c>
      <c r="AT903" s="321">
        <v>0</v>
      </c>
      <c r="AU903" s="136"/>
      <c r="AV903" s="136"/>
      <c r="AW903" s="318">
        <f t="shared" si="580"/>
        <v>8350</v>
      </c>
      <c r="AX903" s="193"/>
      <c r="AY903" s="318">
        <f t="shared" si="581"/>
        <v>8350</v>
      </c>
      <c r="AZ903" s="318">
        <f t="shared" si="582"/>
        <v>8350</v>
      </c>
      <c r="BA903" s="318">
        <f t="shared" si="583"/>
        <v>0</v>
      </c>
      <c r="BB903" s="318">
        <f t="shared" si="584"/>
        <v>16.7</v>
      </c>
      <c r="BC903" s="318">
        <v>0</v>
      </c>
      <c r="BD903" s="193"/>
      <c r="BE903" s="138">
        <v>83.5</v>
      </c>
      <c r="BF903" s="321">
        <f t="shared" si="572"/>
        <v>0.12525</v>
      </c>
      <c r="BG903" s="197">
        <f t="shared" si="573"/>
        <v>83.374750000000006</v>
      </c>
      <c r="BH903" s="321">
        <f t="shared" si="574"/>
        <v>83.5</v>
      </c>
      <c r="BI903" s="322">
        <f t="shared" si="575"/>
        <v>0</v>
      </c>
      <c r="BJ903" s="322">
        <v>0</v>
      </c>
      <c r="BK903" s="318">
        <f t="shared" si="576"/>
        <v>0</v>
      </c>
      <c r="BL903" s="67"/>
      <c r="BM903" s="68" t="str">
        <f t="shared" si="577"/>
        <v>Unloading no. 873 Bill No 2026-27/217 ,Deduction For Oil Deduction= 48191.4285714286 ,Bardana=  ,F.M=  Brokerage/Rate Difference  ,Shortage = 0 ,Greenish=  ,Moisture= 0</v>
      </c>
      <c r="BN903" s="69"/>
      <c r="BO903" s="70" t="str">
        <f t="shared" si="578"/>
        <v xml:space="preserve"> Party Condition 42  ,F.M% 0.42 ,Greenish 4.3 ,Moisture 4.5 ,Shortage in KG= 0  ,Oil% 38.97</v>
      </c>
      <c r="BP903" s="71">
        <f t="shared" si="579"/>
        <v>7422.8571428571422</v>
      </c>
      <c r="BQ903" s="41"/>
      <c r="BR903" s="41"/>
      <c r="BS903" s="41"/>
      <c r="BT903" s="41"/>
      <c r="BU903" s="41"/>
      <c r="BV903" s="41"/>
      <c r="BW903" s="85"/>
      <c r="BX903" s="27">
        <v>38.840000000000003</v>
      </c>
      <c r="BY903" s="27">
        <v>38.69</v>
      </c>
    </row>
    <row r="904" spans="1:77" ht="14.1" hidden="1" customHeight="1" x14ac:dyDescent="0.3">
      <c r="A904" s="138" t="s">
        <v>1740</v>
      </c>
      <c r="B904" s="146">
        <v>46177</v>
      </c>
      <c r="C904" s="138">
        <v>874</v>
      </c>
      <c r="D904" s="135" t="s">
        <v>1871</v>
      </c>
      <c r="E904" s="129">
        <v>46182</v>
      </c>
      <c r="F904" s="138" t="s">
        <v>1689</v>
      </c>
      <c r="G904" s="281" t="s">
        <v>1690</v>
      </c>
      <c r="H904" s="281" t="s">
        <v>1511</v>
      </c>
      <c r="I904" s="136"/>
      <c r="J904" s="347" t="s">
        <v>1455</v>
      </c>
      <c r="K904" s="136"/>
      <c r="L904" s="146">
        <v>46177</v>
      </c>
      <c r="M904" s="136"/>
      <c r="N904" s="138" t="s">
        <v>1925</v>
      </c>
      <c r="O904" s="146">
        <v>46181</v>
      </c>
      <c r="P904" s="138">
        <v>0</v>
      </c>
      <c r="Q904" s="138">
        <v>400</v>
      </c>
      <c r="R904" s="138">
        <v>155</v>
      </c>
      <c r="S904" s="138">
        <v>555</v>
      </c>
      <c r="T904" s="138">
        <v>555</v>
      </c>
      <c r="U904" s="136"/>
      <c r="V904" s="136"/>
      <c r="W904" s="148">
        <v>319.60000000000002</v>
      </c>
      <c r="X904" s="148">
        <v>319</v>
      </c>
      <c r="Y904" s="391">
        <v>2572780</v>
      </c>
      <c r="Z904" s="169"/>
      <c r="AA904" s="390">
        <v>64319.5</v>
      </c>
      <c r="AB904" s="147">
        <v>64319.5</v>
      </c>
      <c r="AC904" s="147">
        <v>2701419</v>
      </c>
      <c r="AD904" s="315">
        <f t="shared" si="562"/>
        <v>2698717.5809999998</v>
      </c>
      <c r="AE904" s="147">
        <v>41</v>
      </c>
      <c r="AF904" s="147">
        <v>42</v>
      </c>
      <c r="AG904" s="147">
        <v>40.76</v>
      </c>
      <c r="AH904" s="292">
        <v>3.8E-3</v>
      </c>
      <c r="AI904" s="287">
        <v>0.04</v>
      </c>
      <c r="AJ904" s="287">
        <v>4.8000000000000001E-2</v>
      </c>
      <c r="AK904" s="318">
        <f t="shared" si="563"/>
        <v>75958.266666666779</v>
      </c>
      <c r="AL904" s="193">
        <f>400*10+155*15</f>
        <v>6325</v>
      </c>
      <c r="AM904" s="319">
        <f>AH904*Y904</f>
        <v>9776.5640000000003</v>
      </c>
      <c r="AN904" s="393">
        <f>W904*50</f>
        <v>15980.000000000002</v>
      </c>
      <c r="AO904" s="320">
        <f t="shared" si="564"/>
        <v>4829.9999999999991</v>
      </c>
      <c r="AP904" s="193"/>
      <c r="AQ904" s="318">
        <v>0</v>
      </c>
      <c r="AR904" s="318">
        <f t="shared" si="565"/>
        <v>112869.83066666678</v>
      </c>
      <c r="AS904" s="318">
        <f t="shared" si="566"/>
        <v>118513</v>
      </c>
      <c r="AT904" s="321">
        <v>60</v>
      </c>
      <c r="AU904" s="136" t="s">
        <v>1959</v>
      </c>
      <c r="AV904" s="136"/>
      <c r="AW904" s="318">
        <f t="shared" si="580"/>
        <v>31960.000000000004</v>
      </c>
      <c r="AX904" s="193"/>
      <c r="AY904" s="318">
        <f t="shared" si="581"/>
        <v>31960.000000000004</v>
      </c>
      <c r="AZ904" s="318">
        <f t="shared" si="582"/>
        <v>31900</v>
      </c>
      <c r="BA904" s="318">
        <f t="shared" si="583"/>
        <v>60.000000000003638</v>
      </c>
      <c r="BB904" s="318">
        <f t="shared" si="584"/>
        <v>63.920000000000009</v>
      </c>
      <c r="BC904" s="318">
        <v>0</v>
      </c>
      <c r="BD904" s="193"/>
      <c r="BE904" s="138">
        <v>319.60000000000002</v>
      </c>
      <c r="BF904" s="321">
        <f t="shared" si="572"/>
        <v>0.47940000000000005</v>
      </c>
      <c r="BG904" s="197">
        <f t="shared" si="573"/>
        <v>319.12060000000002</v>
      </c>
      <c r="BH904" s="321">
        <f t="shared" si="574"/>
        <v>319</v>
      </c>
      <c r="BI904" s="322">
        <f t="shared" si="575"/>
        <v>60.000000000002274</v>
      </c>
      <c r="BJ904" s="322">
        <v>0</v>
      </c>
      <c r="BK904" s="318">
        <f t="shared" si="576"/>
        <v>60.000000000002274</v>
      </c>
      <c r="BL904" s="67"/>
      <c r="BM904" s="68" t="str">
        <f t="shared" si="577"/>
        <v>Unloading no. 874 Bill No GST24 ,Deduction For Oil Deduction= 75958.2666666668 ,Bardana= 6325 ,F.M= 9776.564 Brokerage/Rate Difference 15980 ,Shortage = 4830 ,Greenish=  ,Moisture= 0</v>
      </c>
      <c r="BN904" s="69"/>
      <c r="BO904" s="70" t="str">
        <f t="shared" si="578"/>
        <v xml:space="preserve"> Party Condition 42  ,F.M% 0.38 ,Greenish 4 ,Moisture 4.8 ,Shortage in KG= 60  ,Oil% 40.76</v>
      </c>
      <c r="BP904" s="71">
        <f t="shared" si="579"/>
        <v>7711.3171452455581</v>
      </c>
      <c r="BQ904" s="41"/>
      <c r="BR904" s="41"/>
      <c r="BS904" s="41"/>
      <c r="BT904" s="41"/>
      <c r="BU904" s="41"/>
      <c r="BV904" s="41"/>
      <c r="BW904" s="85"/>
      <c r="BX904" s="27">
        <v>41</v>
      </c>
      <c r="BY904" s="27">
        <v>40.76</v>
      </c>
    </row>
    <row r="905" spans="1:77" ht="14.1" hidden="1" customHeight="1" x14ac:dyDescent="0.3">
      <c r="A905" s="138" t="s">
        <v>1539</v>
      </c>
      <c r="B905" s="146">
        <v>46174</v>
      </c>
      <c r="C905" s="138">
        <v>875</v>
      </c>
      <c r="D905" s="135" t="s">
        <v>1872</v>
      </c>
      <c r="E905" s="129">
        <v>46182</v>
      </c>
      <c r="F905" s="138" t="s">
        <v>1144</v>
      </c>
      <c r="G905" s="281" t="s">
        <v>1145</v>
      </c>
      <c r="H905" s="281" t="s">
        <v>1901</v>
      </c>
      <c r="I905" s="136"/>
      <c r="J905" s="347" t="s">
        <v>1455</v>
      </c>
      <c r="K905" s="136"/>
      <c r="L905" s="146">
        <v>46174</v>
      </c>
      <c r="M905" s="136"/>
      <c r="N905" s="138" t="s">
        <v>1926</v>
      </c>
      <c r="O905" s="146">
        <v>46182</v>
      </c>
      <c r="P905" s="138">
        <v>0</v>
      </c>
      <c r="Q905" s="138">
        <v>120</v>
      </c>
      <c r="R905" s="138">
        <v>24</v>
      </c>
      <c r="S905" s="138">
        <v>144</v>
      </c>
      <c r="T905" s="138">
        <v>144</v>
      </c>
      <c r="U905" s="136"/>
      <c r="V905" s="136"/>
      <c r="W905" s="148">
        <v>82</v>
      </c>
      <c r="X905" s="148">
        <v>82</v>
      </c>
      <c r="Y905" s="391">
        <v>656000</v>
      </c>
      <c r="Z905" s="236">
        <v>39.03</v>
      </c>
      <c r="AA905" s="390">
        <v>16400</v>
      </c>
      <c r="AB905" s="147">
        <v>16400</v>
      </c>
      <c r="AC905" s="147">
        <v>688800</v>
      </c>
      <c r="AD905" s="315">
        <f t="shared" si="562"/>
        <v>688111.2</v>
      </c>
      <c r="AE905" s="147">
        <v>39.03</v>
      </c>
      <c r="AF905" s="147">
        <v>42</v>
      </c>
      <c r="AG905" s="147">
        <v>39.03</v>
      </c>
      <c r="AH905" s="287">
        <v>3.8E-3</v>
      </c>
      <c r="AI905" s="287">
        <v>4.3999999999999997E-2</v>
      </c>
      <c r="AJ905" s="287">
        <v>4.7E-2</v>
      </c>
      <c r="AK905" s="318">
        <f t="shared" si="563"/>
        <v>46388.571428571413</v>
      </c>
      <c r="AL905" s="193"/>
      <c r="AM905" s="319"/>
      <c r="AN905" s="319"/>
      <c r="AO905" s="320">
        <f t="shared" si="564"/>
        <v>0</v>
      </c>
      <c r="AP905" s="193"/>
      <c r="AQ905" s="318">
        <v>0</v>
      </c>
      <c r="AR905" s="318">
        <f t="shared" si="565"/>
        <v>46388.571428571413</v>
      </c>
      <c r="AS905" s="318">
        <f t="shared" si="566"/>
        <v>48708</v>
      </c>
      <c r="AT905" s="321">
        <v>0</v>
      </c>
      <c r="AU905" s="136"/>
      <c r="AV905" s="136"/>
      <c r="AW905" s="318">
        <f t="shared" si="580"/>
        <v>8200</v>
      </c>
      <c r="AX905" s="193"/>
      <c r="AY905" s="318">
        <f t="shared" si="581"/>
        <v>8200</v>
      </c>
      <c r="AZ905" s="318">
        <f t="shared" si="582"/>
        <v>8200</v>
      </c>
      <c r="BA905" s="318">
        <f t="shared" si="583"/>
        <v>0</v>
      </c>
      <c r="BB905" s="318">
        <f t="shared" si="584"/>
        <v>16.399999999999999</v>
      </c>
      <c r="BC905" s="318">
        <v>0</v>
      </c>
      <c r="BD905" s="193"/>
      <c r="BE905" s="138">
        <v>82</v>
      </c>
      <c r="BF905" s="321">
        <f t="shared" si="572"/>
        <v>0.12299999999999998</v>
      </c>
      <c r="BG905" s="197">
        <f t="shared" si="573"/>
        <v>81.876999999999995</v>
      </c>
      <c r="BH905" s="321">
        <f t="shared" si="574"/>
        <v>82</v>
      </c>
      <c r="BI905" s="322">
        <f t="shared" si="575"/>
        <v>0</v>
      </c>
      <c r="BJ905" s="322">
        <v>0</v>
      </c>
      <c r="BK905" s="318">
        <f t="shared" si="576"/>
        <v>0</v>
      </c>
      <c r="BL905" s="67"/>
      <c r="BM905" s="68" t="str">
        <f t="shared" si="577"/>
        <v>Unloading no. 875 Bill No 2026-27/218 ,Deduction For Oil Deduction= 46388.5714285714 ,Bardana=  ,F.M=  Brokerage/Rate Difference  ,Shortage = 0 ,Greenish=  ,Moisture= 0</v>
      </c>
      <c r="BN905" s="69"/>
      <c r="BO905" s="70" t="str">
        <f t="shared" si="578"/>
        <v xml:space="preserve"> Party Condition 42  ,F.M% 0.38 ,Greenish 4.4 ,Moisture 4.7 ,Shortage in KG= 0  ,Oil% 39.03</v>
      </c>
      <c r="BP905" s="71">
        <f t="shared" si="579"/>
        <v>7434.2857142857147</v>
      </c>
      <c r="BQ905" s="41"/>
      <c r="BR905" s="41"/>
      <c r="BS905" s="41"/>
      <c r="BT905" s="41"/>
      <c r="BU905" s="41"/>
      <c r="BV905" s="41"/>
      <c r="BW905" s="85"/>
      <c r="BX905" s="27">
        <v>38.82</v>
      </c>
      <c r="BY905" s="27">
        <v>38.82</v>
      </c>
    </row>
    <row r="906" spans="1:77" ht="14.1" hidden="1" customHeight="1" x14ac:dyDescent="0.3">
      <c r="A906" s="138" t="s">
        <v>1539</v>
      </c>
      <c r="B906" s="146">
        <v>46174</v>
      </c>
      <c r="C906" s="138">
        <v>876</v>
      </c>
      <c r="D906" s="135" t="s">
        <v>1873</v>
      </c>
      <c r="E906" s="129">
        <v>46182</v>
      </c>
      <c r="F906" s="138" t="s">
        <v>1144</v>
      </c>
      <c r="G906" s="281" t="s">
        <v>1145</v>
      </c>
      <c r="H906" s="281" t="s">
        <v>1901</v>
      </c>
      <c r="I906" s="136"/>
      <c r="J906" s="347" t="s">
        <v>1455</v>
      </c>
      <c r="K906" s="136"/>
      <c r="L906" s="146">
        <v>46174</v>
      </c>
      <c r="M906" s="136"/>
      <c r="N906" s="138" t="s">
        <v>1927</v>
      </c>
      <c r="O906" s="146">
        <v>46182</v>
      </c>
      <c r="P906" s="138">
        <v>0</v>
      </c>
      <c r="Q906" s="138">
        <v>100</v>
      </c>
      <c r="R906" s="138">
        <v>50</v>
      </c>
      <c r="S906" s="138">
        <v>150</v>
      </c>
      <c r="T906" s="138">
        <v>150</v>
      </c>
      <c r="U906" s="136"/>
      <c r="V906" s="136"/>
      <c r="W906" s="148">
        <v>89</v>
      </c>
      <c r="X906" s="148">
        <v>88.9</v>
      </c>
      <c r="Y906" s="391">
        <v>712000</v>
      </c>
      <c r="Z906" s="236">
        <v>39.33</v>
      </c>
      <c r="AA906" s="390">
        <v>17800</v>
      </c>
      <c r="AB906" s="147">
        <v>17800</v>
      </c>
      <c r="AC906" s="147">
        <v>747600</v>
      </c>
      <c r="AD906" s="315">
        <f t="shared" si="562"/>
        <v>746852.4</v>
      </c>
      <c r="AE906" s="147">
        <v>39.33</v>
      </c>
      <c r="AF906" s="147">
        <v>42</v>
      </c>
      <c r="AG906" s="147">
        <v>39.33</v>
      </c>
      <c r="AH906" s="287">
        <v>3.0000000000000001E-3</v>
      </c>
      <c r="AI906" s="287">
        <v>4.5999999999999999E-2</v>
      </c>
      <c r="AJ906" s="287">
        <v>4.2999999999999997E-2</v>
      </c>
      <c r="AK906" s="318">
        <f t="shared" si="563"/>
        <v>45262.857142857174</v>
      </c>
      <c r="AL906" s="193"/>
      <c r="AM906" s="319"/>
      <c r="AN906" s="319"/>
      <c r="AO906" s="320">
        <f t="shared" si="564"/>
        <v>0</v>
      </c>
      <c r="AP906" s="193"/>
      <c r="AQ906" s="318">
        <v>0</v>
      </c>
      <c r="AR906" s="318">
        <f t="shared" si="565"/>
        <v>45262.857142857174</v>
      </c>
      <c r="AS906" s="318">
        <f t="shared" si="566"/>
        <v>47526</v>
      </c>
      <c r="AT906" s="321">
        <v>0</v>
      </c>
      <c r="AU906" s="136"/>
      <c r="AV906" s="136"/>
      <c r="AW906" s="318">
        <f t="shared" si="580"/>
        <v>8900</v>
      </c>
      <c r="AX906" s="193"/>
      <c r="AY906" s="318">
        <f t="shared" si="581"/>
        <v>8900</v>
      </c>
      <c r="AZ906" s="318">
        <f t="shared" si="582"/>
        <v>8890</v>
      </c>
      <c r="BA906" s="318">
        <f t="shared" si="583"/>
        <v>10</v>
      </c>
      <c r="BB906" s="318">
        <f t="shared" si="584"/>
        <v>17.8</v>
      </c>
      <c r="BC906" s="318">
        <v>0</v>
      </c>
      <c r="BD906" s="193"/>
      <c r="BE906" s="138">
        <v>89</v>
      </c>
      <c r="BF906" s="321">
        <f t="shared" si="572"/>
        <v>0.13350000000000001</v>
      </c>
      <c r="BG906" s="197">
        <f t="shared" si="573"/>
        <v>88.866500000000002</v>
      </c>
      <c r="BH906" s="321">
        <f t="shared" si="574"/>
        <v>88.9</v>
      </c>
      <c r="BI906" s="322">
        <f t="shared" si="575"/>
        <v>9.9999999999994316</v>
      </c>
      <c r="BJ906" s="322">
        <v>0</v>
      </c>
      <c r="BK906" s="318">
        <f t="shared" si="576"/>
        <v>9.9999999999994316</v>
      </c>
      <c r="BL906" s="67"/>
      <c r="BM906" s="68" t="str">
        <f t="shared" si="577"/>
        <v>Unloading no. 876 Bill No 2026-27/219 ,Deduction For Oil Deduction= 45262.8571428572 ,Bardana=  ,F.M=  Brokerage/Rate Difference  ,Shortage = 0 ,Greenish=  ,Moisture= 0</v>
      </c>
      <c r="BN906" s="69"/>
      <c r="BO906" s="70" t="str">
        <f t="shared" si="578"/>
        <v xml:space="preserve"> Party Condition 42  ,F.M% 0.3 ,Greenish 4.6 ,Moisture 4.3 ,Shortage in KG= 0  ,Oil% 39.33</v>
      </c>
      <c r="BP906" s="71">
        <f t="shared" si="579"/>
        <v>7499.8553752209536</v>
      </c>
      <c r="BQ906" s="41"/>
      <c r="BR906" s="41"/>
      <c r="BS906" s="41"/>
      <c r="BT906" s="41"/>
      <c r="BU906" s="41"/>
      <c r="BV906" s="41"/>
      <c r="BW906" s="85"/>
      <c r="BX906" s="27">
        <v>39.01</v>
      </c>
      <c r="BY906" s="27">
        <v>38.97</v>
      </c>
    </row>
    <row r="907" spans="1:77" ht="14.1" hidden="1" customHeight="1" x14ac:dyDescent="0.3">
      <c r="A907" s="138" t="s">
        <v>1539</v>
      </c>
      <c r="B907" s="146">
        <v>46174</v>
      </c>
      <c r="C907" s="138">
        <v>877</v>
      </c>
      <c r="D907" s="135" t="s">
        <v>1874</v>
      </c>
      <c r="E907" s="129">
        <v>46182</v>
      </c>
      <c r="F907" s="138" t="s">
        <v>1144</v>
      </c>
      <c r="G907" s="281" t="s">
        <v>1145</v>
      </c>
      <c r="H907" s="281" t="s">
        <v>1901</v>
      </c>
      <c r="I907" s="136"/>
      <c r="J907" s="347" t="s">
        <v>1455</v>
      </c>
      <c r="K907" s="136"/>
      <c r="L907" s="146">
        <v>46174</v>
      </c>
      <c r="M907" s="136"/>
      <c r="N907" s="138" t="s">
        <v>1928</v>
      </c>
      <c r="O907" s="146">
        <v>46182</v>
      </c>
      <c r="P907" s="138">
        <v>0</v>
      </c>
      <c r="Q907" s="138">
        <v>110</v>
      </c>
      <c r="R907" s="138">
        <v>40</v>
      </c>
      <c r="S907" s="138">
        <v>150</v>
      </c>
      <c r="T907" s="138">
        <v>150</v>
      </c>
      <c r="U907" s="136"/>
      <c r="V907" s="136"/>
      <c r="W907" s="148">
        <v>89.1</v>
      </c>
      <c r="X907" s="148">
        <v>89.2</v>
      </c>
      <c r="Y907" s="148">
        <v>712800</v>
      </c>
      <c r="Z907" s="236">
        <v>39.56</v>
      </c>
      <c r="AA907" s="147">
        <v>17820</v>
      </c>
      <c r="AB907" s="147">
        <v>17820</v>
      </c>
      <c r="AC907" s="147">
        <v>748440</v>
      </c>
      <c r="AD907" s="315">
        <f t="shared" si="562"/>
        <v>747691.56</v>
      </c>
      <c r="AE907" s="147">
        <v>39.56</v>
      </c>
      <c r="AF907" s="147">
        <v>42</v>
      </c>
      <c r="AG907" s="147">
        <v>39.56</v>
      </c>
      <c r="AH907" s="287">
        <v>3.5000000000000001E-3</v>
      </c>
      <c r="AI907" s="287">
        <v>4.8000000000000001E-2</v>
      </c>
      <c r="AJ907" s="287">
        <v>0.05</v>
      </c>
      <c r="AK907" s="318">
        <f t="shared" si="563"/>
        <v>41410.285714285674</v>
      </c>
      <c r="AL907" s="193"/>
      <c r="AM907" s="319"/>
      <c r="AN907" s="319"/>
      <c r="AO907" s="320">
        <f t="shared" si="564"/>
        <v>0</v>
      </c>
      <c r="AP907" s="193"/>
      <c r="AQ907" s="318">
        <v>0</v>
      </c>
      <c r="AR907" s="318">
        <f t="shared" si="565"/>
        <v>41410.285714285674</v>
      </c>
      <c r="AS907" s="318">
        <f t="shared" si="566"/>
        <v>43481</v>
      </c>
      <c r="AT907" s="321">
        <v>0</v>
      </c>
      <c r="AU907" s="136"/>
      <c r="AV907" s="136"/>
      <c r="AW907" s="318">
        <f t="shared" si="580"/>
        <v>8910</v>
      </c>
      <c r="AX907" s="193"/>
      <c r="AY907" s="318">
        <f t="shared" si="581"/>
        <v>8910</v>
      </c>
      <c r="AZ907" s="318">
        <f t="shared" si="582"/>
        <v>8920</v>
      </c>
      <c r="BA907" s="318">
        <f t="shared" si="583"/>
        <v>-10</v>
      </c>
      <c r="BB907" s="318">
        <f t="shared" si="584"/>
        <v>17.82</v>
      </c>
      <c r="BC907" s="318">
        <v>0</v>
      </c>
      <c r="BD907" s="193"/>
      <c r="BE907" s="138">
        <v>89.1</v>
      </c>
      <c r="BF907" s="321">
        <f t="shared" si="572"/>
        <v>0.13364999999999999</v>
      </c>
      <c r="BG907" s="197">
        <f t="shared" si="573"/>
        <v>88.966349999999991</v>
      </c>
      <c r="BH907" s="321">
        <f t="shared" si="574"/>
        <v>89.2</v>
      </c>
      <c r="BI907" s="322">
        <f t="shared" si="575"/>
        <v>-10.000000000000853</v>
      </c>
      <c r="BJ907" s="322">
        <v>0</v>
      </c>
      <c r="BK907" s="318">
        <f t="shared" si="576"/>
        <v>-10.000000000000853</v>
      </c>
      <c r="BL907" s="67"/>
      <c r="BM907" s="68" t="str">
        <f t="shared" si="577"/>
        <v>Unloading no. 877 Bill No 2026-27/220 ,Deduction For Oil Deduction= 41410.2857142857 ,Bardana=  ,F.M=  Brokerage/Rate Difference  ,Shortage = 0 ,Greenish=  ,Moisture= 0</v>
      </c>
      <c r="BN907" s="69"/>
      <c r="BO907" s="70" t="str">
        <f t="shared" si="578"/>
        <v xml:space="preserve"> Party Condition 42  ,F.M% 0.35 ,Greenish 4.8 ,Moisture 5 ,Shortage in KG= 0  ,Oil% 39.56</v>
      </c>
      <c r="BP907" s="71">
        <f t="shared" si="579"/>
        <v>7526.7905188981422</v>
      </c>
      <c r="BQ907" s="41"/>
      <c r="BR907" s="41"/>
      <c r="BS907" s="41"/>
      <c r="BT907" s="41"/>
      <c r="BU907" s="41"/>
      <c r="BV907" s="41"/>
      <c r="BW907" s="85"/>
      <c r="BX907" s="27">
        <v>39.28</v>
      </c>
      <c r="BY907" s="27">
        <v>39.14</v>
      </c>
    </row>
    <row r="908" spans="1:77" ht="14.1" hidden="1" customHeight="1" x14ac:dyDescent="0.3">
      <c r="A908" s="138" t="s">
        <v>1539</v>
      </c>
      <c r="B908" s="146">
        <v>46174</v>
      </c>
      <c r="C908" s="138">
        <v>878</v>
      </c>
      <c r="D908" s="135" t="s">
        <v>1875</v>
      </c>
      <c r="E908" s="129">
        <v>46182</v>
      </c>
      <c r="F908" s="138" t="s">
        <v>1144</v>
      </c>
      <c r="G908" s="281" t="s">
        <v>1145</v>
      </c>
      <c r="H908" s="281" t="s">
        <v>1901</v>
      </c>
      <c r="I908" s="136"/>
      <c r="J908" s="347" t="s">
        <v>1455</v>
      </c>
      <c r="K908" s="136"/>
      <c r="L908" s="146">
        <v>46174</v>
      </c>
      <c r="M908" s="136"/>
      <c r="N908" s="138" t="s">
        <v>1929</v>
      </c>
      <c r="O908" s="146">
        <v>46182</v>
      </c>
      <c r="P908" s="138">
        <v>0</v>
      </c>
      <c r="Q908" s="138">
        <v>115</v>
      </c>
      <c r="R908" s="138">
        <v>35</v>
      </c>
      <c r="S908" s="138">
        <v>150</v>
      </c>
      <c r="T908" s="138">
        <v>150</v>
      </c>
      <c r="U908" s="136"/>
      <c r="V908" s="136"/>
      <c r="W908" s="148">
        <v>89.6</v>
      </c>
      <c r="X908" s="148">
        <v>89.7</v>
      </c>
      <c r="Y908" s="148">
        <v>716800</v>
      </c>
      <c r="Z908" s="236">
        <v>39.51</v>
      </c>
      <c r="AA908" s="147">
        <v>17920</v>
      </c>
      <c r="AB908" s="147">
        <v>17920</v>
      </c>
      <c r="AC908" s="147">
        <v>752640</v>
      </c>
      <c r="AD908" s="315">
        <f t="shared" si="562"/>
        <v>751887.35999999999</v>
      </c>
      <c r="AE908" s="147">
        <v>39.51</v>
      </c>
      <c r="AF908" s="147">
        <v>42</v>
      </c>
      <c r="AG908" s="147">
        <v>39.51</v>
      </c>
      <c r="AH908" s="287">
        <v>4.5999999999999999E-3</v>
      </c>
      <c r="AI908" s="287">
        <v>4.4499999999999998E-2</v>
      </c>
      <c r="AJ908" s="287">
        <v>4.3999999999999997E-2</v>
      </c>
      <c r="AK908" s="318">
        <f t="shared" si="563"/>
        <v>42496.000000000029</v>
      </c>
      <c r="AL908" s="193"/>
      <c r="AM908" s="319"/>
      <c r="AN908" s="319"/>
      <c r="AO908" s="320">
        <f t="shared" si="564"/>
        <v>0</v>
      </c>
      <c r="AP908" s="193"/>
      <c r="AQ908" s="318">
        <v>0</v>
      </c>
      <c r="AR908" s="318">
        <f t="shared" si="565"/>
        <v>42496.000000000029</v>
      </c>
      <c r="AS908" s="318">
        <f t="shared" si="566"/>
        <v>44621</v>
      </c>
      <c r="AT908" s="321">
        <v>0</v>
      </c>
      <c r="AU908" s="136"/>
      <c r="AV908" s="136"/>
      <c r="AW908" s="318">
        <f t="shared" si="580"/>
        <v>8960</v>
      </c>
      <c r="AX908" s="193"/>
      <c r="AY908" s="318">
        <f t="shared" si="581"/>
        <v>8960</v>
      </c>
      <c r="AZ908" s="318">
        <f t="shared" si="582"/>
        <v>8970</v>
      </c>
      <c r="BA908" s="318">
        <f t="shared" si="583"/>
        <v>-10</v>
      </c>
      <c r="BB908" s="318">
        <f t="shared" si="584"/>
        <v>17.920000000000002</v>
      </c>
      <c r="BC908" s="318">
        <v>0</v>
      </c>
      <c r="BD908" s="193"/>
      <c r="BE908" s="138">
        <v>89.6</v>
      </c>
      <c r="BF908" s="321">
        <f t="shared" si="572"/>
        <v>0.13439999999999999</v>
      </c>
      <c r="BG908" s="197">
        <f t="shared" si="573"/>
        <v>89.465599999999995</v>
      </c>
      <c r="BH908" s="321">
        <f t="shared" si="574"/>
        <v>89.7</v>
      </c>
      <c r="BI908" s="322">
        <f t="shared" si="575"/>
        <v>-10.000000000000853</v>
      </c>
      <c r="BJ908" s="322">
        <v>0</v>
      </c>
      <c r="BK908" s="318">
        <f t="shared" si="576"/>
        <v>-10.000000000000853</v>
      </c>
      <c r="BL908" s="67"/>
      <c r="BM908" s="68" t="str">
        <f t="shared" si="577"/>
        <v>Unloading no. 878 Bill No 2026-27/222 ,Deduction For Oil Deduction= 42496 ,Bardana=  ,F.M=  Brokerage/Rate Difference  ,Shortage = 0 ,Greenish=  ,Moisture= 0</v>
      </c>
      <c r="BN908" s="69"/>
      <c r="BO908" s="70" t="str">
        <f t="shared" si="578"/>
        <v xml:space="preserve"> Party Condition 42  ,F.M% 0.46 ,Greenish 4.45 ,Moisture 4.4 ,Shortage in KG= 0  ,Oil% 39.51</v>
      </c>
      <c r="BP908" s="71">
        <f t="shared" si="579"/>
        <v>7517.3244147157184</v>
      </c>
      <c r="BQ908" s="41"/>
      <c r="BR908" s="41"/>
      <c r="BS908" s="41"/>
      <c r="BT908" s="41"/>
      <c r="BU908" s="41"/>
      <c r="BV908" s="41"/>
      <c r="BW908" s="85"/>
      <c r="BX908" s="27">
        <v>39.299999999999997</v>
      </c>
      <c r="BY908" s="27">
        <v>39.14</v>
      </c>
    </row>
    <row r="909" spans="1:77" ht="14.1" hidden="1" customHeight="1" x14ac:dyDescent="0.3">
      <c r="A909" s="138" t="s">
        <v>1539</v>
      </c>
      <c r="B909" s="146">
        <v>46174</v>
      </c>
      <c r="C909" s="138">
        <v>879</v>
      </c>
      <c r="D909" s="135" t="s">
        <v>1876</v>
      </c>
      <c r="E909" s="129">
        <v>46182</v>
      </c>
      <c r="F909" s="138" t="s">
        <v>1144</v>
      </c>
      <c r="G909" s="281" t="s">
        <v>1145</v>
      </c>
      <c r="H909" s="281" t="s">
        <v>1901</v>
      </c>
      <c r="I909" s="136"/>
      <c r="J909" s="347" t="s">
        <v>1455</v>
      </c>
      <c r="K909" s="136"/>
      <c r="L909" s="146">
        <v>46174</v>
      </c>
      <c r="M909" s="136"/>
      <c r="N909" s="138" t="s">
        <v>1930</v>
      </c>
      <c r="O909" s="146">
        <v>46182</v>
      </c>
      <c r="P909" s="138">
        <v>0</v>
      </c>
      <c r="Q909" s="138">
        <v>110</v>
      </c>
      <c r="R909" s="138">
        <v>50</v>
      </c>
      <c r="S909" s="138">
        <v>160</v>
      </c>
      <c r="T909" s="138">
        <v>160</v>
      </c>
      <c r="U909" s="136"/>
      <c r="V909" s="136"/>
      <c r="W909" s="148">
        <v>89.7</v>
      </c>
      <c r="X909" s="148">
        <v>89.7</v>
      </c>
      <c r="Y909" s="148">
        <v>717600</v>
      </c>
      <c r="Z909" s="236">
        <v>38.979999999999997</v>
      </c>
      <c r="AA909" s="147">
        <v>17940</v>
      </c>
      <c r="AB909" s="147">
        <v>17940</v>
      </c>
      <c r="AC909" s="147">
        <v>753480</v>
      </c>
      <c r="AD909" s="315">
        <f t="shared" si="562"/>
        <v>752726.52</v>
      </c>
      <c r="AE909" s="147">
        <v>38.979999999999997</v>
      </c>
      <c r="AF909" s="147">
        <v>42</v>
      </c>
      <c r="AG909" s="147">
        <v>38.979999999999997</v>
      </c>
      <c r="AH909" s="287">
        <v>3.2000000000000002E-3</v>
      </c>
      <c r="AI909" s="287">
        <v>4.5400000000000003E-2</v>
      </c>
      <c r="AJ909" s="287">
        <v>5.0999999999999997E-2</v>
      </c>
      <c r="AK909" s="318">
        <f t="shared" si="563"/>
        <v>51598.857142857203</v>
      </c>
      <c r="AL909" s="193"/>
      <c r="AM909" s="319"/>
      <c r="AN909" s="319"/>
      <c r="AO909" s="320">
        <f t="shared" si="564"/>
        <v>0</v>
      </c>
      <c r="AP909" s="193"/>
      <c r="AQ909" s="318">
        <v>0</v>
      </c>
      <c r="AR909" s="318">
        <f t="shared" si="565"/>
        <v>51598.857142857203</v>
      </c>
      <c r="AS909" s="318">
        <f t="shared" si="566"/>
        <v>54179</v>
      </c>
      <c r="AT909" s="321">
        <v>0</v>
      </c>
      <c r="AU909" s="136"/>
      <c r="AV909" s="136"/>
      <c r="AW909" s="318">
        <f t="shared" si="580"/>
        <v>8970</v>
      </c>
      <c r="AX909" s="193"/>
      <c r="AY909" s="318">
        <f t="shared" si="581"/>
        <v>8970</v>
      </c>
      <c r="AZ909" s="318">
        <f t="shared" si="582"/>
        <v>8970</v>
      </c>
      <c r="BA909" s="318">
        <f t="shared" si="583"/>
        <v>0</v>
      </c>
      <c r="BB909" s="318">
        <f t="shared" si="584"/>
        <v>17.940000000000001</v>
      </c>
      <c r="BC909" s="318">
        <v>0</v>
      </c>
      <c r="BD909" s="193"/>
      <c r="BE909" s="138">
        <v>89.7</v>
      </c>
      <c r="BF909" s="321">
        <f t="shared" si="572"/>
        <v>0.13455</v>
      </c>
      <c r="BG909" s="197">
        <f t="shared" si="573"/>
        <v>89.565449999999998</v>
      </c>
      <c r="BH909" s="321">
        <f t="shared" si="574"/>
        <v>89.7</v>
      </c>
      <c r="BI909" s="322">
        <f t="shared" si="575"/>
        <v>0</v>
      </c>
      <c r="BJ909" s="322">
        <v>0</v>
      </c>
      <c r="BK909" s="318">
        <f t="shared" si="576"/>
        <v>0</v>
      </c>
      <c r="BL909" s="67"/>
      <c r="BM909" s="68" t="str">
        <f t="shared" si="577"/>
        <v>Unloading no. 879 Bill No 2026-27/221 ,Deduction For Oil Deduction= 51598.8571428572 ,Bardana=  ,F.M=  Brokerage/Rate Difference  ,Shortage = 0 ,Greenish=  ,Moisture= 0</v>
      </c>
      <c r="BN909" s="69"/>
      <c r="BO909" s="70" t="str">
        <f t="shared" si="578"/>
        <v xml:space="preserve"> Party Condition 42  ,F.M% 0.32 ,Greenish 4.54 ,Moisture 5.1 ,Shortage in KG= 0  ,Oil% 38.98</v>
      </c>
      <c r="BP909" s="71">
        <f t="shared" si="579"/>
        <v>7424.7619047619046</v>
      </c>
      <c r="BQ909" s="41"/>
      <c r="BR909" s="41"/>
      <c r="BS909" s="41"/>
      <c r="BT909" s="41"/>
      <c r="BU909" s="41"/>
      <c r="BV909" s="41"/>
      <c r="BW909" s="85"/>
      <c r="BX909" s="27">
        <v>38.89</v>
      </c>
      <c r="BY909" s="27">
        <v>38.81</v>
      </c>
    </row>
    <row r="910" spans="1:77" ht="14.1" hidden="1" customHeight="1" x14ac:dyDescent="0.3">
      <c r="A910" s="138" t="s">
        <v>1838</v>
      </c>
      <c r="B910" s="146">
        <v>46181</v>
      </c>
      <c r="C910" s="138">
        <v>880</v>
      </c>
      <c r="D910" s="135" t="s">
        <v>1877</v>
      </c>
      <c r="E910" s="129">
        <v>46182</v>
      </c>
      <c r="F910" s="138" t="s">
        <v>1575</v>
      </c>
      <c r="G910" s="281" t="s">
        <v>1576</v>
      </c>
      <c r="H910" s="281" t="s">
        <v>103</v>
      </c>
      <c r="I910" s="136"/>
      <c r="J910" s="347" t="s">
        <v>1455</v>
      </c>
      <c r="K910" s="136"/>
      <c r="L910" s="146">
        <v>46181</v>
      </c>
      <c r="M910" s="136"/>
      <c r="N910" s="138" t="s">
        <v>1931</v>
      </c>
      <c r="O910" s="146">
        <v>46182</v>
      </c>
      <c r="P910" s="138">
        <v>0</v>
      </c>
      <c r="Q910" s="138">
        <v>100</v>
      </c>
      <c r="R910" s="138">
        <v>41</v>
      </c>
      <c r="S910" s="138">
        <v>141</v>
      </c>
      <c r="T910" s="138">
        <v>141</v>
      </c>
      <c r="U910" s="136"/>
      <c r="V910" s="136"/>
      <c r="W910" s="148">
        <v>83.2</v>
      </c>
      <c r="X910" s="148">
        <v>83.1</v>
      </c>
      <c r="Y910" s="148">
        <v>665600</v>
      </c>
      <c r="Z910" s="169"/>
      <c r="AA910" s="147">
        <v>16640</v>
      </c>
      <c r="AB910" s="147">
        <v>16640</v>
      </c>
      <c r="AC910" s="147">
        <v>698880</v>
      </c>
      <c r="AD910" s="315">
        <f t="shared" si="562"/>
        <v>698181.12</v>
      </c>
      <c r="AE910" s="147">
        <v>40.299999999999997</v>
      </c>
      <c r="AF910" s="147">
        <v>42</v>
      </c>
      <c r="AG910" s="147">
        <v>40</v>
      </c>
      <c r="AH910" s="292">
        <v>3.3999999999999998E-3</v>
      </c>
      <c r="AI910" s="287">
        <v>4.2999999999999997E-2</v>
      </c>
      <c r="AJ910" s="287">
        <v>4.3999999999999997E-2</v>
      </c>
      <c r="AK910" s="318">
        <f t="shared" si="563"/>
        <v>31695.238095238092</v>
      </c>
      <c r="AL910" s="193">
        <f>100*10+41*15</f>
        <v>1615</v>
      </c>
      <c r="AM910" s="319">
        <f>AH910*Y910</f>
        <v>2263.04</v>
      </c>
      <c r="AN910" s="319"/>
      <c r="AO910" s="320">
        <f t="shared" si="564"/>
        <v>800</v>
      </c>
      <c r="AP910" s="193"/>
      <c r="AQ910" s="318">
        <v>0</v>
      </c>
      <c r="AR910" s="318">
        <f t="shared" si="565"/>
        <v>36373.278095238093</v>
      </c>
      <c r="AS910" s="318">
        <f t="shared" si="566"/>
        <v>38192</v>
      </c>
      <c r="AT910" s="321">
        <v>10</v>
      </c>
      <c r="AU910" s="136"/>
      <c r="AV910" s="136"/>
      <c r="AW910" s="318">
        <f t="shared" si="580"/>
        <v>8320</v>
      </c>
      <c r="AX910" s="193"/>
      <c r="AY910" s="318">
        <f t="shared" si="581"/>
        <v>8320</v>
      </c>
      <c r="AZ910" s="318">
        <f t="shared" si="582"/>
        <v>8310</v>
      </c>
      <c r="BA910" s="318">
        <f t="shared" si="583"/>
        <v>10</v>
      </c>
      <c r="BB910" s="318">
        <f t="shared" si="584"/>
        <v>16.64</v>
      </c>
      <c r="BC910" s="318">
        <v>0</v>
      </c>
      <c r="BD910" s="193"/>
      <c r="BE910" s="138">
        <v>83.2</v>
      </c>
      <c r="BF910" s="321">
        <f t="shared" si="572"/>
        <v>0.12480000000000001</v>
      </c>
      <c r="BG910" s="197">
        <f t="shared" si="573"/>
        <v>83.075200000000009</v>
      </c>
      <c r="BH910" s="321">
        <f t="shared" si="574"/>
        <v>83.1</v>
      </c>
      <c r="BI910" s="322">
        <f t="shared" si="575"/>
        <v>10.000000000000853</v>
      </c>
      <c r="BJ910" s="322">
        <v>0</v>
      </c>
      <c r="BK910" s="318">
        <f t="shared" si="576"/>
        <v>10.000000000000853</v>
      </c>
      <c r="BL910" s="67"/>
      <c r="BM910" s="68" t="str">
        <f t="shared" si="577"/>
        <v>Unloading no. 880 Bill No 2026-27/0088 ,Deduction For Oil Deduction= 31695.2380952381 ,Bardana= 1615 ,F.M= 2263.04 Brokerage/Rate Difference  ,Shortage = 800 ,Greenish=  ,Moisture= 0</v>
      </c>
      <c r="BN910" s="69"/>
      <c r="BO910" s="70" t="str">
        <f t="shared" si="578"/>
        <v xml:space="preserve"> Party Condition 42  ,F.M% 0.34 ,Greenish 4.3 ,Moisture 4.4 ,Shortage in KG= 10  ,Oil% 40</v>
      </c>
      <c r="BP910" s="71">
        <f t="shared" si="579"/>
        <v>7571.9220445819719</v>
      </c>
      <c r="BQ910" s="41"/>
      <c r="BR910" s="41"/>
      <c r="BS910" s="41"/>
      <c r="BT910" s="41"/>
      <c r="BU910" s="41"/>
      <c r="BV910" s="41"/>
      <c r="BW910" s="85"/>
      <c r="BX910" s="27">
        <v>40.299999999999997</v>
      </c>
      <c r="BY910" s="27">
        <v>40</v>
      </c>
    </row>
    <row r="911" spans="1:77" ht="14.1" hidden="1" customHeight="1" x14ac:dyDescent="0.3">
      <c r="A911" s="138" t="s">
        <v>1838</v>
      </c>
      <c r="B911" s="146">
        <v>46181</v>
      </c>
      <c r="C911" s="138">
        <v>881</v>
      </c>
      <c r="D911" s="135" t="s">
        <v>1878</v>
      </c>
      <c r="E911" s="129">
        <v>46182</v>
      </c>
      <c r="F911" s="138" t="s">
        <v>1575</v>
      </c>
      <c r="G911" s="281" t="s">
        <v>1576</v>
      </c>
      <c r="H911" s="281" t="s">
        <v>103</v>
      </c>
      <c r="I911" s="136"/>
      <c r="J911" s="347" t="s">
        <v>1455</v>
      </c>
      <c r="K911" s="136"/>
      <c r="L911" s="146">
        <v>46181</v>
      </c>
      <c r="M911" s="136"/>
      <c r="N911" s="138" t="s">
        <v>1932</v>
      </c>
      <c r="O911" s="146">
        <v>46182</v>
      </c>
      <c r="P911" s="138">
        <v>0</v>
      </c>
      <c r="Q911" s="138">
        <v>100</v>
      </c>
      <c r="R911" s="138">
        <v>41</v>
      </c>
      <c r="S911" s="138">
        <v>141</v>
      </c>
      <c r="T911" s="138">
        <v>141</v>
      </c>
      <c r="U911" s="136"/>
      <c r="V911" s="136"/>
      <c r="W911" s="148">
        <v>83.6</v>
      </c>
      <c r="X911" s="148">
        <v>83.5</v>
      </c>
      <c r="Y911" s="148">
        <v>668800</v>
      </c>
      <c r="Z911" s="169"/>
      <c r="AA911" s="147">
        <v>16720</v>
      </c>
      <c r="AB911" s="147">
        <v>16720</v>
      </c>
      <c r="AC911" s="147">
        <v>702240</v>
      </c>
      <c r="AD911" s="315">
        <f t="shared" si="562"/>
        <v>701537.76</v>
      </c>
      <c r="AE911" s="147">
        <v>40.14</v>
      </c>
      <c r="AF911" s="147">
        <v>42</v>
      </c>
      <c r="AG911" s="147">
        <v>39.96</v>
      </c>
      <c r="AH911" s="292">
        <v>4.5999999999999999E-3</v>
      </c>
      <c r="AI911" s="287">
        <v>4.4999999999999998E-2</v>
      </c>
      <c r="AJ911" s="287">
        <v>4.5999999999999999E-2</v>
      </c>
      <c r="AK911" s="318">
        <f t="shared" si="563"/>
        <v>32484.571428571413</v>
      </c>
      <c r="AL911" s="193">
        <f>100*10+41*15</f>
        <v>1615</v>
      </c>
      <c r="AM911" s="319">
        <f>AH911*Y911</f>
        <v>3076.48</v>
      </c>
      <c r="AN911" s="319"/>
      <c r="AO911" s="320">
        <f t="shared" si="564"/>
        <v>800</v>
      </c>
      <c r="AP911" s="193"/>
      <c r="AQ911" s="318">
        <v>0</v>
      </c>
      <c r="AR911" s="318">
        <f t="shared" si="565"/>
        <v>37976.051428571416</v>
      </c>
      <c r="AS911" s="318">
        <f t="shared" si="566"/>
        <v>39875</v>
      </c>
      <c r="AT911" s="321">
        <v>10</v>
      </c>
      <c r="AU911" s="136"/>
      <c r="AV911" s="136"/>
      <c r="AW911" s="318">
        <f t="shared" si="580"/>
        <v>8360</v>
      </c>
      <c r="AX911" s="193"/>
      <c r="AY911" s="318">
        <f t="shared" si="581"/>
        <v>8360</v>
      </c>
      <c r="AZ911" s="318">
        <f t="shared" si="582"/>
        <v>8350</v>
      </c>
      <c r="BA911" s="318">
        <f t="shared" si="583"/>
        <v>10</v>
      </c>
      <c r="BB911" s="318">
        <f t="shared" si="584"/>
        <v>16.72</v>
      </c>
      <c r="BC911" s="318">
        <v>0</v>
      </c>
      <c r="BD911" s="193"/>
      <c r="BE911" s="138">
        <v>83.6</v>
      </c>
      <c r="BF911" s="321">
        <f t="shared" si="572"/>
        <v>0.12539999999999998</v>
      </c>
      <c r="BG911" s="197">
        <f t="shared" si="573"/>
        <v>83.474599999999995</v>
      </c>
      <c r="BH911" s="321">
        <f t="shared" si="574"/>
        <v>83.5</v>
      </c>
      <c r="BI911" s="322">
        <f t="shared" si="575"/>
        <v>9.9999999999994316</v>
      </c>
      <c r="BJ911" s="322">
        <v>0</v>
      </c>
      <c r="BK911" s="318">
        <f t="shared" si="576"/>
        <v>9.9999999999994316</v>
      </c>
      <c r="BL911" s="67"/>
      <c r="BM911" s="68" t="str">
        <f t="shared" si="577"/>
        <v>Unloading no. 881 Bill No 2026-27/0089 ,Deduction For Oil Deduction= 32484.5714285714 ,Bardana= 1615 ,F.M= 3076.48 Brokerage/Rate Difference  ,Shortage = 800 ,Greenish=  ,Moisture= 0</v>
      </c>
      <c r="BN911" s="69"/>
      <c r="BO911" s="70" t="str">
        <f t="shared" si="578"/>
        <v xml:space="preserve"> Party Condition 42  ,F.M% 0.46 ,Greenish 4.5 ,Moisture 4.6 ,Shortage in KG= 10  ,Oil% 39.96</v>
      </c>
      <c r="BP911" s="71">
        <f t="shared" si="579"/>
        <v>7554.7778272027372</v>
      </c>
      <c r="BQ911" s="41"/>
      <c r="BR911" s="41"/>
      <c r="BS911" s="41"/>
      <c r="BT911" s="41"/>
      <c r="BU911" s="41"/>
      <c r="BV911" s="41"/>
      <c r="BW911" s="85"/>
      <c r="BX911" s="27">
        <v>40.14</v>
      </c>
      <c r="BY911" s="27">
        <v>39.96</v>
      </c>
    </row>
    <row r="912" spans="1:77" ht="14.1" hidden="1" customHeight="1" x14ac:dyDescent="0.3">
      <c r="A912" s="138" t="s">
        <v>1539</v>
      </c>
      <c r="B912" s="146">
        <v>46174</v>
      </c>
      <c r="C912" s="138">
        <v>882</v>
      </c>
      <c r="D912" s="135" t="s">
        <v>1879</v>
      </c>
      <c r="E912" s="129">
        <v>46182</v>
      </c>
      <c r="F912" s="138" t="s">
        <v>1144</v>
      </c>
      <c r="G912" s="281" t="s">
        <v>1145</v>
      </c>
      <c r="H912" s="281" t="s">
        <v>1901</v>
      </c>
      <c r="I912" s="136"/>
      <c r="J912" s="347" t="s">
        <v>1455</v>
      </c>
      <c r="K912" s="136"/>
      <c r="L912" s="146">
        <v>46174</v>
      </c>
      <c r="M912" s="136"/>
      <c r="N912" s="138" t="s">
        <v>1933</v>
      </c>
      <c r="O912" s="146">
        <v>46182</v>
      </c>
      <c r="P912" s="138">
        <v>0</v>
      </c>
      <c r="Q912" s="138">
        <v>100</v>
      </c>
      <c r="R912" s="138">
        <v>63</v>
      </c>
      <c r="S912" s="138">
        <v>163</v>
      </c>
      <c r="T912" s="138">
        <v>163</v>
      </c>
      <c r="U912" s="136"/>
      <c r="V912" s="136"/>
      <c r="W912" s="148">
        <v>90.9</v>
      </c>
      <c r="X912" s="148">
        <v>91</v>
      </c>
      <c r="Y912" s="148">
        <v>727200</v>
      </c>
      <c r="Z912" s="236">
        <v>38.94</v>
      </c>
      <c r="AA912" s="147">
        <v>18180</v>
      </c>
      <c r="AB912" s="147">
        <v>18180</v>
      </c>
      <c r="AC912" s="147">
        <v>763560</v>
      </c>
      <c r="AD912" s="315">
        <f t="shared" si="562"/>
        <v>762796.44</v>
      </c>
      <c r="AE912" s="147">
        <v>38.94</v>
      </c>
      <c r="AF912" s="147">
        <v>42</v>
      </c>
      <c r="AG912" s="147">
        <v>38.94</v>
      </c>
      <c r="AH912" s="287">
        <v>4.0000000000000001E-3</v>
      </c>
      <c r="AI912" s="287">
        <v>4.5999999999999999E-2</v>
      </c>
      <c r="AJ912" s="287">
        <v>4.8000000000000001E-2</v>
      </c>
      <c r="AK912" s="318">
        <f t="shared" si="563"/>
        <v>52981.714285714326</v>
      </c>
      <c r="AL912" s="193"/>
      <c r="AM912" s="319"/>
      <c r="AN912" s="319"/>
      <c r="AO912" s="320">
        <f t="shared" si="564"/>
        <v>0</v>
      </c>
      <c r="AP912" s="193"/>
      <c r="AQ912" s="318">
        <v>0</v>
      </c>
      <c r="AR912" s="318">
        <f t="shared" si="565"/>
        <v>52981.714285714326</v>
      </c>
      <c r="AS912" s="318">
        <f t="shared" si="566"/>
        <v>55631</v>
      </c>
      <c r="AT912" s="321">
        <v>0</v>
      </c>
      <c r="AU912" s="136"/>
      <c r="AV912" s="136"/>
      <c r="AW912" s="318">
        <f t="shared" si="580"/>
        <v>9090</v>
      </c>
      <c r="AX912" s="193"/>
      <c r="AY912" s="318">
        <f t="shared" si="581"/>
        <v>9090</v>
      </c>
      <c r="AZ912" s="318">
        <f t="shared" si="582"/>
        <v>9100</v>
      </c>
      <c r="BA912" s="318">
        <f t="shared" si="583"/>
        <v>-10</v>
      </c>
      <c r="BB912" s="318">
        <f t="shared" si="584"/>
        <v>18.18</v>
      </c>
      <c r="BC912" s="318">
        <v>0</v>
      </c>
      <c r="BD912" s="193"/>
      <c r="BE912" s="138">
        <v>90.9</v>
      </c>
      <c r="BF912" s="321">
        <f t="shared" si="572"/>
        <v>0.13635</v>
      </c>
      <c r="BG912" s="197">
        <f t="shared" si="573"/>
        <v>90.763650000000013</v>
      </c>
      <c r="BH912" s="321">
        <f t="shared" si="574"/>
        <v>91</v>
      </c>
      <c r="BI912" s="322">
        <f t="shared" si="575"/>
        <v>-9.9999999999994316</v>
      </c>
      <c r="BJ912" s="322">
        <v>0</v>
      </c>
      <c r="BK912" s="318">
        <f t="shared" si="576"/>
        <v>-9.9999999999994316</v>
      </c>
      <c r="BL912" s="67"/>
      <c r="BM912" s="68" t="str">
        <f t="shared" si="577"/>
        <v>Unloading no. 882 Bill No 2026-27/223 ,Deduction For Oil Deduction= 52981.7142857143 ,Bardana=  ,F.M=  Brokerage/Rate Difference  ,Shortage = 0 ,Greenish=  ,Moisture= 0</v>
      </c>
      <c r="BN912" s="69"/>
      <c r="BO912" s="70" t="str">
        <f t="shared" si="578"/>
        <v xml:space="preserve"> Party Condition 42  ,F.M% 0.4 ,Greenish 4.6 ,Moisture 4.8 ,Shortage in KG= 0  ,Oil% 38.94</v>
      </c>
      <c r="BP912" s="71">
        <f t="shared" si="579"/>
        <v>7408.9921507064364</v>
      </c>
      <c r="BQ912" s="41"/>
      <c r="BR912" s="41"/>
      <c r="BS912" s="41"/>
      <c r="BT912" s="41"/>
      <c r="BU912" s="41"/>
      <c r="BV912" s="41"/>
      <c r="BW912" s="85"/>
      <c r="BX912" s="27">
        <v>38.68</v>
      </c>
      <c r="BY912" s="27">
        <v>38.659999999999997</v>
      </c>
    </row>
    <row r="913" spans="1:77" ht="14.1" hidden="1" customHeight="1" x14ac:dyDescent="0.3">
      <c r="A913" s="138" t="s">
        <v>1539</v>
      </c>
      <c r="B913" s="146">
        <v>46174</v>
      </c>
      <c r="C913" s="138">
        <v>883</v>
      </c>
      <c r="D913" s="135" t="s">
        <v>1880</v>
      </c>
      <c r="E913" s="129">
        <v>46182</v>
      </c>
      <c r="F913" s="138" t="s">
        <v>1144</v>
      </c>
      <c r="G913" s="281" t="s">
        <v>1145</v>
      </c>
      <c r="H913" s="281" t="s">
        <v>1901</v>
      </c>
      <c r="I913" s="136"/>
      <c r="J913" s="347" t="s">
        <v>1455</v>
      </c>
      <c r="K913" s="136"/>
      <c r="L913" s="146">
        <v>46174</v>
      </c>
      <c r="M913" s="136"/>
      <c r="N913" s="138" t="s">
        <v>1934</v>
      </c>
      <c r="O913" s="146">
        <v>46182</v>
      </c>
      <c r="P913" s="138">
        <v>0</v>
      </c>
      <c r="Q913" s="138">
        <v>100</v>
      </c>
      <c r="R913" s="138">
        <v>60</v>
      </c>
      <c r="S913" s="138">
        <v>160</v>
      </c>
      <c r="T913" s="138">
        <v>160</v>
      </c>
      <c r="U913" s="136"/>
      <c r="V913" s="136"/>
      <c r="W913" s="148">
        <v>89.5</v>
      </c>
      <c r="X913" s="148">
        <v>89.6</v>
      </c>
      <c r="Y913" s="148">
        <v>716000</v>
      </c>
      <c r="Z913" s="236">
        <v>39.4</v>
      </c>
      <c r="AA913" s="147">
        <v>17900</v>
      </c>
      <c r="AB913" s="147">
        <v>17900</v>
      </c>
      <c r="AC913" s="147">
        <v>751800</v>
      </c>
      <c r="AD913" s="315">
        <f t="shared" si="562"/>
        <v>751048.2</v>
      </c>
      <c r="AE913" s="147">
        <v>39.4</v>
      </c>
      <c r="AF913" s="147">
        <v>42</v>
      </c>
      <c r="AG913" s="147">
        <v>39.4</v>
      </c>
      <c r="AH913" s="287">
        <v>4.5999999999999999E-3</v>
      </c>
      <c r="AI913" s="287">
        <v>3.9E-2</v>
      </c>
      <c r="AJ913" s="287">
        <v>4.7E-2</v>
      </c>
      <c r="AK913" s="318">
        <f t="shared" si="563"/>
        <v>44323.809523809548</v>
      </c>
      <c r="AL913" s="193"/>
      <c r="AM913" s="319"/>
      <c r="AN913" s="319"/>
      <c r="AO913" s="320">
        <f t="shared" si="564"/>
        <v>0</v>
      </c>
      <c r="AP913" s="193"/>
      <c r="AQ913" s="318">
        <v>0</v>
      </c>
      <c r="AR913" s="318">
        <f t="shared" si="565"/>
        <v>44323.809523809548</v>
      </c>
      <c r="AS913" s="318">
        <f t="shared" si="566"/>
        <v>46540</v>
      </c>
      <c r="AT913" s="321">
        <v>0</v>
      </c>
      <c r="AU913" s="136"/>
      <c r="AV913" s="136"/>
      <c r="AW913" s="318">
        <f t="shared" si="580"/>
        <v>8950</v>
      </c>
      <c r="AX913" s="193"/>
      <c r="AY913" s="318">
        <f t="shared" si="581"/>
        <v>8950</v>
      </c>
      <c r="AZ913" s="318">
        <f t="shared" si="582"/>
        <v>8960</v>
      </c>
      <c r="BA913" s="318">
        <f t="shared" si="583"/>
        <v>-10</v>
      </c>
      <c r="BB913" s="318">
        <f t="shared" si="584"/>
        <v>17.899999999999999</v>
      </c>
      <c r="BC913" s="318">
        <v>0</v>
      </c>
      <c r="BD913" s="193"/>
      <c r="BE913" s="138">
        <v>89.5</v>
      </c>
      <c r="BF913" s="321">
        <f t="shared" si="572"/>
        <v>0.13424999999999998</v>
      </c>
      <c r="BG913" s="197">
        <f t="shared" si="573"/>
        <v>89.365750000000006</v>
      </c>
      <c r="BH913" s="321">
        <f t="shared" si="574"/>
        <v>89.6</v>
      </c>
      <c r="BI913" s="322">
        <f t="shared" si="575"/>
        <v>-9.9999999999994316</v>
      </c>
      <c r="BJ913" s="322">
        <v>0</v>
      </c>
      <c r="BK913" s="318">
        <f t="shared" si="576"/>
        <v>-9.9999999999994316</v>
      </c>
      <c r="BL913" s="67"/>
      <c r="BM913" s="68" t="str">
        <f t="shared" si="577"/>
        <v>Unloading no. 883 Bill No 2026-27/224 ,Deduction For Oil Deduction= 44323.8095238095 ,Bardana=  ,F.M=  Brokerage/Rate Difference  ,Shortage = 0 ,Greenish=  ,Moisture= 0</v>
      </c>
      <c r="BN913" s="69"/>
      <c r="BO913" s="70" t="str">
        <f t="shared" si="578"/>
        <v xml:space="preserve"> Party Condition 42  ,F.M% 0.46 ,Greenish 3.9 ,Moisture 4.7 ,Shortage in KG= 0  ,Oil% 39.4</v>
      </c>
      <c r="BP913" s="71">
        <f t="shared" si="579"/>
        <v>7496.3860544217687</v>
      </c>
      <c r="BQ913" s="41"/>
      <c r="BR913" s="41"/>
      <c r="BS913" s="41"/>
      <c r="BT913" s="41"/>
      <c r="BU913" s="41"/>
      <c r="BV913" s="41"/>
      <c r="BW913" s="85"/>
      <c r="BX913" s="27">
        <v>39.159999999999997</v>
      </c>
      <c r="BY913" s="27">
        <v>39.04</v>
      </c>
    </row>
    <row r="914" spans="1:77" ht="14.1" hidden="1" customHeight="1" x14ac:dyDescent="0.3">
      <c r="A914" s="138" t="s">
        <v>1838</v>
      </c>
      <c r="B914" s="146">
        <v>46181</v>
      </c>
      <c r="C914" s="138">
        <v>884</v>
      </c>
      <c r="D914" s="135" t="s">
        <v>1881</v>
      </c>
      <c r="E914" s="129">
        <v>46182</v>
      </c>
      <c r="F914" s="138" t="s">
        <v>1575</v>
      </c>
      <c r="G914" s="281" t="s">
        <v>1576</v>
      </c>
      <c r="H914" s="281" t="s">
        <v>103</v>
      </c>
      <c r="I914" s="136"/>
      <c r="J914" s="347" t="s">
        <v>1455</v>
      </c>
      <c r="K914" s="136"/>
      <c r="L914" s="146">
        <v>46181</v>
      </c>
      <c r="M914" s="136"/>
      <c r="N914" s="138" t="s">
        <v>1935</v>
      </c>
      <c r="O914" s="146">
        <v>46182</v>
      </c>
      <c r="P914" s="138">
        <v>0</v>
      </c>
      <c r="Q914" s="138">
        <v>80</v>
      </c>
      <c r="R914" s="138">
        <v>61</v>
      </c>
      <c r="S914" s="138">
        <v>141</v>
      </c>
      <c r="T914" s="138">
        <v>141</v>
      </c>
      <c r="U914" s="136"/>
      <c r="V914" s="136"/>
      <c r="W914" s="148">
        <v>83.1</v>
      </c>
      <c r="X914" s="148">
        <v>83.1</v>
      </c>
      <c r="Y914" s="148">
        <v>664800</v>
      </c>
      <c r="Z914" s="169"/>
      <c r="AA914" s="147">
        <v>16620</v>
      </c>
      <c r="AB914" s="147">
        <v>16620</v>
      </c>
      <c r="AC914" s="147">
        <v>698040</v>
      </c>
      <c r="AD914" s="315">
        <f t="shared" si="562"/>
        <v>697341.96</v>
      </c>
      <c r="AE914" s="147">
        <v>39.68</v>
      </c>
      <c r="AF914" s="147">
        <v>42</v>
      </c>
      <c r="AG914" s="147">
        <v>39.479999999999997</v>
      </c>
      <c r="AH914" s="287">
        <v>3.8999999999999998E-3</v>
      </c>
      <c r="AI914" s="287">
        <v>4.5999999999999999E-2</v>
      </c>
      <c r="AJ914" s="287">
        <v>4.8000000000000001E-2</v>
      </c>
      <c r="AK914" s="318">
        <f t="shared" si="563"/>
        <v>39888.000000000051</v>
      </c>
      <c r="AL914" s="193">
        <f>80*10+61*15</f>
        <v>1715</v>
      </c>
      <c r="AM914" s="319">
        <f>AH914*Y914</f>
        <v>2592.7199999999998</v>
      </c>
      <c r="AN914" s="319"/>
      <c r="AO914" s="320">
        <f t="shared" si="564"/>
        <v>0</v>
      </c>
      <c r="AP914" s="193"/>
      <c r="AQ914" s="318">
        <v>0</v>
      </c>
      <c r="AR914" s="318">
        <f t="shared" si="565"/>
        <v>44195.720000000052</v>
      </c>
      <c r="AS914" s="318">
        <f t="shared" si="566"/>
        <v>46406</v>
      </c>
      <c r="AT914" s="321">
        <v>0</v>
      </c>
      <c r="AU914" s="136"/>
      <c r="AV914" s="136"/>
      <c r="AW914" s="318">
        <f t="shared" si="580"/>
        <v>8310</v>
      </c>
      <c r="AX914" s="193"/>
      <c r="AY914" s="318">
        <f t="shared" si="581"/>
        <v>8310</v>
      </c>
      <c r="AZ914" s="318">
        <f t="shared" si="582"/>
        <v>8310</v>
      </c>
      <c r="BA914" s="318">
        <f t="shared" si="583"/>
        <v>0</v>
      </c>
      <c r="BB914" s="318">
        <f t="shared" si="584"/>
        <v>16.62</v>
      </c>
      <c r="BC914" s="318">
        <v>0</v>
      </c>
      <c r="BD914" s="193"/>
      <c r="BE914" s="138">
        <v>83.1</v>
      </c>
      <c r="BF914" s="321">
        <f t="shared" si="572"/>
        <v>0.12464999999999998</v>
      </c>
      <c r="BG914" s="197">
        <f t="shared" si="573"/>
        <v>82.975349999999992</v>
      </c>
      <c r="BH914" s="321">
        <f t="shared" si="574"/>
        <v>83.1</v>
      </c>
      <c r="BI914" s="322">
        <f t="shared" si="575"/>
        <v>0</v>
      </c>
      <c r="BJ914" s="322">
        <v>0</v>
      </c>
      <c r="BK914" s="318">
        <f t="shared" si="576"/>
        <v>0</v>
      </c>
      <c r="BL914" s="67"/>
      <c r="BM914" s="68" t="str">
        <f t="shared" si="577"/>
        <v>Unloading no. 884 Bill No 2026-27/0090 ,Deduction For Oil Deduction= 39888.0000000001 ,Bardana= 1715 ,F.M= 2592.72 Brokerage/Rate Difference  ,Shortage = 0 ,Greenish=  ,Moisture= 0</v>
      </c>
      <c r="BN914" s="69"/>
      <c r="BO914" s="70" t="str">
        <f t="shared" si="578"/>
        <v xml:space="preserve"> Party Condition 42  ,F.M% 0.39 ,Greenish 4.6 ,Moisture 4.8 ,Shortage in KG= 0  ,Oil% 39.48</v>
      </c>
      <c r="BP914" s="71">
        <f t="shared" si="579"/>
        <v>7468.1622141997586</v>
      </c>
      <c r="BQ914" s="41"/>
      <c r="BR914" s="41"/>
      <c r="BS914" s="41"/>
      <c r="BT914" s="41"/>
      <c r="BU914" s="41"/>
      <c r="BV914" s="41"/>
      <c r="BW914" s="85"/>
      <c r="BX914" s="27">
        <v>39.68</v>
      </c>
      <c r="BY914" s="27">
        <v>39.479999999999997</v>
      </c>
    </row>
    <row r="915" spans="1:77" ht="14.1" hidden="1" customHeight="1" x14ac:dyDescent="0.3">
      <c r="A915" s="138" t="s">
        <v>1838</v>
      </c>
      <c r="B915" s="146">
        <v>46181</v>
      </c>
      <c r="C915" s="138">
        <v>885</v>
      </c>
      <c r="D915" s="135" t="s">
        <v>1882</v>
      </c>
      <c r="E915" s="129">
        <v>46182</v>
      </c>
      <c r="F915" s="138" t="s">
        <v>1575</v>
      </c>
      <c r="G915" s="281" t="s">
        <v>1576</v>
      </c>
      <c r="H915" s="281" t="s">
        <v>103</v>
      </c>
      <c r="I915" s="136"/>
      <c r="J915" s="347" t="s">
        <v>1455</v>
      </c>
      <c r="K915" s="136"/>
      <c r="L915" s="146">
        <v>46181</v>
      </c>
      <c r="M915" s="136"/>
      <c r="N915" s="187" t="s">
        <v>1936</v>
      </c>
      <c r="O915" s="146">
        <v>46182</v>
      </c>
      <c r="P915" s="138">
        <v>0</v>
      </c>
      <c r="Q915" s="138">
        <v>75</v>
      </c>
      <c r="R915" s="138">
        <v>66</v>
      </c>
      <c r="S915" s="138">
        <v>141</v>
      </c>
      <c r="T915" s="138">
        <v>141</v>
      </c>
      <c r="U915" s="136"/>
      <c r="V915" s="136"/>
      <c r="W915" s="148">
        <v>82.7</v>
      </c>
      <c r="X915" s="148">
        <v>82.8</v>
      </c>
      <c r="Y915" s="148">
        <v>661600</v>
      </c>
      <c r="Z915" s="169"/>
      <c r="AA915" s="147">
        <v>16540</v>
      </c>
      <c r="AB915" s="147">
        <v>16540</v>
      </c>
      <c r="AC915" s="147">
        <v>694680</v>
      </c>
      <c r="AD915" s="315">
        <f t="shared" si="562"/>
        <v>693985.32</v>
      </c>
      <c r="AE915" s="147">
        <v>40.270000000000003</v>
      </c>
      <c r="AF915" s="147">
        <v>42</v>
      </c>
      <c r="AG915" s="147">
        <v>40.15</v>
      </c>
      <c r="AH915" s="287">
        <v>3.7000000000000002E-3</v>
      </c>
      <c r="AI915" s="287">
        <v>0.05</v>
      </c>
      <c r="AJ915" s="287">
        <v>0.05</v>
      </c>
      <c r="AK915" s="318">
        <f t="shared" si="563"/>
        <v>29141.904761904781</v>
      </c>
      <c r="AL915" s="193">
        <f>75*10+66*15</f>
        <v>1740</v>
      </c>
      <c r="AM915" s="319">
        <f>AH915*Y915</f>
        <v>2447.92</v>
      </c>
      <c r="AN915" s="319"/>
      <c r="AO915" s="320">
        <f t="shared" si="564"/>
        <v>0</v>
      </c>
      <c r="AP915" s="193"/>
      <c r="AQ915" s="318">
        <v>0</v>
      </c>
      <c r="AR915" s="318">
        <f t="shared" si="565"/>
        <v>33329.824761904783</v>
      </c>
      <c r="AS915" s="318">
        <f t="shared" si="566"/>
        <v>34996</v>
      </c>
      <c r="AT915" s="321">
        <v>0</v>
      </c>
      <c r="AU915" s="136"/>
      <c r="AV915" s="136"/>
      <c r="AW915" s="318">
        <f t="shared" si="580"/>
        <v>8270</v>
      </c>
      <c r="AX915" s="193"/>
      <c r="AY915" s="318">
        <f t="shared" si="581"/>
        <v>8270</v>
      </c>
      <c r="AZ915" s="318">
        <f t="shared" si="582"/>
        <v>8280</v>
      </c>
      <c r="BA915" s="318">
        <f t="shared" si="583"/>
        <v>-10</v>
      </c>
      <c r="BB915" s="318">
        <f t="shared" si="584"/>
        <v>16.54</v>
      </c>
      <c r="BC915" s="318">
        <v>0</v>
      </c>
      <c r="BD915" s="193"/>
      <c r="BE915" s="138">
        <v>82.7</v>
      </c>
      <c r="BF915" s="321">
        <f t="shared" si="572"/>
        <v>0.12404999999999999</v>
      </c>
      <c r="BG915" s="197">
        <f t="shared" si="573"/>
        <v>82.575950000000006</v>
      </c>
      <c r="BH915" s="321">
        <f t="shared" si="574"/>
        <v>82.8</v>
      </c>
      <c r="BI915" s="322">
        <f t="shared" si="575"/>
        <v>-9.9999999999994316</v>
      </c>
      <c r="BJ915" s="322">
        <v>0</v>
      </c>
      <c r="BK915" s="318">
        <f t="shared" si="576"/>
        <v>-9.9999999999994316</v>
      </c>
      <c r="BL915" s="67"/>
      <c r="BM915" s="68" t="str">
        <f t="shared" si="577"/>
        <v>Unloading no. 885 Bill No 2026-27/0091 ,Deduction For Oil Deduction= 29141.9047619048 ,Bardana= 1740 ,F.M= 2447.92 Brokerage/Rate Difference  ,Shortage = 0 ,Greenish=  ,Moisture= 0</v>
      </c>
      <c r="BN915" s="69"/>
      <c r="BO915" s="70" t="str">
        <f t="shared" si="578"/>
        <v xml:space="preserve"> Party Condition 42  ,F.M% 0.37 ,Greenish 5 ,Moisture 5 ,Shortage in KG= 0  ,Oil% 40.15</v>
      </c>
      <c r="BP915" s="71">
        <f t="shared" si="579"/>
        <v>7587.804048769266</v>
      </c>
      <c r="BQ915" s="41"/>
      <c r="BR915" s="41"/>
      <c r="BS915" s="41"/>
      <c r="BT915" s="41"/>
      <c r="BU915" s="41"/>
      <c r="BV915" s="41"/>
      <c r="BW915" s="85"/>
      <c r="BX915" s="27">
        <v>40.270000000000003</v>
      </c>
      <c r="BY915" s="27">
        <v>40.15</v>
      </c>
    </row>
    <row r="916" spans="1:77" ht="14.1" hidden="1" customHeight="1" x14ac:dyDescent="0.3">
      <c r="A916" s="138" t="s">
        <v>1539</v>
      </c>
      <c r="B916" s="146">
        <v>46174</v>
      </c>
      <c r="C916" s="138">
        <v>886</v>
      </c>
      <c r="D916" s="135" t="s">
        <v>1883</v>
      </c>
      <c r="E916" s="129">
        <v>46182</v>
      </c>
      <c r="F916" s="138" t="s">
        <v>1144</v>
      </c>
      <c r="G916" s="281" t="s">
        <v>1145</v>
      </c>
      <c r="H916" s="281" t="s">
        <v>1901</v>
      </c>
      <c r="I916" s="136"/>
      <c r="J916" s="347" t="s">
        <v>1455</v>
      </c>
      <c r="K916" s="136"/>
      <c r="L916" s="146">
        <v>46174</v>
      </c>
      <c r="M916" s="136"/>
      <c r="N916" s="187" t="s">
        <v>1937</v>
      </c>
      <c r="O916" s="146">
        <v>46182</v>
      </c>
      <c r="P916" s="138">
        <v>0</v>
      </c>
      <c r="Q916" s="138">
        <v>130</v>
      </c>
      <c r="R916" s="138">
        <v>20</v>
      </c>
      <c r="S916" s="138">
        <v>150</v>
      </c>
      <c r="T916" s="138">
        <v>150</v>
      </c>
      <c r="U916" s="136"/>
      <c r="V916" s="136"/>
      <c r="W916" s="148">
        <v>89.7</v>
      </c>
      <c r="X916" s="148">
        <v>89.7</v>
      </c>
      <c r="Y916" s="148">
        <v>717600</v>
      </c>
      <c r="Z916" s="236">
        <v>39.5</v>
      </c>
      <c r="AA916" s="147">
        <v>17940</v>
      </c>
      <c r="AB916" s="147">
        <v>17940</v>
      </c>
      <c r="AC916" s="147">
        <v>753480</v>
      </c>
      <c r="AD916" s="315">
        <f t="shared" si="562"/>
        <v>752726.52</v>
      </c>
      <c r="AE916" s="147">
        <v>39.5</v>
      </c>
      <c r="AF916" s="147">
        <v>42</v>
      </c>
      <c r="AG916" s="147">
        <v>39.5</v>
      </c>
      <c r="AH916" s="287">
        <v>5.0000000000000001E-3</v>
      </c>
      <c r="AI916" s="287">
        <v>4.7E-2</v>
      </c>
      <c r="AJ916" s="287">
        <v>5.0999999999999997E-2</v>
      </c>
      <c r="AK916" s="318">
        <f t="shared" si="563"/>
        <v>42714.28571428571</v>
      </c>
      <c r="AL916" s="193"/>
      <c r="AM916" s="319"/>
      <c r="AN916" s="319"/>
      <c r="AO916" s="320">
        <f t="shared" si="564"/>
        <v>0</v>
      </c>
      <c r="AP916" s="193"/>
      <c r="AQ916" s="318">
        <v>0</v>
      </c>
      <c r="AR916" s="318">
        <f t="shared" si="565"/>
        <v>42714.28571428571</v>
      </c>
      <c r="AS916" s="318">
        <f t="shared" si="566"/>
        <v>44850</v>
      </c>
      <c r="AT916" s="321">
        <v>0</v>
      </c>
      <c r="AU916" s="136"/>
      <c r="AV916" s="136"/>
      <c r="AW916" s="318">
        <f t="shared" si="580"/>
        <v>8970</v>
      </c>
      <c r="AX916" s="193"/>
      <c r="AY916" s="318">
        <f t="shared" si="581"/>
        <v>8970</v>
      </c>
      <c r="AZ916" s="318">
        <f t="shared" si="582"/>
        <v>8970</v>
      </c>
      <c r="BA916" s="318">
        <f t="shared" si="583"/>
        <v>0</v>
      </c>
      <c r="BB916" s="318">
        <f t="shared" si="584"/>
        <v>17.940000000000001</v>
      </c>
      <c r="BC916" s="318">
        <v>0</v>
      </c>
      <c r="BD916" s="193"/>
      <c r="BE916" s="138">
        <v>89.7</v>
      </c>
      <c r="BF916" s="321">
        <f t="shared" si="572"/>
        <v>0.13455</v>
      </c>
      <c r="BG916" s="197">
        <f t="shared" si="573"/>
        <v>89.565449999999998</v>
      </c>
      <c r="BH916" s="321">
        <f t="shared" si="574"/>
        <v>89.7</v>
      </c>
      <c r="BI916" s="322">
        <f t="shared" si="575"/>
        <v>0</v>
      </c>
      <c r="BJ916" s="322">
        <v>0</v>
      </c>
      <c r="BK916" s="318">
        <f t="shared" si="576"/>
        <v>0</v>
      </c>
      <c r="BL916" s="67"/>
      <c r="BM916" s="68" t="str">
        <f t="shared" si="577"/>
        <v>Unloading no. 886 Bill No 2026-27/225 ,Deduction For Oil Deduction= 42714.2857142857 ,Bardana=  ,F.M=  Brokerage/Rate Difference  ,Shortage = 0 ,Greenish=  ,Moisture= 0</v>
      </c>
      <c r="BN916" s="69"/>
      <c r="BO916" s="70" t="str">
        <f t="shared" si="578"/>
        <v xml:space="preserve"> Party Condition 42  ,F.M% 0.5 ,Greenish 4.7 ,Moisture 5.1 ,Shortage in KG= 0  ,Oil% 39.5</v>
      </c>
      <c r="BP916" s="71">
        <f t="shared" si="579"/>
        <v>7523.8095238095239</v>
      </c>
      <c r="BQ916" s="41"/>
      <c r="BR916" s="41"/>
      <c r="BS916" s="41"/>
      <c r="BT916" s="41"/>
      <c r="BU916" s="41"/>
      <c r="BV916" s="41"/>
      <c r="BW916" s="85"/>
      <c r="BX916" s="27">
        <v>39.33</v>
      </c>
      <c r="BY916" s="27">
        <v>39.21</v>
      </c>
    </row>
    <row r="917" spans="1:77" ht="14.1" hidden="1" customHeight="1" x14ac:dyDescent="0.3">
      <c r="A917" s="138" t="s">
        <v>1539</v>
      </c>
      <c r="B917" s="146">
        <v>46174</v>
      </c>
      <c r="C917" s="138">
        <v>887</v>
      </c>
      <c r="D917" s="135" t="s">
        <v>1884</v>
      </c>
      <c r="E917" s="129">
        <v>46182</v>
      </c>
      <c r="F917" s="138" t="s">
        <v>1144</v>
      </c>
      <c r="G917" s="281" t="s">
        <v>1145</v>
      </c>
      <c r="H917" s="281" t="s">
        <v>1901</v>
      </c>
      <c r="I917" s="136"/>
      <c r="J917" s="347" t="s">
        <v>1455</v>
      </c>
      <c r="K917" s="136"/>
      <c r="L917" s="146">
        <v>46174</v>
      </c>
      <c r="M917" s="136"/>
      <c r="N917" s="187" t="s">
        <v>1938</v>
      </c>
      <c r="O917" s="146">
        <v>46182</v>
      </c>
      <c r="P917" s="138">
        <v>0</v>
      </c>
      <c r="Q917" s="138">
        <v>100</v>
      </c>
      <c r="R917" s="138">
        <v>50</v>
      </c>
      <c r="S917" s="138">
        <v>150</v>
      </c>
      <c r="T917" s="138">
        <v>150</v>
      </c>
      <c r="U917" s="136"/>
      <c r="V917" s="136"/>
      <c r="W917" s="148">
        <v>90.2</v>
      </c>
      <c r="X917" s="148">
        <v>90.2</v>
      </c>
      <c r="Y917" s="148">
        <v>721600</v>
      </c>
      <c r="Z917" s="236">
        <v>39.72</v>
      </c>
      <c r="AA917" s="147">
        <v>18040</v>
      </c>
      <c r="AB917" s="147">
        <v>18040</v>
      </c>
      <c r="AC917" s="147">
        <v>757680</v>
      </c>
      <c r="AD917" s="315">
        <f t="shared" si="562"/>
        <v>756922.32</v>
      </c>
      <c r="AE917" s="147">
        <v>39.72</v>
      </c>
      <c r="AF917" s="147">
        <v>42</v>
      </c>
      <c r="AG917" s="147">
        <v>39.72</v>
      </c>
      <c r="AH917" s="287">
        <v>4.0000000000000001E-3</v>
      </c>
      <c r="AI917" s="287">
        <v>4.2000000000000003E-2</v>
      </c>
      <c r="AJ917" s="287">
        <v>4.5999999999999999E-2</v>
      </c>
      <c r="AK917" s="318">
        <f t="shared" si="563"/>
        <v>39172.571428571449</v>
      </c>
      <c r="AL917" s="193"/>
      <c r="AM917" s="319"/>
      <c r="AN917" s="319"/>
      <c r="AO917" s="320">
        <f t="shared" si="564"/>
        <v>0</v>
      </c>
      <c r="AP917" s="193"/>
      <c r="AQ917" s="318">
        <v>0</v>
      </c>
      <c r="AR917" s="318">
        <f t="shared" si="565"/>
        <v>39172.571428571449</v>
      </c>
      <c r="AS917" s="318">
        <f t="shared" si="566"/>
        <v>41131</v>
      </c>
      <c r="AT917" s="321">
        <v>0</v>
      </c>
      <c r="AU917" s="136"/>
      <c r="AV917" s="136"/>
      <c r="AW917" s="318">
        <f t="shared" si="580"/>
        <v>9020</v>
      </c>
      <c r="AX917" s="193"/>
      <c r="AY917" s="318">
        <f t="shared" si="581"/>
        <v>9020</v>
      </c>
      <c r="AZ917" s="318">
        <f t="shared" si="582"/>
        <v>9020</v>
      </c>
      <c r="BA917" s="318">
        <f t="shared" si="583"/>
        <v>0</v>
      </c>
      <c r="BB917" s="318">
        <f t="shared" si="584"/>
        <v>18.04</v>
      </c>
      <c r="BC917" s="318">
        <v>0</v>
      </c>
      <c r="BD917" s="193"/>
      <c r="BE917" s="138">
        <v>90.2</v>
      </c>
      <c r="BF917" s="321">
        <f t="shared" si="572"/>
        <v>0.1353</v>
      </c>
      <c r="BG917" s="197">
        <f t="shared" si="573"/>
        <v>90.064700000000002</v>
      </c>
      <c r="BH917" s="321">
        <f t="shared" si="574"/>
        <v>90.2</v>
      </c>
      <c r="BI917" s="322">
        <f t="shared" si="575"/>
        <v>0</v>
      </c>
      <c r="BJ917" s="322">
        <v>0</v>
      </c>
      <c r="BK917" s="318">
        <f t="shared" si="576"/>
        <v>0</v>
      </c>
      <c r="BL917" s="67"/>
      <c r="BM917" s="68" t="str">
        <f t="shared" si="577"/>
        <v>Unloading no. 887 Bill No 2026-27/226 ,Deduction For Oil Deduction= 39172.5714285714 ,Bardana=  ,F.M=  Brokerage/Rate Difference  ,Shortage = 0 ,Greenish=  ,Moisture= 0</v>
      </c>
      <c r="BN917" s="69"/>
      <c r="BO917" s="70" t="str">
        <f t="shared" si="578"/>
        <v xml:space="preserve"> Party Condition 42  ,F.M% 0.4 ,Greenish 4.2 ,Moisture 4.6 ,Shortage in KG= 0  ,Oil% 39.72</v>
      </c>
      <c r="BP917" s="71">
        <f t="shared" si="579"/>
        <v>7565.7142857142853</v>
      </c>
      <c r="BQ917" s="41"/>
      <c r="BR917" s="41"/>
      <c r="BS917" s="41"/>
      <c r="BT917" s="41"/>
      <c r="BU917" s="41"/>
      <c r="BV917" s="41"/>
      <c r="BW917" s="85"/>
      <c r="BX917" s="27">
        <v>39.36</v>
      </c>
      <c r="BY917" s="27">
        <v>39.340000000000003</v>
      </c>
    </row>
    <row r="918" spans="1:77" ht="14.1" hidden="1" customHeight="1" x14ac:dyDescent="0.3">
      <c r="A918" s="138" t="s">
        <v>1838</v>
      </c>
      <c r="B918" s="146">
        <v>46181</v>
      </c>
      <c r="C918" s="138">
        <v>888</v>
      </c>
      <c r="D918" s="135" t="s">
        <v>1885</v>
      </c>
      <c r="E918" s="129">
        <v>46182</v>
      </c>
      <c r="F918" s="138" t="s">
        <v>1575</v>
      </c>
      <c r="G918" s="281" t="s">
        <v>1576</v>
      </c>
      <c r="H918" s="281" t="s">
        <v>103</v>
      </c>
      <c r="I918" s="136"/>
      <c r="J918" s="347" t="s">
        <v>1455</v>
      </c>
      <c r="K918" s="136"/>
      <c r="L918" s="146">
        <v>46181</v>
      </c>
      <c r="M918" s="136"/>
      <c r="N918" s="187" t="s">
        <v>1939</v>
      </c>
      <c r="O918" s="146">
        <v>46182</v>
      </c>
      <c r="P918" s="138">
        <v>0</v>
      </c>
      <c r="Q918" s="138">
        <v>100</v>
      </c>
      <c r="R918" s="138">
        <v>45</v>
      </c>
      <c r="S918" s="138">
        <v>145</v>
      </c>
      <c r="T918" s="138">
        <v>145</v>
      </c>
      <c r="U918" s="136"/>
      <c r="V918" s="136"/>
      <c r="W918" s="148">
        <v>85.9</v>
      </c>
      <c r="X918" s="148">
        <v>85.8</v>
      </c>
      <c r="Y918" s="148">
        <v>687200</v>
      </c>
      <c r="Z918" s="169"/>
      <c r="AA918" s="147">
        <v>17180</v>
      </c>
      <c r="AB918" s="147">
        <v>17180</v>
      </c>
      <c r="AC918" s="147">
        <v>721560</v>
      </c>
      <c r="AD918" s="315">
        <f t="shared" si="562"/>
        <v>720838.44</v>
      </c>
      <c r="AE918" s="147">
        <v>40.29</v>
      </c>
      <c r="AF918" s="147">
        <v>42</v>
      </c>
      <c r="AG918" s="147">
        <v>40.130000000000003</v>
      </c>
      <c r="AH918" s="287">
        <v>3.8999999999999998E-3</v>
      </c>
      <c r="AI918" s="287">
        <v>0.04</v>
      </c>
      <c r="AJ918" s="287">
        <v>0.05</v>
      </c>
      <c r="AK918" s="318">
        <f t="shared" si="563"/>
        <v>30596.761904761865</v>
      </c>
      <c r="AL918" s="193">
        <f>100*10+45*15</f>
        <v>1675</v>
      </c>
      <c r="AM918" s="319">
        <f>AH918*Y918</f>
        <v>2680.08</v>
      </c>
      <c r="AN918" s="319"/>
      <c r="AO918" s="320">
        <f t="shared" si="564"/>
        <v>800</v>
      </c>
      <c r="AP918" s="193"/>
      <c r="AQ918" s="318">
        <v>0</v>
      </c>
      <c r="AR918" s="318">
        <f t="shared" si="565"/>
        <v>35751.841904761866</v>
      </c>
      <c r="AS918" s="318">
        <f t="shared" si="566"/>
        <v>37539</v>
      </c>
      <c r="AT918" s="321">
        <v>10</v>
      </c>
      <c r="AU918" s="136"/>
      <c r="AV918" s="136"/>
      <c r="AW918" s="318">
        <f t="shared" si="580"/>
        <v>8590</v>
      </c>
      <c r="AX918" s="193"/>
      <c r="AY918" s="318">
        <f t="shared" si="581"/>
        <v>8590</v>
      </c>
      <c r="AZ918" s="318">
        <f t="shared" si="582"/>
        <v>8580</v>
      </c>
      <c r="BA918" s="318">
        <f t="shared" si="583"/>
        <v>10</v>
      </c>
      <c r="BB918" s="318">
        <f t="shared" si="584"/>
        <v>17.18</v>
      </c>
      <c r="BC918" s="318">
        <v>0</v>
      </c>
      <c r="BD918" s="193"/>
      <c r="BE918" s="138">
        <v>85.9</v>
      </c>
      <c r="BF918" s="321">
        <f t="shared" si="572"/>
        <v>0.12884999999999999</v>
      </c>
      <c r="BG918" s="197">
        <f t="shared" si="573"/>
        <v>85.771150000000006</v>
      </c>
      <c r="BH918" s="321">
        <f t="shared" si="574"/>
        <v>85.8</v>
      </c>
      <c r="BI918" s="322">
        <f t="shared" si="575"/>
        <v>10.000000000000853</v>
      </c>
      <c r="BJ918" s="322">
        <v>0</v>
      </c>
      <c r="BK918" s="318">
        <f t="shared" si="576"/>
        <v>10.000000000000853</v>
      </c>
      <c r="BL918" s="67"/>
      <c r="BM918" s="68" t="str">
        <f t="shared" si="577"/>
        <v>Unloading no. 888 Bill No 2026-27/0092 ,Deduction For Oil Deduction= 30596.7619047619 ,Bardana= 1675 ,F.M= 2680.08 Brokerage/Rate Difference  ,Shortage = 800 ,Greenish=  ,Moisture= 0</v>
      </c>
      <c r="BN918" s="69"/>
      <c r="BO918" s="70" t="str">
        <f t="shared" si="578"/>
        <v xml:space="preserve"> Party Condition 42  ,F.M% 0.39 ,Greenish 4 ,Moisture 5 ,Shortage in KG= 10  ,Oil% 40.13</v>
      </c>
      <c r="BP918" s="71">
        <f t="shared" si="579"/>
        <v>7592.6358752358765</v>
      </c>
      <c r="BQ918" s="41"/>
      <c r="BR918" s="41"/>
      <c r="BS918" s="41"/>
      <c r="BT918" s="41"/>
      <c r="BU918" s="41"/>
      <c r="BV918" s="41"/>
      <c r="BW918" s="85"/>
      <c r="BX918" s="27">
        <v>40.29</v>
      </c>
      <c r="BY918" s="27">
        <v>40.130000000000003</v>
      </c>
    </row>
    <row r="919" spans="1:77" ht="14.1" hidden="1" customHeight="1" x14ac:dyDescent="0.3">
      <c r="A919" s="138" t="s">
        <v>1838</v>
      </c>
      <c r="B919" s="146">
        <v>46181</v>
      </c>
      <c r="C919" s="138">
        <v>889</v>
      </c>
      <c r="D919" s="135" t="s">
        <v>1886</v>
      </c>
      <c r="E919" s="129">
        <v>46182</v>
      </c>
      <c r="F919" s="138" t="s">
        <v>1575</v>
      </c>
      <c r="G919" s="281" t="s">
        <v>1576</v>
      </c>
      <c r="H919" s="281" t="s">
        <v>103</v>
      </c>
      <c r="I919" s="136"/>
      <c r="J919" s="347" t="s">
        <v>1455</v>
      </c>
      <c r="K919" s="136"/>
      <c r="L919" s="146">
        <v>46181</v>
      </c>
      <c r="M919" s="136"/>
      <c r="N919" s="187" t="s">
        <v>1940</v>
      </c>
      <c r="O919" s="146">
        <v>46182</v>
      </c>
      <c r="P919" s="138">
        <v>0</v>
      </c>
      <c r="Q919" s="138">
        <v>100</v>
      </c>
      <c r="R919" s="138">
        <v>41</v>
      </c>
      <c r="S919" s="138">
        <v>141</v>
      </c>
      <c r="T919" s="138">
        <v>141</v>
      </c>
      <c r="U919" s="136"/>
      <c r="V919" s="136"/>
      <c r="W919" s="148">
        <v>83.4</v>
      </c>
      <c r="X919" s="148">
        <v>83.4</v>
      </c>
      <c r="Y919" s="148">
        <v>667200</v>
      </c>
      <c r="Z919" s="169"/>
      <c r="AA919" s="147">
        <v>16680</v>
      </c>
      <c r="AB919" s="147">
        <v>16680</v>
      </c>
      <c r="AC919" s="147">
        <v>700560</v>
      </c>
      <c r="AD919" s="315">
        <f t="shared" si="562"/>
        <v>699859.44</v>
      </c>
      <c r="AE919" s="147">
        <v>40.04</v>
      </c>
      <c r="AF919" s="147">
        <v>42</v>
      </c>
      <c r="AG919" s="147">
        <v>39.950000000000003</v>
      </c>
      <c r="AH919" s="394">
        <v>4.0000000000000001E-3</v>
      </c>
      <c r="AI919" s="287">
        <v>0.05</v>
      </c>
      <c r="AJ919" s="287">
        <v>4.8000000000000001E-2</v>
      </c>
      <c r="AK919" s="318">
        <f t="shared" si="563"/>
        <v>32565.714285714239</v>
      </c>
      <c r="AL919" s="193">
        <f>100*10+41*15</f>
        <v>1615</v>
      </c>
      <c r="AM919" s="319">
        <f>AH919*Y919</f>
        <v>2668.8</v>
      </c>
      <c r="AN919" s="319"/>
      <c r="AO919" s="320">
        <f t="shared" si="564"/>
        <v>0</v>
      </c>
      <c r="AP919" s="193"/>
      <c r="AQ919" s="318">
        <v>0</v>
      </c>
      <c r="AR919" s="318">
        <f t="shared" si="565"/>
        <v>36849.514285714242</v>
      </c>
      <c r="AS919" s="318">
        <f t="shared" si="566"/>
        <v>38692</v>
      </c>
      <c r="AT919" s="321">
        <v>0</v>
      </c>
      <c r="AU919" s="136"/>
      <c r="AV919" s="136"/>
      <c r="AW919" s="318">
        <f t="shared" si="580"/>
        <v>8340</v>
      </c>
      <c r="AX919" s="193"/>
      <c r="AY919" s="318">
        <f t="shared" si="581"/>
        <v>8340</v>
      </c>
      <c r="AZ919" s="318">
        <f t="shared" si="582"/>
        <v>8340</v>
      </c>
      <c r="BA919" s="318">
        <f t="shared" si="583"/>
        <v>0</v>
      </c>
      <c r="BB919" s="318">
        <f t="shared" si="584"/>
        <v>16.68</v>
      </c>
      <c r="BC919" s="318">
        <v>0</v>
      </c>
      <c r="BD919" s="193"/>
      <c r="BE919" s="138">
        <v>83.4</v>
      </c>
      <c r="BF919" s="321">
        <f t="shared" si="572"/>
        <v>0.12509999999999999</v>
      </c>
      <c r="BG919" s="197">
        <f t="shared" si="573"/>
        <v>83.274900000000002</v>
      </c>
      <c r="BH919" s="321">
        <f t="shared" si="574"/>
        <v>83.4</v>
      </c>
      <c r="BI919" s="322">
        <f t="shared" si="575"/>
        <v>0</v>
      </c>
      <c r="BJ919" s="322">
        <v>0</v>
      </c>
      <c r="BK919" s="318">
        <f t="shared" si="576"/>
        <v>0</v>
      </c>
      <c r="BL919" s="67"/>
      <c r="BM919" s="68" t="str">
        <f t="shared" si="577"/>
        <v>Unloading no. 889 Bill No 2026-27/0093 ,Deduction For Oil Deduction= 32565.7142857142 ,Bardana= 1615 ,F.M= 2668.8 Brokerage/Rate Difference  ,Shortage = 0 ,Greenish=  ,Moisture= 0</v>
      </c>
      <c r="BN919" s="69"/>
      <c r="BO919" s="70" t="str">
        <f t="shared" si="578"/>
        <v xml:space="preserve"> Party Condition 42  ,F.M% 0.4 ,Greenish 5 ,Moisture 4.8 ,Shortage in KG= 0  ,Oil% 39.95</v>
      </c>
      <c r="BP919" s="71">
        <f t="shared" si="579"/>
        <v>7558.159301130524</v>
      </c>
      <c r="BQ919" s="41"/>
      <c r="BR919" s="41"/>
      <c r="BS919" s="41"/>
      <c r="BT919" s="41"/>
      <c r="BU919" s="41"/>
      <c r="BV919" s="41"/>
      <c r="BW919" s="85"/>
      <c r="BX919" s="27">
        <v>40.04</v>
      </c>
      <c r="BY919" s="27">
        <v>39.950000000000003</v>
      </c>
    </row>
    <row r="920" spans="1:77" ht="14.1" hidden="1" customHeight="1" x14ac:dyDescent="0.3">
      <c r="A920" s="138" t="s">
        <v>1539</v>
      </c>
      <c r="B920" s="146">
        <v>46174</v>
      </c>
      <c r="C920" s="138">
        <v>890</v>
      </c>
      <c r="D920" s="135" t="s">
        <v>1887</v>
      </c>
      <c r="E920" s="129">
        <v>46182</v>
      </c>
      <c r="F920" s="138" t="s">
        <v>1144</v>
      </c>
      <c r="G920" s="281" t="s">
        <v>1145</v>
      </c>
      <c r="H920" s="281" t="s">
        <v>1901</v>
      </c>
      <c r="I920" s="136"/>
      <c r="J920" s="347" t="s">
        <v>1455</v>
      </c>
      <c r="K920" s="136"/>
      <c r="L920" s="146">
        <v>46174</v>
      </c>
      <c r="M920" s="136"/>
      <c r="N920" s="187" t="s">
        <v>1941</v>
      </c>
      <c r="O920" s="146">
        <v>46182</v>
      </c>
      <c r="P920" s="138">
        <v>0</v>
      </c>
      <c r="Q920" s="138">
        <v>100</v>
      </c>
      <c r="R920" s="138">
        <v>50</v>
      </c>
      <c r="S920" s="138">
        <v>150</v>
      </c>
      <c r="T920" s="138">
        <v>150</v>
      </c>
      <c r="U920" s="136"/>
      <c r="V920" s="136"/>
      <c r="W920" s="148">
        <v>90.2</v>
      </c>
      <c r="X920" s="148">
        <v>90.3</v>
      </c>
      <c r="Y920" s="148">
        <v>721600</v>
      </c>
      <c r="Z920" s="236">
        <v>40.200000000000003</v>
      </c>
      <c r="AA920" s="147">
        <v>18040</v>
      </c>
      <c r="AB920" s="147">
        <v>18040</v>
      </c>
      <c r="AC920" s="147">
        <v>757680</v>
      </c>
      <c r="AD920" s="315">
        <f t="shared" si="562"/>
        <v>756922.32</v>
      </c>
      <c r="AE920" s="147">
        <v>40.200000000000003</v>
      </c>
      <c r="AF920" s="147">
        <v>42</v>
      </c>
      <c r="AG920" s="147">
        <v>40.200000000000003</v>
      </c>
      <c r="AH920" s="395">
        <v>4.0000000000000001E-3</v>
      </c>
      <c r="AI920" s="287">
        <v>4.3999999999999997E-2</v>
      </c>
      <c r="AJ920" s="287">
        <v>4.4999999999999998E-2</v>
      </c>
      <c r="AK920" s="318">
        <f t="shared" si="563"/>
        <v>30925.714285714235</v>
      </c>
      <c r="AL920" s="193"/>
      <c r="AM920" s="319"/>
      <c r="AN920" s="319"/>
      <c r="AO920" s="320">
        <f t="shared" si="564"/>
        <v>0</v>
      </c>
      <c r="AP920" s="193"/>
      <c r="AQ920" s="318">
        <v>0</v>
      </c>
      <c r="AR920" s="318">
        <f t="shared" si="565"/>
        <v>30925.714285714235</v>
      </c>
      <c r="AS920" s="318">
        <f t="shared" si="566"/>
        <v>32472</v>
      </c>
      <c r="AT920" s="321">
        <v>0</v>
      </c>
      <c r="AU920" s="136"/>
      <c r="AV920" s="136"/>
      <c r="AW920" s="318">
        <f t="shared" si="580"/>
        <v>9020</v>
      </c>
      <c r="AX920" s="193"/>
      <c r="AY920" s="318">
        <f t="shared" si="581"/>
        <v>9020</v>
      </c>
      <c r="AZ920" s="318">
        <f t="shared" si="582"/>
        <v>9030</v>
      </c>
      <c r="BA920" s="318">
        <f t="shared" si="583"/>
        <v>-10</v>
      </c>
      <c r="BB920" s="318">
        <f t="shared" si="584"/>
        <v>18.04</v>
      </c>
      <c r="BC920" s="318">
        <v>0</v>
      </c>
      <c r="BD920" s="193"/>
      <c r="BE920" s="138">
        <v>90.2</v>
      </c>
      <c r="BF920" s="321">
        <f t="shared" si="572"/>
        <v>0.1353</v>
      </c>
      <c r="BG920" s="197">
        <f t="shared" si="573"/>
        <v>90.064700000000002</v>
      </c>
      <c r="BH920" s="321">
        <f t="shared" si="574"/>
        <v>90.3</v>
      </c>
      <c r="BI920" s="322">
        <f t="shared" si="575"/>
        <v>-9.9999999999994316</v>
      </c>
      <c r="BJ920" s="322">
        <v>0</v>
      </c>
      <c r="BK920" s="318">
        <f t="shared" si="576"/>
        <v>-9.9999999999994316</v>
      </c>
      <c r="BL920" s="67"/>
      <c r="BM920" s="68" t="str">
        <f t="shared" si="577"/>
        <v>Unloading no. 890 Bill No 2026-27/227 ,Deduction For Oil Deduction= 30925.7142857142 ,Bardana=  ,F.M=  Brokerage/Rate Difference  ,Shortage = 0 ,Greenish=  ,Moisture= 0</v>
      </c>
      <c r="BN920" s="69"/>
      <c r="BO920" s="70" t="str">
        <f t="shared" si="578"/>
        <v xml:space="preserve"> Party Condition 42  ,F.M% 0.4 ,Greenish 4.4 ,Moisture 4.5 ,Shortage in KG= 0  ,Oil% 40.2</v>
      </c>
      <c r="BP920" s="71">
        <f t="shared" si="579"/>
        <v>7648.6631862047152</v>
      </c>
      <c r="BQ920" s="41"/>
      <c r="BR920" s="41"/>
      <c r="BS920" s="41"/>
      <c r="BT920" s="41"/>
      <c r="BU920" s="41"/>
      <c r="BV920" s="41"/>
      <c r="BW920" s="85"/>
      <c r="BX920" s="27">
        <v>40.06</v>
      </c>
      <c r="BY920" s="27">
        <v>39.97</v>
      </c>
    </row>
    <row r="921" spans="1:77" ht="14.1" hidden="1" customHeight="1" x14ac:dyDescent="0.3">
      <c r="A921" s="138" t="s">
        <v>1839</v>
      </c>
      <c r="B921" s="146">
        <v>46176</v>
      </c>
      <c r="C921" s="138">
        <v>891</v>
      </c>
      <c r="D921" s="135" t="s">
        <v>1888</v>
      </c>
      <c r="E921" s="129">
        <v>46182</v>
      </c>
      <c r="F921" s="138" t="s">
        <v>1144</v>
      </c>
      <c r="G921" s="281" t="s">
        <v>1145</v>
      </c>
      <c r="H921" s="281" t="s">
        <v>1901</v>
      </c>
      <c r="I921" s="136"/>
      <c r="J921" s="347" t="s">
        <v>1455</v>
      </c>
      <c r="K921" s="136"/>
      <c r="L921" s="146">
        <v>46176</v>
      </c>
      <c r="M921" s="136"/>
      <c r="N921" s="187" t="s">
        <v>1942</v>
      </c>
      <c r="O921" s="146">
        <v>46182</v>
      </c>
      <c r="P921" s="138">
        <v>0</v>
      </c>
      <c r="Q921" s="138">
        <v>130</v>
      </c>
      <c r="R921" s="138">
        <v>20</v>
      </c>
      <c r="S921" s="138">
        <v>150</v>
      </c>
      <c r="T921" s="138">
        <v>150</v>
      </c>
      <c r="U921" s="136"/>
      <c r="V921" s="136"/>
      <c r="W921" s="148">
        <v>90.6</v>
      </c>
      <c r="X921" s="148">
        <v>90.5</v>
      </c>
      <c r="Y921" s="148">
        <v>729420.6</v>
      </c>
      <c r="Z921" s="236">
        <v>40.56</v>
      </c>
      <c r="AA921" s="147">
        <v>18235.52</v>
      </c>
      <c r="AB921" s="147">
        <v>18235.52</v>
      </c>
      <c r="AC921" s="147">
        <v>765891.63</v>
      </c>
      <c r="AD921" s="315">
        <f t="shared" si="562"/>
        <v>765125.73837000004</v>
      </c>
      <c r="AE921" s="147">
        <v>40.56</v>
      </c>
      <c r="AF921" s="147">
        <v>42</v>
      </c>
      <c r="AG921" s="147">
        <v>40.56</v>
      </c>
      <c r="AH921" s="395">
        <v>4.1999999999999997E-3</v>
      </c>
      <c r="AI921" s="287">
        <v>4.7E-2</v>
      </c>
      <c r="AJ921" s="287">
        <v>0.05</v>
      </c>
      <c r="AK921" s="318">
        <f t="shared" si="563"/>
        <v>25008.706285714245</v>
      </c>
      <c r="AL921" s="193"/>
      <c r="AM921" s="319"/>
      <c r="AN921" s="319"/>
      <c r="AO921" s="320">
        <f t="shared" si="564"/>
        <v>0</v>
      </c>
      <c r="AP921" s="193"/>
      <c r="AQ921" s="318">
        <v>0</v>
      </c>
      <c r="AR921" s="318">
        <f t="shared" si="565"/>
        <v>25008.706285714245</v>
      </c>
      <c r="AS921" s="318">
        <f t="shared" si="566"/>
        <v>26259</v>
      </c>
      <c r="AT921" s="321">
        <v>0</v>
      </c>
      <c r="AU921" s="136"/>
      <c r="AV921" s="136"/>
      <c r="AW921" s="318">
        <f t="shared" si="580"/>
        <v>9060</v>
      </c>
      <c r="AX921" s="193"/>
      <c r="AY921" s="318">
        <f t="shared" si="581"/>
        <v>9060</v>
      </c>
      <c r="AZ921" s="318">
        <f t="shared" si="582"/>
        <v>9050</v>
      </c>
      <c r="BA921" s="318">
        <f t="shared" si="583"/>
        <v>10</v>
      </c>
      <c r="BB921" s="318">
        <f t="shared" si="584"/>
        <v>18.12</v>
      </c>
      <c r="BC921" s="318">
        <v>0</v>
      </c>
      <c r="BD921" s="193"/>
      <c r="BE921" s="138">
        <v>90.6</v>
      </c>
      <c r="BF921" s="321">
        <f t="shared" si="572"/>
        <v>0.13589999999999999</v>
      </c>
      <c r="BG921" s="197">
        <f t="shared" si="573"/>
        <v>90.464099999999988</v>
      </c>
      <c r="BH921" s="321">
        <f t="shared" si="574"/>
        <v>90.5</v>
      </c>
      <c r="BI921" s="322">
        <f t="shared" si="575"/>
        <v>9.9999999999994316</v>
      </c>
      <c r="BJ921" s="322">
        <v>0</v>
      </c>
      <c r="BK921" s="318">
        <f t="shared" si="576"/>
        <v>9.9999999999994316</v>
      </c>
      <c r="BL921" s="67"/>
      <c r="BM921" s="68" t="str">
        <f t="shared" si="577"/>
        <v>Unloading no. 891 Bill No 2026-27/228 ,Deduction For Oil Deduction= 25008.7062857142 ,Bardana=  ,F.M=  Brokerage/Rate Difference  ,Shortage = 0 ,Greenish=  ,Moisture= 0</v>
      </c>
      <c r="BN921" s="69"/>
      <c r="BO921" s="70" t="str">
        <f t="shared" si="578"/>
        <v xml:space="preserve"> Party Condition 42  ,F.M% 0.42 ,Greenish 4.7 ,Moisture 5 ,Shortage in KG= 0  ,Oil% 40.56</v>
      </c>
      <c r="BP921" s="71">
        <f t="shared" si="579"/>
        <v>7783.5568366219413</v>
      </c>
      <c r="BQ921" s="41"/>
      <c r="BR921" s="41"/>
      <c r="BS921" s="41"/>
      <c r="BT921" s="41"/>
      <c r="BU921" s="41"/>
      <c r="BV921" s="41"/>
      <c r="BW921" s="85"/>
      <c r="BX921" s="27">
        <v>40.700000000000003</v>
      </c>
      <c r="BY921" s="27">
        <v>40.54</v>
      </c>
    </row>
    <row r="922" spans="1:77" ht="14.1" hidden="1" customHeight="1" x14ac:dyDescent="0.3">
      <c r="A922" s="138" t="s">
        <v>1839</v>
      </c>
      <c r="B922" s="146">
        <v>46176</v>
      </c>
      <c r="C922" s="138">
        <v>892</v>
      </c>
      <c r="D922" s="135" t="s">
        <v>1889</v>
      </c>
      <c r="E922" s="129">
        <v>46182</v>
      </c>
      <c r="F922" s="138" t="s">
        <v>1144</v>
      </c>
      <c r="G922" s="281" t="s">
        <v>1145</v>
      </c>
      <c r="H922" s="281" t="s">
        <v>1901</v>
      </c>
      <c r="I922" s="136"/>
      <c r="J922" s="347" t="s">
        <v>1455</v>
      </c>
      <c r="K922" s="136"/>
      <c r="L922" s="146">
        <v>46176</v>
      </c>
      <c r="M922" s="136"/>
      <c r="N922" s="138" t="s">
        <v>1943</v>
      </c>
      <c r="O922" s="146">
        <v>46182</v>
      </c>
      <c r="P922" s="138">
        <v>0</v>
      </c>
      <c r="Q922" s="138">
        <v>90</v>
      </c>
      <c r="R922" s="138">
        <v>100</v>
      </c>
      <c r="S922" s="138">
        <v>190</v>
      </c>
      <c r="T922" s="138">
        <v>190</v>
      </c>
      <c r="U922" s="136"/>
      <c r="V922" s="136"/>
      <c r="W922" s="148">
        <v>94.9</v>
      </c>
      <c r="X922" s="148">
        <v>94.9</v>
      </c>
      <c r="Y922" s="148">
        <v>764039.9</v>
      </c>
      <c r="Z922" s="236">
        <v>40.14</v>
      </c>
      <c r="AA922" s="147">
        <v>19101</v>
      </c>
      <c r="AB922" s="147">
        <v>19101</v>
      </c>
      <c r="AC922" s="147">
        <v>802241.9</v>
      </c>
      <c r="AD922" s="315">
        <f t="shared" si="562"/>
        <v>801439.6581</v>
      </c>
      <c r="AE922" s="147">
        <v>40.14</v>
      </c>
      <c r="AF922" s="147">
        <v>42</v>
      </c>
      <c r="AG922" s="147">
        <v>40.14</v>
      </c>
      <c r="AH922" s="395">
        <v>3.3999999999999998E-3</v>
      </c>
      <c r="AI922" s="287">
        <v>4.3799999999999999E-2</v>
      </c>
      <c r="AJ922" s="287">
        <v>5.1999999999999998E-2</v>
      </c>
      <c r="AK922" s="318">
        <f t="shared" si="563"/>
        <v>33836.05271428571</v>
      </c>
      <c r="AL922" s="193"/>
      <c r="AM922" s="319"/>
      <c r="AN922" s="319"/>
      <c r="AO922" s="320">
        <f t="shared" si="564"/>
        <v>0</v>
      </c>
      <c r="AP922" s="193"/>
      <c r="AQ922" s="318">
        <v>0</v>
      </c>
      <c r="AR922" s="318">
        <f t="shared" si="565"/>
        <v>33836.05271428571</v>
      </c>
      <c r="AS922" s="318">
        <f t="shared" si="566"/>
        <v>35528</v>
      </c>
      <c r="AT922" s="321">
        <v>0</v>
      </c>
      <c r="AU922" s="136"/>
      <c r="AV922" s="136"/>
      <c r="AW922" s="318">
        <f t="shared" si="580"/>
        <v>9490</v>
      </c>
      <c r="AX922" s="193"/>
      <c r="AY922" s="318">
        <f t="shared" si="581"/>
        <v>9490</v>
      </c>
      <c r="AZ922" s="318">
        <f t="shared" si="582"/>
        <v>9490</v>
      </c>
      <c r="BA922" s="318">
        <f t="shared" si="583"/>
        <v>0</v>
      </c>
      <c r="BB922" s="318">
        <f t="shared" si="584"/>
        <v>18.98</v>
      </c>
      <c r="BC922" s="318">
        <v>0</v>
      </c>
      <c r="BD922" s="193"/>
      <c r="BE922" s="138">
        <v>94.9</v>
      </c>
      <c r="BF922" s="321">
        <f t="shared" si="572"/>
        <v>0.14235</v>
      </c>
      <c r="BG922" s="197">
        <f t="shared" si="573"/>
        <v>94.757650000000012</v>
      </c>
      <c r="BH922" s="321">
        <f t="shared" si="574"/>
        <v>94.9</v>
      </c>
      <c r="BI922" s="322">
        <f t="shared" si="575"/>
        <v>0</v>
      </c>
      <c r="BJ922" s="322">
        <v>0</v>
      </c>
      <c r="BK922" s="318">
        <f t="shared" si="576"/>
        <v>0</v>
      </c>
      <c r="BL922" s="67"/>
      <c r="BM922" s="68" t="str">
        <f t="shared" si="577"/>
        <v>Unloading no. 892 Bill No 2026-27/230 ,Deduction For Oil Deduction= 33836.0527142857 ,Bardana=  ,F.M=  Brokerage/Rate Difference  ,Shortage = 0 ,Greenish=  ,Moisture= 0</v>
      </c>
      <c r="BN922" s="69"/>
      <c r="BO922" s="70" t="str">
        <f t="shared" si="578"/>
        <v xml:space="preserve"> Party Condition 42  ,F.M% 0.34 ,Greenish 4.38 ,Moisture 5.2 ,Shortage in KG= 0  ,Oil% 40.14</v>
      </c>
      <c r="BP922" s="71">
        <f t="shared" si="579"/>
        <v>7694.4557142857147</v>
      </c>
      <c r="BQ922" s="41"/>
      <c r="BR922" s="41"/>
      <c r="BS922" s="41"/>
      <c r="BT922" s="41"/>
      <c r="BU922" s="41"/>
      <c r="BV922" s="41"/>
      <c r="BW922" s="85"/>
      <c r="BX922" s="27">
        <v>39.85</v>
      </c>
      <c r="BY922" s="27">
        <v>39.770000000000003</v>
      </c>
    </row>
    <row r="923" spans="1:77" ht="14.1" hidden="1" customHeight="1" x14ac:dyDescent="0.3">
      <c r="A923" s="138" t="s">
        <v>1839</v>
      </c>
      <c r="B923" s="146">
        <v>46176</v>
      </c>
      <c r="C923" s="138">
        <v>893</v>
      </c>
      <c r="D923" s="135" t="s">
        <v>1890</v>
      </c>
      <c r="E923" s="129">
        <v>46182</v>
      </c>
      <c r="F923" s="138" t="s">
        <v>1144</v>
      </c>
      <c r="G923" s="281" t="s">
        <v>1145</v>
      </c>
      <c r="H923" s="281" t="s">
        <v>1901</v>
      </c>
      <c r="I923" s="136"/>
      <c r="J923" s="347" t="s">
        <v>1455</v>
      </c>
      <c r="K923" s="136"/>
      <c r="L923" s="146">
        <v>46176</v>
      </c>
      <c r="M923" s="136"/>
      <c r="N923" s="138" t="s">
        <v>1944</v>
      </c>
      <c r="O923" s="146">
        <v>46182</v>
      </c>
      <c r="P923" s="138">
        <v>0</v>
      </c>
      <c r="Q923" s="138">
        <v>120</v>
      </c>
      <c r="R923" s="138">
        <v>70</v>
      </c>
      <c r="S923" s="138">
        <v>190</v>
      </c>
      <c r="T923" s="138">
        <v>190</v>
      </c>
      <c r="U923" s="136"/>
      <c r="V923" s="136"/>
      <c r="W923" s="148">
        <v>94.6</v>
      </c>
      <c r="X923" s="148">
        <v>94.5</v>
      </c>
      <c r="Y923" s="148">
        <v>761624.6</v>
      </c>
      <c r="Z923" s="236">
        <v>39.950000000000003</v>
      </c>
      <c r="AA923" s="147">
        <v>19040.62</v>
      </c>
      <c r="AB923" s="147">
        <v>19040.62</v>
      </c>
      <c r="AC923" s="147">
        <v>799705.83</v>
      </c>
      <c r="AD923" s="315">
        <f t="shared" si="562"/>
        <v>798906.12416999997</v>
      </c>
      <c r="AE923" s="147">
        <v>39.950000000000003</v>
      </c>
      <c r="AF923" s="147">
        <v>42</v>
      </c>
      <c r="AG923" s="147">
        <v>39.950000000000003</v>
      </c>
      <c r="AH923" s="395">
        <v>3.5999999999999999E-3</v>
      </c>
      <c r="AI923" s="287">
        <v>3.6999999999999998E-2</v>
      </c>
      <c r="AJ923" s="287">
        <v>4.9000000000000002E-2</v>
      </c>
      <c r="AK923" s="318">
        <f t="shared" si="563"/>
        <v>37174.534047618996</v>
      </c>
      <c r="AL923" s="193"/>
      <c r="AM923" s="319"/>
      <c r="AN923" s="319"/>
      <c r="AO923" s="320">
        <f t="shared" si="564"/>
        <v>0</v>
      </c>
      <c r="AP923" s="193"/>
      <c r="AQ923" s="318">
        <v>0</v>
      </c>
      <c r="AR923" s="318">
        <f t="shared" si="565"/>
        <v>37174.534047618996</v>
      </c>
      <c r="AS923" s="318">
        <f t="shared" si="566"/>
        <v>39033</v>
      </c>
      <c r="AT923" s="321">
        <v>0</v>
      </c>
      <c r="AU923" s="136"/>
      <c r="AV923" s="136"/>
      <c r="AW923" s="318">
        <f t="shared" si="580"/>
        <v>9460</v>
      </c>
      <c r="AX923" s="193"/>
      <c r="AY923" s="318">
        <f t="shared" si="581"/>
        <v>9460</v>
      </c>
      <c r="AZ923" s="318">
        <f t="shared" si="582"/>
        <v>9450</v>
      </c>
      <c r="BA923" s="318">
        <f t="shared" si="583"/>
        <v>10</v>
      </c>
      <c r="BB923" s="318">
        <f t="shared" si="584"/>
        <v>18.920000000000002</v>
      </c>
      <c r="BC923" s="318">
        <v>0</v>
      </c>
      <c r="BD923" s="193"/>
      <c r="BE923" s="138">
        <v>94.6</v>
      </c>
      <c r="BF923" s="321">
        <f t="shared" si="572"/>
        <v>0.1419</v>
      </c>
      <c r="BG923" s="197">
        <f t="shared" si="573"/>
        <v>94.458099999999988</v>
      </c>
      <c r="BH923" s="321">
        <f t="shared" si="574"/>
        <v>94.5</v>
      </c>
      <c r="BI923" s="322">
        <f t="shared" si="575"/>
        <v>9.9999999999994316</v>
      </c>
      <c r="BJ923" s="322">
        <v>0</v>
      </c>
      <c r="BK923" s="318">
        <f t="shared" si="576"/>
        <v>9.9999999999994316</v>
      </c>
      <c r="BL923" s="67"/>
      <c r="BM923" s="68" t="str">
        <f t="shared" si="577"/>
        <v>Unloading no. 893 Bill No 2026-27/231 ,Deduction For Oil Deduction= 37174.534047619 ,Bardana=  ,F.M=  Brokerage/Rate Difference  ,Shortage = 0 ,Greenish=  ,Moisture= 0</v>
      </c>
      <c r="BN923" s="69"/>
      <c r="BO923" s="70" t="str">
        <f t="shared" si="578"/>
        <v xml:space="preserve"> Party Condition 42  ,F.M% 0.36 ,Greenish 3.7 ,Moisture 4.9 ,Shortage in KG= 0  ,Oil% 39.95</v>
      </c>
      <c r="BP923" s="71">
        <f t="shared" si="579"/>
        <v>7666.1382640463598</v>
      </c>
      <c r="BQ923" s="41"/>
      <c r="BR923" s="41"/>
      <c r="BS923" s="41"/>
      <c r="BT923" s="41"/>
      <c r="BU923" s="41"/>
      <c r="BV923" s="41"/>
      <c r="BW923" s="85"/>
      <c r="BX923" s="27">
        <v>40.08</v>
      </c>
      <c r="BY923" s="27">
        <v>40.07</v>
      </c>
    </row>
    <row r="924" spans="1:77" ht="14.1" hidden="1" customHeight="1" x14ac:dyDescent="0.3">
      <c r="A924" s="138" t="s">
        <v>1840</v>
      </c>
      <c r="B924" s="146">
        <v>46181</v>
      </c>
      <c r="C924" s="138">
        <v>894</v>
      </c>
      <c r="D924" s="135" t="s">
        <v>1891</v>
      </c>
      <c r="E924" s="129">
        <v>46183</v>
      </c>
      <c r="F924" s="138" t="s">
        <v>1807</v>
      </c>
      <c r="G924" s="128" t="s">
        <v>1808</v>
      </c>
      <c r="H924" s="128" t="s">
        <v>1901</v>
      </c>
      <c r="I924" s="136"/>
      <c r="J924" s="347" t="s">
        <v>1455</v>
      </c>
      <c r="K924" s="136"/>
      <c r="L924" s="146">
        <v>46181</v>
      </c>
      <c r="M924" s="136"/>
      <c r="N924" s="128" t="s">
        <v>1945</v>
      </c>
      <c r="O924" s="146">
        <v>46182</v>
      </c>
      <c r="P924" s="138">
        <v>0</v>
      </c>
      <c r="Q924" s="138">
        <v>410</v>
      </c>
      <c r="R924" s="138">
        <v>161</v>
      </c>
      <c r="S924" s="138">
        <v>571</v>
      </c>
      <c r="T924" s="138">
        <v>571</v>
      </c>
      <c r="U924" s="136"/>
      <c r="V924" s="136"/>
      <c r="W924" s="148">
        <v>342.4</v>
      </c>
      <c r="X924" s="148">
        <v>341</v>
      </c>
      <c r="Y924" s="148">
        <v>2739200</v>
      </c>
      <c r="Z924" s="169"/>
      <c r="AA924" s="147">
        <v>68480</v>
      </c>
      <c r="AB924" s="147">
        <v>68480</v>
      </c>
      <c r="AC924" s="147">
        <v>2876160</v>
      </c>
      <c r="AD924" s="315">
        <f t="shared" si="562"/>
        <v>2873283.84</v>
      </c>
      <c r="AE924" s="147">
        <v>37.68</v>
      </c>
      <c r="AF924" s="147">
        <v>42</v>
      </c>
      <c r="AG924" s="138">
        <v>37.64</v>
      </c>
      <c r="AH924" s="395">
        <v>3.3999999999999998E-3</v>
      </c>
      <c r="AI924" s="287">
        <v>4.3499999999999997E-2</v>
      </c>
      <c r="AJ924" s="287">
        <v>4.7E-2</v>
      </c>
      <c r="AK924" s="318">
        <f t="shared" si="563"/>
        <v>284355.04761904757</v>
      </c>
      <c r="AL924" s="193">
        <f>410*10+161*15</f>
        <v>6515</v>
      </c>
      <c r="AM924" s="319">
        <f>AH924*Y924</f>
        <v>9313.2799999999988</v>
      </c>
      <c r="AN924" s="319">
        <f>W924*15</f>
        <v>5136</v>
      </c>
      <c r="AO924" s="320">
        <f t="shared" si="564"/>
        <v>11200</v>
      </c>
      <c r="AP924" s="193"/>
      <c r="AQ924" s="318">
        <v>0</v>
      </c>
      <c r="AR924" s="325">
        <f t="shared" si="565"/>
        <v>316519.3276190476</v>
      </c>
      <c r="AS924" s="318">
        <f t="shared" si="566"/>
        <v>332345</v>
      </c>
      <c r="AT924" s="321">
        <v>140</v>
      </c>
      <c r="AU924" s="136"/>
      <c r="AV924" s="136"/>
      <c r="AW924" s="318">
        <f t="shared" si="580"/>
        <v>34240</v>
      </c>
      <c r="AX924" s="193"/>
      <c r="AY924" s="318">
        <f t="shared" si="581"/>
        <v>34240</v>
      </c>
      <c r="AZ924" s="318">
        <f t="shared" si="582"/>
        <v>34100</v>
      </c>
      <c r="BA924" s="318">
        <f t="shared" si="583"/>
        <v>140</v>
      </c>
      <c r="BB924" s="318">
        <f t="shared" si="584"/>
        <v>68.48</v>
      </c>
      <c r="BC924" s="318">
        <v>0</v>
      </c>
      <c r="BD924" s="193"/>
      <c r="BE924" s="138">
        <v>342.4</v>
      </c>
      <c r="BF924" s="321">
        <f t="shared" si="572"/>
        <v>0.51359999999999995</v>
      </c>
      <c r="BG924" s="197">
        <f t="shared" si="573"/>
        <v>341.88639999999998</v>
      </c>
      <c r="BH924" s="321">
        <f t="shared" si="574"/>
        <v>341</v>
      </c>
      <c r="BI924" s="322">
        <f t="shared" si="575"/>
        <v>139.99999999999773</v>
      </c>
      <c r="BJ924" s="322">
        <v>0</v>
      </c>
      <c r="BK924" s="318">
        <f t="shared" si="576"/>
        <v>139.99999999999773</v>
      </c>
      <c r="BL924" s="67"/>
      <c r="BM924" s="68" t="str">
        <f t="shared" si="577"/>
        <v>Unloading no. 894 Bill No 2026-27/5 ,Deduction For Oil Deduction= 284355.047619048 ,Bardana= 6515 ,F.M= 9313.28 Brokerage/Rate Difference 5136 ,Shortage = 11200 ,Greenish=  ,Moisture= 0</v>
      </c>
      <c r="BN924" s="69"/>
      <c r="BO924" s="70" t="str">
        <f t="shared" si="578"/>
        <v xml:space="preserve"> Party Condition 42  ,F.M% 0.34 ,Greenish 4.35 ,Moisture 4.7 ,Shortage in KG= 140  ,Oil% 37.64</v>
      </c>
      <c r="BP924" s="71">
        <f t="shared" si="579"/>
        <v>7104.6354028766928</v>
      </c>
      <c r="BQ924" s="41"/>
      <c r="BR924" s="41"/>
      <c r="BS924" s="41"/>
      <c r="BT924" s="41"/>
      <c r="BU924" s="41"/>
      <c r="BV924" s="41"/>
      <c r="BW924" s="85"/>
      <c r="BX924" s="27">
        <v>37.68</v>
      </c>
      <c r="BY924" s="27">
        <v>37.64</v>
      </c>
    </row>
    <row r="925" spans="1:77" ht="14.1" hidden="1" customHeight="1" x14ac:dyDescent="0.3">
      <c r="A925" s="138" t="s">
        <v>1841</v>
      </c>
      <c r="B925" s="146">
        <v>46181</v>
      </c>
      <c r="C925" s="138">
        <v>895</v>
      </c>
      <c r="D925" s="135" t="s">
        <v>1892</v>
      </c>
      <c r="E925" s="129">
        <v>46183</v>
      </c>
      <c r="F925" s="138" t="s">
        <v>1450</v>
      </c>
      <c r="G925" s="128" t="s">
        <v>1451</v>
      </c>
      <c r="H925" s="128" t="s">
        <v>199</v>
      </c>
      <c r="I925" s="136"/>
      <c r="J925" s="347" t="s">
        <v>1455</v>
      </c>
      <c r="K925" s="136"/>
      <c r="L925" s="146">
        <v>46181</v>
      </c>
      <c r="M925" s="136"/>
      <c r="N925" s="128" t="s">
        <v>1946</v>
      </c>
      <c r="O925" s="146">
        <v>46182</v>
      </c>
      <c r="P925" s="138">
        <v>0</v>
      </c>
      <c r="Q925" s="138">
        <v>200</v>
      </c>
      <c r="R925" s="138">
        <v>55</v>
      </c>
      <c r="S925" s="138">
        <v>255</v>
      </c>
      <c r="T925" s="138">
        <v>255</v>
      </c>
      <c r="U925" s="136"/>
      <c r="V925" s="136"/>
      <c r="W925" s="148">
        <v>154.1</v>
      </c>
      <c r="X925" s="148">
        <v>154.1</v>
      </c>
      <c r="Y925" s="148">
        <v>1232800</v>
      </c>
      <c r="Z925" s="128"/>
      <c r="AA925" s="147">
        <v>30820</v>
      </c>
      <c r="AB925" s="147">
        <v>30820</v>
      </c>
      <c r="AC925" s="147">
        <v>1294440</v>
      </c>
      <c r="AD925" s="315">
        <f t="shared" si="562"/>
        <v>1293145.56</v>
      </c>
      <c r="AE925" s="147">
        <v>39.43</v>
      </c>
      <c r="AF925" s="147">
        <v>42</v>
      </c>
      <c r="AG925" s="138">
        <v>39.39</v>
      </c>
      <c r="AH925" s="395">
        <v>4.0000000000000001E-3</v>
      </c>
      <c r="AI925" s="287">
        <v>3.6999999999999998E-2</v>
      </c>
      <c r="AJ925" s="287">
        <v>4.3999999999999997E-2</v>
      </c>
      <c r="AK925" s="318">
        <f t="shared" si="563"/>
        <v>76609.714285714275</v>
      </c>
      <c r="AL925" s="193">
        <f>200*10+55*15</f>
        <v>2825</v>
      </c>
      <c r="AM925" s="319">
        <f>AH925*Y925</f>
        <v>4931.2</v>
      </c>
      <c r="AN925" s="319">
        <v>1017.06</v>
      </c>
      <c r="AO925" s="320">
        <f t="shared" si="564"/>
        <v>0</v>
      </c>
      <c r="AP925" s="193"/>
      <c r="AQ925" s="318">
        <v>0</v>
      </c>
      <c r="AR925" s="325">
        <f t="shared" si="565"/>
        <v>85382.97428571427</v>
      </c>
      <c r="AS925" s="318">
        <f t="shared" si="566"/>
        <v>89652</v>
      </c>
      <c r="AT925" s="321">
        <v>0</v>
      </c>
      <c r="AU925" s="136" t="s">
        <v>1535</v>
      </c>
      <c r="AV925" s="136"/>
      <c r="AW925" s="318">
        <f t="shared" si="580"/>
        <v>15410</v>
      </c>
      <c r="AX925" s="193"/>
      <c r="AY925" s="318">
        <f t="shared" si="581"/>
        <v>15410</v>
      </c>
      <c r="AZ925" s="318">
        <f t="shared" si="582"/>
        <v>15410</v>
      </c>
      <c r="BA925" s="318">
        <f t="shared" si="583"/>
        <v>0</v>
      </c>
      <c r="BB925" s="318">
        <f t="shared" si="584"/>
        <v>30.82</v>
      </c>
      <c r="BC925" s="318">
        <v>0</v>
      </c>
      <c r="BD925" s="193"/>
      <c r="BE925" s="138">
        <v>154.1</v>
      </c>
      <c r="BF925" s="321">
        <f t="shared" si="572"/>
        <v>0.23114999999999999</v>
      </c>
      <c r="BG925" s="197">
        <f t="shared" si="573"/>
        <v>153.86884999999998</v>
      </c>
      <c r="BH925" s="321">
        <f t="shared" si="574"/>
        <v>154.1</v>
      </c>
      <c r="BI925" s="322">
        <f t="shared" si="575"/>
        <v>0</v>
      </c>
      <c r="BJ925" s="322">
        <v>0</v>
      </c>
      <c r="BK925" s="318">
        <f t="shared" si="576"/>
        <v>0</v>
      </c>
      <c r="BL925" s="67"/>
      <c r="BM925" s="68" t="str">
        <f t="shared" si="577"/>
        <v>Unloading no. 895 Bill No ST-23 ,Deduction For Oil Deduction= 76609.7142857143 ,Bardana= 2825 ,F.M= 4931.2 Brokerage/Rate Difference 1017.06 ,Shortage = 0 ,Greenish=  ,Moisture= 0</v>
      </c>
      <c r="BN925" s="69"/>
      <c r="BO925" s="70" t="str">
        <f t="shared" si="578"/>
        <v xml:space="preserve"> Party Condition 42  ,F.M% 0.4 ,Greenish 3.7 ,Moisture 4.4 ,Shortage in KG= 0  ,Oil% 39.39</v>
      </c>
      <c r="BP925" s="71">
        <f t="shared" si="579"/>
        <v>7445.9248910725873</v>
      </c>
      <c r="BQ925" s="41"/>
      <c r="BR925" s="41"/>
      <c r="BS925" s="41"/>
      <c r="BT925" s="41"/>
      <c r="BU925" s="41"/>
      <c r="BV925" s="41"/>
      <c r="BW925" s="85"/>
      <c r="BX925" s="27">
        <v>39.43</v>
      </c>
      <c r="BY925" s="27">
        <v>39.39</v>
      </c>
    </row>
    <row r="926" spans="1:77" ht="14.1" hidden="1" customHeight="1" x14ac:dyDescent="0.3">
      <c r="A926" s="138" t="s">
        <v>1839</v>
      </c>
      <c r="B926" s="146">
        <v>46176</v>
      </c>
      <c r="C926" s="138">
        <v>897</v>
      </c>
      <c r="D926" s="135" t="s">
        <v>1893</v>
      </c>
      <c r="E926" s="129">
        <v>46183</v>
      </c>
      <c r="F926" s="138" t="s">
        <v>1144</v>
      </c>
      <c r="G926" s="128" t="s">
        <v>1145</v>
      </c>
      <c r="H926" s="128" t="s">
        <v>1901</v>
      </c>
      <c r="I926" s="136"/>
      <c r="J926" s="347" t="s">
        <v>1455</v>
      </c>
      <c r="K926" s="136"/>
      <c r="L926" s="146">
        <v>46176</v>
      </c>
      <c r="M926" s="136"/>
      <c r="N926" s="128" t="s">
        <v>1947</v>
      </c>
      <c r="O926" s="146">
        <v>46183</v>
      </c>
      <c r="P926" s="138">
        <v>0</v>
      </c>
      <c r="Q926" s="138">
        <v>160</v>
      </c>
      <c r="R926" s="138">
        <v>30</v>
      </c>
      <c r="S926" s="138">
        <v>190</v>
      </c>
      <c r="T926" s="138">
        <v>190</v>
      </c>
      <c r="U926" s="136"/>
      <c r="V926" s="136"/>
      <c r="W926" s="148">
        <v>95.5</v>
      </c>
      <c r="X926" s="148">
        <v>95.5</v>
      </c>
      <c r="Y926" s="148">
        <v>768870.5</v>
      </c>
      <c r="Z926" s="276">
        <v>40.22</v>
      </c>
      <c r="AA926" s="147">
        <v>19221.759999999998</v>
      </c>
      <c r="AB926" s="147">
        <v>19221.759999999998</v>
      </c>
      <c r="AC926" s="147">
        <v>807314.03</v>
      </c>
      <c r="AD926" s="315">
        <f t="shared" si="562"/>
        <v>806506.71597000002</v>
      </c>
      <c r="AE926" s="147">
        <v>40.22</v>
      </c>
      <c r="AF926" s="147">
        <v>42</v>
      </c>
      <c r="AG926" s="138">
        <v>40.22</v>
      </c>
      <c r="AH926" s="395">
        <v>3.3999999999999998E-3</v>
      </c>
      <c r="AI926" s="287">
        <v>4.58E-2</v>
      </c>
      <c r="AJ926" s="287">
        <v>4.8000000000000001E-2</v>
      </c>
      <c r="AK926" s="318">
        <f t="shared" si="563"/>
        <v>32585.464047619069</v>
      </c>
      <c r="AL926" s="193"/>
      <c r="AM926" s="319"/>
      <c r="AN926" s="319"/>
      <c r="AO926" s="320">
        <f t="shared" si="564"/>
        <v>0</v>
      </c>
      <c r="AP926" s="193"/>
      <c r="AQ926" s="318">
        <v>0</v>
      </c>
      <c r="AR926" s="318">
        <f t="shared" si="565"/>
        <v>32585.464047619069</v>
      </c>
      <c r="AS926" s="318">
        <f t="shared" si="566"/>
        <v>34215</v>
      </c>
      <c r="AT926" s="321">
        <v>0</v>
      </c>
      <c r="AU926" s="136"/>
      <c r="AV926" s="136"/>
      <c r="AW926" s="318">
        <f t="shared" si="580"/>
        <v>9550</v>
      </c>
      <c r="AX926" s="193"/>
      <c r="AY926" s="318">
        <f t="shared" si="581"/>
        <v>9550</v>
      </c>
      <c r="AZ926" s="318">
        <f t="shared" si="582"/>
        <v>9550</v>
      </c>
      <c r="BA926" s="318">
        <f t="shared" si="583"/>
        <v>0</v>
      </c>
      <c r="BB926" s="318">
        <f t="shared" si="584"/>
        <v>19.100000000000001</v>
      </c>
      <c r="BC926" s="318">
        <v>0</v>
      </c>
      <c r="BD926" s="193"/>
      <c r="BE926" s="138">
        <v>95.5</v>
      </c>
      <c r="BF926" s="321">
        <f t="shared" si="572"/>
        <v>0.14324999999999999</v>
      </c>
      <c r="BG926" s="197">
        <f t="shared" si="573"/>
        <v>95.356750000000005</v>
      </c>
      <c r="BH926" s="321">
        <f t="shared" si="574"/>
        <v>95.5</v>
      </c>
      <c r="BI926" s="322">
        <f t="shared" si="575"/>
        <v>0</v>
      </c>
      <c r="BJ926" s="322">
        <v>0</v>
      </c>
      <c r="BK926" s="318">
        <f t="shared" si="576"/>
        <v>0</v>
      </c>
      <c r="BL926" s="67"/>
      <c r="BM926" s="68" t="str">
        <f t="shared" si="577"/>
        <v>Unloading no. 897 Bill No 2026-27/232 ,Deduction For Oil Deduction= 32585.4640476191 ,Bardana=  ,F.M=  Brokerage/Rate Difference  ,Shortage = 0 ,Greenish=  ,Moisture= 0</v>
      </c>
      <c r="BN926" s="69"/>
      <c r="BO926" s="70" t="str">
        <f t="shared" si="578"/>
        <v xml:space="preserve"> Party Condition 42  ,F.M% 0.34 ,Greenish 4.58 ,Moisture 4.8 ,Shortage in KG= 0  ,Oil% 40.22</v>
      </c>
      <c r="BP926" s="71">
        <f t="shared" si="579"/>
        <v>7709.7909523809531</v>
      </c>
      <c r="BQ926" s="41"/>
      <c r="BR926" s="41"/>
      <c r="BS926" s="41"/>
      <c r="BT926" s="41"/>
      <c r="BU926" s="41"/>
      <c r="BV926" s="41"/>
      <c r="BW926" s="85"/>
      <c r="BX926" s="27">
        <v>39.72</v>
      </c>
      <c r="BY926" s="27">
        <v>39.61</v>
      </c>
    </row>
    <row r="927" spans="1:77" ht="14.1" hidden="1" customHeight="1" x14ac:dyDescent="0.3">
      <c r="A927" s="138" t="s">
        <v>1839</v>
      </c>
      <c r="B927" s="146">
        <v>46176</v>
      </c>
      <c r="C927" s="138">
        <v>898</v>
      </c>
      <c r="D927" s="135" t="s">
        <v>1894</v>
      </c>
      <c r="E927" s="129">
        <v>46183</v>
      </c>
      <c r="F927" s="138" t="s">
        <v>1144</v>
      </c>
      <c r="G927" s="128" t="s">
        <v>1145</v>
      </c>
      <c r="H927" s="128" t="s">
        <v>1901</v>
      </c>
      <c r="I927" s="136"/>
      <c r="J927" s="347" t="s">
        <v>1455</v>
      </c>
      <c r="K927" s="136"/>
      <c r="L927" s="146">
        <v>46176</v>
      </c>
      <c r="M927" s="136"/>
      <c r="N927" s="128" t="s">
        <v>1948</v>
      </c>
      <c r="O927" s="146">
        <v>46183</v>
      </c>
      <c r="P927" s="138">
        <v>0</v>
      </c>
      <c r="Q927" s="138">
        <v>120</v>
      </c>
      <c r="R927" s="138">
        <v>70</v>
      </c>
      <c r="S927" s="138">
        <v>190</v>
      </c>
      <c r="T927" s="138">
        <v>190</v>
      </c>
      <c r="U927" s="136"/>
      <c r="V927" s="136"/>
      <c r="W927" s="148">
        <v>95.8</v>
      </c>
      <c r="X927" s="148">
        <v>95.7</v>
      </c>
      <c r="Y927" s="148">
        <v>771285.8</v>
      </c>
      <c r="Z927" s="276">
        <v>39.81</v>
      </c>
      <c r="AA927" s="147">
        <v>19282.150000000001</v>
      </c>
      <c r="AB927" s="147">
        <v>19282.150000000001</v>
      </c>
      <c r="AC927" s="147">
        <v>809850.09</v>
      </c>
      <c r="AD927" s="315">
        <f t="shared" si="562"/>
        <v>809040.23991</v>
      </c>
      <c r="AE927" s="147">
        <v>39.81</v>
      </c>
      <c r="AF927" s="147">
        <v>42</v>
      </c>
      <c r="AG927" s="138">
        <v>39.81</v>
      </c>
      <c r="AH927" s="395">
        <v>3.8E-3</v>
      </c>
      <c r="AI927" s="287">
        <v>4.2799999999999998E-2</v>
      </c>
      <c r="AJ927" s="287">
        <v>5.3999999999999999E-2</v>
      </c>
      <c r="AK927" s="318">
        <f t="shared" si="563"/>
        <v>40217.045285714245</v>
      </c>
      <c r="AL927" s="193"/>
      <c r="AM927" s="319"/>
      <c r="AN927" s="319"/>
      <c r="AO927" s="320">
        <f t="shared" si="564"/>
        <v>0</v>
      </c>
      <c r="AP927" s="193"/>
      <c r="AQ927" s="318">
        <v>0</v>
      </c>
      <c r="AR927" s="318">
        <f t="shared" si="565"/>
        <v>40217.045285714245</v>
      </c>
      <c r="AS927" s="318">
        <f t="shared" si="566"/>
        <v>42228</v>
      </c>
      <c r="AT927" s="321">
        <v>0</v>
      </c>
      <c r="AU927" s="136"/>
      <c r="AV927" s="136"/>
      <c r="AW927" s="318">
        <f t="shared" si="580"/>
        <v>9580</v>
      </c>
      <c r="AX927" s="193"/>
      <c r="AY927" s="318">
        <f t="shared" si="581"/>
        <v>9580</v>
      </c>
      <c r="AZ927" s="318">
        <f t="shared" si="582"/>
        <v>9570</v>
      </c>
      <c r="BA927" s="318">
        <f t="shared" si="583"/>
        <v>10</v>
      </c>
      <c r="BB927" s="318">
        <f t="shared" si="584"/>
        <v>19.16</v>
      </c>
      <c r="BC927" s="318">
        <v>0</v>
      </c>
      <c r="BD927" s="193"/>
      <c r="BE927" s="138">
        <v>95.8</v>
      </c>
      <c r="BF927" s="321">
        <f t="shared" si="572"/>
        <v>0.14369999999999999</v>
      </c>
      <c r="BG927" s="197">
        <f t="shared" si="573"/>
        <v>95.656300000000002</v>
      </c>
      <c r="BH927" s="321">
        <f t="shared" si="574"/>
        <v>95.7</v>
      </c>
      <c r="BI927" s="322">
        <f t="shared" si="575"/>
        <v>9.9999999999994316</v>
      </c>
      <c r="BJ927" s="322">
        <v>0</v>
      </c>
      <c r="BK927" s="318">
        <f t="shared" si="576"/>
        <v>9.9999999999994316</v>
      </c>
      <c r="BL927" s="67"/>
      <c r="BM927" s="68" t="str">
        <f t="shared" si="577"/>
        <v>Unloading no. 898 Bill No 2026-27/233 ,Deduction For Oil Deduction= 40217.0452857142 ,Bardana=  ,F.M=  Brokerage/Rate Difference  ,Shortage = 0 ,Greenish=  ,Moisture= 0</v>
      </c>
      <c r="BN927" s="69"/>
      <c r="BO927" s="70" t="str">
        <f t="shared" si="578"/>
        <v xml:space="preserve"> Party Condition 42  ,F.M% 0.38 ,Greenish 4.28 ,Moisture 5.4 ,Shortage in KG= 0  ,Oil% 39.81</v>
      </c>
      <c r="BP927" s="71">
        <f t="shared" si="579"/>
        <v>7639.1719405881486</v>
      </c>
      <c r="BQ927" s="41"/>
      <c r="BR927" s="41"/>
      <c r="BS927" s="41"/>
      <c r="BT927" s="41"/>
      <c r="BU927" s="41"/>
      <c r="BV927" s="41"/>
      <c r="BW927" s="85"/>
      <c r="BX927" s="27">
        <v>39.57</v>
      </c>
      <c r="BY927" s="27">
        <v>39.39</v>
      </c>
    </row>
    <row r="928" spans="1:77" ht="14.1" hidden="1" customHeight="1" x14ac:dyDescent="0.3">
      <c r="A928" s="138" t="s">
        <v>1839</v>
      </c>
      <c r="B928" s="146">
        <v>46176</v>
      </c>
      <c r="C928" s="138">
        <v>899</v>
      </c>
      <c r="D928" s="135" t="s">
        <v>1895</v>
      </c>
      <c r="E928" s="129">
        <v>46183</v>
      </c>
      <c r="F928" s="138" t="s">
        <v>1144</v>
      </c>
      <c r="G928" s="128" t="s">
        <v>1145</v>
      </c>
      <c r="H928" s="128" t="s">
        <v>1901</v>
      </c>
      <c r="I928" s="136"/>
      <c r="J928" s="347" t="s">
        <v>1455</v>
      </c>
      <c r="K928" s="136"/>
      <c r="L928" s="146">
        <v>46176</v>
      </c>
      <c r="M928" s="136"/>
      <c r="N928" s="128" t="s">
        <v>1949</v>
      </c>
      <c r="O928" s="146">
        <v>46183</v>
      </c>
      <c r="P928" s="138">
        <v>0</v>
      </c>
      <c r="Q928" s="138">
        <v>120</v>
      </c>
      <c r="R928" s="138">
        <v>70</v>
      </c>
      <c r="S928" s="138">
        <v>190</v>
      </c>
      <c r="T928" s="138">
        <v>190</v>
      </c>
      <c r="U928" s="136"/>
      <c r="V928" s="136"/>
      <c r="W928" s="148">
        <v>95.7</v>
      </c>
      <c r="X928" s="148">
        <v>95.5</v>
      </c>
      <c r="Y928" s="148">
        <v>770480.7</v>
      </c>
      <c r="Z928" s="276">
        <v>39.549999999999997</v>
      </c>
      <c r="AA928" s="147">
        <v>19262.02</v>
      </c>
      <c r="AB928" s="147">
        <v>19262.02</v>
      </c>
      <c r="AC928" s="147">
        <v>809004.74</v>
      </c>
      <c r="AD928" s="315">
        <f t="shared" si="562"/>
        <v>808195.73525999999</v>
      </c>
      <c r="AE928" s="147">
        <v>39.549999999999997</v>
      </c>
      <c r="AF928" s="147">
        <v>42</v>
      </c>
      <c r="AG928" s="138">
        <v>39.549999999999997</v>
      </c>
      <c r="AH928" s="395">
        <v>3.5999999999999999E-3</v>
      </c>
      <c r="AI928" s="287">
        <v>0.04</v>
      </c>
      <c r="AJ928" s="287">
        <v>5.1999999999999998E-2</v>
      </c>
      <c r="AK928" s="318">
        <f t="shared" si="563"/>
        <v>44944.707500000055</v>
      </c>
      <c r="AL928" s="193"/>
      <c r="AM928" s="319"/>
      <c r="AN928" s="319"/>
      <c r="AO928" s="320">
        <f t="shared" si="564"/>
        <v>80.509999999999991</v>
      </c>
      <c r="AP928" s="193"/>
      <c r="AQ928" s="318">
        <v>0</v>
      </c>
      <c r="AR928" s="318">
        <f t="shared" si="565"/>
        <v>45025.217500000057</v>
      </c>
      <c r="AS928" s="318">
        <f t="shared" si="566"/>
        <v>47276</v>
      </c>
      <c r="AT928" s="321">
        <v>1</v>
      </c>
      <c r="AU928" s="136"/>
      <c r="AV928" s="136"/>
      <c r="AW928" s="318">
        <f t="shared" si="580"/>
        <v>9570</v>
      </c>
      <c r="AX928" s="193"/>
      <c r="AY928" s="318">
        <f t="shared" si="581"/>
        <v>9570</v>
      </c>
      <c r="AZ928" s="318">
        <f t="shared" si="582"/>
        <v>9550</v>
      </c>
      <c r="BA928" s="318">
        <f t="shared" si="583"/>
        <v>20</v>
      </c>
      <c r="BB928" s="318">
        <f t="shared" si="584"/>
        <v>19.14</v>
      </c>
      <c r="BC928" s="318">
        <v>0</v>
      </c>
      <c r="BD928" s="193"/>
      <c r="BE928" s="138">
        <v>95.7</v>
      </c>
      <c r="BF928" s="321">
        <f t="shared" si="572"/>
        <v>0.14355000000000001</v>
      </c>
      <c r="BG928" s="197">
        <f t="shared" si="573"/>
        <v>95.556449999999998</v>
      </c>
      <c r="BH928" s="321">
        <f t="shared" si="574"/>
        <v>95.5</v>
      </c>
      <c r="BI928" s="322">
        <f t="shared" si="575"/>
        <v>20.000000000000284</v>
      </c>
      <c r="BJ928" s="322">
        <v>0</v>
      </c>
      <c r="BK928" s="318">
        <f t="shared" si="576"/>
        <v>20.000000000000284</v>
      </c>
      <c r="BL928" s="67"/>
      <c r="BM928" s="68" t="str">
        <f t="shared" si="577"/>
        <v>Unloading no. 899 Bill No 2026-27/234 ,Deduction For Oil Deduction= 44944.7075000001 ,Bardana=  ,F.M=  Brokerage/Rate Difference  ,Shortage = 80.51 ,Greenish=  ,Moisture= 0</v>
      </c>
      <c r="BN928" s="69"/>
      <c r="BO928" s="70" t="str">
        <f t="shared" si="578"/>
        <v xml:space="preserve"> Party Condition 42  ,F.M% 0.36 ,Greenish 4 ,Moisture 5.2 ,Shortage in KG= 1  ,Oil% 39.55</v>
      </c>
      <c r="BP928" s="71">
        <f t="shared" si="579"/>
        <v>7596.3924869109942</v>
      </c>
      <c r="BQ928" s="41"/>
      <c r="BR928" s="41"/>
      <c r="BS928" s="41"/>
      <c r="BT928" s="41"/>
      <c r="BU928" s="41"/>
      <c r="BV928" s="41"/>
      <c r="BW928" s="85"/>
      <c r="BX928" s="27">
        <v>38.81</v>
      </c>
      <c r="BY928" s="27">
        <v>38.67</v>
      </c>
    </row>
    <row r="929" spans="1:77" ht="14.1" hidden="1" customHeight="1" x14ac:dyDescent="0.3">
      <c r="A929" s="138" t="s">
        <v>1839</v>
      </c>
      <c r="B929" s="146">
        <v>46176</v>
      </c>
      <c r="C929" s="138">
        <v>900</v>
      </c>
      <c r="D929" s="135" t="s">
        <v>1896</v>
      </c>
      <c r="E929" s="129">
        <v>46183</v>
      </c>
      <c r="F929" s="138" t="s">
        <v>1144</v>
      </c>
      <c r="G929" s="128" t="s">
        <v>1145</v>
      </c>
      <c r="H929" s="128" t="s">
        <v>1901</v>
      </c>
      <c r="I929" s="136"/>
      <c r="J929" s="347" t="s">
        <v>1455</v>
      </c>
      <c r="K929" s="136"/>
      <c r="L929" s="146">
        <v>46176</v>
      </c>
      <c r="M929" s="136"/>
      <c r="N929" s="128" t="s">
        <v>1950</v>
      </c>
      <c r="O929" s="146">
        <v>46183</v>
      </c>
      <c r="P929" s="138">
        <v>0</v>
      </c>
      <c r="Q929" s="138">
        <v>120</v>
      </c>
      <c r="R929" s="138">
        <v>70</v>
      </c>
      <c r="S929" s="138">
        <v>190</v>
      </c>
      <c r="T929" s="138">
        <v>190</v>
      </c>
      <c r="U929" s="136"/>
      <c r="V929" s="136"/>
      <c r="W929" s="148">
        <v>95.6</v>
      </c>
      <c r="X929" s="148">
        <v>95.6</v>
      </c>
      <c r="Y929" s="148">
        <v>769675.6</v>
      </c>
      <c r="Z929" s="276">
        <v>39.479999999999997</v>
      </c>
      <c r="AA929" s="147">
        <v>19241.89</v>
      </c>
      <c r="AB929" s="147">
        <v>19241.89</v>
      </c>
      <c r="AC929" s="147">
        <v>808159.38</v>
      </c>
      <c r="AD929" s="315">
        <f t="shared" si="562"/>
        <v>807351.22062000004</v>
      </c>
      <c r="AE929" s="147">
        <v>39.479999999999997</v>
      </c>
      <c r="AF929" s="147">
        <v>42</v>
      </c>
      <c r="AG929" s="138">
        <v>39.479999999999997</v>
      </c>
      <c r="AH929" s="395">
        <v>4.5999999999999999E-3</v>
      </c>
      <c r="AI929" s="287">
        <v>4.4499999999999998E-2</v>
      </c>
      <c r="AJ929" s="287">
        <v>5.5E-2</v>
      </c>
      <c r="AK929" s="318">
        <f t="shared" si="563"/>
        <v>46180.536000000058</v>
      </c>
      <c r="AL929" s="193"/>
      <c r="AM929" s="319"/>
      <c r="AN929" s="319"/>
      <c r="AO929" s="320">
        <f t="shared" si="564"/>
        <v>0</v>
      </c>
      <c r="AP929" s="193"/>
      <c r="AQ929" s="318">
        <v>0</v>
      </c>
      <c r="AR929" s="318">
        <f t="shared" si="565"/>
        <v>46180.536000000058</v>
      </c>
      <c r="AS929" s="318">
        <f t="shared" si="566"/>
        <v>48490</v>
      </c>
      <c r="AT929" s="321">
        <v>0</v>
      </c>
      <c r="AU929" s="136"/>
      <c r="AV929" s="136"/>
      <c r="AW929" s="318">
        <f t="shared" si="580"/>
        <v>9560</v>
      </c>
      <c r="AX929" s="193"/>
      <c r="AY929" s="318">
        <f t="shared" si="581"/>
        <v>9560</v>
      </c>
      <c r="AZ929" s="318">
        <f t="shared" si="582"/>
        <v>9560</v>
      </c>
      <c r="BA929" s="318">
        <f t="shared" si="583"/>
        <v>0</v>
      </c>
      <c r="BB929" s="318">
        <f t="shared" si="584"/>
        <v>19.12</v>
      </c>
      <c r="BC929" s="318">
        <v>0</v>
      </c>
      <c r="BD929" s="193"/>
      <c r="BE929" s="138">
        <v>95.6</v>
      </c>
      <c r="BF929" s="321">
        <f t="shared" si="572"/>
        <v>0.14339999999999997</v>
      </c>
      <c r="BG929" s="197">
        <f t="shared" si="573"/>
        <v>95.456599999999995</v>
      </c>
      <c r="BH929" s="321">
        <f t="shared" si="574"/>
        <v>95.6</v>
      </c>
      <c r="BI929" s="322">
        <f t="shared" si="575"/>
        <v>0</v>
      </c>
      <c r="BJ929" s="322">
        <v>0</v>
      </c>
      <c r="BK929" s="318">
        <f t="shared" si="576"/>
        <v>0</v>
      </c>
      <c r="BL929" s="67"/>
      <c r="BM929" s="68" t="str">
        <f t="shared" si="577"/>
        <v>Unloading no. 900 Bill No 2026-27/236 ,Deduction For Oil Deduction= 46180.5360000001 ,Bardana=  ,F.M=  Brokerage/Rate Difference  ,Shortage = 0 ,Greenish=  ,Moisture= 0</v>
      </c>
      <c r="BN929" s="69"/>
      <c r="BO929" s="70" t="str">
        <f t="shared" si="578"/>
        <v xml:space="preserve"> Party Condition 42  ,F.M% 0.46 ,Greenish 4.45 ,Moisture 5.5 ,Shortage in KG= 0  ,Oil% 39.48</v>
      </c>
      <c r="BP929" s="71">
        <f t="shared" si="579"/>
        <v>7567.94</v>
      </c>
      <c r="BQ929" s="41"/>
      <c r="BR929" s="41"/>
      <c r="BS929" s="41"/>
      <c r="BT929" s="41"/>
      <c r="BU929" s="41"/>
      <c r="BV929" s="41"/>
      <c r="BW929" s="85"/>
      <c r="BX929" s="27">
        <v>39.1</v>
      </c>
      <c r="BY929" s="27">
        <v>38.92</v>
      </c>
    </row>
    <row r="930" spans="1:77" ht="14.1" hidden="1" customHeight="1" x14ac:dyDescent="0.3">
      <c r="A930" s="138" t="s">
        <v>1839</v>
      </c>
      <c r="B930" s="146">
        <v>46176</v>
      </c>
      <c r="C930" s="138">
        <v>901</v>
      </c>
      <c r="D930" s="135" t="s">
        <v>1897</v>
      </c>
      <c r="E930" s="129">
        <v>46184</v>
      </c>
      <c r="F930" s="138" t="s">
        <v>1144</v>
      </c>
      <c r="G930" s="128" t="s">
        <v>1145</v>
      </c>
      <c r="H930" s="128" t="s">
        <v>1901</v>
      </c>
      <c r="I930" s="136"/>
      <c r="J930" s="347" t="s">
        <v>1455</v>
      </c>
      <c r="K930" s="136"/>
      <c r="L930" s="146">
        <v>46176</v>
      </c>
      <c r="M930" s="136"/>
      <c r="N930" s="128" t="s">
        <v>2018</v>
      </c>
      <c r="O930" s="146">
        <v>46183</v>
      </c>
      <c r="P930" s="138">
        <v>0</v>
      </c>
      <c r="Q930" s="138">
        <v>170</v>
      </c>
      <c r="R930" s="138">
        <v>20</v>
      </c>
      <c r="S930" s="138">
        <v>190</v>
      </c>
      <c r="T930" s="138">
        <v>190</v>
      </c>
      <c r="U930" s="136"/>
      <c r="V930" s="136"/>
      <c r="W930" s="148">
        <v>95.7</v>
      </c>
      <c r="X930" s="148">
        <v>95.6</v>
      </c>
      <c r="Y930" s="148">
        <v>770480.7</v>
      </c>
      <c r="Z930" s="276">
        <v>39.58</v>
      </c>
      <c r="AA930" s="147">
        <v>19262.02</v>
      </c>
      <c r="AB930" s="147">
        <v>19262.02</v>
      </c>
      <c r="AC930" s="147">
        <v>809004.74</v>
      </c>
      <c r="AD930" s="315">
        <f t="shared" si="562"/>
        <v>808195.73525999999</v>
      </c>
      <c r="AE930" s="147">
        <v>39.58</v>
      </c>
      <c r="AF930" s="147">
        <v>42</v>
      </c>
      <c r="AG930" s="138">
        <v>39.58</v>
      </c>
      <c r="AH930" s="395">
        <v>4.0000000000000001E-3</v>
      </c>
      <c r="AI930" s="287">
        <v>4.2999999999999997E-2</v>
      </c>
      <c r="AJ930" s="287">
        <v>5.0999999999999997E-2</v>
      </c>
      <c r="AK930" s="318">
        <f t="shared" si="563"/>
        <v>44394.364142857172</v>
      </c>
      <c r="AL930" s="193"/>
      <c r="AM930" s="319"/>
      <c r="AN930" s="319"/>
      <c r="AO930" s="320">
        <f t="shared" si="564"/>
        <v>0</v>
      </c>
      <c r="AP930" s="193"/>
      <c r="AQ930" s="318">
        <v>0</v>
      </c>
      <c r="AR930" s="318">
        <f t="shared" si="565"/>
        <v>44394.364142857172</v>
      </c>
      <c r="AS930" s="318">
        <f t="shared" si="566"/>
        <v>46614</v>
      </c>
      <c r="AT930" s="321">
        <v>0</v>
      </c>
      <c r="AU930" s="136"/>
      <c r="AV930" s="136"/>
      <c r="AW930" s="318">
        <f t="shared" si="580"/>
        <v>9570</v>
      </c>
      <c r="AX930" s="193"/>
      <c r="AY930" s="318">
        <f t="shared" si="581"/>
        <v>9570</v>
      </c>
      <c r="AZ930" s="318">
        <f t="shared" si="582"/>
        <v>9560</v>
      </c>
      <c r="BA930" s="318">
        <f t="shared" si="583"/>
        <v>10</v>
      </c>
      <c r="BB930" s="318">
        <f t="shared" si="584"/>
        <v>19.14</v>
      </c>
      <c r="BC930" s="318">
        <v>0</v>
      </c>
      <c r="BD930" s="193"/>
      <c r="BE930" s="138">
        <v>95.7</v>
      </c>
      <c r="BF930" s="321">
        <f t="shared" si="572"/>
        <v>0.14355000000000001</v>
      </c>
      <c r="BG930" s="197">
        <f t="shared" si="573"/>
        <v>95.556449999999998</v>
      </c>
      <c r="BH930" s="321">
        <f t="shared" si="574"/>
        <v>95.6</v>
      </c>
      <c r="BI930" s="322">
        <f t="shared" si="575"/>
        <v>10.000000000000853</v>
      </c>
      <c r="BJ930" s="322">
        <v>0</v>
      </c>
      <c r="BK930" s="318">
        <f t="shared" si="576"/>
        <v>10.000000000000853</v>
      </c>
      <c r="BL930" s="67"/>
      <c r="BM930" s="68" t="str">
        <f t="shared" si="577"/>
        <v>Unloading no. 901 Bill No 2026-27/241 ,Deduction For Oil Deduction= 44394.3641428572 ,Bardana=  ,F.M=  Brokerage/Rate Difference  ,Shortage = 0 ,Greenish=  ,Moisture= 0</v>
      </c>
      <c r="BN930" s="69"/>
      <c r="BO930" s="70" t="str">
        <f t="shared" si="578"/>
        <v xml:space="preserve"> Party Condition 42  ,F.M% 0.4 ,Greenish 4.3 ,Moisture 5.1 ,Shortage in KG= 0  ,Oil% 39.58</v>
      </c>
      <c r="BP930" s="71">
        <f t="shared" si="579"/>
        <v>7595.0453541542138</v>
      </c>
      <c r="BQ930" s="41"/>
      <c r="BR930" s="41"/>
      <c r="BS930" s="41"/>
      <c r="BT930" s="41"/>
      <c r="BU930" s="41"/>
      <c r="BV930" s="41"/>
      <c r="BW930" s="85"/>
      <c r="BX930" s="27">
        <v>39.19</v>
      </c>
      <c r="BY930" s="27">
        <v>39.159999999999997</v>
      </c>
    </row>
    <row r="931" spans="1:77" ht="14.1" hidden="1" customHeight="1" x14ac:dyDescent="0.3">
      <c r="A931" s="138" t="s">
        <v>1839</v>
      </c>
      <c r="B931" s="146">
        <v>46176</v>
      </c>
      <c r="C931" s="138">
        <v>902</v>
      </c>
      <c r="D931" s="135" t="s">
        <v>1898</v>
      </c>
      <c r="E931" s="129">
        <v>46183</v>
      </c>
      <c r="F931" s="138" t="s">
        <v>1144</v>
      </c>
      <c r="G931" s="128" t="s">
        <v>1145</v>
      </c>
      <c r="H931" s="128" t="s">
        <v>1901</v>
      </c>
      <c r="I931" s="136"/>
      <c r="J931" s="347" t="s">
        <v>1455</v>
      </c>
      <c r="K931" s="136"/>
      <c r="L931" s="146">
        <v>46176</v>
      </c>
      <c r="M931" s="136"/>
      <c r="N931" s="128" t="s">
        <v>1951</v>
      </c>
      <c r="O931" s="146">
        <v>46183</v>
      </c>
      <c r="P931" s="138">
        <v>0</v>
      </c>
      <c r="Q931" s="138">
        <v>160</v>
      </c>
      <c r="R931" s="138">
        <v>30</v>
      </c>
      <c r="S931" s="138">
        <v>190</v>
      </c>
      <c r="T931" s="138">
        <v>190</v>
      </c>
      <c r="U931" s="136"/>
      <c r="V931" s="136"/>
      <c r="W931" s="148">
        <v>96.1</v>
      </c>
      <c r="X931" s="148">
        <v>96.1</v>
      </c>
      <c r="Y931" s="148">
        <v>773701.1</v>
      </c>
      <c r="Z931" s="276">
        <v>39.630000000000003</v>
      </c>
      <c r="AA931" s="147">
        <v>19342.53</v>
      </c>
      <c r="AB931" s="147">
        <v>19342.53</v>
      </c>
      <c r="AC931" s="147">
        <v>812386.16</v>
      </c>
      <c r="AD931" s="315">
        <f t="shared" si="562"/>
        <v>811573.77384000004</v>
      </c>
      <c r="AE931" s="147">
        <v>39.630000000000003</v>
      </c>
      <c r="AF931" s="147">
        <v>42</v>
      </c>
      <c r="AG931" s="138">
        <v>39.630000000000003</v>
      </c>
      <c r="AH931" s="395">
        <v>4.1999999999999997E-3</v>
      </c>
      <c r="AI931" s="287">
        <v>4.1000000000000002E-2</v>
      </c>
      <c r="AJ931" s="287">
        <v>5.1999999999999998E-2</v>
      </c>
      <c r="AK931" s="318">
        <f t="shared" si="563"/>
        <v>43658.847785714235</v>
      </c>
      <c r="AL931" s="193"/>
      <c r="AM931" s="319"/>
      <c r="AN931" s="319"/>
      <c r="AO931" s="320">
        <f t="shared" si="564"/>
        <v>0</v>
      </c>
      <c r="AP931" s="193"/>
      <c r="AQ931" s="318">
        <v>0</v>
      </c>
      <c r="AR931" s="318">
        <f t="shared" si="565"/>
        <v>43658.847785714235</v>
      </c>
      <c r="AS931" s="318">
        <f t="shared" si="566"/>
        <v>45842</v>
      </c>
      <c r="AT931" s="321">
        <v>0</v>
      </c>
      <c r="AU931" s="136"/>
      <c r="AV931" s="136"/>
      <c r="AW931" s="318">
        <f t="shared" si="580"/>
        <v>9610</v>
      </c>
      <c r="AX931" s="193"/>
      <c r="AY931" s="318">
        <f t="shared" si="581"/>
        <v>9610</v>
      </c>
      <c r="AZ931" s="318">
        <f t="shared" si="582"/>
        <v>9610</v>
      </c>
      <c r="BA931" s="318">
        <f t="shared" si="583"/>
        <v>0</v>
      </c>
      <c r="BB931" s="318">
        <f t="shared" si="584"/>
        <v>19.22</v>
      </c>
      <c r="BC931" s="318">
        <v>0</v>
      </c>
      <c r="BD931" s="193"/>
      <c r="BE931" s="138">
        <v>96.1</v>
      </c>
      <c r="BF931" s="321">
        <f t="shared" si="572"/>
        <v>0.14415</v>
      </c>
      <c r="BG931" s="197">
        <f t="shared" si="573"/>
        <v>95.955849999999998</v>
      </c>
      <c r="BH931" s="321">
        <f t="shared" si="574"/>
        <v>96.1</v>
      </c>
      <c r="BI931" s="322">
        <f t="shared" si="575"/>
        <v>0</v>
      </c>
      <c r="BJ931" s="322">
        <v>0</v>
      </c>
      <c r="BK931" s="318">
        <f t="shared" si="576"/>
        <v>0</v>
      </c>
      <c r="BL931" s="67"/>
      <c r="BM931" s="68" t="str">
        <f t="shared" si="577"/>
        <v>Unloading no. 902 Bill No 2026-27/237 ,Deduction For Oil Deduction= 43658.8477857142 ,Bardana=  ,F.M=  Brokerage/Rate Difference  ,Shortage = 0 ,Greenish=  ,Moisture= 0</v>
      </c>
      <c r="BN931" s="69"/>
      <c r="BO931" s="70" t="str">
        <f t="shared" si="578"/>
        <v xml:space="preserve"> Party Condition 42  ,F.M% 0.42 ,Greenish 4.1 ,Moisture 5.2 ,Shortage in KG= 0  ,Oil% 39.63</v>
      </c>
      <c r="BP931" s="71">
        <f t="shared" si="579"/>
        <v>7596.6935714285728</v>
      </c>
      <c r="BQ931" s="41"/>
      <c r="BR931" s="41"/>
      <c r="BS931" s="41"/>
      <c r="BT931" s="41"/>
      <c r="BU931" s="41"/>
      <c r="BV931" s="41"/>
      <c r="BW931" s="85"/>
      <c r="BX931" s="27">
        <v>39.4</v>
      </c>
      <c r="BY931" s="27">
        <v>39.32</v>
      </c>
    </row>
    <row r="932" spans="1:77" ht="14.1" hidden="1" customHeight="1" x14ac:dyDescent="0.3">
      <c r="A932" s="138" t="s">
        <v>1839</v>
      </c>
      <c r="B932" s="146">
        <v>46176</v>
      </c>
      <c r="C932" s="138">
        <v>903</v>
      </c>
      <c r="D932" s="135" t="s">
        <v>1899</v>
      </c>
      <c r="E932" s="129">
        <v>46183</v>
      </c>
      <c r="F932" s="138" t="s">
        <v>1144</v>
      </c>
      <c r="G932" s="128" t="s">
        <v>1145</v>
      </c>
      <c r="H932" s="128" t="s">
        <v>1901</v>
      </c>
      <c r="I932" s="136"/>
      <c r="J932" s="347" t="s">
        <v>1455</v>
      </c>
      <c r="K932" s="136"/>
      <c r="L932" s="146">
        <v>46176</v>
      </c>
      <c r="M932" s="136"/>
      <c r="N932" s="128" t="s">
        <v>1952</v>
      </c>
      <c r="O932" s="146">
        <v>46183</v>
      </c>
      <c r="P932" s="138">
        <v>0</v>
      </c>
      <c r="Q932" s="138">
        <v>120</v>
      </c>
      <c r="R932" s="138">
        <v>70</v>
      </c>
      <c r="S932" s="138">
        <v>190</v>
      </c>
      <c r="T932" s="138">
        <v>190</v>
      </c>
      <c r="U932" s="136"/>
      <c r="V932" s="136"/>
      <c r="W932" s="148">
        <v>95.4</v>
      </c>
      <c r="X932" s="148">
        <v>95.4</v>
      </c>
      <c r="Y932" s="148">
        <v>768065.4</v>
      </c>
      <c r="Z932" s="276">
        <v>39.69</v>
      </c>
      <c r="AA932" s="147">
        <v>19201.64</v>
      </c>
      <c r="AB932" s="147">
        <v>19201.64</v>
      </c>
      <c r="AC932" s="147">
        <v>806468.67</v>
      </c>
      <c r="AD932" s="315">
        <f t="shared" si="562"/>
        <v>805662.20133000007</v>
      </c>
      <c r="AE932" s="147">
        <v>39.69</v>
      </c>
      <c r="AF932" s="147">
        <v>42</v>
      </c>
      <c r="AG932" s="138">
        <v>39.69</v>
      </c>
      <c r="AH932" s="395">
        <v>4.3E-3</v>
      </c>
      <c r="AI932" s="287">
        <v>4.8000000000000001E-2</v>
      </c>
      <c r="AJ932" s="287">
        <v>5.6000000000000001E-2</v>
      </c>
      <c r="AK932" s="318">
        <f t="shared" si="563"/>
        <v>42243.597000000045</v>
      </c>
      <c r="AL932" s="193"/>
      <c r="AM932" s="319"/>
      <c r="AN932" s="319"/>
      <c r="AO932" s="320">
        <f t="shared" si="564"/>
        <v>0</v>
      </c>
      <c r="AP932" s="193"/>
      <c r="AQ932" s="318">
        <v>0</v>
      </c>
      <c r="AR932" s="318">
        <f t="shared" si="565"/>
        <v>42243.597000000045</v>
      </c>
      <c r="AS932" s="318">
        <f t="shared" si="566"/>
        <v>44356</v>
      </c>
      <c r="AT932" s="321">
        <v>0</v>
      </c>
      <c r="AU932" s="136"/>
      <c r="AV932" s="136"/>
      <c r="AW932" s="318">
        <f t="shared" si="580"/>
        <v>9540</v>
      </c>
      <c r="AX932" s="193"/>
      <c r="AY932" s="318">
        <f t="shared" si="581"/>
        <v>9540</v>
      </c>
      <c r="AZ932" s="318">
        <f t="shared" si="582"/>
        <v>9540</v>
      </c>
      <c r="BA932" s="318">
        <f t="shared" si="583"/>
        <v>0</v>
      </c>
      <c r="BB932" s="318">
        <f t="shared" si="584"/>
        <v>19.079999999999998</v>
      </c>
      <c r="BC932" s="318">
        <v>0</v>
      </c>
      <c r="BD932" s="193"/>
      <c r="BE932" s="138">
        <v>95.4</v>
      </c>
      <c r="BF932" s="321">
        <f t="shared" si="572"/>
        <v>0.1431</v>
      </c>
      <c r="BG932" s="197">
        <f t="shared" si="573"/>
        <v>95.256900000000002</v>
      </c>
      <c r="BH932" s="321">
        <f t="shared" si="574"/>
        <v>95.4</v>
      </c>
      <c r="BI932" s="322">
        <f t="shared" si="575"/>
        <v>0</v>
      </c>
      <c r="BJ932" s="322">
        <v>0</v>
      </c>
      <c r="BK932" s="318">
        <f t="shared" si="576"/>
        <v>0</v>
      </c>
      <c r="BL932" s="67"/>
      <c r="BM932" s="68" t="str">
        <f t="shared" si="577"/>
        <v>Unloading no. 903 Bill No 2026-27/238 ,Deduction For Oil Deduction= 42243.597 ,Bardana=  ,F.M=  Brokerage/Rate Difference  ,Shortage = 0 ,Greenish=  ,Moisture= 0</v>
      </c>
      <c r="BN932" s="69"/>
      <c r="BO932" s="70" t="str">
        <f t="shared" si="578"/>
        <v xml:space="preserve"> Party Condition 42  ,F.M% 0.43 ,Greenish 4.8 ,Moisture 5.6 ,Shortage in KG= 0  ,Oil% 39.69</v>
      </c>
      <c r="BP932" s="71">
        <f t="shared" si="579"/>
        <v>7608.1949999999988</v>
      </c>
      <c r="BQ932" s="41"/>
      <c r="BR932" s="41"/>
      <c r="BS932" s="41"/>
      <c r="BT932" s="41"/>
      <c r="BU932" s="41"/>
      <c r="BV932" s="41"/>
      <c r="BW932" s="85"/>
      <c r="BX932" s="27">
        <v>39.22</v>
      </c>
      <c r="BY932" s="27">
        <v>39.020000000000003</v>
      </c>
    </row>
    <row r="933" spans="1:77" ht="14.1" hidden="1" customHeight="1" x14ac:dyDescent="0.3">
      <c r="A933" s="275" t="s">
        <v>1839</v>
      </c>
      <c r="B933" s="376">
        <v>46176</v>
      </c>
      <c r="C933" s="275">
        <v>904</v>
      </c>
      <c r="D933" s="377" t="s">
        <v>1900</v>
      </c>
      <c r="E933" s="231">
        <v>46183</v>
      </c>
      <c r="F933" s="275" t="s">
        <v>1144</v>
      </c>
      <c r="G933" s="174" t="s">
        <v>1145</v>
      </c>
      <c r="H933" s="174" t="s">
        <v>1901</v>
      </c>
      <c r="I933" s="176"/>
      <c r="J933" s="378" t="s">
        <v>1455</v>
      </c>
      <c r="K933" s="176"/>
      <c r="L933" s="376">
        <v>46176</v>
      </c>
      <c r="M933" s="176"/>
      <c r="N933" s="174" t="s">
        <v>1953</v>
      </c>
      <c r="O933" s="376">
        <v>46183</v>
      </c>
      <c r="P933" s="275">
        <v>0</v>
      </c>
      <c r="Q933" s="275">
        <v>140</v>
      </c>
      <c r="R933" s="275">
        <v>50</v>
      </c>
      <c r="S933" s="275">
        <v>190</v>
      </c>
      <c r="T933" s="275">
        <v>190</v>
      </c>
      <c r="U933" s="176"/>
      <c r="V933" s="176"/>
      <c r="W933" s="305">
        <v>93.7</v>
      </c>
      <c r="X933" s="305">
        <v>93.7</v>
      </c>
      <c r="Y933" s="305">
        <v>754378.7</v>
      </c>
      <c r="Z933" s="306">
        <v>39.36</v>
      </c>
      <c r="AA933" s="178">
        <v>18859.47</v>
      </c>
      <c r="AB933" s="178">
        <v>18859.47</v>
      </c>
      <c r="AC933" s="178">
        <v>792097.64</v>
      </c>
      <c r="AD933" s="339">
        <f t="shared" si="562"/>
        <v>791305.54235999996</v>
      </c>
      <c r="AE933" s="178">
        <v>39.36</v>
      </c>
      <c r="AF933" s="178">
        <v>42</v>
      </c>
      <c r="AG933" s="275">
        <v>39.36</v>
      </c>
      <c r="AH933" s="396">
        <v>3.5999999999999999E-3</v>
      </c>
      <c r="AI933" s="308">
        <v>3.9300000000000002E-2</v>
      </c>
      <c r="AJ933" s="308">
        <v>5.8000000000000003E-2</v>
      </c>
      <c r="AK933" s="342">
        <f t="shared" si="563"/>
        <v>47418.089714285728</v>
      </c>
      <c r="AL933" s="335"/>
      <c r="AM933" s="343"/>
      <c r="AN933" s="343"/>
      <c r="AO933" s="344">
        <f t="shared" si="564"/>
        <v>0</v>
      </c>
      <c r="AP933" s="335"/>
      <c r="AQ933" s="342">
        <v>0</v>
      </c>
      <c r="AR933" s="342">
        <f t="shared" si="565"/>
        <v>47418.089714285728</v>
      </c>
      <c r="AS933" s="342">
        <f t="shared" si="566"/>
        <v>49789</v>
      </c>
      <c r="AT933" s="345">
        <v>0</v>
      </c>
      <c r="AU933" s="176"/>
      <c r="AV933" s="176"/>
      <c r="AW933" s="342">
        <f t="shared" si="580"/>
        <v>9370</v>
      </c>
      <c r="AX933" s="335"/>
      <c r="AY933" s="342">
        <f t="shared" si="581"/>
        <v>9370</v>
      </c>
      <c r="AZ933" s="342">
        <f t="shared" si="582"/>
        <v>9370</v>
      </c>
      <c r="BA933" s="342">
        <f t="shared" si="583"/>
        <v>0</v>
      </c>
      <c r="BB933" s="342">
        <f t="shared" si="584"/>
        <v>18.739999999999998</v>
      </c>
      <c r="BC933" s="342">
        <v>0</v>
      </c>
      <c r="BD933" s="335"/>
      <c r="BE933" s="275">
        <v>93.7</v>
      </c>
      <c r="BF933" s="345">
        <f t="shared" si="572"/>
        <v>0.14055000000000001</v>
      </c>
      <c r="BG933" s="210">
        <f t="shared" si="573"/>
        <v>93.559449999999998</v>
      </c>
      <c r="BH933" s="345">
        <f t="shared" si="574"/>
        <v>93.7</v>
      </c>
      <c r="BI933" s="346">
        <f t="shared" si="575"/>
        <v>0</v>
      </c>
      <c r="BJ933" s="346">
        <v>0</v>
      </c>
      <c r="BK933" s="342">
        <f t="shared" si="576"/>
        <v>0</v>
      </c>
      <c r="BL933" s="73"/>
      <c r="BM933" s="74" t="str">
        <f t="shared" si="577"/>
        <v>Unloading no. 904 Bill No 2026-27/239 ,Deduction For Oil Deduction= 47418.0897142857 ,Bardana=  ,F.M=  Brokerage/Rate Difference  ,Shortage = 0 ,Greenish=  ,Moisture= 0</v>
      </c>
      <c r="BN933" s="72"/>
      <c r="BO933" s="77" t="str">
        <f t="shared" si="578"/>
        <v xml:space="preserve"> Party Condition 42  ,F.M% 0.36 ,Greenish 3.93 ,Moisture 5.8 ,Shortage in KG= 0  ,Oil% 39.36</v>
      </c>
      <c r="BP933" s="78">
        <f t="shared" si="579"/>
        <v>7544.9371428571421</v>
      </c>
      <c r="BQ933" s="52"/>
      <c r="BR933" s="52"/>
      <c r="BS933" s="52"/>
      <c r="BT933" s="52"/>
      <c r="BU933" s="52"/>
      <c r="BV933" s="52"/>
      <c r="BW933" s="86"/>
      <c r="BX933" s="101">
        <v>38.74</v>
      </c>
      <c r="BY933" s="101">
        <v>38.619999999999997</v>
      </c>
    </row>
    <row r="934" spans="1:77" ht="14.1" hidden="1" customHeight="1" x14ac:dyDescent="0.3">
      <c r="A934" s="138" t="s">
        <v>1839</v>
      </c>
      <c r="B934" s="146">
        <v>46176</v>
      </c>
      <c r="C934" s="138">
        <v>905</v>
      </c>
      <c r="D934" s="135" t="s">
        <v>1970</v>
      </c>
      <c r="E934" s="129">
        <v>46184</v>
      </c>
      <c r="F934" s="138" t="s">
        <v>1144</v>
      </c>
      <c r="G934" s="128" t="s">
        <v>1145</v>
      </c>
      <c r="H934" s="128" t="s">
        <v>1901</v>
      </c>
      <c r="I934" s="136"/>
      <c r="J934" s="138" t="s">
        <v>1146</v>
      </c>
      <c r="K934" s="136"/>
      <c r="L934" s="146">
        <v>46176</v>
      </c>
      <c r="M934" s="136"/>
      <c r="N934" s="128" t="s">
        <v>1995</v>
      </c>
      <c r="O934" s="146">
        <v>46183</v>
      </c>
      <c r="P934" s="138">
        <v>0</v>
      </c>
      <c r="Q934" s="138">
        <v>185</v>
      </c>
      <c r="R934" s="138">
        <v>5</v>
      </c>
      <c r="S934" s="138">
        <v>190</v>
      </c>
      <c r="T934" s="138">
        <v>190</v>
      </c>
      <c r="U934" s="136"/>
      <c r="V934" s="136"/>
      <c r="W934" s="148">
        <v>95.4</v>
      </c>
      <c r="X934" s="148">
        <v>95.2</v>
      </c>
      <c r="Y934" s="148">
        <v>768065.4</v>
      </c>
      <c r="Z934" s="372">
        <v>39.6</v>
      </c>
      <c r="AA934" s="138">
        <v>19201.64</v>
      </c>
      <c r="AB934" s="138">
        <v>19201.64</v>
      </c>
      <c r="AC934" s="138">
        <v>806468.67</v>
      </c>
      <c r="AD934" s="315">
        <f t="shared" si="562"/>
        <v>805662.20133000007</v>
      </c>
      <c r="AE934" s="147">
        <v>39.6</v>
      </c>
      <c r="AF934" s="147">
        <v>42</v>
      </c>
      <c r="AG934" s="147">
        <v>39.6</v>
      </c>
      <c r="AH934" s="287">
        <v>3.5000000000000001E-3</v>
      </c>
      <c r="AI934" s="287">
        <v>4.3999999999999997E-2</v>
      </c>
      <c r="AJ934" s="287">
        <v>0.06</v>
      </c>
      <c r="AK934" s="318">
        <f t="shared" ref="AK934:AK959" si="585">+IF(AF934=42,IF(MIN(AE934,AG934)&lt;AF934,Y934*((AF934-MIN(AE934,AG934))/AF934)),IF(MIN(AE934,AG934)&lt;AF934,Y934*((AF934-MIN(AE934,AG934))/AF934),0))</f>
        <v>43889.451428571403</v>
      </c>
      <c r="AL934" s="193"/>
      <c r="AM934" s="319"/>
      <c r="AN934" s="319"/>
      <c r="AO934" s="320">
        <f t="shared" ref="AO934:AO959" si="586">AT934*Y934/AW934</f>
        <v>80.510000000000005</v>
      </c>
      <c r="AP934" s="193"/>
      <c r="AQ934" s="318">
        <v>0</v>
      </c>
      <c r="AR934" s="318">
        <f t="shared" ref="AR934:AR959" si="587">SUM(AK934:AQ934)</f>
        <v>43969.961428571405</v>
      </c>
      <c r="AS934" s="318">
        <f t="shared" ref="AS934:AS959" si="588">ROUND(AR934*1.05,0)</f>
        <v>46168</v>
      </c>
      <c r="AT934" s="321">
        <v>1</v>
      </c>
      <c r="AU934" s="136"/>
      <c r="AV934" s="136"/>
      <c r="AW934" s="318">
        <f t="shared" ref="AW934:AW959" si="589">W934*100</f>
        <v>9540</v>
      </c>
      <c r="AX934" s="193"/>
      <c r="AY934" s="318">
        <f t="shared" ref="AY934:AY959" si="590">+AW934+AX934</f>
        <v>9540</v>
      </c>
      <c r="AZ934" s="318">
        <f t="shared" ref="AZ934:AZ959" si="591">X934*100</f>
        <v>9520</v>
      </c>
      <c r="BA934" s="318">
        <f t="shared" ref="BA934:BA959" si="592">AY934-AZ934</f>
        <v>20</v>
      </c>
      <c r="BB934" s="318">
        <f t="shared" ref="BB934:BB959" si="593">AW934*2/1000</f>
        <v>19.079999999999998</v>
      </c>
      <c r="BC934" s="318">
        <v>0</v>
      </c>
      <c r="BD934" s="193"/>
      <c r="BE934" s="138">
        <v>95.4</v>
      </c>
      <c r="BF934" s="321">
        <f t="shared" ref="BF934:BF959" si="594">+BE934*0.15/100</f>
        <v>0.1431</v>
      </c>
      <c r="BG934" s="197">
        <f t="shared" ref="BG934:BG993" si="595">BE934-BF934</f>
        <v>95.256900000000002</v>
      </c>
      <c r="BH934" s="321">
        <f t="shared" ref="BH934:BH959" si="596">X934</f>
        <v>95.2</v>
      </c>
      <c r="BI934" s="322">
        <f t="shared" ref="BI934:BI959" si="597">(BE934-BH934)*100</f>
        <v>20.000000000000284</v>
      </c>
      <c r="BJ934" s="322">
        <v>0</v>
      </c>
      <c r="BK934" s="318">
        <f t="shared" ref="BK934:BK959" si="598">BI934</f>
        <v>20.000000000000284</v>
      </c>
      <c r="BL934" s="67"/>
      <c r="BM934" s="68" t="str">
        <f t="shared" ref="BM934:BM959" si="599">+$C$1&amp;" "&amp;C934 &amp;" "&amp;$N$1&amp;" "&amp;N934&amp;" "&amp;$BM$1&amp;" "&amp;$AK$1&amp;" "&amp;AK934&amp;" "&amp;$AL$1&amp;" "&amp;AL934&amp;" "&amp;$AM$1&amp;" "&amp;AM934&amp;" "&amp;$AN$1&amp;" "&amp;AN934&amp;" "&amp;$AO$1&amp;" "&amp;AO934&amp;" "&amp;$AP$1&amp;" "&amp;AP934&amp;" "&amp;$AQ$1&amp;" "&amp;AQ934</f>
        <v>Unloading no. 905 Bill No 2026-27/240 ,Deduction For Oil Deduction= 43889.4514285714 ,Bardana=  ,F.M=  Brokerage/Rate Difference  ,Shortage = 80.51 ,Greenish=  ,Moisture= 0</v>
      </c>
      <c r="BN934" s="69"/>
      <c r="BO934" s="70" t="str">
        <f t="shared" ref="BO934:BO959" si="600">+" "&amp;$AF$1&amp;" "&amp;AF934&amp;" "&amp;" "&amp;$AH$1&amp;" "&amp;AH934*100&amp;" "&amp;$AI$1&amp;" "&amp;AI934*100&amp;" "&amp;$AJ$1&amp;" "&amp;AJ934*100&amp;" ,"&amp;$AT$1&amp;" "&amp;AT934&amp;" "&amp;IF(AE934&gt;AG934," ,Oil%"&amp;" "&amp;AG934," ,Oil%"&amp;" "&amp;AE934)</f>
        <v xml:space="preserve"> Party Condition 42  ,F.M% 0.35 ,Greenish 4.4 ,Moisture 6 ,Shortage in KG= 1  ,Oil% 39.6</v>
      </c>
      <c r="BP934" s="71">
        <f t="shared" ref="BP934:BP959" si="601">(Y934-AR934)/X934</f>
        <v>7606.0445228091239</v>
      </c>
      <c r="BQ934" s="41"/>
      <c r="BR934" s="41"/>
      <c r="BS934" s="41"/>
      <c r="BT934" s="41"/>
      <c r="BU934" s="41"/>
      <c r="BV934" s="41"/>
      <c r="BW934" s="85"/>
      <c r="BX934" s="27">
        <v>39</v>
      </c>
      <c r="BY934" s="27">
        <v>38.729999999999997</v>
      </c>
    </row>
    <row r="935" spans="1:77" ht="14.1" hidden="1" customHeight="1" x14ac:dyDescent="0.3">
      <c r="A935" s="138" t="s">
        <v>1960</v>
      </c>
      <c r="B935" s="146">
        <v>46183</v>
      </c>
      <c r="C935" s="138">
        <v>906</v>
      </c>
      <c r="D935" s="135" t="s">
        <v>1971</v>
      </c>
      <c r="E935" s="129">
        <v>46184</v>
      </c>
      <c r="F935" s="138" t="s">
        <v>1805</v>
      </c>
      <c r="G935" s="128" t="s">
        <v>1806</v>
      </c>
      <c r="H935" s="128" t="s">
        <v>1511</v>
      </c>
      <c r="I935" s="136"/>
      <c r="J935" s="347" t="s">
        <v>1455</v>
      </c>
      <c r="K935" s="136"/>
      <c r="L935" s="146">
        <v>46183</v>
      </c>
      <c r="M935" s="136"/>
      <c r="N935" s="128" t="s">
        <v>1996</v>
      </c>
      <c r="O935" s="146">
        <v>46183</v>
      </c>
      <c r="P935" s="138">
        <v>0</v>
      </c>
      <c r="Q935" s="138">
        <v>400</v>
      </c>
      <c r="R935" s="138">
        <v>149</v>
      </c>
      <c r="S935" s="138">
        <v>549</v>
      </c>
      <c r="T935" s="138">
        <v>549</v>
      </c>
      <c r="U935" s="136"/>
      <c r="V935" s="136"/>
      <c r="W935" s="148">
        <v>333.2</v>
      </c>
      <c r="X935" s="148">
        <v>332.7</v>
      </c>
      <c r="Y935" s="148">
        <v>2648940</v>
      </c>
      <c r="Z935" s="169"/>
      <c r="AA935" s="138">
        <v>66223.5</v>
      </c>
      <c r="AB935" s="138">
        <v>66223.5</v>
      </c>
      <c r="AC935" s="138">
        <v>2781387</v>
      </c>
      <c r="AD935" s="315">
        <f t="shared" si="562"/>
        <v>2778605.6129999999</v>
      </c>
      <c r="AE935" s="147">
        <v>39.119999999999997</v>
      </c>
      <c r="AF935" s="147">
        <v>42</v>
      </c>
      <c r="AG935" s="147">
        <v>39.270000000000003</v>
      </c>
      <c r="AH935" s="292">
        <v>4.0000000000000001E-3</v>
      </c>
      <c r="AI935" s="287">
        <v>3.15E-2</v>
      </c>
      <c r="AJ935" s="287">
        <v>0.05</v>
      </c>
      <c r="AK935" s="318">
        <f t="shared" si="585"/>
        <v>181641.60000000015</v>
      </c>
      <c r="AL935" s="193">
        <f>400*10+149*15</f>
        <v>6235</v>
      </c>
      <c r="AM935" s="319">
        <f t="shared" ref="AM935:AM941" si="602">Y935*AH935</f>
        <v>10595.76</v>
      </c>
      <c r="AN935" s="319"/>
      <c r="AO935" s="320">
        <f t="shared" si="586"/>
        <v>3975</v>
      </c>
      <c r="AP935" s="193"/>
      <c r="AQ935" s="318">
        <v>0</v>
      </c>
      <c r="AR935" s="318">
        <f t="shared" si="587"/>
        <v>202447.36000000016</v>
      </c>
      <c r="AS935" s="318">
        <f t="shared" si="588"/>
        <v>212570</v>
      </c>
      <c r="AT935" s="321">
        <v>50</v>
      </c>
      <c r="AU935" s="136"/>
      <c r="AV935" s="136"/>
      <c r="AW935" s="318">
        <f t="shared" si="589"/>
        <v>33320</v>
      </c>
      <c r="AX935" s="193"/>
      <c r="AY935" s="318">
        <f t="shared" si="590"/>
        <v>33320</v>
      </c>
      <c r="AZ935" s="318">
        <f t="shared" si="591"/>
        <v>33270</v>
      </c>
      <c r="BA935" s="318">
        <f t="shared" si="592"/>
        <v>50</v>
      </c>
      <c r="BB935" s="318">
        <f t="shared" si="593"/>
        <v>66.64</v>
      </c>
      <c r="BC935" s="318">
        <v>0</v>
      </c>
      <c r="BD935" s="193"/>
      <c r="BE935" s="138">
        <v>333.2</v>
      </c>
      <c r="BF935" s="321">
        <f t="shared" si="594"/>
        <v>0.49979999999999997</v>
      </c>
      <c r="BG935" s="197">
        <f t="shared" si="595"/>
        <v>332.7002</v>
      </c>
      <c r="BH935" s="321">
        <f t="shared" si="596"/>
        <v>332.7</v>
      </c>
      <c r="BI935" s="322">
        <f t="shared" si="597"/>
        <v>50</v>
      </c>
      <c r="BJ935" s="322">
        <v>0</v>
      </c>
      <c r="BK935" s="318">
        <f t="shared" si="598"/>
        <v>50</v>
      </c>
      <c r="BL935" s="67"/>
      <c r="BM935" s="68" t="str">
        <f t="shared" si="599"/>
        <v>Unloading no. 906 Bill No 4/2026-27 ,Deduction For Oil Deduction= 181641.6 ,Bardana= 6235 ,F.M= 10595.76 Brokerage/Rate Difference  ,Shortage = 3975 ,Greenish=  ,Moisture= 0</v>
      </c>
      <c r="BN935" s="69"/>
      <c r="BO935" s="70" t="str">
        <f t="shared" si="600"/>
        <v xml:space="preserve"> Party Condition 42  ,F.M% 0.4 ,Greenish 3.15 ,Moisture 5 ,Shortage in KG= 50  ,Oil% 39.12</v>
      </c>
      <c r="BP935" s="71">
        <f t="shared" si="601"/>
        <v>7353.4494740006003</v>
      </c>
      <c r="BQ935" s="41"/>
      <c r="BR935" s="41"/>
      <c r="BS935" s="41"/>
      <c r="BT935" s="41"/>
      <c r="BU935" s="41"/>
      <c r="BV935" s="41"/>
      <c r="BW935" s="85"/>
      <c r="BX935" s="27">
        <v>39.119999999999997</v>
      </c>
      <c r="BY935" s="27">
        <v>39.270000000000003</v>
      </c>
    </row>
    <row r="936" spans="1:77" ht="14.1" hidden="1" customHeight="1" x14ac:dyDescent="0.3">
      <c r="A936" s="138" t="s">
        <v>1961</v>
      </c>
      <c r="B936" s="146">
        <v>46182</v>
      </c>
      <c r="C936" s="138">
        <v>907</v>
      </c>
      <c r="D936" s="135" t="s">
        <v>1972</v>
      </c>
      <c r="E936" s="129">
        <v>46184</v>
      </c>
      <c r="F936" s="138" t="s">
        <v>1450</v>
      </c>
      <c r="G936" s="128" t="s">
        <v>1451</v>
      </c>
      <c r="H936" s="128" t="s">
        <v>199</v>
      </c>
      <c r="I936" s="136"/>
      <c r="J936" s="347" t="s">
        <v>1455</v>
      </c>
      <c r="K936" s="136"/>
      <c r="L936" s="146">
        <v>46182</v>
      </c>
      <c r="M936" s="136"/>
      <c r="N936" s="128" t="s">
        <v>1997</v>
      </c>
      <c r="O936" s="146">
        <v>46183</v>
      </c>
      <c r="P936" s="138">
        <v>0</v>
      </c>
      <c r="Q936" s="138">
        <v>230</v>
      </c>
      <c r="R936" s="138">
        <v>27</v>
      </c>
      <c r="S936" s="138">
        <v>257</v>
      </c>
      <c r="T936" s="138">
        <v>257</v>
      </c>
      <c r="U936" s="136"/>
      <c r="V936" s="136"/>
      <c r="W936" s="148">
        <v>151.80000000000001</v>
      </c>
      <c r="X936" s="148">
        <v>151.4</v>
      </c>
      <c r="Y936" s="148">
        <f>1207811.88-1001.88</f>
        <v>1206810</v>
      </c>
      <c r="Z936" s="169"/>
      <c r="AA936" s="138">
        <v>30195.3</v>
      </c>
      <c r="AB936" s="138">
        <v>30195.3</v>
      </c>
      <c r="AC936" s="138">
        <v>1268202.47</v>
      </c>
      <c r="AD936" s="315">
        <f t="shared" si="562"/>
        <v>1266934.2675300001</v>
      </c>
      <c r="AE936" s="147">
        <v>39.4</v>
      </c>
      <c r="AF936" s="147">
        <v>42</v>
      </c>
      <c r="AG936" s="147">
        <v>39.479999999999997</v>
      </c>
      <c r="AH936" s="287">
        <v>3.8999999999999998E-3</v>
      </c>
      <c r="AI936" s="287">
        <v>3.5000000000000003E-2</v>
      </c>
      <c r="AJ936" s="287">
        <v>4.9000000000000002E-2</v>
      </c>
      <c r="AK936" s="318">
        <f t="shared" si="585"/>
        <v>74707.285714285754</v>
      </c>
      <c r="AL936" s="193">
        <f>230*10+27*15</f>
        <v>2705</v>
      </c>
      <c r="AM936" s="319">
        <f t="shared" si="602"/>
        <v>4706.5590000000002</v>
      </c>
      <c r="AN936" s="319">
        <v>1001.88</v>
      </c>
      <c r="AO936" s="320">
        <f t="shared" si="586"/>
        <v>3179.9999999999995</v>
      </c>
      <c r="AP936" s="193"/>
      <c r="AQ936" s="318">
        <v>0</v>
      </c>
      <c r="AR936" s="318">
        <f t="shared" si="587"/>
        <v>86300.724714285752</v>
      </c>
      <c r="AS936" s="318">
        <f t="shared" si="588"/>
        <v>90616</v>
      </c>
      <c r="AT936" s="321">
        <v>40</v>
      </c>
      <c r="AU936" s="136" t="s">
        <v>1535</v>
      </c>
      <c r="AV936" s="136"/>
      <c r="AW936" s="318">
        <f t="shared" si="589"/>
        <v>15180.000000000002</v>
      </c>
      <c r="AX936" s="193"/>
      <c r="AY936" s="318">
        <f t="shared" si="590"/>
        <v>15180.000000000002</v>
      </c>
      <c r="AZ936" s="318">
        <f t="shared" si="591"/>
        <v>15140</v>
      </c>
      <c r="BA936" s="318">
        <f t="shared" si="592"/>
        <v>40.000000000001819</v>
      </c>
      <c r="BB936" s="318">
        <f t="shared" si="593"/>
        <v>30.360000000000003</v>
      </c>
      <c r="BC936" s="318">
        <v>0</v>
      </c>
      <c r="BD936" s="193"/>
      <c r="BE936" s="138">
        <v>151.80000000000001</v>
      </c>
      <c r="BF936" s="321">
        <f t="shared" si="594"/>
        <v>0.22769999999999999</v>
      </c>
      <c r="BG936" s="197">
        <f t="shared" si="595"/>
        <v>151.57230000000001</v>
      </c>
      <c r="BH936" s="321">
        <f t="shared" si="596"/>
        <v>151.4</v>
      </c>
      <c r="BI936" s="322">
        <f t="shared" si="597"/>
        <v>40.000000000000568</v>
      </c>
      <c r="BJ936" s="322">
        <v>0</v>
      </c>
      <c r="BK936" s="318">
        <f t="shared" si="598"/>
        <v>40.000000000000568</v>
      </c>
      <c r="BL936" s="67"/>
      <c r="BM936" s="68" t="str">
        <f t="shared" si="599"/>
        <v>Unloading no. 907 Bill No ST-24 ,Deduction For Oil Deduction= 74707.2857142858 ,Bardana= 2705 ,F.M= 4706.559 Brokerage/Rate Difference 1001.88 ,Shortage = 3180 ,Greenish=  ,Moisture= 0</v>
      </c>
      <c r="BN936" s="69"/>
      <c r="BO936" s="70" t="str">
        <f t="shared" si="600"/>
        <v xml:space="preserve"> Party Condition 42  ,F.M% 0.39 ,Greenish 3.5 ,Moisture 4.9 ,Shortage in KG= 40  ,Oil% 39.4</v>
      </c>
      <c r="BP936" s="71">
        <f t="shared" si="601"/>
        <v>7400.9859662200415</v>
      </c>
      <c r="BQ936" s="41"/>
      <c r="BR936" s="41"/>
      <c r="BS936" s="41"/>
      <c r="BT936" s="41"/>
      <c r="BU936" s="41"/>
      <c r="BV936" s="41"/>
      <c r="BW936" s="85"/>
      <c r="BX936" s="27">
        <v>39.4</v>
      </c>
      <c r="BY936" s="27">
        <v>39.479999999999997</v>
      </c>
    </row>
    <row r="937" spans="1:77" ht="14.1" hidden="1" customHeight="1" x14ac:dyDescent="0.3">
      <c r="A937" s="138" t="s">
        <v>1962</v>
      </c>
      <c r="B937" s="146">
        <v>46182</v>
      </c>
      <c r="C937" s="138">
        <v>908</v>
      </c>
      <c r="D937" s="135" t="s">
        <v>1973</v>
      </c>
      <c r="E937" s="129">
        <v>46184</v>
      </c>
      <c r="F937" s="138" t="s">
        <v>1450</v>
      </c>
      <c r="G937" s="128" t="s">
        <v>1451</v>
      </c>
      <c r="H937" s="128" t="s">
        <v>199</v>
      </c>
      <c r="I937" s="136"/>
      <c r="J937" s="347" t="s">
        <v>1455</v>
      </c>
      <c r="K937" s="136"/>
      <c r="L937" s="146">
        <v>46182</v>
      </c>
      <c r="M937" s="136"/>
      <c r="N937" s="128" t="s">
        <v>1998</v>
      </c>
      <c r="O937" s="146">
        <v>46183</v>
      </c>
      <c r="P937" s="138">
        <v>0</v>
      </c>
      <c r="Q937" s="138">
        <v>220</v>
      </c>
      <c r="R937" s="138">
        <v>37</v>
      </c>
      <c r="S937" s="138">
        <v>257</v>
      </c>
      <c r="T937" s="138">
        <v>257</v>
      </c>
      <c r="U937" s="136"/>
      <c r="V937" s="136"/>
      <c r="W937" s="148">
        <v>153.19999999999999</v>
      </c>
      <c r="X937" s="148">
        <v>152.80000000000001</v>
      </c>
      <c r="Y937" s="148">
        <f>1218951.12-1011.12</f>
        <v>1217940</v>
      </c>
      <c r="Z937" s="169"/>
      <c r="AA937" s="138">
        <v>30473.78</v>
      </c>
      <c r="AB937" s="138">
        <v>30473.78</v>
      </c>
      <c r="AC937" s="138">
        <v>1279898.68</v>
      </c>
      <c r="AD937" s="315">
        <f t="shared" ref="AD937:AD1000" si="603">SUM(AC937-AC937*0.1%)</f>
        <v>1278618.7813199998</v>
      </c>
      <c r="AE937" s="147">
        <v>39.67</v>
      </c>
      <c r="AF937" s="147">
        <v>42</v>
      </c>
      <c r="AG937" s="147">
        <v>39.61</v>
      </c>
      <c r="AH937" s="287">
        <v>3.8E-3</v>
      </c>
      <c r="AI937" s="287">
        <v>3.4200000000000001E-2</v>
      </c>
      <c r="AJ937" s="287">
        <v>4.5999999999999999E-2</v>
      </c>
      <c r="AK937" s="318">
        <f t="shared" si="585"/>
        <v>69306.585714285728</v>
      </c>
      <c r="AL937" s="193">
        <f>220*10+37*15</f>
        <v>2755</v>
      </c>
      <c r="AM937" s="319">
        <f t="shared" si="602"/>
        <v>4628.1719999999996</v>
      </c>
      <c r="AN937" s="319">
        <v>1011.12</v>
      </c>
      <c r="AO937" s="320">
        <f t="shared" si="586"/>
        <v>3180.0000000000005</v>
      </c>
      <c r="AP937" s="193"/>
      <c r="AQ937" s="318">
        <v>0</v>
      </c>
      <c r="AR937" s="318">
        <f t="shared" si="587"/>
        <v>80880.877714285729</v>
      </c>
      <c r="AS937" s="318">
        <f t="shared" si="588"/>
        <v>84925</v>
      </c>
      <c r="AT937" s="321">
        <v>40</v>
      </c>
      <c r="AU937" s="136" t="s">
        <v>1535</v>
      </c>
      <c r="AV937" s="136"/>
      <c r="AW937" s="318">
        <f t="shared" si="589"/>
        <v>15319.999999999998</v>
      </c>
      <c r="AX937" s="193"/>
      <c r="AY937" s="318">
        <f t="shared" si="590"/>
        <v>15319.999999999998</v>
      </c>
      <c r="AZ937" s="318">
        <f t="shared" si="591"/>
        <v>15280.000000000002</v>
      </c>
      <c r="BA937" s="318">
        <f t="shared" si="592"/>
        <v>39.999999999996362</v>
      </c>
      <c r="BB937" s="318">
        <f t="shared" si="593"/>
        <v>30.639999999999997</v>
      </c>
      <c r="BC937" s="318">
        <v>0</v>
      </c>
      <c r="BD937" s="193"/>
      <c r="BE937" s="138">
        <v>153.19999999999999</v>
      </c>
      <c r="BF937" s="321">
        <f t="shared" si="594"/>
        <v>0.22979999999999998</v>
      </c>
      <c r="BG937" s="197">
        <f t="shared" si="595"/>
        <v>152.97019999999998</v>
      </c>
      <c r="BH937" s="321">
        <f t="shared" si="596"/>
        <v>152.80000000000001</v>
      </c>
      <c r="BI937" s="322">
        <f t="shared" si="597"/>
        <v>39.999999999997726</v>
      </c>
      <c r="BJ937" s="322">
        <v>0</v>
      </c>
      <c r="BK937" s="318">
        <f t="shared" si="598"/>
        <v>39.999999999997726</v>
      </c>
      <c r="BL937" s="67"/>
      <c r="BM937" s="68" t="str">
        <f t="shared" si="599"/>
        <v>Unloading no. 908 Bill No ST-25 ,Deduction For Oil Deduction= 69306.5857142857 ,Bardana= 2755 ,F.M= 4628.172 Brokerage/Rate Difference 1011.12 ,Shortage = 3180 ,Greenish=  ,Moisture= 0</v>
      </c>
      <c r="BN937" s="69"/>
      <c r="BO937" s="70" t="str">
        <f t="shared" si="600"/>
        <v xml:space="preserve"> Party Condition 42  ,F.M% 0.38 ,Greenish 3.42 ,Moisture 4.6 ,Shortage in KG= 40  ,Oil% 39.61</v>
      </c>
      <c r="BP937" s="71">
        <f t="shared" si="601"/>
        <v>7441.4864023934178</v>
      </c>
      <c r="BQ937" s="41"/>
      <c r="BR937" s="41"/>
      <c r="BS937" s="41"/>
      <c r="BT937" s="41"/>
      <c r="BU937" s="41"/>
      <c r="BV937" s="41"/>
      <c r="BW937" s="85"/>
      <c r="BX937" s="27">
        <v>39.67</v>
      </c>
      <c r="BY937" s="27">
        <v>39.61</v>
      </c>
    </row>
    <row r="938" spans="1:77" ht="14.1" hidden="1" customHeight="1" x14ac:dyDescent="0.3">
      <c r="A938" s="138" t="s">
        <v>1960</v>
      </c>
      <c r="B938" s="146">
        <v>46183</v>
      </c>
      <c r="C938" s="138">
        <v>909</v>
      </c>
      <c r="D938" s="135" t="s">
        <v>1974</v>
      </c>
      <c r="E938" s="129">
        <v>46184</v>
      </c>
      <c r="F938" s="138" t="s">
        <v>1805</v>
      </c>
      <c r="G938" s="128" t="s">
        <v>1806</v>
      </c>
      <c r="H938" s="128" t="s">
        <v>1511</v>
      </c>
      <c r="I938" s="136"/>
      <c r="J938" s="347" t="s">
        <v>1455</v>
      </c>
      <c r="K938" s="136"/>
      <c r="L938" s="146">
        <v>46183</v>
      </c>
      <c r="M938" s="136"/>
      <c r="N938" s="128" t="s">
        <v>1999</v>
      </c>
      <c r="O938" s="146">
        <v>46184</v>
      </c>
      <c r="P938" s="138">
        <v>0</v>
      </c>
      <c r="Q938" s="138">
        <v>150</v>
      </c>
      <c r="R938" s="138">
        <v>50</v>
      </c>
      <c r="S938" s="138">
        <v>200</v>
      </c>
      <c r="T938" s="138">
        <v>200</v>
      </c>
      <c r="U938" s="136"/>
      <c r="V938" s="136"/>
      <c r="W938" s="148">
        <v>121.35</v>
      </c>
      <c r="X938" s="148">
        <v>121.3</v>
      </c>
      <c r="Y938" s="148">
        <v>964732.5</v>
      </c>
      <c r="Z938" s="169"/>
      <c r="AA938" s="138">
        <v>24118.31</v>
      </c>
      <c r="AB938" s="138">
        <v>24118.31</v>
      </c>
      <c r="AC938" s="138">
        <v>1012969.13</v>
      </c>
      <c r="AD938" s="315">
        <f t="shared" si="603"/>
        <v>1011956.16087</v>
      </c>
      <c r="AE938" s="147">
        <v>40.46</v>
      </c>
      <c r="AF938" s="147">
        <v>42</v>
      </c>
      <c r="AG938" s="147">
        <v>40.32</v>
      </c>
      <c r="AH938" s="292">
        <v>4.1999999999999997E-3</v>
      </c>
      <c r="AI938" s="287">
        <v>3.7999999999999999E-2</v>
      </c>
      <c r="AJ938" s="287">
        <v>4.5999999999999999E-2</v>
      </c>
      <c r="AK938" s="318">
        <f t="shared" si="585"/>
        <v>38589.299999999996</v>
      </c>
      <c r="AL938" s="193">
        <f>150*10+50*15</f>
        <v>2250</v>
      </c>
      <c r="AM938" s="319">
        <f t="shared" si="602"/>
        <v>4051.8764999999999</v>
      </c>
      <c r="AN938" s="319"/>
      <c r="AO938" s="320">
        <f t="shared" si="586"/>
        <v>397.5</v>
      </c>
      <c r="AP938" s="193"/>
      <c r="AQ938" s="318">
        <v>0</v>
      </c>
      <c r="AR938" s="318">
        <f t="shared" si="587"/>
        <v>45288.676499999994</v>
      </c>
      <c r="AS938" s="318">
        <f t="shared" si="588"/>
        <v>47553</v>
      </c>
      <c r="AT938" s="321">
        <v>5</v>
      </c>
      <c r="AU938" s="136"/>
      <c r="AV938" s="136"/>
      <c r="AW938" s="318">
        <f t="shared" si="589"/>
        <v>12135</v>
      </c>
      <c r="AX938" s="193"/>
      <c r="AY938" s="318">
        <f t="shared" si="590"/>
        <v>12135</v>
      </c>
      <c r="AZ938" s="318">
        <f t="shared" si="591"/>
        <v>12130</v>
      </c>
      <c r="BA938" s="318">
        <f t="shared" si="592"/>
        <v>5</v>
      </c>
      <c r="BB938" s="318">
        <f t="shared" si="593"/>
        <v>24.27</v>
      </c>
      <c r="BC938" s="318">
        <v>0</v>
      </c>
      <c r="BD938" s="193"/>
      <c r="BE938" s="138">
        <v>121.35</v>
      </c>
      <c r="BF938" s="321">
        <f t="shared" si="594"/>
        <v>0.18202499999999996</v>
      </c>
      <c r="BG938" s="197">
        <f t="shared" si="595"/>
        <v>121.167975</v>
      </c>
      <c r="BH938" s="321">
        <f t="shared" si="596"/>
        <v>121.3</v>
      </c>
      <c r="BI938" s="322">
        <f t="shared" si="597"/>
        <v>4.9999999999997158</v>
      </c>
      <c r="BJ938" s="322">
        <v>0</v>
      </c>
      <c r="BK938" s="318">
        <f t="shared" si="598"/>
        <v>4.9999999999997158</v>
      </c>
      <c r="BL938" s="67"/>
      <c r="BM938" s="68" t="str">
        <f t="shared" si="599"/>
        <v>Unloading no. 909 Bill No 5/2026-27 ,Deduction For Oil Deduction= 38589.3 ,Bardana= 2250 ,F.M= 4051.8765 Brokerage/Rate Difference  ,Shortage = 397.5 ,Greenish=  ,Moisture= 0</v>
      </c>
      <c r="BN938" s="69"/>
      <c r="BO938" s="70" t="str">
        <f t="shared" si="600"/>
        <v xml:space="preserve"> Party Condition 42  ,F.M% 0.42 ,Greenish 3.8 ,Moisture 4.6 ,Shortage in KG= 5  ,Oil% 40.32</v>
      </c>
      <c r="BP938" s="71">
        <f t="shared" si="601"/>
        <v>7579.9161046990939</v>
      </c>
      <c r="BQ938" s="41"/>
      <c r="BR938" s="41"/>
      <c r="BS938" s="41"/>
      <c r="BT938" s="41"/>
      <c r="BU938" s="41"/>
      <c r="BV938" s="41"/>
      <c r="BW938" s="85"/>
      <c r="BX938" s="27">
        <v>40.46</v>
      </c>
      <c r="BY938" s="27">
        <v>40.32</v>
      </c>
    </row>
    <row r="939" spans="1:77" ht="14.1" hidden="1" customHeight="1" x14ac:dyDescent="0.3">
      <c r="A939" s="138" t="s">
        <v>1963</v>
      </c>
      <c r="B939" s="146">
        <v>46182</v>
      </c>
      <c r="C939" s="138">
        <v>910</v>
      </c>
      <c r="D939" s="135" t="s">
        <v>1975</v>
      </c>
      <c r="E939" s="129">
        <v>46184</v>
      </c>
      <c r="F939" s="138" t="s">
        <v>1691</v>
      </c>
      <c r="G939" s="128" t="s">
        <v>1692</v>
      </c>
      <c r="H939" s="128" t="s">
        <v>1693</v>
      </c>
      <c r="I939" s="136"/>
      <c r="J939" s="347" t="s">
        <v>1455</v>
      </c>
      <c r="K939" s="136"/>
      <c r="L939" s="146">
        <v>46182</v>
      </c>
      <c r="M939" s="136"/>
      <c r="N939" s="128" t="s">
        <v>1304</v>
      </c>
      <c r="O939" s="146">
        <v>46184</v>
      </c>
      <c r="P939" s="138">
        <v>0</v>
      </c>
      <c r="Q939" s="138">
        <v>496</v>
      </c>
      <c r="R939" s="138">
        <v>0</v>
      </c>
      <c r="S939" s="138">
        <v>496</v>
      </c>
      <c r="T939" s="138">
        <v>496</v>
      </c>
      <c r="U939" s="136"/>
      <c r="V939" s="136"/>
      <c r="W939" s="148">
        <v>301.39999999999998</v>
      </c>
      <c r="X939" s="148">
        <v>301.5</v>
      </c>
      <c r="Y939" s="148">
        <v>2396130</v>
      </c>
      <c r="Z939" s="169"/>
      <c r="AA939" s="138">
        <v>59903.25</v>
      </c>
      <c r="AB939" s="138">
        <v>59903.25</v>
      </c>
      <c r="AC939" s="138">
        <v>2515936.5</v>
      </c>
      <c r="AD939" s="315">
        <f t="shared" si="603"/>
        <v>2513420.5635000002</v>
      </c>
      <c r="AE939" s="147">
        <v>40.78</v>
      </c>
      <c r="AF939" s="147">
        <v>42</v>
      </c>
      <c r="AG939" s="147">
        <v>40.51</v>
      </c>
      <c r="AH939" s="287">
        <v>3.0999999999999999E-3</v>
      </c>
      <c r="AI939" s="287">
        <v>4.2299999999999997E-2</v>
      </c>
      <c r="AJ939" s="287">
        <v>0.05</v>
      </c>
      <c r="AK939" s="318">
        <f t="shared" si="585"/>
        <v>85005.564285714398</v>
      </c>
      <c r="AL939" s="193">
        <f>496*10</f>
        <v>4960</v>
      </c>
      <c r="AM939" s="319">
        <f t="shared" si="602"/>
        <v>7428.0029999999997</v>
      </c>
      <c r="AN939" s="319"/>
      <c r="AO939" s="320">
        <f t="shared" si="586"/>
        <v>0</v>
      </c>
      <c r="AP939" s="193"/>
      <c r="AQ939" s="318">
        <v>0</v>
      </c>
      <c r="AR939" s="318">
        <f t="shared" si="587"/>
        <v>97393.567285714395</v>
      </c>
      <c r="AS939" s="318">
        <f t="shared" si="588"/>
        <v>102263</v>
      </c>
      <c r="AT939" s="321">
        <v>0</v>
      </c>
      <c r="AU939" s="136"/>
      <c r="AV939" s="136"/>
      <c r="AW939" s="318">
        <f t="shared" si="589"/>
        <v>30139.999999999996</v>
      </c>
      <c r="AX939" s="193"/>
      <c r="AY939" s="318">
        <f t="shared" si="590"/>
        <v>30139.999999999996</v>
      </c>
      <c r="AZ939" s="318">
        <f t="shared" si="591"/>
        <v>30150</v>
      </c>
      <c r="BA939" s="318">
        <f t="shared" si="592"/>
        <v>-10.000000000003638</v>
      </c>
      <c r="BB939" s="318">
        <f t="shared" si="593"/>
        <v>60.279999999999994</v>
      </c>
      <c r="BC939" s="318">
        <v>0</v>
      </c>
      <c r="BD939" s="193"/>
      <c r="BE939" s="138">
        <v>301.39999999999998</v>
      </c>
      <c r="BF939" s="321">
        <f t="shared" si="594"/>
        <v>0.45209999999999995</v>
      </c>
      <c r="BG939" s="197">
        <f t="shared" si="595"/>
        <v>300.9479</v>
      </c>
      <c r="BH939" s="321">
        <f t="shared" si="596"/>
        <v>301.5</v>
      </c>
      <c r="BI939" s="322">
        <f t="shared" si="597"/>
        <v>-10.000000000002274</v>
      </c>
      <c r="BJ939" s="322">
        <v>0</v>
      </c>
      <c r="BK939" s="318">
        <f t="shared" si="598"/>
        <v>-10.000000000002274</v>
      </c>
      <c r="BL939" s="67"/>
      <c r="BM939" s="68" t="str">
        <f t="shared" si="599"/>
        <v>Unloading no. 910 Bill No 2026-27/65 ,Deduction For Oil Deduction= 85005.5642857144 ,Bardana= 4960 ,F.M= 7428.003 Brokerage/Rate Difference  ,Shortage = 0 ,Greenish=  ,Moisture= 0</v>
      </c>
      <c r="BN939" s="69"/>
      <c r="BO939" s="70" t="str">
        <f t="shared" si="600"/>
        <v xml:space="preserve"> Party Condition 42  ,F.M% 0.31 ,Greenish 4.23 ,Moisture 5 ,Shortage in KG= 0  ,Oil% 40.51</v>
      </c>
      <c r="BP939" s="71">
        <f t="shared" si="601"/>
        <v>7624.3331101634685</v>
      </c>
      <c r="BQ939" s="41"/>
      <c r="BR939" s="41"/>
      <c r="BS939" s="41"/>
      <c r="BT939" s="41"/>
      <c r="BU939" s="41"/>
      <c r="BV939" s="41"/>
      <c r="BW939" s="85"/>
      <c r="BX939" s="27">
        <v>40.78</v>
      </c>
      <c r="BY939" s="27">
        <v>40.51</v>
      </c>
    </row>
    <row r="940" spans="1:77" ht="14.1" hidden="1" customHeight="1" x14ac:dyDescent="0.3">
      <c r="A940" s="138" t="s">
        <v>1964</v>
      </c>
      <c r="B940" s="146">
        <v>46184</v>
      </c>
      <c r="C940" s="138">
        <v>911</v>
      </c>
      <c r="D940" s="135" t="s">
        <v>1976</v>
      </c>
      <c r="E940" s="129">
        <v>46185</v>
      </c>
      <c r="F940" s="138" t="s">
        <v>1805</v>
      </c>
      <c r="G940" s="128" t="s">
        <v>1806</v>
      </c>
      <c r="H940" s="128" t="s">
        <v>1511</v>
      </c>
      <c r="I940" s="136"/>
      <c r="J940" s="347" t="s">
        <v>1455</v>
      </c>
      <c r="K940" s="136"/>
      <c r="L940" s="146">
        <v>46184</v>
      </c>
      <c r="M940" s="136"/>
      <c r="N940" s="128" t="s">
        <v>2000</v>
      </c>
      <c r="O940" s="146">
        <v>46184</v>
      </c>
      <c r="P940" s="138">
        <v>0</v>
      </c>
      <c r="Q940" s="138">
        <v>150</v>
      </c>
      <c r="R940" s="138">
        <v>50</v>
      </c>
      <c r="S940" s="138">
        <v>200</v>
      </c>
      <c r="T940" s="138">
        <v>200</v>
      </c>
      <c r="U940" s="136"/>
      <c r="V940" s="136"/>
      <c r="W940" s="148">
        <v>119.5</v>
      </c>
      <c r="X940" s="148">
        <v>119.3</v>
      </c>
      <c r="Y940" s="148">
        <v>956000</v>
      </c>
      <c r="Z940" s="169"/>
      <c r="AA940" s="138">
        <v>23900</v>
      </c>
      <c r="AB940" s="138">
        <v>23900</v>
      </c>
      <c r="AC940" s="138">
        <v>1003800</v>
      </c>
      <c r="AD940" s="315">
        <f t="shared" si="603"/>
        <v>1002796.2</v>
      </c>
      <c r="AE940" s="147">
        <v>39.479999999999997</v>
      </c>
      <c r="AF940" s="147">
        <v>42</v>
      </c>
      <c r="AG940" s="147">
        <v>39.4</v>
      </c>
      <c r="AH940" s="287">
        <v>3.8999999999999998E-3</v>
      </c>
      <c r="AI940" s="287">
        <v>3.2000000000000001E-2</v>
      </c>
      <c r="AJ940" s="287">
        <v>4.7E-2</v>
      </c>
      <c r="AK940" s="318">
        <f t="shared" si="585"/>
        <v>59180.952380952418</v>
      </c>
      <c r="AL940" s="193">
        <f>150*10+50*15</f>
        <v>2250</v>
      </c>
      <c r="AM940" s="319">
        <f t="shared" si="602"/>
        <v>3728.3999999999996</v>
      </c>
      <c r="AN940" s="319"/>
      <c r="AO940" s="320">
        <f t="shared" si="586"/>
        <v>1600</v>
      </c>
      <c r="AP940" s="193"/>
      <c r="AQ940" s="318">
        <v>0</v>
      </c>
      <c r="AR940" s="318">
        <f t="shared" si="587"/>
        <v>66759.352380952419</v>
      </c>
      <c r="AS940" s="325">
        <f t="shared" si="588"/>
        <v>70097</v>
      </c>
      <c r="AT940" s="321">
        <v>20</v>
      </c>
      <c r="AU940" s="136"/>
      <c r="AV940" s="136"/>
      <c r="AW940" s="318">
        <f t="shared" si="589"/>
        <v>11950</v>
      </c>
      <c r="AX940" s="193"/>
      <c r="AY940" s="318">
        <f t="shared" si="590"/>
        <v>11950</v>
      </c>
      <c r="AZ940" s="318">
        <f t="shared" si="591"/>
        <v>11930</v>
      </c>
      <c r="BA940" s="318">
        <f t="shared" si="592"/>
        <v>20</v>
      </c>
      <c r="BB940" s="318">
        <f t="shared" si="593"/>
        <v>23.9</v>
      </c>
      <c r="BC940" s="318">
        <v>0</v>
      </c>
      <c r="BD940" s="193"/>
      <c r="BE940" s="138">
        <v>119.5</v>
      </c>
      <c r="BF940" s="321">
        <f t="shared" si="594"/>
        <v>0.17925000000000002</v>
      </c>
      <c r="BG940" s="197">
        <f t="shared" si="595"/>
        <v>119.32075</v>
      </c>
      <c r="BH940" s="321">
        <f t="shared" si="596"/>
        <v>119.3</v>
      </c>
      <c r="BI940" s="322">
        <f t="shared" si="597"/>
        <v>20.000000000000284</v>
      </c>
      <c r="BJ940" s="322">
        <v>0</v>
      </c>
      <c r="BK940" s="318">
        <f t="shared" si="598"/>
        <v>20.000000000000284</v>
      </c>
      <c r="BL940" s="67"/>
      <c r="BM940" s="68" t="str">
        <f t="shared" si="599"/>
        <v>Unloading no. 911 Bill No 6/2026-27 ,Deduction For Oil Deduction= 59180.9523809524 ,Bardana= 2250 ,F.M= 3728.4 Brokerage/Rate Difference  ,Shortage = 1600 ,Greenish=  ,Moisture= 0</v>
      </c>
      <c r="BN940" s="69"/>
      <c r="BO940" s="70" t="str">
        <f t="shared" si="600"/>
        <v xml:space="preserve"> Party Condition 42  ,F.M% 0.39 ,Greenish 3.2 ,Moisture 4.7 ,Shortage in KG= 20  ,Oil% 39.4</v>
      </c>
      <c r="BP940" s="71">
        <f t="shared" si="601"/>
        <v>7453.8193429928551</v>
      </c>
      <c r="BQ940" s="41"/>
      <c r="BR940" s="41"/>
      <c r="BS940" s="41"/>
      <c r="BT940" s="41"/>
      <c r="BU940" s="41"/>
      <c r="BV940" s="41"/>
      <c r="BW940" s="85"/>
      <c r="BX940" s="27">
        <v>39.479999999999997</v>
      </c>
      <c r="BY940" s="27">
        <v>39.4</v>
      </c>
    </row>
    <row r="941" spans="1:77" ht="14.1" hidden="1" customHeight="1" x14ac:dyDescent="0.3">
      <c r="A941" s="138" t="s">
        <v>1965</v>
      </c>
      <c r="B941" s="146">
        <v>46184</v>
      </c>
      <c r="C941" s="138">
        <v>912</v>
      </c>
      <c r="D941" s="135" t="s">
        <v>1977</v>
      </c>
      <c r="E941" s="129">
        <v>46185</v>
      </c>
      <c r="F941" s="138" t="s">
        <v>1686</v>
      </c>
      <c r="G941" s="128" t="s">
        <v>1687</v>
      </c>
      <c r="H941" s="128" t="s">
        <v>1688</v>
      </c>
      <c r="I941" s="136"/>
      <c r="J941" s="347" t="s">
        <v>1455</v>
      </c>
      <c r="K941" s="136"/>
      <c r="L941" s="146">
        <v>46184</v>
      </c>
      <c r="M941" s="136"/>
      <c r="N941" s="128" t="s">
        <v>2001</v>
      </c>
      <c r="O941" s="146">
        <v>46184</v>
      </c>
      <c r="P941" s="138">
        <v>0</v>
      </c>
      <c r="Q941" s="138">
        <v>200</v>
      </c>
      <c r="R941" s="138">
        <v>79</v>
      </c>
      <c r="S941" s="138">
        <v>279</v>
      </c>
      <c r="T941" s="138">
        <v>279</v>
      </c>
      <c r="U941" s="136"/>
      <c r="V941" s="136"/>
      <c r="W941" s="148">
        <v>170.1</v>
      </c>
      <c r="X941" s="148">
        <v>169.7</v>
      </c>
      <c r="Y941" s="148">
        <v>1360800</v>
      </c>
      <c r="Z941" s="169"/>
      <c r="AA941" s="138">
        <v>34020</v>
      </c>
      <c r="AB941" s="138">
        <v>34020</v>
      </c>
      <c r="AC941" s="138">
        <v>1428840</v>
      </c>
      <c r="AD941" s="315">
        <f t="shared" si="603"/>
        <v>1427411.16</v>
      </c>
      <c r="AE941" s="147">
        <v>40.700000000000003</v>
      </c>
      <c r="AF941" s="147">
        <v>42</v>
      </c>
      <c r="AG941" s="147">
        <v>40.39</v>
      </c>
      <c r="AH941" s="287">
        <v>3.8E-3</v>
      </c>
      <c r="AI941" s="287">
        <v>3.4200000000000001E-2</v>
      </c>
      <c r="AJ941" s="287">
        <v>4.9000000000000002E-2</v>
      </c>
      <c r="AK941" s="318">
        <f t="shared" si="585"/>
        <v>52163.999999999978</v>
      </c>
      <c r="AL941" s="193">
        <f>200*10+79*15</f>
        <v>3185</v>
      </c>
      <c r="AM941" s="319">
        <f t="shared" si="602"/>
        <v>5171.04</v>
      </c>
      <c r="AN941" s="319"/>
      <c r="AO941" s="320">
        <f t="shared" si="586"/>
        <v>3200</v>
      </c>
      <c r="AP941" s="193"/>
      <c r="AQ941" s="318">
        <v>0</v>
      </c>
      <c r="AR941" s="318">
        <f t="shared" si="587"/>
        <v>63720.039999999979</v>
      </c>
      <c r="AS941" s="325">
        <f t="shared" si="588"/>
        <v>66906</v>
      </c>
      <c r="AT941" s="321">
        <v>40</v>
      </c>
      <c r="AU941" s="136"/>
      <c r="AV941" s="136"/>
      <c r="AW941" s="318">
        <f t="shared" si="589"/>
        <v>17010</v>
      </c>
      <c r="AX941" s="193"/>
      <c r="AY941" s="318">
        <f t="shared" si="590"/>
        <v>17010</v>
      </c>
      <c r="AZ941" s="318">
        <f t="shared" si="591"/>
        <v>16970</v>
      </c>
      <c r="BA941" s="318">
        <f t="shared" si="592"/>
        <v>40</v>
      </c>
      <c r="BB941" s="318">
        <f t="shared" si="593"/>
        <v>34.020000000000003</v>
      </c>
      <c r="BC941" s="318">
        <v>0</v>
      </c>
      <c r="BD941" s="193"/>
      <c r="BE941" s="138">
        <v>170.1</v>
      </c>
      <c r="BF941" s="321">
        <f t="shared" si="594"/>
        <v>0.25514999999999999</v>
      </c>
      <c r="BG941" s="197">
        <f t="shared" si="595"/>
        <v>169.84485000000001</v>
      </c>
      <c r="BH941" s="321">
        <f t="shared" si="596"/>
        <v>169.7</v>
      </c>
      <c r="BI941" s="322">
        <f t="shared" si="597"/>
        <v>40.000000000000568</v>
      </c>
      <c r="BJ941" s="322">
        <v>0</v>
      </c>
      <c r="BK941" s="318">
        <f t="shared" si="598"/>
        <v>40.000000000000568</v>
      </c>
      <c r="BL941" s="67"/>
      <c r="BM941" s="68" t="str">
        <f t="shared" si="599"/>
        <v>Unloading no. 912 Bill No KAI/2026-27/128 ,Deduction For Oil Deduction= 52164 ,Bardana= 3185 ,F.M= 5171.04 Brokerage/Rate Difference  ,Shortage = 3200 ,Greenish=  ,Moisture= 0</v>
      </c>
      <c r="BN941" s="69"/>
      <c r="BO941" s="70" t="str">
        <f t="shared" si="600"/>
        <v xml:space="preserve"> Party Condition 42  ,F.M% 0.38 ,Greenish 3.42 ,Moisture 4.9 ,Shortage in KG= 40  ,Oil% 40.39</v>
      </c>
      <c r="BP941" s="71">
        <f t="shared" si="601"/>
        <v>7643.3704183853861</v>
      </c>
      <c r="BQ941" s="41"/>
      <c r="BR941" s="41"/>
      <c r="BS941" s="41"/>
      <c r="BT941" s="41"/>
      <c r="BU941" s="41"/>
      <c r="BV941" s="41"/>
      <c r="BW941" s="85"/>
      <c r="BX941" s="27">
        <v>40.700000000000003</v>
      </c>
      <c r="BY941" s="27">
        <v>40.39</v>
      </c>
    </row>
    <row r="942" spans="1:77" ht="14.1" hidden="1" customHeight="1" x14ac:dyDescent="0.3">
      <c r="A942" s="138" t="s">
        <v>1966</v>
      </c>
      <c r="B942" s="146">
        <v>46182</v>
      </c>
      <c r="C942" s="190">
        <v>913</v>
      </c>
      <c r="D942" s="135" t="s">
        <v>1978</v>
      </c>
      <c r="E942" s="129">
        <v>46185</v>
      </c>
      <c r="F942" s="138" t="s">
        <v>110</v>
      </c>
      <c r="G942" s="128" t="s">
        <v>111</v>
      </c>
      <c r="H942" s="128" t="s">
        <v>112</v>
      </c>
      <c r="I942" s="136"/>
      <c r="J942" s="347" t="s">
        <v>113</v>
      </c>
      <c r="K942" s="136"/>
      <c r="L942" s="146">
        <v>46182</v>
      </c>
      <c r="M942" s="136"/>
      <c r="N942" s="128" t="s">
        <v>2019</v>
      </c>
      <c r="O942" s="146">
        <v>46184</v>
      </c>
      <c r="P942" s="138">
        <v>0</v>
      </c>
      <c r="Q942" s="138">
        <v>90</v>
      </c>
      <c r="R942" s="138">
        <v>2</v>
      </c>
      <c r="S942" s="138">
        <v>92</v>
      </c>
      <c r="T942" s="138">
        <v>92</v>
      </c>
      <c r="U942" s="136"/>
      <c r="V942" s="136"/>
      <c r="W942" s="148">
        <v>55.2</v>
      </c>
      <c r="X942" s="148">
        <v>55.2</v>
      </c>
      <c r="Y942" s="148">
        <v>444691.20000000001</v>
      </c>
      <c r="Z942" s="169"/>
      <c r="AA942" s="138">
        <v>11117.28</v>
      </c>
      <c r="AB942" s="138">
        <v>11117.28</v>
      </c>
      <c r="AC942" s="138">
        <v>466925.76</v>
      </c>
      <c r="AD942" s="315">
        <f t="shared" si="603"/>
        <v>466458.83424</v>
      </c>
      <c r="AE942" s="147">
        <v>41.65</v>
      </c>
      <c r="AF942" s="147">
        <v>41.75</v>
      </c>
      <c r="AG942" s="147">
        <v>41.35</v>
      </c>
      <c r="AH942" s="294">
        <v>4.0000000000000001E-3</v>
      </c>
      <c r="AI942" s="287">
        <v>3.4799999999999998E-2</v>
      </c>
      <c r="AJ942" s="287">
        <v>5.2999999999999999E-2</v>
      </c>
      <c r="AK942" s="318">
        <f t="shared" si="585"/>
        <v>4260.5144910179488</v>
      </c>
      <c r="AL942" s="193"/>
      <c r="AM942" s="319"/>
      <c r="AN942" s="319"/>
      <c r="AO942" s="320">
        <f t="shared" si="586"/>
        <v>0</v>
      </c>
      <c r="AP942" s="193"/>
      <c r="AQ942" s="318">
        <v>0</v>
      </c>
      <c r="AR942" s="318">
        <f t="shared" si="587"/>
        <v>4260.5144910179488</v>
      </c>
      <c r="AS942" s="325">
        <f t="shared" si="588"/>
        <v>4474</v>
      </c>
      <c r="AT942" s="321">
        <v>0</v>
      </c>
      <c r="AU942" s="136" t="s">
        <v>2017</v>
      </c>
      <c r="AV942" s="136"/>
      <c r="AW942" s="318">
        <f t="shared" si="589"/>
        <v>5520</v>
      </c>
      <c r="AX942" s="193"/>
      <c r="AY942" s="318">
        <f t="shared" si="590"/>
        <v>5520</v>
      </c>
      <c r="AZ942" s="318">
        <f t="shared" si="591"/>
        <v>5520</v>
      </c>
      <c r="BA942" s="318">
        <f t="shared" si="592"/>
        <v>0</v>
      </c>
      <c r="BB942" s="318">
        <f t="shared" si="593"/>
        <v>11.04</v>
      </c>
      <c r="BC942" s="318">
        <v>0</v>
      </c>
      <c r="BD942" s="193"/>
      <c r="BE942" s="138">
        <v>55.2</v>
      </c>
      <c r="BF942" s="321">
        <f t="shared" si="594"/>
        <v>8.2799999999999999E-2</v>
      </c>
      <c r="BG942" s="197">
        <f t="shared" si="595"/>
        <v>55.117200000000004</v>
      </c>
      <c r="BH942" s="321">
        <f t="shared" si="596"/>
        <v>55.2</v>
      </c>
      <c r="BI942" s="322">
        <f t="shared" si="597"/>
        <v>0</v>
      </c>
      <c r="BJ942" s="322">
        <v>0</v>
      </c>
      <c r="BK942" s="318">
        <f t="shared" si="598"/>
        <v>0</v>
      </c>
      <c r="BL942" s="67"/>
      <c r="BM942" s="68" t="str">
        <f t="shared" si="599"/>
        <v>Unloading no. 913 Bill No G/1720 ,Deduction For Oil Deduction= 4260.51449101795 ,Bardana=  ,F.M=  Brokerage/Rate Difference  ,Shortage = 0 ,Greenish=  ,Moisture= 0</v>
      </c>
      <c r="BN942" s="69"/>
      <c r="BO942" s="70" t="str">
        <f t="shared" si="600"/>
        <v xml:space="preserve"> Party Condition 41.75  ,F.M% 0.4 ,Greenish 3.48 ,Moisture 5.3 ,Shortage in KG= 0  ,Oil% 41.35</v>
      </c>
      <c r="BP942" s="71">
        <f t="shared" si="601"/>
        <v>7978.8167664670655</v>
      </c>
      <c r="BQ942" s="41"/>
      <c r="BR942" s="41"/>
      <c r="BS942" s="41"/>
      <c r="BT942" s="41"/>
      <c r="BU942" s="41"/>
      <c r="BV942" s="41"/>
      <c r="BW942" s="85"/>
      <c r="BX942" s="27">
        <v>41.65</v>
      </c>
      <c r="BY942" s="27">
        <v>41.35</v>
      </c>
    </row>
    <row r="943" spans="1:77" ht="14.1" hidden="1" customHeight="1" x14ac:dyDescent="0.3">
      <c r="A943" s="138" t="s">
        <v>1967</v>
      </c>
      <c r="B943" s="146">
        <v>46184</v>
      </c>
      <c r="C943" s="190">
        <v>913</v>
      </c>
      <c r="D943" s="135" t="s">
        <v>1978</v>
      </c>
      <c r="E943" s="129">
        <v>46185</v>
      </c>
      <c r="F943" s="138" t="s">
        <v>110</v>
      </c>
      <c r="G943" s="128" t="s">
        <v>111</v>
      </c>
      <c r="H943" s="128" t="s">
        <v>112</v>
      </c>
      <c r="I943" s="136"/>
      <c r="J943" s="347" t="s">
        <v>113</v>
      </c>
      <c r="K943" s="136"/>
      <c r="L943" s="146">
        <v>46184</v>
      </c>
      <c r="M943" s="136"/>
      <c r="N943" s="128" t="s">
        <v>2020</v>
      </c>
      <c r="O943" s="146">
        <v>46184</v>
      </c>
      <c r="P943" s="138">
        <v>0</v>
      </c>
      <c r="Q943" s="138">
        <v>224</v>
      </c>
      <c r="R943" s="138">
        <v>0</v>
      </c>
      <c r="S943" s="138">
        <v>224</v>
      </c>
      <c r="T943" s="138">
        <v>224</v>
      </c>
      <c r="U943" s="136"/>
      <c r="V943" s="136"/>
      <c r="W943" s="148">
        <v>134.4</v>
      </c>
      <c r="X943" s="148">
        <f>192.2-55.2</f>
        <v>137</v>
      </c>
      <c r="Y943" s="148">
        <v>1067136</v>
      </c>
      <c r="Z943" s="169"/>
      <c r="AA943" s="138">
        <v>26678.400000000001</v>
      </c>
      <c r="AB943" s="138">
        <v>26678.400000000001</v>
      </c>
      <c r="AC943" s="138">
        <v>1120492.8</v>
      </c>
      <c r="AD943" s="315">
        <f t="shared" si="603"/>
        <v>1119372.3072000002</v>
      </c>
      <c r="AE943" s="147">
        <v>41.65</v>
      </c>
      <c r="AF943" s="147">
        <v>41.75</v>
      </c>
      <c r="AG943" s="147">
        <v>41.35</v>
      </c>
      <c r="AH943" s="294">
        <v>4.0000000000000001E-3</v>
      </c>
      <c r="AI943" s="287">
        <v>3.4799999999999998E-2</v>
      </c>
      <c r="AJ943" s="287">
        <v>5.2999999999999999E-2</v>
      </c>
      <c r="AK943" s="318">
        <f t="shared" si="585"/>
        <v>10224.057485029904</v>
      </c>
      <c r="AL943" s="193"/>
      <c r="AM943" s="319"/>
      <c r="AN943" s="319"/>
      <c r="AO943" s="320">
        <f t="shared" si="586"/>
        <v>0</v>
      </c>
      <c r="AP943" s="193"/>
      <c r="AQ943" s="318">
        <v>0</v>
      </c>
      <c r="AR943" s="318">
        <f t="shared" si="587"/>
        <v>10224.057485029904</v>
      </c>
      <c r="AS943" s="325">
        <f t="shared" si="588"/>
        <v>10735</v>
      </c>
      <c r="AT943" s="321">
        <v>0</v>
      </c>
      <c r="AU943" s="136" t="s">
        <v>2017</v>
      </c>
      <c r="AV943" s="136"/>
      <c r="AW943" s="318">
        <f t="shared" si="589"/>
        <v>13440</v>
      </c>
      <c r="AX943" s="193"/>
      <c r="AY943" s="318">
        <f t="shared" si="590"/>
        <v>13440</v>
      </c>
      <c r="AZ943" s="318">
        <f t="shared" si="591"/>
        <v>13700</v>
      </c>
      <c r="BA943" s="318">
        <f t="shared" si="592"/>
        <v>-260</v>
      </c>
      <c r="BB943" s="318">
        <f t="shared" si="593"/>
        <v>26.88</v>
      </c>
      <c r="BC943" s="318">
        <v>0</v>
      </c>
      <c r="BD943" s="193"/>
      <c r="BE943" s="138">
        <v>134.4</v>
      </c>
      <c r="BF943" s="321">
        <f t="shared" si="594"/>
        <v>0.2016</v>
      </c>
      <c r="BG943" s="197">
        <f t="shared" si="595"/>
        <v>134.19839999999999</v>
      </c>
      <c r="BH943" s="321">
        <f t="shared" si="596"/>
        <v>137</v>
      </c>
      <c r="BI943" s="322">
        <f t="shared" si="597"/>
        <v>-259.99999999999943</v>
      </c>
      <c r="BJ943" s="322">
        <v>0</v>
      </c>
      <c r="BK943" s="318">
        <f t="shared" si="598"/>
        <v>-259.99999999999943</v>
      </c>
      <c r="BL943" s="67"/>
      <c r="BM943" s="68" t="str">
        <f t="shared" si="599"/>
        <v>Unloading no. 913 Bill No G/1721 ,Deduction For Oil Deduction= 10224.0574850299 ,Bardana=  ,F.M=  Brokerage/Rate Difference  ,Shortage = 0 ,Greenish=  ,Moisture= 0</v>
      </c>
      <c r="BN943" s="69"/>
      <c r="BO943" s="70" t="str">
        <f t="shared" si="600"/>
        <v xml:space="preserve"> Party Condition 41.75  ,F.M% 0.4 ,Greenish 3.48 ,Moisture 5.3 ,Shortage in KG= 0  ,Oil% 41.35</v>
      </c>
      <c r="BP943" s="71">
        <f t="shared" si="601"/>
        <v>7714.6857117881036</v>
      </c>
      <c r="BQ943" s="41"/>
      <c r="BR943" s="41"/>
      <c r="BS943" s="41"/>
      <c r="BT943" s="41"/>
      <c r="BU943" s="41"/>
      <c r="BV943" s="41"/>
      <c r="BW943" s="85"/>
      <c r="BX943" s="27">
        <v>41.65</v>
      </c>
      <c r="BY943" s="27">
        <v>41.35</v>
      </c>
    </row>
    <row r="944" spans="1:77" ht="14.1" hidden="1" customHeight="1" x14ac:dyDescent="0.3">
      <c r="A944" s="138" t="s">
        <v>1968</v>
      </c>
      <c r="B944" s="146">
        <v>46184</v>
      </c>
      <c r="C944" s="138">
        <v>914</v>
      </c>
      <c r="D944" s="135" t="s">
        <v>1979</v>
      </c>
      <c r="E944" s="129">
        <v>46185</v>
      </c>
      <c r="F944" s="138" t="s">
        <v>1144</v>
      </c>
      <c r="G944" s="128" t="s">
        <v>1145</v>
      </c>
      <c r="H944" s="128" t="s">
        <v>1901</v>
      </c>
      <c r="I944" s="136"/>
      <c r="J944" s="347" t="s">
        <v>1455</v>
      </c>
      <c r="K944" s="136"/>
      <c r="L944" s="146">
        <v>46184</v>
      </c>
      <c r="M944" s="136"/>
      <c r="N944" s="128" t="s">
        <v>2002</v>
      </c>
      <c r="O944" s="146">
        <v>46185</v>
      </c>
      <c r="P944" s="138">
        <v>0</v>
      </c>
      <c r="Q944" s="138">
        <v>100</v>
      </c>
      <c r="R944" s="138">
        <v>53</v>
      </c>
      <c r="S944" s="138">
        <v>153</v>
      </c>
      <c r="T944" s="138">
        <v>153</v>
      </c>
      <c r="U944" s="136"/>
      <c r="V944" s="136"/>
      <c r="W944" s="148">
        <v>87.7</v>
      </c>
      <c r="X944" s="148">
        <v>87.6</v>
      </c>
      <c r="Y944" s="148">
        <v>701687.7</v>
      </c>
      <c r="Z944" s="372">
        <v>39.74</v>
      </c>
      <c r="AA944" s="138">
        <v>17542.189999999999</v>
      </c>
      <c r="AB944" s="138">
        <v>17542.189999999999</v>
      </c>
      <c r="AC944" s="138">
        <v>736772.09</v>
      </c>
      <c r="AD944" s="315">
        <f t="shared" si="603"/>
        <v>736035.31790999998</v>
      </c>
      <c r="AE944" s="147">
        <v>39.74</v>
      </c>
      <c r="AF944" s="147">
        <v>42</v>
      </c>
      <c r="AG944" s="147">
        <v>39.74</v>
      </c>
      <c r="AH944" s="287">
        <v>3.8999999999999998E-3</v>
      </c>
      <c r="AI944" s="287">
        <v>3.56E-2</v>
      </c>
      <c r="AJ944" s="287">
        <v>5.3999999999999999E-2</v>
      </c>
      <c r="AK944" s="318">
        <f t="shared" si="585"/>
        <v>37757.480999999963</v>
      </c>
      <c r="AL944" s="193"/>
      <c r="AM944" s="319"/>
      <c r="AN944" s="319"/>
      <c r="AO944" s="320">
        <f t="shared" si="586"/>
        <v>0</v>
      </c>
      <c r="AP944" s="193"/>
      <c r="AQ944" s="318">
        <v>0</v>
      </c>
      <c r="AR944" s="318">
        <f t="shared" si="587"/>
        <v>37757.480999999963</v>
      </c>
      <c r="AS944" s="318">
        <f t="shared" si="588"/>
        <v>39645</v>
      </c>
      <c r="AT944" s="321">
        <v>0</v>
      </c>
      <c r="AU944" s="136"/>
      <c r="AV944" s="136"/>
      <c r="AW944" s="318">
        <f t="shared" si="589"/>
        <v>8770</v>
      </c>
      <c r="AX944" s="193"/>
      <c r="AY944" s="318">
        <f t="shared" si="590"/>
        <v>8770</v>
      </c>
      <c r="AZ944" s="318">
        <f t="shared" si="591"/>
        <v>8760</v>
      </c>
      <c r="BA944" s="318">
        <f t="shared" si="592"/>
        <v>10</v>
      </c>
      <c r="BB944" s="318">
        <f t="shared" si="593"/>
        <v>17.54</v>
      </c>
      <c r="BC944" s="318">
        <v>0</v>
      </c>
      <c r="BD944" s="193"/>
      <c r="BE944" s="138">
        <v>87.7</v>
      </c>
      <c r="BF944" s="321">
        <f t="shared" si="594"/>
        <v>0.13155</v>
      </c>
      <c r="BG944" s="197">
        <f t="shared" si="595"/>
        <v>87.568449999999999</v>
      </c>
      <c r="BH944" s="321">
        <f t="shared" si="596"/>
        <v>87.6</v>
      </c>
      <c r="BI944" s="322">
        <f t="shared" si="597"/>
        <v>10.000000000000853</v>
      </c>
      <c r="BJ944" s="322">
        <v>0</v>
      </c>
      <c r="BK944" s="318">
        <f t="shared" si="598"/>
        <v>10.000000000000853</v>
      </c>
      <c r="BL944" s="67"/>
      <c r="BM944" s="68" t="str">
        <f t="shared" si="599"/>
        <v>Unloading no. 914 Bill No 2026-27/242 ,Deduction For Oil Deduction= 37757.481 ,Bardana=  ,F.M=  Brokerage/Rate Difference  ,Shortage = 0 ,Greenish=  ,Moisture= 0</v>
      </c>
      <c r="BN944" s="69"/>
      <c r="BO944" s="70" t="str">
        <f t="shared" si="600"/>
        <v xml:space="preserve"> Party Condition 42  ,F.M% 0.39 ,Greenish 3.56 ,Moisture 5.4 ,Shortage in KG= 0  ,Oil% 39.74</v>
      </c>
      <c r="BP944" s="71">
        <f t="shared" si="601"/>
        <v>7579.1120890410966</v>
      </c>
      <c r="BQ944" s="41"/>
      <c r="BR944" s="41"/>
      <c r="BS944" s="41"/>
      <c r="BT944" s="41"/>
      <c r="BU944" s="41"/>
      <c r="BV944" s="41"/>
      <c r="BW944" s="85"/>
      <c r="BX944" s="27">
        <v>39.68</v>
      </c>
      <c r="BY944" s="27">
        <v>39.65</v>
      </c>
    </row>
    <row r="945" spans="1:77" ht="14.1" hidden="1" customHeight="1" x14ac:dyDescent="0.3">
      <c r="A945" s="138" t="s">
        <v>1968</v>
      </c>
      <c r="B945" s="146">
        <v>46184</v>
      </c>
      <c r="C945" s="138">
        <v>915</v>
      </c>
      <c r="D945" s="135" t="s">
        <v>1980</v>
      </c>
      <c r="E945" s="129">
        <v>46185</v>
      </c>
      <c r="F945" s="138" t="s">
        <v>1144</v>
      </c>
      <c r="G945" s="128" t="s">
        <v>1145</v>
      </c>
      <c r="H945" s="128" t="s">
        <v>1901</v>
      </c>
      <c r="I945" s="136"/>
      <c r="J945" s="347" t="s">
        <v>1455</v>
      </c>
      <c r="K945" s="136"/>
      <c r="L945" s="146">
        <v>46184</v>
      </c>
      <c r="M945" s="136"/>
      <c r="N945" s="128" t="s">
        <v>2003</v>
      </c>
      <c r="O945" s="146">
        <v>46185</v>
      </c>
      <c r="P945" s="138">
        <v>0</v>
      </c>
      <c r="Q945" s="138">
        <v>143</v>
      </c>
      <c r="R945" s="138">
        <v>10</v>
      </c>
      <c r="S945" s="138">
        <v>153</v>
      </c>
      <c r="T945" s="138">
        <v>153</v>
      </c>
      <c r="U945" s="136"/>
      <c r="V945" s="136"/>
      <c r="W945" s="148">
        <v>91.3</v>
      </c>
      <c r="X945" s="148">
        <v>91.1</v>
      </c>
      <c r="Y945" s="148">
        <v>730491.3</v>
      </c>
      <c r="Z945" s="372">
        <v>39.72</v>
      </c>
      <c r="AA945" s="138">
        <v>18262.28</v>
      </c>
      <c r="AB945" s="138">
        <v>18262.28</v>
      </c>
      <c r="AC945" s="138">
        <v>767015.87</v>
      </c>
      <c r="AD945" s="315">
        <f t="shared" si="603"/>
        <v>766248.85412999999</v>
      </c>
      <c r="AE945" s="147">
        <v>39.72</v>
      </c>
      <c r="AF945" s="147">
        <v>42</v>
      </c>
      <c r="AG945" s="147">
        <v>39.72</v>
      </c>
      <c r="AH945" s="287">
        <v>4.0000000000000001E-3</v>
      </c>
      <c r="AI945" s="287">
        <v>3.49E-2</v>
      </c>
      <c r="AJ945" s="287">
        <v>4.7E-2</v>
      </c>
      <c r="AK945" s="318">
        <f t="shared" si="585"/>
        <v>39655.24200000002</v>
      </c>
      <c r="AL945" s="193"/>
      <c r="AM945" s="319"/>
      <c r="AN945" s="319"/>
      <c r="AO945" s="320">
        <f t="shared" si="586"/>
        <v>160.02000000000001</v>
      </c>
      <c r="AP945" s="193"/>
      <c r="AQ945" s="318">
        <v>0</v>
      </c>
      <c r="AR945" s="318">
        <f t="shared" si="587"/>
        <v>39815.262000000017</v>
      </c>
      <c r="AS945" s="318">
        <f t="shared" si="588"/>
        <v>41806</v>
      </c>
      <c r="AT945" s="321">
        <v>2</v>
      </c>
      <c r="AU945" s="136"/>
      <c r="AV945" s="136"/>
      <c r="AW945" s="318">
        <f t="shared" si="589"/>
        <v>9130</v>
      </c>
      <c r="AX945" s="193"/>
      <c r="AY945" s="318">
        <f t="shared" si="590"/>
        <v>9130</v>
      </c>
      <c r="AZ945" s="318">
        <f t="shared" si="591"/>
        <v>9110</v>
      </c>
      <c r="BA945" s="318">
        <f t="shared" si="592"/>
        <v>20</v>
      </c>
      <c r="BB945" s="318">
        <f t="shared" si="593"/>
        <v>18.260000000000002</v>
      </c>
      <c r="BC945" s="318">
        <v>0</v>
      </c>
      <c r="BD945" s="193"/>
      <c r="BE945" s="138">
        <v>91.3</v>
      </c>
      <c r="BF945" s="321">
        <f t="shared" si="594"/>
        <v>0.13694999999999999</v>
      </c>
      <c r="BG945" s="197">
        <f t="shared" si="595"/>
        <v>91.163049999999998</v>
      </c>
      <c r="BH945" s="321">
        <f t="shared" si="596"/>
        <v>91.1</v>
      </c>
      <c r="BI945" s="322">
        <f t="shared" si="597"/>
        <v>20.000000000000284</v>
      </c>
      <c r="BJ945" s="322">
        <v>0</v>
      </c>
      <c r="BK945" s="318">
        <f t="shared" si="598"/>
        <v>20.000000000000284</v>
      </c>
      <c r="BL945" s="67"/>
      <c r="BM945" s="68" t="str">
        <f t="shared" si="599"/>
        <v>Unloading no. 915 Bill No 2026-27/243 ,Deduction For Oil Deduction= 39655.242 ,Bardana=  ,F.M=  Brokerage/Rate Difference  ,Shortage = 160.02 ,Greenish=  ,Moisture= 0</v>
      </c>
      <c r="BN945" s="69"/>
      <c r="BO945" s="70" t="str">
        <f t="shared" si="600"/>
        <v xml:space="preserve"> Party Condition 42  ,F.M% 0.4 ,Greenish 3.49 ,Moisture 4.7 ,Shortage in KG= 2  ,Oil% 39.72</v>
      </c>
      <c r="BP945" s="71">
        <f t="shared" si="601"/>
        <v>7581.5152360043921</v>
      </c>
      <c r="BQ945" s="41"/>
      <c r="BR945" s="41"/>
      <c r="BS945" s="41"/>
      <c r="BT945" s="41"/>
      <c r="BU945" s="41"/>
      <c r="BV945" s="41"/>
      <c r="BW945" s="85"/>
      <c r="BX945" s="27">
        <v>39.5</v>
      </c>
      <c r="BY945" s="27">
        <v>39.29</v>
      </c>
    </row>
    <row r="946" spans="1:77" ht="14.1" hidden="1" customHeight="1" x14ac:dyDescent="0.3">
      <c r="A946" s="138" t="s">
        <v>1968</v>
      </c>
      <c r="B946" s="146">
        <v>46184</v>
      </c>
      <c r="C946" s="138">
        <v>916</v>
      </c>
      <c r="D946" s="135" t="s">
        <v>1981</v>
      </c>
      <c r="E946" s="129">
        <v>46185</v>
      </c>
      <c r="F946" s="138" t="s">
        <v>1144</v>
      </c>
      <c r="G946" s="128" t="s">
        <v>1145</v>
      </c>
      <c r="H946" s="128" t="s">
        <v>1901</v>
      </c>
      <c r="I946" s="136"/>
      <c r="J946" s="347" t="s">
        <v>1455</v>
      </c>
      <c r="K946" s="136"/>
      <c r="L946" s="146">
        <v>46184</v>
      </c>
      <c r="M946" s="136"/>
      <c r="N946" s="128" t="s">
        <v>2004</v>
      </c>
      <c r="O946" s="146">
        <v>46185</v>
      </c>
      <c r="P946" s="138">
        <v>0</v>
      </c>
      <c r="Q946" s="138">
        <v>140</v>
      </c>
      <c r="R946" s="138">
        <v>13</v>
      </c>
      <c r="S946" s="138">
        <v>153</v>
      </c>
      <c r="T946" s="138">
        <v>153</v>
      </c>
      <c r="U946" s="136"/>
      <c r="V946" s="136"/>
      <c r="W946" s="148">
        <v>92.1</v>
      </c>
      <c r="X946" s="148">
        <v>92</v>
      </c>
      <c r="Y946" s="148">
        <v>736892.1</v>
      </c>
      <c r="Z946" s="372">
        <v>40</v>
      </c>
      <c r="AA946" s="138">
        <v>18422.3</v>
      </c>
      <c r="AB946" s="138">
        <v>18422.3</v>
      </c>
      <c r="AC946" s="138">
        <v>773736.71</v>
      </c>
      <c r="AD946" s="315">
        <f t="shared" si="603"/>
        <v>772962.97328999999</v>
      </c>
      <c r="AE946" s="147">
        <v>40</v>
      </c>
      <c r="AF946" s="147">
        <v>42</v>
      </c>
      <c r="AG946" s="147">
        <v>40</v>
      </c>
      <c r="AH946" s="287">
        <v>3.5000000000000001E-3</v>
      </c>
      <c r="AI946" s="287">
        <v>4.1700000000000001E-2</v>
      </c>
      <c r="AJ946" s="287">
        <v>4.5999999999999999E-2</v>
      </c>
      <c r="AK946" s="318">
        <f t="shared" si="585"/>
        <v>35090.1</v>
      </c>
      <c r="AL946" s="193"/>
      <c r="AM946" s="319"/>
      <c r="AN946" s="319"/>
      <c r="AO946" s="320">
        <f t="shared" si="586"/>
        <v>0</v>
      </c>
      <c r="AP946" s="193"/>
      <c r="AQ946" s="318">
        <v>0</v>
      </c>
      <c r="AR946" s="318">
        <f t="shared" si="587"/>
        <v>35090.1</v>
      </c>
      <c r="AS946" s="318">
        <f t="shared" si="588"/>
        <v>36845</v>
      </c>
      <c r="AT946" s="321">
        <v>0</v>
      </c>
      <c r="AU946" s="136"/>
      <c r="AV946" s="136"/>
      <c r="AW946" s="318">
        <f t="shared" si="589"/>
        <v>9210</v>
      </c>
      <c r="AX946" s="193"/>
      <c r="AY946" s="318">
        <f t="shared" si="590"/>
        <v>9210</v>
      </c>
      <c r="AZ946" s="318">
        <f t="shared" si="591"/>
        <v>9200</v>
      </c>
      <c r="BA946" s="318">
        <f t="shared" si="592"/>
        <v>10</v>
      </c>
      <c r="BB946" s="318">
        <f t="shared" si="593"/>
        <v>18.420000000000002</v>
      </c>
      <c r="BC946" s="318">
        <v>0</v>
      </c>
      <c r="BD946" s="193"/>
      <c r="BE946" s="138">
        <v>92.1</v>
      </c>
      <c r="BF946" s="321">
        <f t="shared" si="594"/>
        <v>0.13815</v>
      </c>
      <c r="BG946" s="197">
        <f t="shared" si="595"/>
        <v>91.961849999999998</v>
      </c>
      <c r="BH946" s="321">
        <f t="shared" si="596"/>
        <v>92</v>
      </c>
      <c r="BI946" s="322">
        <f t="shared" si="597"/>
        <v>9.9999999999994316</v>
      </c>
      <c r="BJ946" s="322">
        <v>0</v>
      </c>
      <c r="BK946" s="318">
        <f t="shared" si="598"/>
        <v>9.9999999999994316</v>
      </c>
      <c r="BL946" s="67"/>
      <c r="BM946" s="68" t="str">
        <f t="shared" si="599"/>
        <v>Unloading no. 916 Bill No 2026-27/245 ,Deduction For Oil Deduction= 35090.1 ,Bardana=  ,F.M=  Brokerage/Rate Difference  ,Shortage = 0 ,Greenish=  ,Moisture= 0</v>
      </c>
      <c r="BN946" s="69"/>
      <c r="BO946" s="70" t="str">
        <f t="shared" si="600"/>
        <v xml:space="preserve"> Party Condition 42  ,F.M% 0.35 ,Greenish 4.17 ,Moisture 4.6 ,Shortage in KG= 0  ,Oil% 40</v>
      </c>
      <c r="BP946" s="71">
        <f t="shared" si="601"/>
        <v>7628.282608695652</v>
      </c>
      <c r="BQ946" s="41"/>
      <c r="BR946" s="41"/>
      <c r="BS946" s="41"/>
      <c r="BT946" s="41"/>
      <c r="BU946" s="41"/>
      <c r="BV946" s="41"/>
      <c r="BW946" s="85"/>
      <c r="BX946" s="27">
        <v>39.619999999999997</v>
      </c>
      <c r="BY946" s="27">
        <v>39.6</v>
      </c>
    </row>
    <row r="947" spans="1:77" ht="14.1" hidden="1" customHeight="1" x14ac:dyDescent="0.3">
      <c r="A947" s="138" t="s">
        <v>1968</v>
      </c>
      <c r="B947" s="146">
        <v>46184</v>
      </c>
      <c r="C947" s="138">
        <v>917</v>
      </c>
      <c r="D947" s="135" t="s">
        <v>1982</v>
      </c>
      <c r="E947" s="129">
        <v>46185</v>
      </c>
      <c r="F947" s="138" t="s">
        <v>1144</v>
      </c>
      <c r="G947" s="128" t="s">
        <v>1145</v>
      </c>
      <c r="H947" s="128" t="s">
        <v>1901</v>
      </c>
      <c r="I947" s="136"/>
      <c r="J947" s="347" t="s">
        <v>1455</v>
      </c>
      <c r="K947" s="136"/>
      <c r="L947" s="146">
        <v>46184</v>
      </c>
      <c r="M947" s="136"/>
      <c r="N947" s="128" t="s">
        <v>2005</v>
      </c>
      <c r="O947" s="146">
        <v>46185</v>
      </c>
      <c r="P947" s="138">
        <v>0</v>
      </c>
      <c r="Q947" s="138">
        <v>150</v>
      </c>
      <c r="R947" s="138">
        <v>3</v>
      </c>
      <c r="S947" s="138">
        <v>153</v>
      </c>
      <c r="T947" s="138">
        <v>153</v>
      </c>
      <c r="U947" s="136"/>
      <c r="V947" s="136"/>
      <c r="W947" s="148">
        <v>91.5</v>
      </c>
      <c r="X947" s="148">
        <v>91.4</v>
      </c>
      <c r="Y947" s="148">
        <v>732091.5</v>
      </c>
      <c r="Z947" s="372">
        <v>39.4</v>
      </c>
      <c r="AA947" s="138">
        <v>18302.29</v>
      </c>
      <c r="AB947" s="138">
        <v>18302.29</v>
      </c>
      <c r="AC947" s="138">
        <v>768696.08</v>
      </c>
      <c r="AD947" s="315">
        <f t="shared" si="603"/>
        <v>767927.38391999993</v>
      </c>
      <c r="AE947" s="147">
        <v>39.4</v>
      </c>
      <c r="AF947" s="147">
        <v>42</v>
      </c>
      <c r="AG947" s="147">
        <v>39.4</v>
      </c>
      <c r="AH947" s="287">
        <v>3.2000000000000002E-3</v>
      </c>
      <c r="AI947" s="287">
        <v>4.4999999999999998E-2</v>
      </c>
      <c r="AJ947" s="287">
        <v>5.1999999999999998E-2</v>
      </c>
      <c r="AK947" s="318">
        <f t="shared" si="585"/>
        <v>45319.950000000026</v>
      </c>
      <c r="AL947" s="193"/>
      <c r="AM947" s="319"/>
      <c r="AN947" s="319"/>
      <c r="AO947" s="320">
        <f t="shared" si="586"/>
        <v>0</v>
      </c>
      <c r="AP947" s="193"/>
      <c r="AQ947" s="318">
        <v>0</v>
      </c>
      <c r="AR947" s="318">
        <f t="shared" si="587"/>
        <v>45319.950000000026</v>
      </c>
      <c r="AS947" s="318">
        <f t="shared" si="588"/>
        <v>47586</v>
      </c>
      <c r="AT947" s="321">
        <v>0</v>
      </c>
      <c r="AU947" s="136"/>
      <c r="AV947" s="136"/>
      <c r="AW947" s="318">
        <f t="shared" si="589"/>
        <v>9150</v>
      </c>
      <c r="AX947" s="193"/>
      <c r="AY947" s="318">
        <f t="shared" si="590"/>
        <v>9150</v>
      </c>
      <c r="AZ947" s="318">
        <f t="shared" si="591"/>
        <v>9140</v>
      </c>
      <c r="BA947" s="318">
        <f t="shared" si="592"/>
        <v>10</v>
      </c>
      <c r="BB947" s="318">
        <f t="shared" si="593"/>
        <v>18.3</v>
      </c>
      <c r="BC947" s="318">
        <v>0</v>
      </c>
      <c r="BD947" s="193"/>
      <c r="BE947" s="138">
        <v>91.5</v>
      </c>
      <c r="BF947" s="321">
        <f t="shared" si="594"/>
        <v>0.13724999999999998</v>
      </c>
      <c r="BG947" s="197">
        <f t="shared" si="595"/>
        <v>91.362750000000005</v>
      </c>
      <c r="BH947" s="321">
        <f t="shared" si="596"/>
        <v>91.4</v>
      </c>
      <c r="BI947" s="322">
        <f t="shared" si="597"/>
        <v>9.9999999999994316</v>
      </c>
      <c r="BJ947" s="322">
        <v>0</v>
      </c>
      <c r="BK947" s="318">
        <f t="shared" si="598"/>
        <v>9.9999999999994316</v>
      </c>
      <c r="BL947" s="67"/>
      <c r="BM947" s="68" t="str">
        <f t="shared" si="599"/>
        <v>Unloading no. 917 Bill No 2026-27/246 ,Deduction For Oil Deduction= 45319.95 ,Bardana=  ,F.M=  Brokerage/Rate Difference  ,Shortage = 0 ,Greenish=  ,Moisture= 0</v>
      </c>
      <c r="BN947" s="69"/>
      <c r="BO947" s="70" t="str">
        <f t="shared" si="600"/>
        <v xml:space="preserve"> Party Condition 42  ,F.M% 0.32 ,Greenish 4.5 ,Moisture 5.2 ,Shortage in KG= 0  ,Oil% 39.4</v>
      </c>
      <c r="BP947" s="71">
        <f t="shared" si="601"/>
        <v>7513.9119256017493</v>
      </c>
      <c r="BQ947" s="41"/>
      <c r="BR947" s="41"/>
      <c r="BS947" s="41"/>
      <c r="BT947" s="41"/>
      <c r="BU947" s="41"/>
      <c r="BV947" s="41"/>
      <c r="BW947" s="85"/>
      <c r="BX947" s="27">
        <v>39.25</v>
      </c>
      <c r="BY947" s="27">
        <v>39.06</v>
      </c>
    </row>
    <row r="948" spans="1:77" ht="14.1" hidden="1" customHeight="1" x14ac:dyDescent="0.3">
      <c r="A948" s="138" t="s">
        <v>1968</v>
      </c>
      <c r="B948" s="146">
        <v>46184</v>
      </c>
      <c r="C948" s="138">
        <v>918</v>
      </c>
      <c r="D948" s="135" t="s">
        <v>1983</v>
      </c>
      <c r="E948" s="129">
        <v>46185</v>
      </c>
      <c r="F948" s="138" t="s">
        <v>1144</v>
      </c>
      <c r="G948" s="128" t="s">
        <v>1145</v>
      </c>
      <c r="H948" s="128" t="s">
        <v>1901</v>
      </c>
      <c r="I948" s="136"/>
      <c r="J948" s="347" t="s">
        <v>1455</v>
      </c>
      <c r="K948" s="136"/>
      <c r="L948" s="146">
        <v>46184</v>
      </c>
      <c r="M948" s="136"/>
      <c r="N948" s="128" t="s">
        <v>2006</v>
      </c>
      <c r="O948" s="146">
        <v>46185</v>
      </c>
      <c r="P948" s="138">
        <v>0</v>
      </c>
      <c r="Q948" s="138">
        <v>120</v>
      </c>
      <c r="R948" s="138">
        <v>33</v>
      </c>
      <c r="S948" s="138">
        <v>153</v>
      </c>
      <c r="T948" s="138">
        <v>153</v>
      </c>
      <c r="U948" s="136"/>
      <c r="V948" s="136"/>
      <c r="W948" s="148">
        <v>91.6</v>
      </c>
      <c r="X948" s="148">
        <v>91.5</v>
      </c>
      <c r="Y948" s="148">
        <v>732891.6</v>
      </c>
      <c r="Z948" s="372">
        <v>39.630000000000003</v>
      </c>
      <c r="AA948" s="138">
        <v>18322.29</v>
      </c>
      <c r="AB948" s="138">
        <v>18322.29</v>
      </c>
      <c r="AC948" s="138">
        <v>769536.18</v>
      </c>
      <c r="AD948" s="315">
        <f t="shared" si="603"/>
        <v>768766.64382</v>
      </c>
      <c r="AE948" s="147">
        <v>39.630000000000003</v>
      </c>
      <c r="AF948" s="147">
        <v>42</v>
      </c>
      <c r="AG948" s="147">
        <v>39.630000000000003</v>
      </c>
      <c r="AH948" s="287">
        <v>3.0000000000000001E-3</v>
      </c>
      <c r="AI948" s="287">
        <v>4.5400000000000003E-2</v>
      </c>
      <c r="AJ948" s="287">
        <v>4.7E-2</v>
      </c>
      <c r="AK948" s="318">
        <f t="shared" si="585"/>
        <v>41356.025999999954</v>
      </c>
      <c r="AL948" s="193"/>
      <c r="AM948" s="319"/>
      <c r="AN948" s="319"/>
      <c r="AO948" s="320">
        <f t="shared" si="586"/>
        <v>0</v>
      </c>
      <c r="AP948" s="193"/>
      <c r="AQ948" s="318">
        <v>0</v>
      </c>
      <c r="AR948" s="318">
        <f t="shared" si="587"/>
        <v>41356.025999999954</v>
      </c>
      <c r="AS948" s="318">
        <f t="shared" si="588"/>
        <v>43424</v>
      </c>
      <c r="AT948" s="321">
        <v>0</v>
      </c>
      <c r="AU948" s="136"/>
      <c r="AV948" s="136"/>
      <c r="AW948" s="318">
        <f t="shared" si="589"/>
        <v>9160</v>
      </c>
      <c r="AX948" s="193"/>
      <c r="AY948" s="318">
        <f t="shared" si="590"/>
        <v>9160</v>
      </c>
      <c r="AZ948" s="318">
        <f t="shared" si="591"/>
        <v>9150</v>
      </c>
      <c r="BA948" s="318">
        <f t="shared" si="592"/>
        <v>10</v>
      </c>
      <c r="BB948" s="318">
        <f t="shared" si="593"/>
        <v>18.32</v>
      </c>
      <c r="BC948" s="318">
        <v>0</v>
      </c>
      <c r="BD948" s="193"/>
      <c r="BE948" s="138">
        <v>91.6</v>
      </c>
      <c r="BF948" s="321">
        <f t="shared" si="594"/>
        <v>0.13739999999999999</v>
      </c>
      <c r="BG948" s="197">
        <f t="shared" si="595"/>
        <v>91.462599999999995</v>
      </c>
      <c r="BH948" s="321">
        <f t="shared" si="596"/>
        <v>91.5</v>
      </c>
      <c r="BI948" s="322">
        <f t="shared" si="597"/>
        <v>9.9999999999994316</v>
      </c>
      <c r="BJ948" s="322">
        <v>0</v>
      </c>
      <c r="BK948" s="318">
        <f t="shared" si="598"/>
        <v>9.9999999999994316</v>
      </c>
      <c r="BL948" s="67"/>
      <c r="BM948" s="68" t="str">
        <f t="shared" si="599"/>
        <v>Unloading no. 918 Bill No 2026-27/247 ,Deduction For Oil Deduction= 41356.026 ,Bardana=  ,F.M=  Brokerage/Rate Difference  ,Shortage = 0 ,Greenish=  ,Moisture= 0</v>
      </c>
      <c r="BN948" s="69"/>
      <c r="BO948" s="70" t="str">
        <f t="shared" si="600"/>
        <v xml:space="preserve"> Party Condition 42  ,F.M% 0.3 ,Greenish 4.54 ,Moisture 4.7 ,Shortage in KG= 0  ,Oil% 39.63</v>
      </c>
      <c r="BP948" s="71">
        <f t="shared" si="601"/>
        <v>7557.7658360655741</v>
      </c>
      <c r="BQ948" s="41"/>
      <c r="BR948" s="41"/>
      <c r="BS948" s="41"/>
      <c r="BT948" s="41"/>
      <c r="BU948" s="41"/>
      <c r="BV948" s="41"/>
      <c r="BW948" s="85"/>
      <c r="BX948" s="27">
        <v>39.6</v>
      </c>
      <c r="BY948" s="27">
        <v>39.619999999999997</v>
      </c>
    </row>
    <row r="949" spans="1:77" ht="14.1" hidden="1" customHeight="1" x14ac:dyDescent="0.3">
      <c r="A949" s="138" t="s">
        <v>1968</v>
      </c>
      <c r="B949" s="146">
        <v>46184</v>
      </c>
      <c r="C949" s="138">
        <v>919</v>
      </c>
      <c r="D949" s="135" t="s">
        <v>1984</v>
      </c>
      <c r="E949" s="129">
        <v>46185</v>
      </c>
      <c r="F949" s="138" t="s">
        <v>1144</v>
      </c>
      <c r="G949" s="128" t="s">
        <v>1145</v>
      </c>
      <c r="H949" s="128" t="s">
        <v>1901</v>
      </c>
      <c r="I949" s="136"/>
      <c r="J949" s="347" t="s">
        <v>1455</v>
      </c>
      <c r="K949" s="136"/>
      <c r="L949" s="146">
        <v>46184</v>
      </c>
      <c r="M949" s="136"/>
      <c r="N949" s="128" t="s">
        <v>2007</v>
      </c>
      <c r="O949" s="146">
        <v>46185</v>
      </c>
      <c r="P949" s="138">
        <v>0</v>
      </c>
      <c r="Q949" s="138">
        <v>150</v>
      </c>
      <c r="R949" s="138">
        <v>3</v>
      </c>
      <c r="S949" s="138">
        <v>153</v>
      </c>
      <c r="T949" s="138">
        <v>153</v>
      </c>
      <c r="U949" s="136"/>
      <c r="V949" s="136"/>
      <c r="W949" s="148">
        <v>91.8</v>
      </c>
      <c r="X949" s="148">
        <v>91.7</v>
      </c>
      <c r="Y949" s="148">
        <v>734491.8</v>
      </c>
      <c r="Z949" s="372">
        <v>39.72</v>
      </c>
      <c r="AA949" s="138">
        <v>18362.3</v>
      </c>
      <c r="AB949" s="138">
        <v>18362.3</v>
      </c>
      <c r="AC949" s="138">
        <v>771216.39</v>
      </c>
      <c r="AD949" s="315">
        <f t="shared" si="603"/>
        <v>770445.17361000006</v>
      </c>
      <c r="AE949" s="147">
        <v>39.72</v>
      </c>
      <c r="AF949" s="147">
        <v>42</v>
      </c>
      <c r="AG949" s="147">
        <v>39.72</v>
      </c>
      <c r="AH949" s="287">
        <v>3.7000000000000002E-3</v>
      </c>
      <c r="AI949" s="397">
        <v>5.4800000000000001E-2</v>
      </c>
      <c r="AJ949" s="287">
        <v>0.05</v>
      </c>
      <c r="AK949" s="318">
        <f t="shared" si="585"/>
        <v>39872.412000000018</v>
      </c>
      <c r="AL949" s="193"/>
      <c r="AM949" s="319"/>
      <c r="AN949" s="319"/>
      <c r="AO949" s="320">
        <f t="shared" si="586"/>
        <v>0</v>
      </c>
      <c r="AP949" s="193"/>
      <c r="AQ949" s="318">
        <v>0</v>
      </c>
      <c r="AR949" s="318">
        <f t="shared" si="587"/>
        <v>39872.412000000018</v>
      </c>
      <c r="AS949" s="318">
        <f t="shared" si="588"/>
        <v>41866</v>
      </c>
      <c r="AT949" s="321">
        <v>0</v>
      </c>
      <c r="AU949" s="136"/>
      <c r="AV949" s="136"/>
      <c r="AW949" s="318">
        <f t="shared" si="589"/>
        <v>9180</v>
      </c>
      <c r="AX949" s="193"/>
      <c r="AY949" s="318">
        <f t="shared" si="590"/>
        <v>9180</v>
      </c>
      <c r="AZ949" s="318">
        <f t="shared" si="591"/>
        <v>9170</v>
      </c>
      <c r="BA949" s="318">
        <f t="shared" si="592"/>
        <v>10</v>
      </c>
      <c r="BB949" s="318">
        <f t="shared" si="593"/>
        <v>18.36</v>
      </c>
      <c r="BC949" s="318">
        <v>0</v>
      </c>
      <c r="BD949" s="193"/>
      <c r="BE949" s="138">
        <v>91.8</v>
      </c>
      <c r="BF949" s="321">
        <f t="shared" si="594"/>
        <v>0.13769999999999999</v>
      </c>
      <c r="BG949" s="197">
        <f t="shared" si="595"/>
        <v>91.662300000000002</v>
      </c>
      <c r="BH949" s="321">
        <f t="shared" si="596"/>
        <v>91.7</v>
      </c>
      <c r="BI949" s="322">
        <f t="shared" si="597"/>
        <v>9.9999999999994316</v>
      </c>
      <c r="BJ949" s="322">
        <v>0</v>
      </c>
      <c r="BK949" s="318">
        <f t="shared" si="598"/>
        <v>9.9999999999994316</v>
      </c>
      <c r="BL949" s="67"/>
      <c r="BM949" s="68" t="str">
        <f t="shared" si="599"/>
        <v>Unloading no. 919 Bill No 2026-27/248 ,Deduction For Oil Deduction= 39872.412 ,Bardana=  ,F.M=  Brokerage/Rate Difference  ,Shortage = 0 ,Greenish=  ,Moisture= 0</v>
      </c>
      <c r="BN949" s="69"/>
      <c r="BO949" s="70" t="str">
        <f t="shared" si="600"/>
        <v xml:space="preserve"> Party Condition 42  ,F.M% 0.37 ,Greenish 5.48 ,Moisture 5 ,Shortage in KG= 0  ,Oil% 39.72</v>
      </c>
      <c r="BP949" s="71">
        <f t="shared" si="601"/>
        <v>7574.9115376226828</v>
      </c>
      <c r="BQ949" s="41"/>
      <c r="BR949" s="41"/>
      <c r="BS949" s="41"/>
      <c r="BT949" s="41"/>
      <c r="BU949" s="41"/>
      <c r="BV949" s="41"/>
      <c r="BW949" s="85"/>
      <c r="BX949" s="27">
        <v>39.22</v>
      </c>
      <c r="BY949" s="27">
        <v>39.51</v>
      </c>
    </row>
    <row r="950" spans="1:77" ht="14.1" hidden="1" customHeight="1" x14ac:dyDescent="0.3">
      <c r="A950" s="138" t="s">
        <v>1968</v>
      </c>
      <c r="B950" s="146">
        <v>46184</v>
      </c>
      <c r="C950" s="138">
        <v>920</v>
      </c>
      <c r="D950" s="135" t="s">
        <v>1985</v>
      </c>
      <c r="E950" s="129">
        <v>46185</v>
      </c>
      <c r="F950" s="138" t="s">
        <v>1144</v>
      </c>
      <c r="G950" s="128" t="s">
        <v>1145</v>
      </c>
      <c r="H950" s="128" t="s">
        <v>1901</v>
      </c>
      <c r="I950" s="136"/>
      <c r="J950" s="347" t="s">
        <v>1455</v>
      </c>
      <c r="K950" s="136"/>
      <c r="L950" s="146">
        <v>46184</v>
      </c>
      <c r="M950" s="136"/>
      <c r="N950" s="128" t="s">
        <v>2008</v>
      </c>
      <c r="O950" s="146">
        <v>46185</v>
      </c>
      <c r="P950" s="138">
        <v>0</v>
      </c>
      <c r="Q950" s="138">
        <v>133</v>
      </c>
      <c r="R950" s="138">
        <v>20</v>
      </c>
      <c r="S950" s="138">
        <v>153</v>
      </c>
      <c r="T950" s="138">
        <v>153</v>
      </c>
      <c r="U950" s="136"/>
      <c r="V950" s="136"/>
      <c r="W950" s="148">
        <v>91.8</v>
      </c>
      <c r="X950" s="148">
        <v>91.7</v>
      </c>
      <c r="Y950" s="148">
        <v>734491.8</v>
      </c>
      <c r="Z950" s="372">
        <v>39.369999999999997</v>
      </c>
      <c r="AA950" s="138">
        <v>18362.3</v>
      </c>
      <c r="AB950" s="138">
        <v>18362.3</v>
      </c>
      <c r="AC950" s="138">
        <v>771216.39</v>
      </c>
      <c r="AD950" s="315">
        <f t="shared" si="603"/>
        <v>770445.17361000006</v>
      </c>
      <c r="AE950" s="147">
        <v>39.369999999999997</v>
      </c>
      <c r="AF950" s="147">
        <v>42</v>
      </c>
      <c r="AG950" s="147">
        <v>39.369999999999997</v>
      </c>
      <c r="AH950" s="287">
        <v>3.5000000000000001E-3</v>
      </c>
      <c r="AI950" s="287">
        <v>4.9299999999999997E-2</v>
      </c>
      <c r="AJ950" s="287">
        <v>4.8000000000000001E-2</v>
      </c>
      <c r="AK950" s="318">
        <f t="shared" si="585"/>
        <v>45993.177000000054</v>
      </c>
      <c r="AL950" s="193"/>
      <c r="AM950" s="319"/>
      <c r="AN950" s="319"/>
      <c r="AO950" s="320">
        <f t="shared" si="586"/>
        <v>0</v>
      </c>
      <c r="AP950" s="193"/>
      <c r="AQ950" s="318">
        <v>0</v>
      </c>
      <c r="AR950" s="318">
        <f t="shared" si="587"/>
        <v>45993.177000000054</v>
      </c>
      <c r="AS950" s="318">
        <f t="shared" si="588"/>
        <v>48293</v>
      </c>
      <c r="AT950" s="321">
        <v>0</v>
      </c>
      <c r="AU950" s="136"/>
      <c r="AV950" s="136"/>
      <c r="AW950" s="318">
        <f t="shared" si="589"/>
        <v>9180</v>
      </c>
      <c r="AX950" s="193"/>
      <c r="AY950" s="318">
        <f t="shared" si="590"/>
        <v>9180</v>
      </c>
      <c r="AZ950" s="318">
        <f t="shared" si="591"/>
        <v>9170</v>
      </c>
      <c r="BA950" s="318">
        <f t="shared" si="592"/>
        <v>10</v>
      </c>
      <c r="BB950" s="318">
        <f t="shared" si="593"/>
        <v>18.36</v>
      </c>
      <c r="BC950" s="318">
        <v>0</v>
      </c>
      <c r="BD950" s="193"/>
      <c r="BE950" s="138">
        <v>91.8</v>
      </c>
      <c r="BF950" s="321">
        <f t="shared" si="594"/>
        <v>0.13769999999999999</v>
      </c>
      <c r="BG950" s="197">
        <f t="shared" si="595"/>
        <v>91.662300000000002</v>
      </c>
      <c r="BH950" s="321">
        <f t="shared" si="596"/>
        <v>91.7</v>
      </c>
      <c r="BI950" s="322">
        <f t="shared" si="597"/>
        <v>9.9999999999994316</v>
      </c>
      <c r="BJ950" s="322">
        <v>0</v>
      </c>
      <c r="BK950" s="318">
        <f t="shared" si="598"/>
        <v>9.9999999999994316</v>
      </c>
      <c r="BL950" s="67"/>
      <c r="BM950" s="68" t="str">
        <f t="shared" si="599"/>
        <v>Unloading no. 920 Bill No 2026-27/249 ,Deduction For Oil Deduction= 45993.1770000001 ,Bardana=  ,F.M=  Brokerage/Rate Difference  ,Shortage = 0 ,Greenish=  ,Moisture= 0</v>
      </c>
      <c r="BN950" s="69"/>
      <c r="BO950" s="70" t="str">
        <f t="shared" si="600"/>
        <v xml:space="preserve"> Party Condition 42  ,F.M% 0.35 ,Greenish 4.93 ,Moisture 4.8 ,Shortage in KG= 0  ,Oil% 39.37</v>
      </c>
      <c r="BP950" s="71">
        <f t="shared" si="601"/>
        <v>7508.1638276990188</v>
      </c>
      <c r="BQ950" s="41"/>
      <c r="BR950" s="41"/>
      <c r="BS950" s="41"/>
      <c r="BT950" s="41"/>
      <c r="BU950" s="41"/>
      <c r="BV950" s="41"/>
      <c r="BW950" s="85"/>
      <c r="BX950" s="27">
        <v>39.06</v>
      </c>
      <c r="BY950" s="27">
        <v>39.32</v>
      </c>
    </row>
    <row r="951" spans="1:77" ht="14.1" hidden="1" customHeight="1" x14ac:dyDescent="0.3">
      <c r="A951" s="138" t="s">
        <v>1968</v>
      </c>
      <c r="B951" s="146">
        <v>46184</v>
      </c>
      <c r="C951" s="138">
        <v>921</v>
      </c>
      <c r="D951" s="135" t="s">
        <v>1986</v>
      </c>
      <c r="E951" s="129">
        <v>46185</v>
      </c>
      <c r="F951" s="138" t="s">
        <v>1144</v>
      </c>
      <c r="G951" s="128" t="s">
        <v>1145</v>
      </c>
      <c r="H951" s="128" t="s">
        <v>1901</v>
      </c>
      <c r="I951" s="136"/>
      <c r="J951" s="347" t="s">
        <v>1455</v>
      </c>
      <c r="K951" s="136"/>
      <c r="L951" s="146">
        <v>46184</v>
      </c>
      <c r="M951" s="136"/>
      <c r="N951" s="128" t="s">
        <v>2009</v>
      </c>
      <c r="O951" s="146">
        <v>46185</v>
      </c>
      <c r="P951" s="138">
        <v>0</v>
      </c>
      <c r="Q951" s="138">
        <v>130</v>
      </c>
      <c r="R951" s="138">
        <v>23</v>
      </c>
      <c r="S951" s="138">
        <v>153</v>
      </c>
      <c r="T951" s="138">
        <v>153</v>
      </c>
      <c r="U951" s="136"/>
      <c r="V951" s="136"/>
      <c r="W951" s="148">
        <v>91.1</v>
      </c>
      <c r="X951" s="148">
        <v>91.1</v>
      </c>
      <c r="Y951" s="148">
        <v>728891.1</v>
      </c>
      <c r="Z951" s="372">
        <v>39.409999999999997</v>
      </c>
      <c r="AA951" s="138">
        <v>18222.28</v>
      </c>
      <c r="AB951" s="138">
        <v>18222.28</v>
      </c>
      <c r="AC951" s="138">
        <v>765335.66</v>
      </c>
      <c r="AD951" s="315">
        <f t="shared" si="603"/>
        <v>764570.32434000005</v>
      </c>
      <c r="AE951" s="147">
        <v>39.409999999999997</v>
      </c>
      <c r="AF951" s="147">
        <v>42</v>
      </c>
      <c r="AG951" s="147">
        <v>39.409999999999997</v>
      </c>
      <c r="AH951" s="287">
        <v>3.2000000000000002E-3</v>
      </c>
      <c r="AI951" s="287">
        <v>3.6999999999999998E-2</v>
      </c>
      <c r="AJ951" s="287">
        <v>5.0999999999999997E-2</v>
      </c>
      <c r="AK951" s="318">
        <f t="shared" si="585"/>
        <v>44948.284500000053</v>
      </c>
      <c r="AL951" s="193"/>
      <c r="AM951" s="319"/>
      <c r="AN951" s="319"/>
      <c r="AO951" s="320">
        <f t="shared" si="586"/>
        <v>0</v>
      </c>
      <c r="AP951" s="193"/>
      <c r="AQ951" s="318">
        <v>0</v>
      </c>
      <c r="AR951" s="318">
        <f t="shared" si="587"/>
        <v>44948.284500000053</v>
      </c>
      <c r="AS951" s="318">
        <f t="shared" si="588"/>
        <v>47196</v>
      </c>
      <c r="AT951" s="321">
        <v>0</v>
      </c>
      <c r="AU951" s="136"/>
      <c r="AV951" s="136"/>
      <c r="AW951" s="318">
        <f t="shared" si="589"/>
        <v>9110</v>
      </c>
      <c r="AX951" s="193"/>
      <c r="AY951" s="318">
        <f t="shared" si="590"/>
        <v>9110</v>
      </c>
      <c r="AZ951" s="318">
        <f t="shared" si="591"/>
        <v>9110</v>
      </c>
      <c r="BA951" s="318">
        <f t="shared" si="592"/>
        <v>0</v>
      </c>
      <c r="BB951" s="318">
        <f t="shared" si="593"/>
        <v>18.22</v>
      </c>
      <c r="BC951" s="318">
        <v>0</v>
      </c>
      <c r="BD951" s="193"/>
      <c r="BE951" s="138">
        <v>91.1</v>
      </c>
      <c r="BF951" s="321">
        <f t="shared" si="594"/>
        <v>0.13664999999999999</v>
      </c>
      <c r="BG951" s="197">
        <f t="shared" si="595"/>
        <v>90.963349999999991</v>
      </c>
      <c r="BH951" s="321">
        <f t="shared" si="596"/>
        <v>91.1</v>
      </c>
      <c r="BI951" s="322">
        <f t="shared" si="597"/>
        <v>0</v>
      </c>
      <c r="BJ951" s="322">
        <v>0</v>
      </c>
      <c r="BK951" s="318">
        <f t="shared" si="598"/>
        <v>0</v>
      </c>
      <c r="BL951" s="67"/>
      <c r="BM951" s="68" t="str">
        <f t="shared" si="599"/>
        <v>Unloading no. 921 Bill No 2026-27/250 ,Deduction For Oil Deduction= 44948.2845000001 ,Bardana=  ,F.M=  Brokerage/Rate Difference  ,Shortage = 0 ,Greenish=  ,Moisture= 0</v>
      </c>
      <c r="BN951" s="69"/>
      <c r="BO951" s="70" t="str">
        <f t="shared" si="600"/>
        <v xml:space="preserve"> Party Condition 42  ,F.M% 0.32 ,Greenish 3.7 ,Moisture 5.1 ,Shortage in KG= 0  ,Oil% 39.41</v>
      </c>
      <c r="BP951" s="71">
        <f t="shared" si="601"/>
        <v>7507.6049999999996</v>
      </c>
      <c r="BQ951" s="41"/>
      <c r="BR951" s="41"/>
      <c r="BS951" s="41"/>
      <c r="BT951" s="41"/>
      <c r="BU951" s="41"/>
      <c r="BV951" s="41"/>
      <c r="BW951" s="85"/>
      <c r="BX951" s="27">
        <v>39.5</v>
      </c>
      <c r="BY951" s="27">
        <v>39.54</v>
      </c>
    </row>
    <row r="952" spans="1:77" ht="14.1" hidden="1" customHeight="1" x14ac:dyDescent="0.3">
      <c r="A952" s="138" t="s">
        <v>1969</v>
      </c>
      <c r="B952" s="146">
        <v>46184</v>
      </c>
      <c r="C952" s="138">
        <v>922</v>
      </c>
      <c r="D952" s="135" t="s">
        <v>1987</v>
      </c>
      <c r="E952" s="129">
        <v>46185</v>
      </c>
      <c r="F952" s="138" t="s">
        <v>1691</v>
      </c>
      <c r="G952" s="128" t="s">
        <v>1692</v>
      </c>
      <c r="H952" s="128" t="s">
        <v>1693</v>
      </c>
      <c r="I952" s="136"/>
      <c r="J952" s="347" t="s">
        <v>1455</v>
      </c>
      <c r="K952" s="136"/>
      <c r="L952" s="146">
        <v>46184</v>
      </c>
      <c r="M952" s="136"/>
      <c r="N952" s="128" t="s">
        <v>1306</v>
      </c>
      <c r="O952" s="146">
        <v>46185</v>
      </c>
      <c r="P952" s="138">
        <v>0</v>
      </c>
      <c r="Q952" s="138">
        <v>390</v>
      </c>
      <c r="R952" s="138">
        <v>110</v>
      </c>
      <c r="S952" s="138">
        <v>500</v>
      </c>
      <c r="T952" s="138">
        <v>500</v>
      </c>
      <c r="U952" s="136"/>
      <c r="V952" s="136"/>
      <c r="W952" s="148">
        <v>303.60000000000002</v>
      </c>
      <c r="X952" s="148">
        <v>303.39999999999998</v>
      </c>
      <c r="Y952" s="148">
        <v>2428800</v>
      </c>
      <c r="Z952" s="169"/>
      <c r="AA952" s="138">
        <v>60720</v>
      </c>
      <c r="AB952" s="138">
        <v>60720</v>
      </c>
      <c r="AC952" s="138">
        <v>2550240</v>
      </c>
      <c r="AD952" s="315">
        <f t="shared" si="603"/>
        <v>2547689.7599999998</v>
      </c>
      <c r="AE952" s="147">
        <v>40.380000000000003</v>
      </c>
      <c r="AF952" s="147">
        <v>42</v>
      </c>
      <c r="AG952" s="147">
        <v>40.18</v>
      </c>
      <c r="AH952" s="294">
        <v>4.1999999999999997E-3</v>
      </c>
      <c r="AI952" s="287">
        <v>3.2000000000000001E-2</v>
      </c>
      <c r="AJ952" s="287">
        <v>5.1999999999999998E-2</v>
      </c>
      <c r="AK952" s="318">
        <f t="shared" si="585"/>
        <v>105248.00000000001</v>
      </c>
      <c r="AL952" s="193">
        <f>390*10+110*15</f>
        <v>5550</v>
      </c>
      <c r="AM952" s="319">
        <f>Y952*AH952</f>
        <v>10200.959999999999</v>
      </c>
      <c r="AN952" s="319"/>
      <c r="AO952" s="320">
        <f t="shared" si="586"/>
        <v>1599.9999999999998</v>
      </c>
      <c r="AP952" s="193"/>
      <c r="AQ952" s="318">
        <v>0</v>
      </c>
      <c r="AR952" s="318">
        <f t="shared" si="587"/>
        <v>122598.96000000002</v>
      </c>
      <c r="AS952" s="318">
        <f t="shared" si="588"/>
        <v>128729</v>
      </c>
      <c r="AT952" s="321">
        <v>20</v>
      </c>
      <c r="AU952" s="136"/>
      <c r="AV952" s="136"/>
      <c r="AW952" s="318">
        <f t="shared" si="589"/>
        <v>30360.000000000004</v>
      </c>
      <c r="AX952" s="193"/>
      <c r="AY952" s="318">
        <f t="shared" si="590"/>
        <v>30360.000000000004</v>
      </c>
      <c r="AZ952" s="318">
        <f t="shared" si="591"/>
        <v>30339.999999999996</v>
      </c>
      <c r="BA952" s="318">
        <f t="shared" si="592"/>
        <v>20.000000000007276</v>
      </c>
      <c r="BB952" s="318">
        <f t="shared" si="593"/>
        <v>60.720000000000006</v>
      </c>
      <c r="BC952" s="318">
        <v>0</v>
      </c>
      <c r="BD952" s="193"/>
      <c r="BE952" s="138">
        <v>303.60000000000002</v>
      </c>
      <c r="BF952" s="321">
        <f t="shared" si="594"/>
        <v>0.45539999999999997</v>
      </c>
      <c r="BG952" s="197">
        <f t="shared" si="595"/>
        <v>303.14460000000003</v>
      </c>
      <c r="BH952" s="321">
        <f t="shared" si="596"/>
        <v>303.39999999999998</v>
      </c>
      <c r="BI952" s="322">
        <f t="shared" si="597"/>
        <v>20.000000000004547</v>
      </c>
      <c r="BJ952" s="322">
        <v>0</v>
      </c>
      <c r="BK952" s="318">
        <f t="shared" si="598"/>
        <v>20.000000000004547</v>
      </c>
      <c r="BL952" s="67"/>
      <c r="BM952" s="68" t="str">
        <f t="shared" si="599"/>
        <v>Unloading no. 922 Bill No 2026-27/67 ,Deduction For Oil Deduction= 105248 ,Bardana= 5550 ,F.M= 10200.96 Brokerage/Rate Difference  ,Shortage = 1600 ,Greenish=  ,Moisture= 0</v>
      </c>
      <c r="BN952" s="69"/>
      <c r="BO952" s="70" t="str">
        <f t="shared" si="600"/>
        <v xml:space="preserve"> Party Condition 42  ,F.M% 0.42 ,Greenish 3.2 ,Moisture 5.2 ,Shortage in KG= 20  ,Oil% 40.18</v>
      </c>
      <c r="BP952" s="71">
        <f t="shared" si="601"/>
        <v>7601.1899802241269</v>
      </c>
      <c r="BQ952" s="41"/>
      <c r="BR952" s="41"/>
      <c r="BS952" s="41"/>
      <c r="BT952" s="41"/>
      <c r="BU952" s="41"/>
      <c r="BV952" s="41"/>
      <c r="BW952" s="85"/>
      <c r="BX952" s="27">
        <v>40.380000000000003</v>
      </c>
      <c r="BY952" s="27">
        <v>40.18</v>
      </c>
    </row>
    <row r="953" spans="1:77" ht="14.1" hidden="1" customHeight="1" x14ac:dyDescent="0.3">
      <c r="A953" s="138" t="s">
        <v>1968</v>
      </c>
      <c r="B953" s="146">
        <v>46184</v>
      </c>
      <c r="C953" s="138">
        <v>923</v>
      </c>
      <c r="D953" s="135" t="s">
        <v>1988</v>
      </c>
      <c r="E953" s="129">
        <v>46185</v>
      </c>
      <c r="F953" s="138" t="s">
        <v>1144</v>
      </c>
      <c r="G953" s="128" t="s">
        <v>1145</v>
      </c>
      <c r="H953" s="128" t="s">
        <v>1901</v>
      </c>
      <c r="I953" s="136"/>
      <c r="J953" s="347" t="s">
        <v>1455</v>
      </c>
      <c r="K953" s="136"/>
      <c r="L953" s="146">
        <v>46184</v>
      </c>
      <c r="M953" s="136"/>
      <c r="N953" s="128" t="s">
        <v>2010</v>
      </c>
      <c r="O953" s="146">
        <v>46185</v>
      </c>
      <c r="P953" s="138">
        <v>0</v>
      </c>
      <c r="Q953" s="138">
        <v>153</v>
      </c>
      <c r="R953" s="138">
        <v>0</v>
      </c>
      <c r="S953" s="138">
        <v>153</v>
      </c>
      <c r="T953" s="138">
        <v>153</v>
      </c>
      <c r="U953" s="136"/>
      <c r="V953" s="136"/>
      <c r="W953" s="148">
        <v>91.7</v>
      </c>
      <c r="X953" s="148">
        <v>91.6</v>
      </c>
      <c r="Y953" s="148">
        <v>733691.7</v>
      </c>
      <c r="Z953" s="372">
        <v>39.46</v>
      </c>
      <c r="AA953" s="138">
        <v>18342.29</v>
      </c>
      <c r="AB953" s="138">
        <v>18342.29</v>
      </c>
      <c r="AC953" s="138">
        <v>770376.29</v>
      </c>
      <c r="AD953" s="315">
        <f t="shared" si="603"/>
        <v>769605.91370999999</v>
      </c>
      <c r="AE953" s="147">
        <v>39.46</v>
      </c>
      <c r="AF953" s="147">
        <v>42</v>
      </c>
      <c r="AG953" s="147">
        <v>39.46</v>
      </c>
      <c r="AH953" s="287">
        <v>3.5000000000000001E-3</v>
      </c>
      <c r="AI953" s="287">
        <v>3.95E-2</v>
      </c>
      <c r="AJ953" s="287">
        <v>5.0999999999999997E-2</v>
      </c>
      <c r="AK953" s="318">
        <f t="shared" si="585"/>
        <v>44370.878999999979</v>
      </c>
      <c r="AL953" s="193"/>
      <c r="AM953" s="319"/>
      <c r="AN953" s="319"/>
      <c r="AO953" s="320">
        <f t="shared" si="586"/>
        <v>0</v>
      </c>
      <c r="AP953" s="193"/>
      <c r="AQ953" s="318">
        <v>0</v>
      </c>
      <c r="AR953" s="318">
        <f t="shared" si="587"/>
        <v>44370.878999999979</v>
      </c>
      <c r="AS953" s="318">
        <f t="shared" si="588"/>
        <v>46589</v>
      </c>
      <c r="AT953" s="321">
        <v>0</v>
      </c>
      <c r="AU953" s="136"/>
      <c r="AV953" s="136"/>
      <c r="AW953" s="318">
        <f t="shared" si="589"/>
        <v>9170</v>
      </c>
      <c r="AX953" s="193"/>
      <c r="AY953" s="318">
        <f t="shared" si="590"/>
        <v>9170</v>
      </c>
      <c r="AZ953" s="318">
        <f t="shared" si="591"/>
        <v>9160</v>
      </c>
      <c r="BA953" s="318">
        <f t="shared" si="592"/>
        <v>10</v>
      </c>
      <c r="BB953" s="318">
        <f t="shared" si="593"/>
        <v>18.34</v>
      </c>
      <c r="BC953" s="318">
        <v>0</v>
      </c>
      <c r="BD953" s="193"/>
      <c r="BE953" s="138">
        <v>91.7</v>
      </c>
      <c r="BF953" s="321">
        <f t="shared" si="594"/>
        <v>0.13755000000000001</v>
      </c>
      <c r="BG953" s="197">
        <f t="shared" si="595"/>
        <v>91.562449999999998</v>
      </c>
      <c r="BH953" s="321">
        <f t="shared" si="596"/>
        <v>91.6</v>
      </c>
      <c r="BI953" s="322">
        <f t="shared" si="597"/>
        <v>10.000000000000853</v>
      </c>
      <c r="BJ953" s="322">
        <v>0</v>
      </c>
      <c r="BK953" s="318">
        <f t="shared" si="598"/>
        <v>10.000000000000853</v>
      </c>
      <c r="BL953" s="67"/>
      <c r="BM953" s="68" t="str">
        <f t="shared" si="599"/>
        <v>Unloading no. 923 Bill No 2026-27/244 ,Deduction For Oil Deduction= 44370.879 ,Bardana=  ,F.M=  Brokerage/Rate Difference  ,Shortage = 0 ,Greenish=  ,Moisture= 0</v>
      </c>
      <c r="BN953" s="69"/>
      <c r="BO953" s="70" t="str">
        <f t="shared" si="600"/>
        <v xml:space="preserve"> Party Condition 42  ,F.M% 0.35 ,Greenish 3.95 ,Moisture 5.1 ,Shortage in KG= 0  ,Oil% 39.46</v>
      </c>
      <c r="BP953" s="71">
        <f t="shared" si="601"/>
        <v>7525.3364737991269</v>
      </c>
      <c r="BQ953" s="41"/>
      <c r="BR953" s="41"/>
      <c r="BS953" s="41"/>
      <c r="BT953" s="41"/>
      <c r="BU953" s="41"/>
      <c r="BV953" s="41"/>
      <c r="BW953" s="85"/>
      <c r="BX953" s="27">
        <v>39.340000000000003</v>
      </c>
      <c r="BY953" s="27">
        <v>39.21</v>
      </c>
    </row>
    <row r="954" spans="1:77" ht="14.1" hidden="1" customHeight="1" x14ac:dyDescent="0.3">
      <c r="A954" s="138" t="s">
        <v>1968</v>
      </c>
      <c r="B954" s="146">
        <v>46184</v>
      </c>
      <c r="C954" s="138">
        <v>924</v>
      </c>
      <c r="D954" s="135" t="s">
        <v>1989</v>
      </c>
      <c r="E954" s="129">
        <v>46185</v>
      </c>
      <c r="F954" s="138" t="s">
        <v>1144</v>
      </c>
      <c r="G954" s="128" t="s">
        <v>1145</v>
      </c>
      <c r="H954" s="128" t="s">
        <v>1901</v>
      </c>
      <c r="I954" s="136"/>
      <c r="J954" s="347" t="s">
        <v>1455</v>
      </c>
      <c r="K954" s="136"/>
      <c r="L954" s="146">
        <v>46184</v>
      </c>
      <c r="M954" s="136"/>
      <c r="N954" s="128" t="s">
        <v>2011</v>
      </c>
      <c r="O954" s="146">
        <v>46185</v>
      </c>
      <c r="P954" s="138">
        <v>0</v>
      </c>
      <c r="Q954" s="138">
        <v>133</v>
      </c>
      <c r="R954" s="138">
        <v>20</v>
      </c>
      <c r="S954" s="138">
        <v>153</v>
      </c>
      <c r="T954" s="138">
        <v>153</v>
      </c>
      <c r="U954" s="136"/>
      <c r="V954" s="136"/>
      <c r="W954" s="148">
        <v>91.3</v>
      </c>
      <c r="X954" s="148">
        <v>91.2</v>
      </c>
      <c r="Y954" s="148">
        <v>730491.3</v>
      </c>
      <c r="Z954" s="372">
        <v>39.57</v>
      </c>
      <c r="AA954" s="138">
        <v>18262.28</v>
      </c>
      <c r="AB954" s="138">
        <v>18262.28</v>
      </c>
      <c r="AC954" s="138">
        <v>767015.87</v>
      </c>
      <c r="AD954" s="315">
        <f t="shared" si="603"/>
        <v>766248.85412999999</v>
      </c>
      <c r="AE954" s="147">
        <v>39.57</v>
      </c>
      <c r="AF954" s="147">
        <v>42</v>
      </c>
      <c r="AG954" s="147">
        <v>39.57</v>
      </c>
      <c r="AH954" s="287">
        <v>3.0000000000000001E-3</v>
      </c>
      <c r="AI954" s="287">
        <v>3.5999999999999997E-2</v>
      </c>
      <c r="AJ954" s="287">
        <v>5.8999999999999997E-2</v>
      </c>
      <c r="AK954" s="318">
        <f t="shared" si="585"/>
        <v>42264.139499999997</v>
      </c>
      <c r="AL954" s="193"/>
      <c r="AM954" s="319"/>
      <c r="AN954" s="319"/>
      <c r="AO954" s="320">
        <f t="shared" si="586"/>
        <v>0</v>
      </c>
      <c r="AP954" s="193"/>
      <c r="AQ954" s="318">
        <v>0</v>
      </c>
      <c r="AR954" s="318">
        <f t="shared" si="587"/>
        <v>42264.139499999997</v>
      </c>
      <c r="AS954" s="318">
        <f t="shared" si="588"/>
        <v>44377</v>
      </c>
      <c r="AT954" s="321">
        <v>0</v>
      </c>
      <c r="AU954" s="136"/>
      <c r="AV954" s="136"/>
      <c r="AW954" s="318">
        <f t="shared" si="589"/>
        <v>9130</v>
      </c>
      <c r="AX954" s="193"/>
      <c r="AY954" s="318">
        <f t="shared" si="590"/>
        <v>9130</v>
      </c>
      <c r="AZ954" s="318">
        <f t="shared" si="591"/>
        <v>9120</v>
      </c>
      <c r="BA954" s="318">
        <f t="shared" si="592"/>
        <v>10</v>
      </c>
      <c r="BB954" s="318">
        <f t="shared" si="593"/>
        <v>18.260000000000002</v>
      </c>
      <c r="BC954" s="318">
        <v>0</v>
      </c>
      <c r="BD954" s="193"/>
      <c r="BE954" s="138">
        <v>91.3</v>
      </c>
      <c r="BF954" s="321">
        <f t="shared" si="594"/>
        <v>0.13694999999999999</v>
      </c>
      <c r="BG954" s="197">
        <f t="shared" si="595"/>
        <v>91.163049999999998</v>
      </c>
      <c r="BH954" s="321">
        <f t="shared" si="596"/>
        <v>91.2</v>
      </c>
      <c r="BI954" s="322">
        <f t="shared" si="597"/>
        <v>9.9999999999994316</v>
      </c>
      <c r="BJ954" s="322">
        <v>0</v>
      </c>
      <c r="BK954" s="318">
        <f t="shared" si="598"/>
        <v>9.9999999999994316</v>
      </c>
      <c r="BL954" s="67"/>
      <c r="BM954" s="68" t="str">
        <f t="shared" si="599"/>
        <v>Unloading no. 924 Bill No 2026-27/251 ,Deduction For Oil Deduction= 42264.1395 ,Bardana=  ,F.M=  Brokerage/Rate Difference  ,Shortage = 0 ,Greenish=  ,Moisture= 0</v>
      </c>
      <c r="BN954" s="69"/>
      <c r="BO954" s="70" t="str">
        <f t="shared" si="600"/>
        <v xml:space="preserve"> Party Condition 42  ,F.M% 0.3 ,Greenish 3.6 ,Moisture 5.9 ,Shortage in KG= 0  ,Oil% 39.57</v>
      </c>
      <c r="BP954" s="71">
        <f t="shared" si="601"/>
        <v>7546.3504440789475</v>
      </c>
      <c r="BQ954" s="41"/>
      <c r="BR954" s="41"/>
      <c r="BS954" s="41"/>
      <c r="BT954" s="41"/>
      <c r="BU954" s="41"/>
      <c r="BV954" s="41"/>
      <c r="BW954" s="85"/>
      <c r="BX954" s="27">
        <v>39.47</v>
      </c>
      <c r="BY954" s="27">
        <v>39.619999999999997</v>
      </c>
    </row>
    <row r="955" spans="1:77" ht="14.1" hidden="1" customHeight="1" x14ac:dyDescent="0.3">
      <c r="A955" s="187" t="s">
        <v>1968</v>
      </c>
      <c r="B955" s="171">
        <v>46184</v>
      </c>
      <c r="C955" s="187">
        <v>925</v>
      </c>
      <c r="D955" s="164" t="s">
        <v>1990</v>
      </c>
      <c r="E955" s="162">
        <v>46185</v>
      </c>
      <c r="F955" s="187" t="s">
        <v>1144</v>
      </c>
      <c r="G955" s="163" t="s">
        <v>1145</v>
      </c>
      <c r="H955" s="163" t="s">
        <v>1901</v>
      </c>
      <c r="I955" s="157"/>
      <c r="J955" s="187" t="s">
        <v>1455</v>
      </c>
      <c r="K955" s="157"/>
      <c r="L955" s="171">
        <v>46184</v>
      </c>
      <c r="M955" s="136"/>
      <c r="N955" s="128" t="s">
        <v>2012</v>
      </c>
      <c r="O955" s="146">
        <v>46185</v>
      </c>
      <c r="P955" s="138">
        <v>0</v>
      </c>
      <c r="Q955" s="138">
        <v>120</v>
      </c>
      <c r="R955" s="138">
        <v>33</v>
      </c>
      <c r="S955" s="138">
        <v>153</v>
      </c>
      <c r="T955" s="138">
        <v>153</v>
      </c>
      <c r="U955" s="136"/>
      <c r="V955" s="136"/>
      <c r="W955" s="148">
        <v>91.2</v>
      </c>
      <c r="X955" s="148">
        <v>91.3</v>
      </c>
      <c r="Y955" s="148">
        <v>729691.2</v>
      </c>
      <c r="Z955" s="372">
        <v>40.22</v>
      </c>
      <c r="AA955" s="138">
        <v>18242.28</v>
      </c>
      <c r="AB955" s="138">
        <v>18242.28</v>
      </c>
      <c r="AC955" s="138">
        <v>766175.76</v>
      </c>
      <c r="AD955" s="315">
        <f t="shared" si="603"/>
        <v>765409.58424</v>
      </c>
      <c r="AE955" s="147">
        <v>40.22</v>
      </c>
      <c r="AF955" s="147">
        <v>42</v>
      </c>
      <c r="AG955" s="147">
        <v>40.22</v>
      </c>
      <c r="AH955" s="287">
        <v>3.7000000000000002E-3</v>
      </c>
      <c r="AI955" s="287">
        <v>4.36E-2</v>
      </c>
      <c r="AJ955" s="287">
        <v>4.7E-2</v>
      </c>
      <c r="AK955" s="318">
        <f t="shared" si="585"/>
        <v>30925.008000000016</v>
      </c>
      <c r="AL955" s="193"/>
      <c r="AM955" s="319"/>
      <c r="AN955" s="319"/>
      <c r="AO955" s="320">
        <f t="shared" si="586"/>
        <v>0</v>
      </c>
      <c r="AP955" s="193"/>
      <c r="AQ955" s="318">
        <v>0</v>
      </c>
      <c r="AR955" s="318">
        <f t="shared" si="587"/>
        <v>30925.008000000016</v>
      </c>
      <c r="AS955" s="318">
        <f t="shared" si="588"/>
        <v>32471</v>
      </c>
      <c r="AT955" s="321">
        <v>0</v>
      </c>
      <c r="AU955" s="136"/>
      <c r="AV955" s="136"/>
      <c r="AW955" s="318">
        <f t="shared" si="589"/>
        <v>9120</v>
      </c>
      <c r="AX955" s="193"/>
      <c r="AY955" s="318">
        <f t="shared" si="590"/>
        <v>9120</v>
      </c>
      <c r="AZ955" s="318">
        <f t="shared" si="591"/>
        <v>9130</v>
      </c>
      <c r="BA955" s="318">
        <f t="shared" si="592"/>
        <v>-10</v>
      </c>
      <c r="BB955" s="318">
        <f t="shared" si="593"/>
        <v>18.239999999999998</v>
      </c>
      <c r="BC955" s="318">
        <v>0</v>
      </c>
      <c r="BD955" s="193"/>
      <c r="BE955" s="138">
        <v>91.2</v>
      </c>
      <c r="BF955" s="321">
        <f t="shared" si="594"/>
        <v>0.1368</v>
      </c>
      <c r="BG955" s="197">
        <f t="shared" si="595"/>
        <v>91.063200000000009</v>
      </c>
      <c r="BH955" s="321">
        <f t="shared" si="596"/>
        <v>91.3</v>
      </c>
      <c r="BI955" s="322">
        <f t="shared" si="597"/>
        <v>-9.9999999999994316</v>
      </c>
      <c r="BJ955" s="322">
        <v>0</v>
      </c>
      <c r="BK955" s="318">
        <f t="shared" si="598"/>
        <v>-9.9999999999994316</v>
      </c>
      <c r="BL955" s="67"/>
      <c r="BM955" s="68" t="str">
        <f t="shared" si="599"/>
        <v>Unloading no. 925 Bill No 2026-27/253 ,Deduction For Oil Deduction= 30925.008 ,Bardana=  ,F.M=  Brokerage/Rate Difference  ,Shortage = 0 ,Greenish=  ,Moisture= 0</v>
      </c>
      <c r="BN955" s="69"/>
      <c r="BO955" s="70" t="str">
        <f t="shared" si="600"/>
        <v xml:space="preserve"> Party Condition 42  ,F.M% 0.37 ,Greenish 4.36 ,Moisture 4.7 ,Shortage in KG= 0  ,Oil% 40.22</v>
      </c>
      <c r="BP955" s="71">
        <f t="shared" si="601"/>
        <v>7653.5179846659357</v>
      </c>
      <c r="BQ955" s="41"/>
      <c r="BR955" s="41"/>
      <c r="BS955" s="41"/>
      <c r="BT955" s="41"/>
      <c r="BU955" s="41"/>
      <c r="BV955" s="41"/>
      <c r="BW955" s="85"/>
      <c r="BX955" s="27">
        <v>40.03</v>
      </c>
      <c r="BY955" s="27">
        <v>39.89</v>
      </c>
    </row>
    <row r="956" spans="1:77" ht="14.1" hidden="1" customHeight="1" x14ac:dyDescent="0.3">
      <c r="A956" s="187" t="s">
        <v>1968</v>
      </c>
      <c r="B956" s="171">
        <v>46184</v>
      </c>
      <c r="C956" s="187">
        <v>926</v>
      </c>
      <c r="D956" s="164" t="s">
        <v>1991</v>
      </c>
      <c r="E956" s="162">
        <v>46185</v>
      </c>
      <c r="F956" s="187" t="s">
        <v>1144</v>
      </c>
      <c r="G956" s="163" t="s">
        <v>1145</v>
      </c>
      <c r="H956" s="163" t="s">
        <v>1901</v>
      </c>
      <c r="I956" s="157"/>
      <c r="J956" s="187" t="s">
        <v>1455</v>
      </c>
      <c r="K956" s="157"/>
      <c r="L956" s="171">
        <v>46184</v>
      </c>
      <c r="M956" s="136"/>
      <c r="N956" s="128" t="s">
        <v>2013</v>
      </c>
      <c r="O956" s="146">
        <v>46185</v>
      </c>
      <c r="P956" s="138">
        <v>0</v>
      </c>
      <c r="Q956" s="138">
        <v>150</v>
      </c>
      <c r="R956" s="138">
        <v>3</v>
      </c>
      <c r="S956" s="138">
        <v>153</v>
      </c>
      <c r="T956" s="138">
        <v>153</v>
      </c>
      <c r="U956" s="136"/>
      <c r="V956" s="136"/>
      <c r="W956" s="148">
        <v>91.4</v>
      </c>
      <c r="X956" s="148">
        <v>91.3</v>
      </c>
      <c r="Y956" s="148">
        <v>731291.4</v>
      </c>
      <c r="Z956" s="372">
        <v>39.729999999999997</v>
      </c>
      <c r="AA956" s="138">
        <v>18282.29</v>
      </c>
      <c r="AB956" s="138">
        <v>18282.29</v>
      </c>
      <c r="AC956" s="138">
        <v>767855.97</v>
      </c>
      <c r="AD956" s="315">
        <f t="shared" si="603"/>
        <v>767088.11402999994</v>
      </c>
      <c r="AE956" s="147">
        <v>39.729999999999997</v>
      </c>
      <c r="AF956" s="147">
        <v>42</v>
      </c>
      <c r="AG956" s="147">
        <v>39.729999999999997</v>
      </c>
      <c r="AH956" s="287">
        <v>3.5000000000000001E-3</v>
      </c>
      <c r="AI956" s="287">
        <v>4.53E-2</v>
      </c>
      <c r="AJ956" s="287">
        <v>0.05</v>
      </c>
      <c r="AK956" s="318">
        <f t="shared" si="585"/>
        <v>39524.559000000059</v>
      </c>
      <c r="AL956" s="193"/>
      <c r="AM956" s="319"/>
      <c r="AN956" s="319"/>
      <c r="AO956" s="320">
        <f t="shared" si="586"/>
        <v>0</v>
      </c>
      <c r="AP956" s="193"/>
      <c r="AQ956" s="318">
        <v>0</v>
      </c>
      <c r="AR956" s="318">
        <f t="shared" si="587"/>
        <v>39524.559000000059</v>
      </c>
      <c r="AS956" s="318">
        <f t="shared" si="588"/>
        <v>41501</v>
      </c>
      <c r="AT956" s="321">
        <v>0</v>
      </c>
      <c r="AU956" s="136"/>
      <c r="AV956" s="136"/>
      <c r="AW956" s="318">
        <f t="shared" si="589"/>
        <v>9140</v>
      </c>
      <c r="AX956" s="193"/>
      <c r="AY956" s="318">
        <f t="shared" si="590"/>
        <v>9140</v>
      </c>
      <c r="AZ956" s="318">
        <f t="shared" si="591"/>
        <v>9130</v>
      </c>
      <c r="BA956" s="318">
        <f t="shared" si="592"/>
        <v>10</v>
      </c>
      <c r="BB956" s="318">
        <f t="shared" si="593"/>
        <v>18.28</v>
      </c>
      <c r="BC956" s="318">
        <v>0</v>
      </c>
      <c r="BD956" s="193"/>
      <c r="BE956" s="138">
        <v>91.4</v>
      </c>
      <c r="BF956" s="321">
        <f t="shared" si="594"/>
        <v>0.1371</v>
      </c>
      <c r="BG956" s="197">
        <f t="shared" si="595"/>
        <v>91.262900000000002</v>
      </c>
      <c r="BH956" s="321">
        <f t="shared" si="596"/>
        <v>91.3</v>
      </c>
      <c r="BI956" s="322">
        <f t="shared" si="597"/>
        <v>10.000000000000853</v>
      </c>
      <c r="BJ956" s="322">
        <v>0</v>
      </c>
      <c r="BK956" s="318">
        <f t="shared" si="598"/>
        <v>10.000000000000853</v>
      </c>
      <c r="BL956" s="67"/>
      <c r="BM956" s="68" t="str">
        <f t="shared" si="599"/>
        <v>Unloading no. 926 Bill No 2026-27/252 ,Deduction For Oil Deduction= 39524.5590000001 ,Bardana=  ,F.M=  Brokerage/Rate Difference  ,Shortage = 0 ,Greenish=  ,Moisture= 0</v>
      </c>
      <c r="BN956" s="69"/>
      <c r="BO956" s="70" t="str">
        <f t="shared" si="600"/>
        <v xml:space="preserve"> Party Condition 42  ,F.M% 0.35 ,Greenish 4.53 ,Moisture 5 ,Shortage in KG= 0  ,Oil% 39.73</v>
      </c>
      <c r="BP956" s="71">
        <f t="shared" si="601"/>
        <v>7576.8547754654992</v>
      </c>
      <c r="BQ956" s="41"/>
      <c r="BR956" s="41"/>
      <c r="BS956" s="41"/>
      <c r="BT956" s="41"/>
      <c r="BU956" s="41"/>
      <c r="BV956" s="41"/>
      <c r="BW956" s="85"/>
      <c r="BX956" s="27">
        <v>39.72</v>
      </c>
      <c r="BY956" s="27">
        <v>39.57</v>
      </c>
    </row>
    <row r="957" spans="1:77" ht="14.1" hidden="1" customHeight="1" x14ac:dyDescent="0.3">
      <c r="A957" s="187" t="s">
        <v>1968</v>
      </c>
      <c r="B957" s="171">
        <v>46184</v>
      </c>
      <c r="C957" s="187">
        <v>927</v>
      </c>
      <c r="D957" s="164" t="s">
        <v>1992</v>
      </c>
      <c r="E957" s="162">
        <v>46185</v>
      </c>
      <c r="F957" s="187" t="s">
        <v>1144</v>
      </c>
      <c r="G957" s="163" t="s">
        <v>1145</v>
      </c>
      <c r="H957" s="163" t="s">
        <v>1901</v>
      </c>
      <c r="I957" s="157"/>
      <c r="J957" s="187" t="s">
        <v>1455</v>
      </c>
      <c r="K957" s="157"/>
      <c r="L957" s="171">
        <v>46184</v>
      </c>
      <c r="M957" s="136"/>
      <c r="N957" s="128" t="s">
        <v>2014</v>
      </c>
      <c r="O957" s="146">
        <v>46185</v>
      </c>
      <c r="P957" s="138">
        <v>0</v>
      </c>
      <c r="Q957" s="138">
        <v>100</v>
      </c>
      <c r="R957" s="138">
        <v>53</v>
      </c>
      <c r="S957" s="138">
        <v>153</v>
      </c>
      <c r="T957" s="138">
        <v>153</v>
      </c>
      <c r="U957" s="136"/>
      <c r="V957" s="136"/>
      <c r="W957" s="148">
        <v>91.7</v>
      </c>
      <c r="X957" s="148">
        <v>91.5</v>
      </c>
      <c r="Y957" s="148">
        <v>733691.7</v>
      </c>
      <c r="Z957" s="372">
        <v>40.299999999999997</v>
      </c>
      <c r="AA957" s="138">
        <v>18342.29</v>
      </c>
      <c r="AB957" s="138">
        <v>18342.29</v>
      </c>
      <c r="AC957" s="138">
        <v>770376.29</v>
      </c>
      <c r="AD957" s="315">
        <f t="shared" si="603"/>
        <v>769605.91370999999</v>
      </c>
      <c r="AE957" s="147">
        <v>40.299999999999997</v>
      </c>
      <c r="AF957" s="147">
        <v>42</v>
      </c>
      <c r="AG957" s="147">
        <v>40.299999999999997</v>
      </c>
      <c r="AH957" s="287">
        <v>4.0000000000000001E-3</v>
      </c>
      <c r="AI957" s="287">
        <v>4.2599999999999999E-2</v>
      </c>
      <c r="AJ957" s="287">
        <v>5.1999999999999998E-2</v>
      </c>
      <c r="AK957" s="318">
        <f t="shared" si="585"/>
        <v>29697.045000000046</v>
      </c>
      <c r="AL957" s="193"/>
      <c r="AM957" s="319"/>
      <c r="AN957" s="319"/>
      <c r="AO957" s="320">
        <f t="shared" si="586"/>
        <v>160.01999999999998</v>
      </c>
      <c r="AP957" s="193"/>
      <c r="AQ957" s="318">
        <v>0</v>
      </c>
      <c r="AR957" s="318">
        <f t="shared" si="587"/>
        <v>29857.065000000046</v>
      </c>
      <c r="AS957" s="318">
        <f t="shared" si="588"/>
        <v>31350</v>
      </c>
      <c r="AT957" s="321">
        <v>2</v>
      </c>
      <c r="AU957" s="136"/>
      <c r="AV957" s="136"/>
      <c r="AW957" s="318">
        <f t="shared" si="589"/>
        <v>9170</v>
      </c>
      <c r="AX957" s="193"/>
      <c r="AY957" s="318">
        <f t="shared" si="590"/>
        <v>9170</v>
      </c>
      <c r="AZ957" s="318">
        <f t="shared" si="591"/>
        <v>9150</v>
      </c>
      <c r="BA957" s="318">
        <f t="shared" si="592"/>
        <v>20</v>
      </c>
      <c r="BB957" s="318">
        <f t="shared" si="593"/>
        <v>18.34</v>
      </c>
      <c r="BC957" s="318">
        <v>0</v>
      </c>
      <c r="BD957" s="193"/>
      <c r="BE957" s="138">
        <v>91.7</v>
      </c>
      <c r="BF957" s="321">
        <f t="shared" si="594"/>
        <v>0.13755000000000001</v>
      </c>
      <c r="BG957" s="197">
        <f t="shared" si="595"/>
        <v>91.562449999999998</v>
      </c>
      <c r="BH957" s="321">
        <f t="shared" si="596"/>
        <v>91.5</v>
      </c>
      <c r="BI957" s="322">
        <f t="shared" si="597"/>
        <v>20.000000000000284</v>
      </c>
      <c r="BJ957" s="322">
        <v>0</v>
      </c>
      <c r="BK957" s="318">
        <f t="shared" si="598"/>
        <v>20.000000000000284</v>
      </c>
      <c r="BL957" s="67"/>
      <c r="BM957" s="68" t="str">
        <f t="shared" si="599"/>
        <v>Unloading no. 927 Bill No 2026-27/254 ,Deduction For Oil Deduction= 29697.045 ,Bardana=  ,F.M=  Brokerage/Rate Difference  ,Shortage = 160.02 ,Greenish=  ,Moisture= 0</v>
      </c>
      <c r="BN957" s="69"/>
      <c r="BO957" s="70" t="str">
        <f t="shared" si="600"/>
        <v xml:space="preserve"> Party Condition 42  ,F.M% 0.4 ,Greenish 4.26 ,Moisture 5.2 ,Shortage in KG= 2  ,Oil% 40.3</v>
      </c>
      <c r="BP957" s="71">
        <f t="shared" si="601"/>
        <v>7692.1818032786878</v>
      </c>
      <c r="BQ957" s="41"/>
      <c r="BR957" s="41"/>
      <c r="BS957" s="41"/>
      <c r="BT957" s="41"/>
      <c r="BU957" s="41"/>
      <c r="BV957" s="41"/>
      <c r="BW957" s="85"/>
      <c r="BX957" s="27">
        <v>40.299999999999997</v>
      </c>
      <c r="BY957" s="27">
        <v>40.18</v>
      </c>
    </row>
    <row r="958" spans="1:77" ht="14.1" hidden="1" customHeight="1" x14ac:dyDescent="0.3">
      <c r="A958" s="138" t="s">
        <v>1968</v>
      </c>
      <c r="B958" s="146">
        <v>46184</v>
      </c>
      <c r="C958" s="138">
        <v>928</v>
      </c>
      <c r="D958" s="135" t="s">
        <v>1993</v>
      </c>
      <c r="E958" s="129">
        <v>46185</v>
      </c>
      <c r="F958" s="138" t="s">
        <v>1144</v>
      </c>
      <c r="G958" s="128" t="s">
        <v>1145</v>
      </c>
      <c r="H958" s="128" t="s">
        <v>1901</v>
      </c>
      <c r="I958" s="136"/>
      <c r="J958" s="347" t="s">
        <v>1455</v>
      </c>
      <c r="K958" s="136"/>
      <c r="L958" s="146">
        <v>46184</v>
      </c>
      <c r="M958" s="136"/>
      <c r="N958" s="128" t="s">
        <v>2015</v>
      </c>
      <c r="O958" s="146">
        <v>46185</v>
      </c>
      <c r="P958" s="138">
        <v>0</v>
      </c>
      <c r="Q958" s="138">
        <v>140</v>
      </c>
      <c r="R958" s="138">
        <v>13</v>
      </c>
      <c r="S958" s="138">
        <v>153</v>
      </c>
      <c r="T958" s="138">
        <v>153</v>
      </c>
      <c r="U958" s="136"/>
      <c r="V958" s="136"/>
      <c r="W958" s="148">
        <v>91.8</v>
      </c>
      <c r="X958" s="148">
        <v>91.8</v>
      </c>
      <c r="Y958" s="148">
        <v>734491.8</v>
      </c>
      <c r="Z958" s="372">
        <v>40.07</v>
      </c>
      <c r="AA958" s="138">
        <v>18362.3</v>
      </c>
      <c r="AB958" s="138">
        <v>18362.3</v>
      </c>
      <c r="AC958" s="138">
        <v>771216.39</v>
      </c>
      <c r="AD958" s="315">
        <f t="shared" si="603"/>
        <v>770445.17361000006</v>
      </c>
      <c r="AE958" s="147">
        <v>40.07</v>
      </c>
      <c r="AF958" s="147">
        <v>42</v>
      </c>
      <c r="AG958" s="147">
        <v>40.07</v>
      </c>
      <c r="AH958" s="287">
        <v>4.1999999999999997E-3</v>
      </c>
      <c r="AI958" s="287">
        <v>0.04</v>
      </c>
      <c r="AJ958" s="287">
        <v>4.7E-2</v>
      </c>
      <c r="AK958" s="318">
        <f t="shared" si="585"/>
        <v>33751.646999999997</v>
      </c>
      <c r="AL958" s="193"/>
      <c r="AM958" s="319"/>
      <c r="AN958" s="319"/>
      <c r="AO958" s="320">
        <f t="shared" si="586"/>
        <v>0</v>
      </c>
      <c r="AP958" s="193"/>
      <c r="AQ958" s="318">
        <v>0</v>
      </c>
      <c r="AR958" s="318">
        <f t="shared" si="587"/>
        <v>33751.646999999997</v>
      </c>
      <c r="AS958" s="318">
        <f t="shared" si="588"/>
        <v>35439</v>
      </c>
      <c r="AT958" s="321">
        <v>0</v>
      </c>
      <c r="AU958" s="136"/>
      <c r="AV958" s="136"/>
      <c r="AW958" s="318">
        <f t="shared" si="589"/>
        <v>9180</v>
      </c>
      <c r="AX958" s="193"/>
      <c r="AY958" s="318">
        <f t="shared" si="590"/>
        <v>9180</v>
      </c>
      <c r="AZ958" s="318">
        <f t="shared" si="591"/>
        <v>9180</v>
      </c>
      <c r="BA958" s="318">
        <f t="shared" si="592"/>
        <v>0</v>
      </c>
      <c r="BB958" s="318">
        <f t="shared" si="593"/>
        <v>18.36</v>
      </c>
      <c r="BC958" s="318">
        <v>0</v>
      </c>
      <c r="BD958" s="193"/>
      <c r="BE958" s="138">
        <v>91.8</v>
      </c>
      <c r="BF958" s="321">
        <f t="shared" si="594"/>
        <v>0.13769999999999999</v>
      </c>
      <c r="BG958" s="197">
        <f t="shared" si="595"/>
        <v>91.662300000000002</v>
      </c>
      <c r="BH958" s="321">
        <f t="shared" si="596"/>
        <v>91.8</v>
      </c>
      <c r="BI958" s="322">
        <f t="shared" si="597"/>
        <v>0</v>
      </c>
      <c r="BJ958" s="322">
        <v>0</v>
      </c>
      <c r="BK958" s="318">
        <f t="shared" si="598"/>
        <v>0</v>
      </c>
      <c r="BL958" s="67"/>
      <c r="BM958" s="68" t="str">
        <f t="shared" si="599"/>
        <v>Unloading no. 928 Bill No 2026-27/255 ,Deduction For Oil Deduction= 33751.647 ,Bardana=  ,F.M=  Brokerage/Rate Difference  ,Shortage = 0 ,Greenish=  ,Moisture= 0</v>
      </c>
      <c r="BN958" s="69"/>
      <c r="BO958" s="70" t="str">
        <f t="shared" si="600"/>
        <v xml:space="preserve"> Party Condition 42  ,F.M% 0.42 ,Greenish 4 ,Moisture 4.7 ,Shortage in KG= 0  ,Oil% 40.07</v>
      </c>
      <c r="BP958" s="71">
        <f t="shared" si="601"/>
        <v>7633.3350000000009</v>
      </c>
      <c r="BQ958" s="41"/>
      <c r="BR958" s="41"/>
      <c r="BS958" s="41"/>
      <c r="BT958" s="41"/>
      <c r="BU958" s="41"/>
      <c r="BV958" s="41"/>
      <c r="BW958" s="85"/>
      <c r="BX958" s="27">
        <v>40.090000000000003</v>
      </c>
      <c r="BY958" s="27">
        <v>39.97</v>
      </c>
    </row>
    <row r="959" spans="1:77" ht="14.1" hidden="1" customHeight="1" x14ac:dyDescent="0.3">
      <c r="A959" s="250" t="s">
        <v>1968</v>
      </c>
      <c r="B959" s="398">
        <v>46184</v>
      </c>
      <c r="C959" s="250">
        <v>929</v>
      </c>
      <c r="D959" s="399" t="s">
        <v>1994</v>
      </c>
      <c r="E959" s="249">
        <v>46185</v>
      </c>
      <c r="F959" s="250" t="s">
        <v>1144</v>
      </c>
      <c r="G959" s="209" t="s">
        <v>1145</v>
      </c>
      <c r="H959" s="174" t="s">
        <v>1901</v>
      </c>
      <c r="I959" s="208"/>
      <c r="J959" s="250" t="s">
        <v>1455</v>
      </c>
      <c r="K959" s="208"/>
      <c r="L959" s="398">
        <v>46184</v>
      </c>
      <c r="M959" s="208"/>
      <c r="N959" s="209" t="s">
        <v>2016</v>
      </c>
      <c r="O959" s="398">
        <v>46185</v>
      </c>
      <c r="P959" s="250">
        <v>0</v>
      </c>
      <c r="Q959" s="250">
        <v>140</v>
      </c>
      <c r="R959" s="250">
        <v>0</v>
      </c>
      <c r="S959" s="250">
        <v>140</v>
      </c>
      <c r="T959" s="250">
        <v>140</v>
      </c>
      <c r="U959" s="208"/>
      <c r="V959" s="208"/>
      <c r="W959" s="400">
        <v>83.1</v>
      </c>
      <c r="X959" s="400">
        <v>83.2</v>
      </c>
      <c r="Y959" s="400">
        <v>664883.1</v>
      </c>
      <c r="Z959" s="401">
        <v>40.33</v>
      </c>
      <c r="AA959" s="250">
        <v>16622.080000000002</v>
      </c>
      <c r="AB959" s="250">
        <v>16622.080000000002</v>
      </c>
      <c r="AC959" s="250">
        <v>698127.26</v>
      </c>
      <c r="AD959" s="339">
        <f t="shared" si="603"/>
        <v>697429.13274000003</v>
      </c>
      <c r="AE959" s="241">
        <v>40.33</v>
      </c>
      <c r="AF959" s="241">
        <v>42</v>
      </c>
      <c r="AG959" s="241">
        <v>40.33</v>
      </c>
      <c r="AH959" s="402">
        <v>3.8999999999999998E-3</v>
      </c>
      <c r="AI959" s="402">
        <v>4.7500000000000001E-2</v>
      </c>
      <c r="AJ959" s="402">
        <v>4.5999999999999999E-2</v>
      </c>
      <c r="AK959" s="342">
        <f t="shared" si="585"/>
        <v>26437.018500000027</v>
      </c>
      <c r="AL959" s="335"/>
      <c r="AM959" s="343"/>
      <c r="AN959" s="343"/>
      <c r="AO959" s="344">
        <f t="shared" si="586"/>
        <v>0</v>
      </c>
      <c r="AP959" s="335"/>
      <c r="AQ959" s="342">
        <v>0</v>
      </c>
      <c r="AR959" s="342">
        <f t="shared" si="587"/>
        <v>26437.018500000027</v>
      </c>
      <c r="AS959" s="342">
        <f t="shared" si="588"/>
        <v>27759</v>
      </c>
      <c r="AT959" s="345">
        <v>0</v>
      </c>
      <c r="AU959" s="208"/>
      <c r="AV959" s="208"/>
      <c r="AW959" s="342">
        <f t="shared" si="589"/>
        <v>8310</v>
      </c>
      <c r="AX959" s="335"/>
      <c r="AY959" s="342">
        <f t="shared" si="590"/>
        <v>8310</v>
      </c>
      <c r="AZ959" s="342">
        <f t="shared" si="591"/>
        <v>8320</v>
      </c>
      <c r="BA959" s="342">
        <f t="shared" si="592"/>
        <v>-10</v>
      </c>
      <c r="BB959" s="342">
        <f t="shared" si="593"/>
        <v>16.62</v>
      </c>
      <c r="BC959" s="342">
        <v>0</v>
      </c>
      <c r="BD959" s="335"/>
      <c r="BE959" s="250">
        <v>83.1</v>
      </c>
      <c r="BF959" s="345">
        <f t="shared" si="594"/>
        <v>0.12464999999999998</v>
      </c>
      <c r="BG959" s="210">
        <f t="shared" si="595"/>
        <v>82.975349999999992</v>
      </c>
      <c r="BH959" s="345">
        <f t="shared" si="596"/>
        <v>83.2</v>
      </c>
      <c r="BI959" s="346">
        <f t="shared" si="597"/>
        <v>-10.000000000000853</v>
      </c>
      <c r="BJ959" s="346">
        <v>0</v>
      </c>
      <c r="BK959" s="342">
        <f t="shared" si="598"/>
        <v>-10.000000000000853</v>
      </c>
      <c r="BL959" s="73"/>
      <c r="BM959" s="74" t="str">
        <f t="shared" si="599"/>
        <v>Unloading no. 929 Bill No 2026-27/256 ,Deduction For Oil Deduction= 26437.0185 ,Bardana=  ,F.M=  Brokerage/Rate Difference  ,Shortage = 0 ,Greenish=  ,Moisture= 0</v>
      </c>
      <c r="BN959" s="72"/>
      <c r="BO959" s="77" t="str">
        <f t="shared" si="600"/>
        <v xml:space="preserve"> Party Condition 42  ,F.M% 0.39 ,Greenish 4.75 ,Moisture 4.6 ,Shortage in KG= 0  ,Oil% 40.33</v>
      </c>
      <c r="BP959" s="71">
        <f t="shared" si="601"/>
        <v>7673.6307872596144</v>
      </c>
      <c r="BQ959" s="55"/>
      <c r="BR959" s="55"/>
      <c r="BS959" s="41"/>
      <c r="BT959" s="41"/>
      <c r="BU959" s="41"/>
      <c r="BV959" s="41"/>
      <c r="BW959" s="85"/>
      <c r="BX959" s="30">
        <v>40.25</v>
      </c>
      <c r="BY959" s="30">
        <v>40.04</v>
      </c>
    </row>
    <row r="960" spans="1:77" ht="14.1" hidden="1" customHeight="1" x14ac:dyDescent="0.3">
      <c r="A960" s="128" t="s">
        <v>2021</v>
      </c>
      <c r="B960" s="146">
        <v>46184</v>
      </c>
      <c r="C960" s="138">
        <v>930</v>
      </c>
      <c r="D960" s="348" t="s">
        <v>2030</v>
      </c>
      <c r="E960" s="129">
        <v>46186</v>
      </c>
      <c r="F960" s="128" t="s">
        <v>1450</v>
      </c>
      <c r="G960" s="128" t="s">
        <v>1451</v>
      </c>
      <c r="H960" s="128" t="s">
        <v>199</v>
      </c>
      <c r="I960" s="136"/>
      <c r="J960" s="347" t="s">
        <v>1455</v>
      </c>
      <c r="K960" s="136"/>
      <c r="L960" s="146">
        <v>46184</v>
      </c>
      <c r="M960" s="136"/>
      <c r="N960" s="281" t="s">
        <v>2045</v>
      </c>
      <c r="O960" s="146">
        <v>46185</v>
      </c>
      <c r="P960" s="138">
        <v>0</v>
      </c>
      <c r="Q960" s="138">
        <v>225</v>
      </c>
      <c r="R960" s="138">
        <v>25</v>
      </c>
      <c r="S960" s="138">
        <v>250</v>
      </c>
      <c r="T960" s="138">
        <v>250</v>
      </c>
      <c r="U960" s="136"/>
      <c r="V960" s="136"/>
      <c r="W960" s="148">
        <v>150.05000000000001</v>
      </c>
      <c r="X960" s="148">
        <v>149.6</v>
      </c>
      <c r="Y960" s="147">
        <f>1201345.31-945.31</f>
        <v>1200400</v>
      </c>
      <c r="Z960" s="165"/>
      <c r="AA960" s="147">
        <v>30033.63</v>
      </c>
      <c r="AB960" s="147">
        <v>30033.63</v>
      </c>
      <c r="AC960" s="147">
        <v>1261412.58</v>
      </c>
      <c r="AD960" s="315">
        <f t="shared" si="603"/>
        <v>1260151.1674200001</v>
      </c>
      <c r="AE960" s="147">
        <v>39.799999999999997</v>
      </c>
      <c r="AF960" s="147">
        <v>42</v>
      </c>
      <c r="AG960" s="147">
        <v>39.79</v>
      </c>
      <c r="AH960" s="287">
        <v>3.3E-3</v>
      </c>
      <c r="AI960" s="287">
        <v>4.7E-2</v>
      </c>
      <c r="AJ960" s="287">
        <v>5.0999999999999997E-2</v>
      </c>
      <c r="AK960" s="318">
        <f t="shared" ref="AK960:AK983" si="604">+IF(AF960=42,IF(MIN(AE960,AG960)&lt;AF960,Y960*((AF960-MIN(AE960,AG960))/AF960)),IF(MIN(AE960,AG960)&lt;AF960,Y960*((AF960-MIN(AE960,AG960))/AF960),0))</f>
        <v>63163.904761904792</v>
      </c>
      <c r="AL960" s="193">
        <f>225*10+25*15</f>
        <v>2625</v>
      </c>
      <c r="AM960" s="319">
        <f>Y960*AH960</f>
        <v>3961.32</v>
      </c>
      <c r="AN960" s="319">
        <v>945.31</v>
      </c>
      <c r="AO960" s="320">
        <f t="shared" ref="AO960:AO983" si="605">AT960*Y960/AW960</f>
        <v>3599.9999999999995</v>
      </c>
      <c r="AP960" s="193"/>
      <c r="AQ960" s="318">
        <v>0</v>
      </c>
      <c r="AR960" s="318">
        <f t="shared" ref="AR960:AR983" si="606">SUM(AK960:AQ960)</f>
        <v>74295.534761904797</v>
      </c>
      <c r="AS960" s="318">
        <f t="shared" ref="AS960:AS983" si="607">ROUND(AR960*1.05,0)</f>
        <v>78010</v>
      </c>
      <c r="AT960" s="321">
        <v>45</v>
      </c>
      <c r="AU960" s="157" t="s">
        <v>1535</v>
      </c>
      <c r="AV960" s="157"/>
      <c r="AW960" s="318">
        <f t="shared" ref="AW960:AW983" si="608">W960*100</f>
        <v>15005.000000000002</v>
      </c>
      <c r="AX960" s="193"/>
      <c r="AY960" s="318">
        <f t="shared" ref="AY960:AY983" si="609">+AW960+AX960</f>
        <v>15005.000000000002</v>
      </c>
      <c r="AZ960" s="318">
        <f t="shared" ref="AZ960:AZ983" si="610">X960*100</f>
        <v>14960</v>
      </c>
      <c r="BA960" s="318">
        <f t="shared" ref="BA960:BA983" si="611">AY960-AZ960</f>
        <v>45.000000000001819</v>
      </c>
      <c r="BB960" s="318">
        <f t="shared" ref="BB960:BB983" si="612">AW960*2/1000</f>
        <v>30.010000000000005</v>
      </c>
      <c r="BC960" s="318">
        <v>0</v>
      </c>
      <c r="BD960" s="193"/>
      <c r="BE960" s="138">
        <v>150.05000000000001</v>
      </c>
      <c r="BF960" s="321">
        <f t="shared" ref="BF960:BF983" si="613">+BE960*0.15/100</f>
        <v>0.225075</v>
      </c>
      <c r="BG960" s="197">
        <f t="shared" si="595"/>
        <v>149.82492500000001</v>
      </c>
      <c r="BH960" s="321">
        <f t="shared" ref="BH960:BH983" si="614">X960</f>
        <v>149.6</v>
      </c>
      <c r="BI960" s="322">
        <f t="shared" ref="BI960:BI983" si="615">(BE960-BH960)*100</f>
        <v>45.000000000001705</v>
      </c>
      <c r="BJ960" s="322">
        <v>0</v>
      </c>
      <c r="BK960" s="318">
        <f t="shared" ref="BK960:BK983" si="616">BI960</f>
        <v>45.000000000001705</v>
      </c>
      <c r="BL960" s="67"/>
      <c r="BM960" s="68" t="str">
        <f t="shared" ref="BM960:BM983" si="617">+$C$1&amp;" "&amp;C960 &amp;" "&amp;$N$1&amp;" "&amp;N960&amp;" "&amp;$BM$1&amp;" "&amp;$AK$1&amp;" "&amp;AK960&amp;" "&amp;$AL$1&amp;" "&amp;AL960&amp;" "&amp;$AM$1&amp;" "&amp;AM960&amp;" "&amp;$AN$1&amp;" "&amp;AN960&amp;" "&amp;$AO$1&amp;" "&amp;AO960&amp;" "&amp;$AP$1&amp;" "&amp;AP960&amp;" "&amp;$AQ$1&amp;" "&amp;AQ960</f>
        <v>Unloading no. 930 Bill No ST-27 ,Deduction For Oil Deduction= 63163.9047619048 ,Bardana= 2625 ,F.M= 3961.32 Brokerage/Rate Difference 945.31 ,Shortage = 3600 ,Greenish=  ,Moisture= 0</v>
      </c>
      <c r="BN960" s="69"/>
      <c r="BO960" s="70" t="str">
        <f t="shared" ref="BO960:BO983" si="618">+" "&amp;$AF$1&amp;" "&amp;AF960&amp;" "&amp;" "&amp;$AH$1&amp;" "&amp;AH960*100&amp;" "&amp;$AI$1&amp;" "&amp;AI960*100&amp;" "&amp;$AJ$1&amp;" "&amp;AJ960*100&amp;" ,"&amp;$AT$1&amp;" "&amp;AT960&amp;" "&amp;IF(AE960&gt;AG960," ,Oil%"&amp;" "&amp;AG960," ,Oil%"&amp;" "&amp;AE960)</f>
        <v xml:space="preserve"> Party Condition 42  ,F.M% 0.33 ,Greenish 4.7 ,Moisture 5.1 ,Shortage in KG= 45  ,Oil% 39.79</v>
      </c>
      <c r="BP960" s="71">
        <f t="shared" ref="BP960:BP983" si="619">(Y960-AR960)/X960</f>
        <v>7527.43626496053</v>
      </c>
      <c r="BQ960" s="55"/>
      <c r="BR960" s="55"/>
      <c r="BS960" s="41"/>
      <c r="BT960" s="41"/>
      <c r="BU960" s="41"/>
      <c r="BV960" s="41"/>
      <c r="BW960" s="85"/>
      <c r="BX960" s="27">
        <v>39.799999999999997</v>
      </c>
      <c r="BY960" s="27">
        <v>39.79</v>
      </c>
    </row>
    <row r="961" spans="1:82" ht="14.1" hidden="1" customHeight="1" x14ac:dyDescent="0.3">
      <c r="A961" s="128" t="s">
        <v>2021</v>
      </c>
      <c r="B961" s="146">
        <v>46184</v>
      </c>
      <c r="C961" s="138">
        <v>931</v>
      </c>
      <c r="D961" s="348" t="s">
        <v>2031</v>
      </c>
      <c r="E961" s="129">
        <v>46186</v>
      </c>
      <c r="F961" s="128" t="s">
        <v>1450</v>
      </c>
      <c r="G961" s="128" t="s">
        <v>1451</v>
      </c>
      <c r="H961" s="128" t="s">
        <v>199</v>
      </c>
      <c r="I961" s="136"/>
      <c r="J961" s="347" t="s">
        <v>1455</v>
      </c>
      <c r="K961" s="136"/>
      <c r="L961" s="146">
        <v>46184</v>
      </c>
      <c r="M961" s="136"/>
      <c r="N961" s="281" t="s">
        <v>2046</v>
      </c>
      <c r="O961" s="146">
        <v>46185</v>
      </c>
      <c r="P961" s="138">
        <v>0</v>
      </c>
      <c r="Q961" s="138">
        <v>252</v>
      </c>
      <c r="R961" s="138">
        <v>13</v>
      </c>
      <c r="S961" s="138">
        <v>265</v>
      </c>
      <c r="T961" s="138">
        <v>265</v>
      </c>
      <c r="U961" s="136"/>
      <c r="V961" s="136"/>
      <c r="W961" s="148">
        <v>161.35</v>
      </c>
      <c r="X961" s="148">
        <v>160.80000000000001</v>
      </c>
      <c r="Y961" s="147">
        <f>1291864.91-1064.91</f>
        <v>1290800</v>
      </c>
      <c r="Z961" s="165"/>
      <c r="AA961" s="147">
        <v>32296.62</v>
      </c>
      <c r="AB961" s="147">
        <v>32296.62</v>
      </c>
      <c r="AC961" s="147">
        <v>1356458.16</v>
      </c>
      <c r="AD961" s="315">
        <f t="shared" si="603"/>
        <v>1355101.70184</v>
      </c>
      <c r="AE961" s="147">
        <v>39.799999999999997</v>
      </c>
      <c r="AF961" s="147">
        <v>42</v>
      </c>
      <c r="AG961" s="147">
        <v>39.83</v>
      </c>
      <c r="AH961" s="287">
        <v>4.0000000000000001E-3</v>
      </c>
      <c r="AI961" s="287">
        <v>3.9E-2</v>
      </c>
      <c r="AJ961" s="287">
        <v>4.5999999999999999E-2</v>
      </c>
      <c r="AK961" s="318">
        <f t="shared" si="604"/>
        <v>67613.33333333343</v>
      </c>
      <c r="AL961" s="193">
        <f>252*10+13*15</f>
        <v>2715</v>
      </c>
      <c r="AM961" s="319">
        <f t="shared" ref="AM961:AM983" si="620">Y961*AH961</f>
        <v>5163.2</v>
      </c>
      <c r="AN961" s="319">
        <v>1064.9100000000001</v>
      </c>
      <c r="AO961" s="320">
        <f t="shared" si="605"/>
        <v>4400</v>
      </c>
      <c r="AP961" s="193"/>
      <c r="AQ961" s="318">
        <v>0</v>
      </c>
      <c r="AR961" s="318">
        <f t="shared" si="606"/>
        <v>80956.443333333431</v>
      </c>
      <c r="AS961" s="318">
        <f t="shared" si="607"/>
        <v>85004</v>
      </c>
      <c r="AT961" s="321">
        <v>55</v>
      </c>
      <c r="AU961" s="157"/>
      <c r="AV961" s="157"/>
      <c r="AW961" s="318">
        <f t="shared" si="608"/>
        <v>16135</v>
      </c>
      <c r="AX961" s="193"/>
      <c r="AY961" s="318">
        <f t="shared" si="609"/>
        <v>16135</v>
      </c>
      <c r="AZ961" s="318">
        <f t="shared" si="610"/>
        <v>16080.000000000002</v>
      </c>
      <c r="BA961" s="318">
        <f t="shared" si="611"/>
        <v>54.999999999998181</v>
      </c>
      <c r="BB961" s="318">
        <f t="shared" si="612"/>
        <v>32.270000000000003</v>
      </c>
      <c r="BC961" s="318">
        <v>0</v>
      </c>
      <c r="BD961" s="193"/>
      <c r="BE961" s="138">
        <v>161.35</v>
      </c>
      <c r="BF961" s="321">
        <f t="shared" si="613"/>
        <v>0.24202499999999996</v>
      </c>
      <c r="BG961" s="197">
        <f t="shared" si="595"/>
        <v>161.10797499999998</v>
      </c>
      <c r="BH961" s="321">
        <f t="shared" si="614"/>
        <v>160.80000000000001</v>
      </c>
      <c r="BI961" s="322">
        <f t="shared" si="615"/>
        <v>54.999999999998295</v>
      </c>
      <c r="BJ961" s="322">
        <v>0</v>
      </c>
      <c r="BK961" s="318">
        <f t="shared" si="616"/>
        <v>54.999999999998295</v>
      </c>
      <c r="BL961" s="67"/>
      <c r="BM961" s="68" t="str">
        <f t="shared" si="617"/>
        <v>Unloading no. 931 Bill No ST-28 ,Deduction For Oil Deduction= 67613.3333333334 ,Bardana= 2715 ,F.M= 5163.2 Brokerage/Rate Difference 1064.91 ,Shortage = 4400 ,Greenish=  ,Moisture= 0</v>
      </c>
      <c r="BN961" s="69"/>
      <c r="BO961" s="70" t="str">
        <f t="shared" si="618"/>
        <v xml:space="preserve"> Party Condition 42  ,F.M% 0.4 ,Greenish 3.9 ,Moisture 4.6 ,Shortage in KG= 55  ,Oil% 39.8</v>
      </c>
      <c r="BP961" s="71">
        <f t="shared" si="619"/>
        <v>7523.9027155887225</v>
      </c>
      <c r="BQ961" s="55"/>
      <c r="BR961" s="55"/>
      <c r="BS961" s="41"/>
      <c r="BT961" s="41"/>
      <c r="BU961" s="41"/>
      <c r="BV961" s="41"/>
      <c r="BW961" s="85"/>
      <c r="BX961" s="27">
        <v>39.799999999999997</v>
      </c>
      <c r="BY961" s="27">
        <v>39.83</v>
      </c>
    </row>
    <row r="962" spans="1:82" ht="14.1" hidden="1" customHeight="1" x14ac:dyDescent="0.3">
      <c r="A962" s="128" t="s">
        <v>2022</v>
      </c>
      <c r="B962" s="146">
        <v>46184</v>
      </c>
      <c r="C962" s="138">
        <v>932</v>
      </c>
      <c r="D962" s="348" t="s">
        <v>2032</v>
      </c>
      <c r="E962" s="129">
        <v>46186</v>
      </c>
      <c r="F962" s="128" t="s">
        <v>1450</v>
      </c>
      <c r="G962" s="128" t="s">
        <v>2043</v>
      </c>
      <c r="H962" s="128" t="s">
        <v>2044</v>
      </c>
      <c r="I962" s="136"/>
      <c r="J962" s="347" t="s">
        <v>1455</v>
      </c>
      <c r="K962" s="136"/>
      <c r="L962" s="146">
        <v>46184</v>
      </c>
      <c r="M962" s="136"/>
      <c r="N962" s="281" t="s">
        <v>2047</v>
      </c>
      <c r="O962" s="130">
        <v>46185</v>
      </c>
      <c r="P962" s="138">
        <v>0</v>
      </c>
      <c r="Q962" s="138">
        <v>300</v>
      </c>
      <c r="R962" s="138">
        <v>94</v>
      </c>
      <c r="S962" s="138">
        <v>394</v>
      </c>
      <c r="T962" s="138">
        <v>394</v>
      </c>
      <c r="U962" s="136"/>
      <c r="V962" s="136"/>
      <c r="W962" s="148">
        <v>252.55</v>
      </c>
      <c r="X962" s="148">
        <v>237.5</v>
      </c>
      <c r="Y962" s="147">
        <f>2020400-120400</f>
        <v>1900000</v>
      </c>
      <c r="Z962" s="165"/>
      <c r="AA962" s="147">
        <v>50510</v>
      </c>
      <c r="AB962" s="147">
        <v>50510</v>
      </c>
      <c r="AC962" s="147">
        <v>2121420</v>
      </c>
      <c r="AD962" s="315">
        <f t="shared" si="603"/>
        <v>2119298.58</v>
      </c>
      <c r="AE962" s="147">
        <v>39.18</v>
      </c>
      <c r="AF962" s="147">
        <v>42</v>
      </c>
      <c r="AG962" s="147">
        <v>39.15</v>
      </c>
      <c r="AH962" s="287">
        <v>4.7000000000000002E-3</v>
      </c>
      <c r="AI962" s="287">
        <v>3.4500000000000003E-2</v>
      </c>
      <c r="AJ962" s="287">
        <v>5.2999999999999999E-2</v>
      </c>
      <c r="AK962" s="318">
        <f t="shared" si="604"/>
        <v>128928.57142857149</v>
      </c>
      <c r="AL962" s="193">
        <f>300*10+94*15</f>
        <v>4410</v>
      </c>
      <c r="AM962" s="319">
        <f t="shared" si="620"/>
        <v>8930</v>
      </c>
      <c r="AN962" s="319"/>
      <c r="AO962" s="320">
        <f t="shared" si="605"/>
        <v>0</v>
      </c>
      <c r="AP962" s="193"/>
      <c r="AQ962" s="318">
        <v>0</v>
      </c>
      <c r="AR962" s="318">
        <f t="shared" si="606"/>
        <v>142268.57142857148</v>
      </c>
      <c r="AS962" s="318">
        <f t="shared" si="607"/>
        <v>149382</v>
      </c>
      <c r="AT962" s="321">
        <v>0</v>
      </c>
      <c r="AU962" s="157" t="s">
        <v>2055</v>
      </c>
      <c r="AV962" s="157"/>
      <c r="AW962" s="318">
        <f t="shared" si="608"/>
        <v>25255</v>
      </c>
      <c r="AX962" s="193"/>
      <c r="AY962" s="318">
        <f t="shared" si="609"/>
        <v>25255</v>
      </c>
      <c r="AZ962" s="318">
        <f t="shared" si="610"/>
        <v>23750</v>
      </c>
      <c r="BA962" s="318">
        <f t="shared" si="611"/>
        <v>1505</v>
      </c>
      <c r="BB962" s="318">
        <f t="shared" si="612"/>
        <v>50.51</v>
      </c>
      <c r="BC962" s="318">
        <v>0</v>
      </c>
      <c r="BD962" s="193"/>
      <c r="BE962" s="147">
        <v>252.55</v>
      </c>
      <c r="BF962" s="321">
        <f t="shared" si="613"/>
        <v>0.37882500000000002</v>
      </c>
      <c r="BG962" s="197">
        <f t="shared" si="595"/>
        <v>252.17117500000001</v>
      </c>
      <c r="BH962" s="321">
        <f t="shared" si="614"/>
        <v>237.5</v>
      </c>
      <c r="BI962" s="322">
        <f t="shared" si="615"/>
        <v>1505.0000000000011</v>
      </c>
      <c r="BJ962" s="322">
        <v>0</v>
      </c>
      <c r="BK962" s="318">
        <f t="shared" si="616"/>
        <v>1505.0000000000011</v>
      </c>
      <c r="BL962" s="67"/>
      <c r="BM962" s="68" t="str">
        <f t="shared" si="617"/>
        <v>Unloading no. 932 Bill No FMT27MLRJ001605 ,Deduction For Oil Deduction= 128928.571428571 ,Bardana= 4410 ,F.M= 8930 Brokerage/Rate Difference  ,Shortage = 0 ,Greenish=  ,Moisture= 0</v>
      </c>
      <c r="BN962" s="69"/>
      <c r="BO962" s="70" t="str">
        <f t="shared" si="618"/>
        <v xml:space="preserve"> Party Condition 42  ,F.M% 0.47 ,Greenish 3.45 ,Moisture 5.3 ,Shortage in KG= 0  ,Oil% 39.15</v>
      </c>
      <c r="BP962" s="71">
        <f t="shared" si="619"/>
        <v>7400.9744360902259</v>
      </c>
      <c r="BQ962" s="55"/>
      <c r="BR962" s="55"/>
      <c r="BS962" s="41"/>
      <c r="BT962" s="41"/>
      <c r="BU962" s="41"/>
      <c r="BV962" s="41"/>
      <c r="BW962" s="85"/>
      <c r="BX962" s="27">
        <v>39.18</v>
      </c>
      <c r="BY962" s="27">
        <v>39.15</v>
      </c>
    </row>
    <row r="963" spans="1:82" ht="14.1" hidden="1" customHeight="1" x14ac:dyDescent="0.3">
      <c r="A963" s="128" t="s">
        <v>1965</v>
      </c>
      <c r="B963" s="146">
        <v>46184</v>
      </c>
      <c r="C963" s="138">
        <v>933</v>
      </c>
      <c r="D963" s="348" t="s">
        <v>2033</v>
      </c>
      <c r="E963" s="129">
        <v>46186</v>
      </c>
      <c r="F963" s="128" t="s">
        <v>1686</v>
      </c>
      <c r="G963" s="128" t="s">
        <v>1687</v>
      </c>
      <c r="H963" s="128" t="s">
        <v>1688</v>
      </c>
      <c r="I963" s="136"/>
      <c r="J963" s="347" t="s">
        <v>1455</v>
      </c>
      <c r="K963" s="136"/>
      <c r="L963" s="146">
        <v>46184</v>
      </c>
      <c r="M963" s="136"/>
      <c r="N963" s="281" t="s">
        <v>2048</v>
      </c>
      <c r="O963" s="146">
        <v>46185</v>
      </c>
      <c r="P963" s="138">
        <v>0</v>
      </c>
      <c r="Q963" s="138">
        <v>200</v>
      </c>
      <c r="R963" s="138">
        <v>50</v>
      </c>
      <c r="S963" s="138">
        <v>250</v>
      </c>
      <c r="T963" s="138">
        <v>250</v>
      </c>
      <c r="U963" s="136"/>
      <c r="V963" s="136"/>
      <c r="W963" s="148">
        <v>152.19999999999999</v>
      </c>
      <c r="X963" s="148">
        <v>152</v>
      </c>
      <c r="Y963" s="147">
        <v>1217600</v>
      </c>
      <c r="Z963" s="165"/>
      <c r="AA963" s="147">
        <v>30440</v>
      </c>
      <c r="AB963" s="147">
        <v>30440</v>
      </c>
      <c r="AC963" s="147">
        <v>1278480</v>
      </c>
      <c r="AD963" s="315">
        <f t="shared" si="603"/>
        <v>1277201.52</v>
      </c>
      <c r="AE963" s="147">
        <v>39.78</v>
      </c>
      <c r="AF963" s="147">
        <v>42</v>
      </c>
      <c r="AG963" s="147">
        <v>39.75</v>
      </c>
      <c r="AH963" s="287">
        <v>4.0000000000000001E-3</v>
      </c>
      <c r="AI963" s="287">
        <v>3.5499999999999997E-2</v>
      </c>
      <c r="AJ963" s="287">
        <v>0.05</v>
      </c>
      <c r="AK963" s="318">
        <f t="shared" si="604"/>
        <v>65228.571428571428</v>
      </c>
      <c r="AL963" s="193">
        <f>200*10+50*15</f>
        <v>2750</v>
      </c>
      <c r="AM963" s="319">
        <f t="shared" si="620"/>
        <v>4870.4000000000005</v>
      </c>
      <c r="AN963" s="319"/>
      <c r="AO963" s="320">
        <f t="shared" si="605"/>
        <v>1600.0000000000002</v>
      </c>
      <c r="AP963" s="193"/>
      <c r="AQ963" s="318">
        <v>0</v>
      </c>
      <c r="AR963" s="318">
        <f t="shared" si="606"/>
        <v>74448.971428571414</v>
      </c>
      <c r="AS963" s="318">
        <f t="shared" si="607"/>
        <v>78171</v>
      </c>
      <c r="AT963" s="321">
        <v>20</v>
      </c>
      <c r="AU963" s="157"/>
      <c r="AV963" s="157"/>
      <c r="AW963" s="318">
        <f t="shared" si="608"/>
        <v>15219.999999999998</v>
      </c>
      <c r="AX963" s="193"/>
      <c r="AY963" s="318">
        <f t="shared" si="609"/>
        <v>15219.999999999998</v>
      </c>
      <c r="AZ963" s="318">
        <f t="shared" si="610"/>
        <v>15200</v>
      </c>
      <c r="BA963" s="318">
        <f t="shared" si="611"/>
        <v>19.999999999998181</v>
      </c>
      <c r="BB963" s="318">
        <f t="shared" si="612"/>
        <v>30.439999999999998</v>
      </c>
      <c r="BC963" s="318">
        <v>0</v>
      </c>
      <c r="BD963" s="193"/>
      <c r="BE963" s="147">
        <v>152.19999999999999</v>
      </c>
      <c r="BF963" s="321">
        <f t="shared" si="613"/>
        <v>0.22829999999999998</v>
      </c>
      <c r="BG963" s="197">
        <f t="shared" si="595"/>
        <v>151.9717</v>
      </c>
      <c r="BH963" s="321">
        <f t="shared" si="614"/>
        <v>152</v>
      </c>
      <c r="BI963" s="322">
        <f t="shared" si="615"/>
        <v>19.999999999998863</v>
      </c>
      <c r="BJ963" s="322">
        <v>0</v>
      </c>
      <c r="BK963" s="318">
        <f t="shared" si="616"/>
        <v>19.999999999998863</v>
      </c>
      <c r="BL963" s="67"/>
      <c r="BM963" s="68" t="str">
        <f t="shared" si="617"/>
        <v>Unloading no. 933 Bill No KAI/2026-27/129 ,Deduction For Oil Deduction= 65228.5714285714 ,Bardana= 2750 ,F.M= 4870.4 Brokerage/Rate Difference  ,Shortage = 1600 ,Greenish=  ,Moisture= 0</v>
      </c>
      <c r="BN963" s="69"/>
      <c r="BO963" s="70" t="str">
        <f t="shared" si="618"/>
        <v xml:space="preserve"> Party Condition 42  ,F.M% 0.4 ,Greenish 3.55 ,Moisture 5 ,Shortage in KG= 20  ,Oil% 39.75</v>
      </c>
      <c r="BP963" s="71">
        <f t="shared" si="619"/>
        <v>7520.7304511278189</v>
      </c>
      <c r="BQ963" s="55"/>
      <c r="BR963" s="55"/>
      <c r="BS963" s="41"/>
      <c r="BT963" s="41"/>
      <c r="BU963" s="41"/>
      <c r="BV963" s="41"/>
      <c r="BW963" s="85"/>
      <c r="BX963" s="27">
        <v>39.78</v>
      </c>
      <c r="BY963" s="27">
        <v>39.75</v>
      </c>
    </row>
    <row r="964" spans="1:82" ht="14.1" hidden="1" customHeight="1" x14ac:dyDescent="0.3">
      <c r="A964" s="128" t="s">
        <v>2023</v>
      </c>
      <c r="B964" s="146">
        <v>46184</v>
      </c>
      <c r="C964" s="138">
        <v>934</v>
      </c>
      <c r="D964" s="348" t="s">
        <v>2034</v>
      </c>
      <c r="E964" s="129">
        <v>46186</v>
      </c>
      <c r="F964" s="128" t="s">
        <v>1080</v>
      </c>
      <c r="G964" s="128" t="s">
        <v>1081</v>
      </c>
      <c r="H964" s="128" t="s">
        <v>1082</v>
      </c>
      <c r="I964" s="136"/>
      <c r="J964" s="347" t="s">
        <v>1455</v>
      </c>
      <c r="K964" s="136"/>
      <c r="L964" s="146">
        <v>46184</v>
      </c>
      <c r="M964" s="136"/>
      <c r="N964" s="281">
        <v>131</v>
      </c>
      <c r="O964" s="130">
        <v>46184</v>
      </c>
      <c r="P964" s="138">
        <v>0</v>
      </c>
      <c r="Q964" s="138">
        <v>800</v>
      </c>
      <c r="R964" s="138">
        <v>101</v>
      </c>
      <c r="S964" s="138">
        <v>901</v>
      </c>
      <c r="T964" s="138">
        <v>901</v>
      </c>
      <c r="U964" s="136"/>
      <c r="V964" s="136"/>
      <c r="W964" s="148">
        <v>449.5</v>
      </c>
      <c r="X964" s="148">
        <v>448.3</v>
      </c>
      <c r="Y964" s="147">
        <v>3607237.5</v>
      </c>
      <c r="Z964" s="165"/>
      <c r="AA964" s="147">
        <v>90180.94</v>
      </c>
      <c r="AB964" s="147">
        <v>90180.94</v>
      </c>
      <c r="AC964" s="147">
        <v>3787599.38</v>
      </c>
      <c r="AD964" s="315">
        <f t="shared" si="603"/>
        <v>3783811.7806199999</v>
      </c>
      <c r="AE964" s="147">
        <v>40.700000000000003</v>
      </c>
      <c r="AF964" s="147">
        <v>42</v>
      </c>
      <c r="AG964" s="147">
        <v>40.520000000000003</v>
      </c>
      <c r="AH964" s="403">
        <v>5.0000000000000001E-3</v>
      </c>
      <c r="AI964" s="404">
        <v>6.5699999999999995E-2</v>
      </c>
      <c r="AJ964" s="287">
        <v>5.1999999999999998E-2</v>
      </c>
      <c r="AK964" s="318">
        <f t="shared" si="604"/>
        <v>127112.1785714283</v>
      </c>
      <c r="AL964" s="193">
        <f>800*10+101*15</f>
        <v>9515</v>
      </c>
      <c r="AM964" s="319">
        <f t="shared" si="620"/>
        <v>18036.1875</v>
      </c>
      <c r="AN964" s="393">
        <f>W964*14</f>
        <v>6293</v>
      </c>
      <c r="AO964" s="320">
        <f t="shared" si="605"/>
        <v>9630</v>
      </c>
      <c r="AP964" s="405">
        <f>W964*44.1</f>
        <v>19822.95</v>
      </c>
      <c r="AQ964" s="318">
        <v>0</v>
      </c>
      <c r="AR964" s="318">
        <f t="shared" si="606"/>
        <v>190409.3160714283</v>
      </c>
      <c r="AS964" s="318">
        <f t="shared" si="607"/>
        <v>199930</v>
      </c>
      <c r="AT964" s="321">
        <v>120</v>
      </c>
      <c r="AU964" s="157" t="s">
        <v>2056</v>
      </c>
      <c r="AV964" s="157"/>
      <c r="AW964" s="318">
        <f t="shared" si="608"/>
        <v>44950</v>
      </c>
      <c r="AX964" s="193"/>
      <c r="AY964" s="318">
        <f t="shared" si="609"/>
        <v>44950</v>
      </c>
      <c r="AZ964" s="318">
        <f t="shared" si="610"/>
        <v>44830</v>
      </c>
      <c r="BA964" s="318">
        <f t="shared" si="611"/>
        <v>120</v>
      </c>
      <c r="BB964" s="318">
        <f t="shared" si="612"/>
        <v>89.9</v>
      </c>
      <c r="BC964" s="318">
        <v>0</v>
      </c>
      <c r="BD964" s="193"/>
      <c r="BE964" s="147">
        <v>449.5</v>
      </c>
      <c r="BF964" s="321">
        <f t="shared" si="613"/>
        <v>0.67425000000000002</v>
      </c>
      <c r="BG964" s="197">
        <f t="shared" si="595"/>
        <v>448.82575000000003</v>
      </c>
      <c r="BH964" s="321">
        <f t="shared" si="614"/>
        <v>448.3</v>
      </c>
      <c r="BI964" s="322">
        <f t="shared" si="615"/>
        <v>119.99999999999886</v>
      </c>
      <c r="BJ964" s="322">
        <v>0</v>
      </c>
      <c r="BK964" s="318">
        <f t="shared" si="616"/>
        <v>119.99999999999886</v>
      </c>
      <c r="BL964" s="67"/>
      <c r="BM964" s="68" t="str">
        <f t="shared" si="617"/>
        <v>Unloading no. 934 Bill No 131 ,Deduction For Oil Deduction= 127112.178571428 ,Bardana= 9515 ,F.M= 18036.1875 Brokerage/Rate Difference 6293 ,Shortage = 9630 ,Greenish= 19822.95 ,Moisture= 0</v>
      </c>
      <c r="BN964" s="69"/>
      <c r="BO964" s="70" t="str">
        <f t="shared" si="618"/>
        <v xml:space="preserve"> Party Condition 42  ,F.M% 0.5 ,Greenish 6.57 ,Moisture 5.2 ,Shortage in KG= 120  ,Oil% 40.52</v>
      </c>
      <c r="BP964" s="71">
        <f t="shared" si="619"/>
        <v>7621.744777891081</v>
      </c>
      <c r="BQ964" s="55"/>
      <c r="BR964" s="55"/>
      <c r="BS964" s="41"/>
      <c r="BT964" s="41"/>
      <c r="BU964" s="41"/>
      <c r="BV964" s="41"/>
      <c r="BW964" s="85"/>
      <c r="BX964" s="27">
        <v>40.700000000000003</v>
      </c>
      <c r="BY964" s="27">
        <v>40.520000000000003</v>
      </c>
    </row>
    <row r="965" spans="1:82" ht="14.1" hidden="1" customHeight="1" x14ac:dyDescent="0.3">
      <c r="A965" s="128" t="s">
        <v>2024</v>
      </c>
      <c r="B965" s="146">
        <v>46185</v>
      </c>
      <c r="C965" s="138">
        <v>935</v>
      </c>
      <c r="D965" s="348" t="s">
        <v>2035</v>
      </c>
      <c r="E965" s="129">
        <v>46186</v>
      </c>
      <c r="F965" s="128" t="s">
        <v>1805</v>
      </c>
      <c r="G965" s="128" t="s">
        <v>1806</v>
      </c>
      <c r="H965" s="128" t="s">
        <v>1511</v>
      </c>
      <c r="I965" s="136"/>
      <c r="J965" s="347" t="s">
        <v>1455</v>
      </c>
      <c r="K965" s="136"/>
      <c r="L965" s="146">
        <v>46185</v>
      </c>
      <c r="M965" s="136"/>
      <c r="N965" s="281" t="s">
        <v>2049</v>
      </c>
      <c r="O965" s="130">
        <v>46185</v>
      </c>
      <c r="P965" s="138">
        <v>0</v>
      </c>
      <c r="Q965" s="138">
        <v>160</v>
      </c>
      <c r="R965" s="138">
        <v>40</v>
      </c>
      <c r="S965" s="138">
        <v>200</v>
      </c>
      <c r="T965" s="138">
        <v>200</v>
      </c>
      <c r="U965" s="136"/>
      <c r="V965" s="136"/>
      <c r="W965" s="148">
        <v>121.15</v>
      </c>
      <c r="X965" s="148">
        <v>120.8</v>
      </c>
      <c r="Y965" s="147">
        <v>963142.5</v>
      </c>
      <c r="Z965" s="165"/>
      <c r="AA965" s="147">
        <v>24078.560000000001</v>
      </c>
      <c r="AB965" s="147">
        <v>24078.560000000001</v>
      </c>
      <c r="AC965" s="147">
        <v>1011299.63</v>
      </c>
      <c r="AD965" s="315">
        <f t="shared" si="603"/>
        <v>1010288.33037</v>
      </c>
      <c r="AE965" s="147">
        <v>39.72</v>
      </c>
      <c r="AF965" s="147">
        <v>42</v>
      </c>
      <c r="AG965" s="147">
        <v>39.65</v>
      </c>
      <c r="AH965" s="287">
        <v>4.1999999999999997E-3</v>
      </c>
      <c r="AI965" s="287">
        <v>3.6900000000000002E-2</v>
      </c>
      <c r="AJ965" s="287">
        <v>4.9000000000000002E-2</v>
      </c>
      <c r="AK965" s="318">
        <f t="shared" si="604"/>
        <v>53890.116071428609</v>
      </c>
      <c r="AL965" s="193">
        <f>160*10+40*15</f>
        <v>2200</v>
      </c>
      <c r="AM965" s="319">
        <f t="shared" si="620"/>
        <v>4045.1985</v>
      </c>
      <c r="AN965" s="319"/>
      <c r="AO965" s="320">
        <f t="shared" si="605"/>
        <v>2782.5</v>
      </c>
      <c r="AP965" s="193"/>
      <c r="AQ965" s="318">
        <v>0</v>
      </c>
      <c r="AR965" s="318">
        <f t="shared" si="606"/>
        <v>62917.814571428607</v>
      </c>
      <c r="AS965" s="318">
        <f t="shared" si="607"/>
        <v>66064</v>
      </c>
      <c r="AT965" s="321">
        <v>35</v>
      </c>
      <c r="AU965" s="157"/>
      <c r="AV965" s="157"/>
      <c r="AW965" s="318">
        <f t="shared" si="608"/>
        <v>12115</v>
      </c>
      <c r="AX965" s="193"/>
      <c r="AY965" s="318">
        <f t="shared" si="609"/>
        <v>12115</v>
      </c>
      <c r="AZ965" s="318">
        <f t="shared" si="610"/>
        <v>12080</v>
      </c>
      <c r="BA965" s="318">
        <f t="shared" si="611"/>
        <v>35</v>
      </c>
      <c r="BB965" s="318">
        <f t="shared" si="612"/>
        <v>24.23</v>
      </c>
      <c r="BC965" s="318">
        <v>0</v>
      </c>
      <c r="BD965" s="193"/>
      <c r="BE965" s="147">
        <v>121.15</v>
      </c>
      <c r="BF965" s="321">
        <f t="shared" si="613"/>
        <v>0.181725</v>
      </c>
      <c r="BG965" s="197">
        <f t="shared" si="595"/>
        <v>120.96827500000001</v>
      </c>
      <c r="BH965" s="321">
        <f t="shared" si="614"/>
        <v>120.8</v>
      </c>
      <c r="BI965" s="322">
        <f t="shared" si="615"/>
        <v>35.000000000000853</v>
      </c>
      <c r="BJ965" s="322">
        <v>0</v>
      </c>
      <c r="BK965" s="318">
        <f t="shared" si="616"/>
        <v>35.000000000000853</v>
      </c>
      <c r="BL965" s="67"/>
      <c r="BM965" s="68" t="str">
        <f t="shared" si="617"/>
        <v>Unloading no. 935 Bill No 7/2026-27 ,Deduction For Oil Deduction= 53890.1160714286 ,Bardana= 2200 ,F.M= 4045.1985 Brokerage/Rate Difference  ,Shortage = 2782.5 ,Greenish=  ,Moisture= 0</v>
      </c>
      <c r="BN965" s="69"/>
      <c r="BO965" s="70" t="str">
        <f t="shared" si="618"/>
        <v xml:space="preserve"> Party Condition 42  ,F.M% 0.42 ,Greenish 3.69 ,Moisture 4.9 ,Shortage in KG= 35  ,Oil% 39.65</v>
      </c>
      <c r="BP965" s="71">
        <f t="shared" si="619"/>
        <v>7452.1911045411543</v>
      </c>
      <c r="BQ965" s="55"/>
      <c r="BR965" s="55"/>
      <c r="BS965" s="41"/>
      <c r="BT965" s="41"/>
      <c r="BU965" s="41"/>
      <c r="BV965" s="41"/>
      <c r="BW965" s="85"/>
      <c r="BX965" s="27">
        <v>39.72</v>
      </c>
      <c r="BY965" s="27">
        <v>39.65</v>
      </c>
    </row>
    <row r="966" spans="1:82" ht="14.1" hidden="1" customHeight="1" x14ac:dyDescent="0.3">
      <c r="A966" s="128" t="s">
        <v>2025</v>
      </c>
      <c r="B966" s="146">
        <v>46184</v>
      </c>
      <c r="C966" s="138">
        <v>936</v>
      </c>
      <c r="D966" s="348" t="s">
        <v>2036</v>
      </c>
      <c r="E966" s="129">
        <v>46186</v>
      </c>
      <c r="F966" s="281" t="s">
        <v>1142</v>
      </c>
      <c r="G966" s="128" t="s">
        <v>1143</v>
      </c>
      <c r="H966" s="128" t="s">
        <v>103</v>
      </c>
      <c r="I966" s="136"/>
      <c r="J966" s="347" t="s">
        <v>1455</v>
      </c>
      <c r="K966" s="136"/>
      <c r="L966" s="146">
        <v>46184</v>
      </c>
      <c r="M966" s="136"/>
      <c r="N966" s="281" t="s">
        <v>2050</v>
      </c>
      <c r="O966" s="130">
        <v>46186</v>
      </c>
      <c r="P966" s="138">
        <v>0</v>
      </c>
      <c r="Q966" s="138">
        <v>280</v>
      </c>
      <c r="R966" s="138">
        <v>206</v>
      </c>
      <c r="S966" s="138">
        <v>486</v>
      </c>
      <c r="T966" s="138">
        <v>486</v>
      </c>
      <c r="U966" s="136"/>
      <c r="V966" s="136"/>
      <c r="W966" s="148">
        <v>247.6</v>
      </c>
      <c r="X966" s="148">
        <v>247.8</v>
      </c>
      <c r="Y966" s="147">
        <v>1980800</v>
      </c>
      <c r="Z966" s="165"/>
      <c r="AA966" s="147">
        <v>49520</v>
      </c>
      <c r="AB966" s="147">
        <v>49520</v>
      </c>
      <c r="AC966" s="147">
        <v>2079840</v>
      </c>
      <c r="AD966" s="315">
        <f t="shared" si="603"/>
        <v>2077760.16</v>
      </c>
      <c r="AE966" s="147">
        <v>39.72</v>
      </c>
      <c r="AF966" s="147">
        <v>42</v>
      </c>
      <c r="AG966" s="147">
        <v>39.520000000000003</v>
      </c>
      <c r="AH966" s="403">
        <v>4.7000000000000002E-3</v>
      </c>
      <c r="AI966" s="404">
        <v>5.6000000000000001E-2</v>
      </c>
      <c r="AJ966" s="287">
        <v>5.2999999999999999E-2</v>
      </c>
      <c r="AK966" s="318">
        <f t="shared" si="604"/>
        <v>116961.52380952366</v>
      </c>
      <c r="AL966" s="193">
        <f>280*10+206*15</f>
        <v>5890</v>
      </c>
      <c r="AM966" s="319">
        <f t="shared" si="620"/>
        <v>9309.76</v>
      </c>
      <c r="AN966" s="319"/>
      <c r="AO966" s="320">
        <f t="shared" si="605"/>
        <v>0</v>
      </c>
      <c r="AP966" s="406">
        <f>W966*16.8</f>
        <v>4159.68</v>
      </c>
      <c r="AQ966" s="318">
        <v>0</v>
      </c>
      <c r="AR966" s="318">
        <f t="shared" si="606"/>
        <v>136320.96380952364</v>
      </c>
      <c r="AS966" s="318">
        <f t="shared" si="607"/>
        <v>143137</v>
      </c>
      <c r="AT966" s="321">
        <v>0</v>
      </c>
      <c r="AU966" s="157" t="s">
        <v>2057</v>
      </c>
      <c r="AV966" s="157"/>
      <c r="AW966" s="318">
        <f t="shared" si="608"/>
        <v>24760</v>
      </c>
      <c r="AX966" s="193"/>
      <c r="AY966" s="318">
        <f t="shared" si="609"/>
        <v>24760</v>
      </c>
      <c r="AZ966" s="318">
        <f t="shared" si="610"/>
        <v>24780</v>
      </c>
      <c r="BA966" s="318">
        <f t="shared" si="611"/>
        <v>-20</v>
      </c>
      <c r="BB966" s="318">
        <f t="shared" si="612"/>
        <v>49.52</v>
      </c>
      <c r="BC966" s="318">
        <v>0</v>
      </c>
      <c r="BD966" s="193"/>
      <c r="BE966" s="147">
        <v>247.6</v>
      </c>
      <c r="BF966" s="321">
        <f t="shared" si="613"/>
        <v>0.37140000000000001</v>
      </c>
      <c r="BG966" s="197">
        <f t="shared" si="595"/>
        <v>247.2286</v>
      </c>
      <c r="BH966" s="321">
        <f t="shared" si="614"/>
        <v>247.8</v>
      </c>
      <c r="BI966" s="322">
        <f t="shared" si="615"/>
        <v>-20.000000000001705</v>
      </c>
      <c r="BJ966" s="322">
        <v>0</v>
      </c>
      <c r="BK966" s="318">
        <f t="shared" si="616"/>
        <v>-20.000000000001705</v>
      </c>
      <c r="BL966" s="67"/>
      <c r="BM966" s="68" t="str">
        <f t="shared" si="617"/>
        <v>Unloading no. 936 Bill No 2026-27/6943 ,Deduction For Oil Deduction= 116961.523809524 ,Bardana= 5890 ,F.M= 9309.76 Brokerage/Rate Difference  ,Shortage = 0 ,Greenish= 4159.68 ,Moisture= 0</v>
      </c>
      <c r="BN966" s="69"/>
      <c r="BO966" s="70" t="str">
        <f t="shared" si="618"/>
        <v xml:space="preserve"> Party Condition 42  ,F.M% 0.47 ,Greenish 5.6 ,Moisture 5.3 ,Shortage in KG= 0  ,Oil% 39.52</v>
      </c>
      <c r="BP966" s="71">
        <f t="shared" si="619"/>
        <v>7443.4182251431648</v>
      </c>
      <c r="BQ966" s="55"/>
      <c r="BR966" s="55"/>
      <c r="BS966" s="41"/>
      <c r="BT966" s="41"/>
      <c r="BU966" s="41"/>
      <c r="BV966" s="41"/>
      <c r="BW966" s="85"/>
      <c r="BX966" s="27">
        <v>39.72</v>
      </c>
      <c r="BY966" s="27">
        <v>39.520000000000003</v>
      </c>
    </row>
    <row r="967" spans="1:82" ht="14.1" hidden="1" customHeight="1" x14ac:dyDescent="0.3">
      <c r="A967" s="128" t="s">
        <v>2026</v>
      </c>
      <c r="B967" s="146">
        <v>46184</v>
      </c>
      <c r="C967" s="138">
        <v>937</v>
      </c>
      <c r="D967" s="348" t="s">
        <v>2037</v>
      </c>
      <c r="E967" s="129">
        <v>46186</v>
      </c>
      <c r="F967" s="128" t="s">
        <v>1512</v>
      </c>
      <c r="G967" s="128" t="s">
        <v>1513</v>
      </c>
      <c r="H967" s="128" t="s">
        <v>1514</v>
      </c>
      <c r="I967" s="136"/>
      <c r="J967" s="347" t="s">
        <v>1455</v>
      </c>
      <c r="K967" s="136"/>
      <c r="L967" s="146">
        <v>46184</v>
      </c>
      <c r="M967" s="136"/>
      <c r="N967" s="281">
        <v>33</v>
      </c>
      <c r="O967" s="130">
        <v>46185</v>
      </c>
      <c r="P967" s="138">
        <v>0</v>
      </c>
      <c r="Q967" s="138">
        <v>400</v>
      </c>
      <c r="R967" s="138">
        <v>181</v>
      </c>
      <c r="S967" s="138">
        <v>581</v>
      </c>
      <c r="T967" s="138">
        <v>581</v>
      </c>
      <c r="U967" s="136"/>
      <c r="V967" s="136"/>
      <c r="W967" s="148">
        <v>349.9</v>
      </c>
      <c r="X967" s="148">
        <v>349.8</v>
      </c>
      <c r="Y967" s="147">
        <f>2801474.35-2274.35</f>
        <v>2799200</v>
      </c>
      <c r="Z967" s="165"/>
      <c r="AA967" s="147">
        <v>70036.86</v>
      </c>
      <c r="AB967" s="147">
        <v>70036.86</v>
      </c>
      <c r="AC967" s="147">
        <v>2941548.07</v>
      </c>
      <c r="AD967" s="315">
        <f t="shared" si="603"/>
        <v>2938606.5219299998</v>
      </c>
      <c r="AE967" s="147">
        <v>39.700000000000003</v>
      </c>
      <c r="AF967" s="147">
        <v>42</v>
      </c>
      <c r="AG967" s="147">
        <v>39.64</v>
      </c>
      <c r="AH967" s="287">
        <v>4.0000000000000001E-3</v>
      </c>
      <c r="AI967" s="287">
        <v>4.9000000000000002E-2</v>
      </c>
      <c r="AJ967" s="287">
        <v>4.7E-2</v>
      </c>
      <c r="AK967" s="318">
        <f t="shared" si="604"/>
        <v>157288.38095238092</v>
      </c>
      <c r="AL967" s="193">
        <f>400*10+181*15</f>
        <v>6715</v>
      </c>
      <c r="AM967" s="319">
        <f t="shared" si="620"/>
        <v>11196.800000000001</v>
      </c>
      <c r="AN967" s="319">
        <v>2274.35</v>
      </c>
      <c r="AO967" s="320">
        <f t="shared" si="605"/>
        <v>800</v>
      </c>
      <c r="AP967" s="193"/>
      <c r="AQ967" s="318">
        <v>0</v>
      </c>
      <c r="AR967" s="318">
        <f t="shared" si="606"/>
        <v>178274.53095238091</v>
      </c>
      <c r="AS967" s="318">
        <f t="shared" si="607"/>
        <v>187188</v>
      </c>
      <c r="AT967" s="321">
        <v>10</v>
      </c>
      <c r="AU967" s="157" t="s">
        <v>1535</v>
      </c>
      <c r="AV967" s="157"/>
      <c r="AW967" s="318">
        <f t="shared" si="608"/>
        <v>34990</v>
      </c>
      <c r="AX967" s="193"/>
      <c r="AY967" s="318">
        <f t="shared" si="609"/>
        <v>34990</v>
      </c>
      <c r="AZ967" s="318">
        <f t="shared" si="610"/>
        <v>34980</v>
      </c>
      <c r="BA967" s="318">
        <f t="shared" si="611"/>
        <v>10</v>
      </c>
      <c r="BB967" s="318">
        <f t="shared" si="612"/>
        <v>69.98</v>
      </c>
      <c r="BC967" s="318">
        <v>0</v>
      </c>
      <c r="BD967" s="193"/>
      <c r="BE967" s="147">
        <v>349.9</v>
      </c>
      <c r="BF967" s="321">
        <f t="shared" si="613"/>
        <v>0.52484999999999993</v>
      </c>
      <c r="BG967" s="197">
        <f t="shared" si="595"/>
        <v>349.37514999999996</v>
      </c>
      <c r="BH967" s="321">
        <f t="shared" si="614"/>
        <v>349.8</v>
      </c>
      <c r="BI967" s="322">
        <f t="shared" si="615"/>
        <v>9.9999999999965894</v>
      </c>
      <c r="BJ967" s="322">
        <v>0</v>
      </c>
      <c r="BK967" s="318">
        <f t="shared" si="616"/>
        <v>9.9999999999965894</v>
      </c>
      <c r="BL967" s="67"/>
      <c r="BM967" s="68" t="str">
        <f t="shared" si="617"/>
        <v>Unloading no. 937 Bill No 33 ,Deduction For Oil Deduction= 157288.380952381 ,Bardana= 6715 ,F.M= 11196.8 Brokerage/Rate Difference 2274.35 ,Shortage = 800 ,Greenish=  ,Moisture= 0</v>
      </c>
      <c r="BN967" s="69"/>
      <c r="BO967" s="70" t="str">
        <f t="shared" si="618"/>
        <v xml:space="preserve"> Party Condition 42  ,F.M% 0.4 ,Greenish 4.9 ,Moisture 4.7 ,Shortage in KG= 10  ,Oil% 39.64</v>
      </c>
      <c r="BP967" s="71">
        <f t="shared" si="619"/>
        <v>7492.6399915598022</v>
      </c>
      <c r="BQ967" s="55"/>
      <c r="BR967" s="55"/>
      <c r="BS967" s="41"/>
      <c r="BT967" s="41"/>
      <c r="BU967" s="41"/>
      <c r="BV967" s="41"/>
      <c r="BW967" s="85"/>
      <c r="BX967" s="27">
        <v>39.700000000000003</v>
      </c>
      <c r="BY967" s="27">
        <v>39.64</v>
      </c>
    </row>
    <row r="968" spans="1:82" ht="14.1" hidden="1" customHeight="1" x14ac:dyDescent="0.3">
      <c r="A968" s="128" t="s">
        <v>2024</v>
      </c>
      <c r="B968" s="146">
        <v>46185</v>
      </c>
      <c r="C968" s="138">
        <v>938</v>
      </c>
      <c r="D968" s="348" t="s">
        <v>2038</v>
      </c>
      <c r="E968" s="129">
        <v>46187</v>
      </c>
      <c r="F968" s="128" t="s">
        <v>1805</v>
      </c>
      <c r="G968" s="128" t="s">
        <v>1806</v>
      </c>
      <c r="H968" s="128" t="s">
        <v>1511</v>
      </c>
      <c r="I968" s="136"/>
      <c r="J968" s="347" t="s">
        <v>1455</v>
      </c>
      <c r="K968" s="136"/>
      <c r="L968" s="146">
        <v>46185</v>
      </c>
      <c r="M968" s="136"/>
      <c r="N968" s="281" t="s">
        <v>2051</v>
      </c>
      <c r="O968" s="129">
        <v>46186</v>
      </c>
      <c r="P968" s="138">
        <v>0</v>
      </c>
      <c r="Q968" s="138">
        <v>388</v>
      </c>
      <c r="R968" s="138">
        <v>186</v>
      </c>
      <c r="S968" s="138">
        <v>574</v>
      </c>
      <c r="T968" s="138">
        <v>574</v>
      </c>
      <c r="U968" s="136"/>
      <c r="V968" s="136"/>
      <c r="W968" s="148">
        <v>347.15</v>
      </c>
      <c r="X968" s="148">
        <v>347.2</v>
      </c>
      <c r="Y968" s="147">
        <v>2759842.5</v>
      </c>
      <c r="Z968" s="165"/>
      <c r="AA968" s="147">
        <v>68996.06</v>
      </c>
      <c r="AB968" s="147">
        <v>68996.06</v>
      </c>
      <c r="AC968" s="147">
        <v>2897834.63</v>
      </c>
      <c r="AD968" s="315">
        <f t="shared" si="603"/>
        <v>2894936.7953699999</v>
      </c>
      <c r="AE968" s="147">
        <v>39.049999999999997</v>
      </c>
      <c r="AF968" s="147">
        <v>42</v>
      </c>
      <c r="AG968" s="147">
        <v>38.89</v>
      </c>
      <c r="AH968" s="287">
        <v>4.0000000000000001E-3</v>
      </c>
      <c r="AI968" s="287">
        <v>4.1000000000000002E-2</v>
      </c>
      <c r="AJ968" s="287">
        <v>4.9000000000000002E-2</v>
      </c>
      <c r="AK968" s="318">
        <f t="shared" si="604"/>
        <v>204359.76607142852</v>
      </c>
      <c r="AL968" s="193">
        <f>388*10+186*15</f>
        <v>6670</v>
      </c>
      <c r="AM968" s="319">
        <f t="shared" si="620"/>
        <v>11039.37</v>
      </c>
      <c r="AN968" s="319"/>
      <c r="AO968" s="320">
        <f t="shared" si="605"/>
        <v>0</v>
      </c>
      <c r="AP968" s="193"/>
      <c r="AQ968" s="318">
        <v>0</v>
      </c>
      <c r="AR968" s="318">
        <f t="shared" si="606"/>
        <v>222069.13607142851</v>
      </c>
      <c r="AS968" s="318">
        <f t="shared" si="607"/>
        <v>233173</v>
      </c>
      <c r="AT968" s="321">
        <v>0</v>
      </c>
      <c r="AU968" s="157"/>
      <c r="AV968" s="157"/>
      <c r="AW968" s="318">
        <f t="shared" si="608"/>
        <v>34715</v>
      </c>
      <c r="AX968" s="193"/>
      <c r="AY968" s="318">
        <f t="shared" si="609"/>
        <v>34715</v>
      </c>
      <c r="AZ968" s="318">
        <f t="shared" si="610"/>
        <v>34720</v>
      </c>
      <c r="BA968" s="318">
        <f t="shared" si="611"/>
        <v>-5</v>
      </c>
      <c r="BB968" s="318">
        <f t="shared" si="612"/>
        <v>69.430000000000007</v>
      </c>
      <c r="BC968" s="318">
        <v>0</v>
      </c>
      <c r="BD968" s="193"/>
      <c r="BE968" s="147">
        <v>347.15</v>
      </c>
      <c r="BF968" s="321">
        <f t="shared" si="613"/>
        <v>0.52072499999999999</v>
      </c>
      <c r="BG968" s="197">
        <f t="shared" si="595"/>
        <v>346.62927499999995</v>
      </c>
      <c r="BH968" s="321">
        <f t="shared" si="614"/>
        <v>347.2</v>
      </c>
      <c r="BI968" s="322">
        <f t="shared" si="615"/>
        <v>-5.0000000000011369</v>
      </c>
      <c r="BJ968" s="322">
        <v>0</v>
      </c>
      <c r="BK968" s="318">
        <f t="shared" si="616"/>
        <v>-5.0000000000011369</v>
      </c>
      <c r="BL968" s="67"/>
      <c r="BM968" s="68" t="str">
        <f t="shared" si="617"/>
        <v>Unloading no. 938 Bill No 8/2026-27 ,Deduction For Oil Deduction= 204359.766071429 ,Bardana= 6670 ,F.M= 11039.37 Brokerage/Rate Difference  ,Shortage = 0 ,Greenish=  ,Moisture= 0</v>
      </c>
      <c r="BN968" s="69"/>
      <c r="BO968" s="70" t="str">
        <f t="shared" si="618"/>
        <v xml:space="preserve"> Party Condition 42  ,F.M% 0.4 ,Greenish 4.1 ,Moisture 4.9 ,Shortage in KG= 0  ,Oil% 38.89</v>
      </c>
      <c r="BP968" s="71">
        <f t="shared" si="619"/>
        <v>7309.2550804394341</v>
      </c>
      <c r="BQ968" s="55"/>
      <c r="BR968" s="55"/>
      <c r="BS968" s="41"/>
      <c r="BT968" s="41"/>
      <c r="BU968" s="41"/>
      <c r="BV968" s="41"/>
      <c r="BW968" s="85"/>
      <c r="BX968" s="30">
        <v>39.049999999999997</v>
      </c>
      <c r="BY968" s="30">
        <v>38.89</v>
      </c>
    </row>
    <row r="969" spans="1:82" ht="14.1" hidden="1" customHeight="1" x14ac:dyDescent="0.3">
      <c r="A969" s="128" t="s">
        <v>2021</v>
      </c>
      <c r="B969" s="146">
        <v>46184</v>
      </c>
      <c r="C969" s="138">
        <v>939</v>
      </c>
      <c r="D969" s="348" t="s">
        <v>2039</v>
      </c>
      <c r="E969" s="129">
        <v>46187</v>
      </c>
      <c r="F969" s="128" t="s">
        <v>1450</v>
      </c>
      <c r="G969" s="128" t="s">
        <v>1451</v>
      </c>
      <c r="H969" s="128" t="s">
        <v>199</v>
      </c>
      <c r="I969" s="136"/>
      <c r="J969" s="347" t="s">
        <v>1455</v>
      </c>
      <c r="K969" s="136"/>
      <c r="L969" s="146">
        <v>46184</v>
      </c>
      <c r="M969" s="136"/>
      <c r="N969" s="281" t="s">
        <v>2052</v>
      </c>
      <c r="O969" s="129">
        <v>46186</v>
      </c>
      <c r="P969" s="138">
        <v>0</v>
      </c>
      <c r="Q969" s="138">
        <v>195</v>
      </c>
      <c r="R969" s="138">
        <v>80</v>
      </c>
      <c r="S969" s="138">
        <v>275</v>
      </c>
      <c r="T969" s="138">
        <v>275</v>
      </c>
      <c r="U969" s="136"/>
      <c r="V969" s="136"/>
      <c r="W969" s="148">
        <v>166.8</v>
      </c>
      <c r="X969" s="148">
        <v>166.2</v>
      </c>
      <c r="Y969" s="147">
        <f>1335500.88-1100.88</f>
        <v>1334400</v>
      </c>
      <c r="Z969" s="165"/>
      <c r="AA969" s="147">
        <v>33387.519999999997</v>
      </c>
      <c r="AB969" s="147">
        <v>33387.519999999997</v>
      </c>
      <c r="AC969" s="147">
        <v>1402275.92</v>
      </c>
      <c r="AD969" s="315">
        <f t="shared" si="603"/>
        <v>1400873.64408</v>
      </c>
      <c r="AE969" s="147">
        <v>39.130000000000003</v>
      </c>
      <c r="AF969" s="147">
        <v>42</v>
      </c>
      <c r="AG969" s="147">
        <v>39.14</v>
      </c>
      <c r="AH969" s="403">
        <v>4.0000000000000001E-3</v>
      </c>
      <c r="AI969" s="287">
        <v>3.49E-2</v>
      </c>
      <c r="AJ969" s="287">
        <v>5.2999999999999999E-2</v>
      </c>
      <c r="AK969" s="318">
        <f t="shared" si="604"/>
        <v>91183.999999999927</v>
      </c>
      <c r="AL969" s="193">
        <f>195*10+80*15</f>
        <v>3150</v>
      </c>
      <c r="AM969" s="319">
        <f t="shared" si="620"/>
        <v>5337.6</v>
      </c>
      <c r="AN969" s="319">
        <v>1100.8800000000001</v>
      </c>
      <c r="AO969" s="320">
        <f t="shared" si="605"/>
        <v>4800</v>
      </c>
      <c r="AP969" s="193"/>
      <c r="AQ969" s="318">
        <v>0</v>
      </c>
      <c r="AR969" s="318">
        <f t="shared" si="606"/>
        <v>105572.47999999994</v>
      </c>
      <c r="AS969" s="318">
        <f t="shared" si="607"/>
        <v>110851</v>
      </c>
      <c r="AT969" s="321">
        <v>60</v>
      </c>
      <c r="AU969" s="157" t="s">
        <v>1535</v>
      </c>
      <c r="AV969" s="157"/>
      <c r="AW969" s="318">
        <f t="shared" si="608"/>
        <v>16680</v>
      </c>
      <c r="AX969" s="193"/>
      <c r="AY969" s="318">
        <f t="shared" si="609"/>
        <v>16680</v>
      </c>
      <c r="AZ969" s="318">
        <f t="shared" si="610"/>
        <v>16620</v>
      </c>
      <c r="BA969" s="318">
        <f t="shared" si="611"/>
        <v>60</v>
      </c>
      <c r="BB969" s="318">
        <f t="shared" si="612"/>
        <v>33.36</v>
      </c>
      <c r="BC969" s="318">
        <v>0</v>
      </c>
      <c r="BD969" s="193"/>
      <c r="BE969" s="147">
        <v>166.8</v>
      </c>
      <c r="BF969" s="321">
        <f t="shared" si="613"/>
        <v>0.25019999999999998</v>
      </c>
      <c r="BG969" s="197">
        <f t="shared" si="595"/>
        <v>166.5498</v>
      </c>
      <c r="BH969" s="321">
        <f t="shared" si="614"/>
        <v>166.2</v>
      </c>
      <c r="BI969" s="322">
        <f t="shared" si="615"/>
        <v>60.000000000002274</v>
      </c>
      <c r="BJ969" s="322">
        <v>0</v>
      </c>
      <c r="BK969" s="318">
        <f t="shared" si="616"/>
        <v>60.000000000002274</v>
      </c>
      <c r="BL969" s="67"/>
      <c r="BM969" s="68" t="str">
        <f t="shared" si="617"/>
        <v>Unloading no. 939 Bill No ST-40 ,Deduction For Oil Deduction= 91183.9999999999 ,Bardana= 3150 ,F.M= 5337.6 Brokerage/Rate Difference 1100.88 ,Shortage = 4800 ,Greenish=  ,Moisture= 0</v>
      </c>
      <c r="BN969" s="69"/>
      <c r="BO969" s="70" t="str">
        <f t="shared" si="618"/>
        <v xml:space="preserve"> Party Condition 42  ,F.M% 0.4 ,Greenish 3.49 ,Moisture 5.3 ,Shortage in KG= 60  ,Oil% 39.13</v>
      </c>
      <c r="BP969" s="71">
        <f t="shared" si="619"/>
        <v>7393.6673886883282</v>
      </c>
      <c r="BQ969" s="55"/>
      <c r="BR969" s="55"/>
      <c r="BS969" s="41"/>
      <c r="BT969" s="41"/>
      <c r="BU969" s="41"/>
      <c r="BV969" s="41"/>
      <c r="BW969" s="85"/>
      <c r="BX969" s="30">
        <v>39.130000000000003</v>
      </c>
      <c r="BY969" s="30">
        <v>39.14</v>
      </c>
    </row>
    <row r="970" spans="1:82" ht="14.1" hidden="1" customHeight="1" x14ac:dyDescent="0.3">
      <c r="A970" s="128" t="s">
        <v>2027</v>
      </c>
      <c r="B970" s="146">
        <v>46185</v>
      </c>
      <c r="C970" s="138">
        <v>940</v>
      </c>
      <c r="D970" s="348" t="s">
        <v>2040</v>
      </c>
      <c r="E970" s="129">
        <v>46187</v>
      </c>
      <c r="F970" s="128" t="s">
        <v>1450</v>
      </c>
      <c r="G970" s="128" t="s">
        <v>1451</v>
      </c>
      <c r="H970" s="128" t="s">
        <v>199</v>
      </c>
      <c r="I970" s="136"/>
      <c r="J970" s="347" t="s">
        <v>1455</v>
      </c>
      <c r="K970" s="136"/>
      <c r="L970" s="146">
        <v>46185</v>
      </c>
      <c r="M970" s="136"/>
      <c r="N970" s="281" t="s">
        <v>2053</v>
      </c>
      <c r="O970" s="129">
        <v>46187</v>
      </c>
      <c r="P970" s="138">
        <v>0</v>
      </c>
      <c r="Q970" s="138">
        <v>243</v>
      </c>
      <c r="R970" s="138">
        <v>12</v>
      </c>
      <c r="S970" s="138">
        <v>255</v>
      </c>
      <c r="T970" s="138">
        <v>255</v>
      </c>
      <c r="U970" s="136"/>
      <c r="V970" s="136"/>
      <c r="W970" s="148">
        <v>155.4</v>
      </c>
      <c r="X970" s="148">
        <v>154.80000000000001</v>
      </c>
      <c r="Y970" s="147">
        <f>1228685.64-1025.64</f>
        <v>1227660</v>
      </c>
      <c r="Z970" s="165"/>
      <c r="AA970" s="147">
        <v>30717.14</v>
      </c>
      <c r="AB970" s="147">
        <v>30717.14</v>
      </c>
      <c r="AC970" s="147">
        <v>1290119.92</v>
      </c>
      <c r="AD970" s="315">
        <f t="shared" si="603"/>
        <v>1288829.80008</v>
      </c>
      <c r="AE970" s="147">
        <v>40.15</v>
      </c>
      <c r="AF970" s="147">
        <v>42</v>
      </c>
      <c r="AG970" s="147">
        <v>40.21</v>
      </c>
      <c r="AH970" s="403">
        <v>3.8999999999999998E-3</v>
      </c>
      <c r="AI970" s="287">
        <v>3.6999999999999998E-2</v>
      </c>
      <c r="AJ970" s="287">
        <v>5.0999999999999997E-2</v>
      </c>
      <c r="AK970" s="318">
        <f t="shared" si="604"/>
        <v>54075.500000000036</v>
      </c>
      <c r="AL970" s="193">
        <f>243*10+12*15</f>
        <v>2610</v>
      </c>
      <c r="AM970" s="319">
        <f t="shared" si="620"/>
        <v>4787.8739999999998</v>
      </c>
      <c r="AN970" s="319">
        <v>1025.6400000000001</v>
      </c>
      <c r="AO970" s="320">
        <f t="shared" si="605"/>
        <v>4740</v>
      </c>
      <c r="AP970" s="193"/>
      <c r="AQ970" s="318">
        <v>0</v>
      </c>
      <c r="AR970" s="318">
        <f t="shared" si="606"/>
        <v>67239.014000000039</v>
      </c>
      <c r="AS970" s="318">
        <f t="shared" si="607"/>
        <v>70601</v>
      </c>
      <c r="AT970" s="321">
        <v>60</v>
      </c>
      <c r="AU970" s="157" t="s">
        <v>1535</v>
      </c>
      <c r="AV970" s="157"/>
      <c r="AW970" s="318">
        <f t="shared" si="608"/>
        <v>15540</v>
      </c>
      <c r="AX970" s="193"/>
      <c r="AY970" s="318">
        <f t="shared" si="609"/>
        <v>15540</v>
      </c>
      <c r="AZ970" s="318">
        <f t="shared" si="610"/>
        <v>15480.000000000002</v>
      </c>
      <c r="BA970" s="318">
        <f t="shared" si="611"/>
        <v>59.999999999998181</v>
      </c>
      <c r="BB970" s="318">
        <f t="shared" si="612"/>
        <v>31.08</v>
      </c>
      <c r="BC970" s="318">
        <v>0</v>
      </c>
      <c r="BD970" s="193"/>
      <c r="BE970" s="147">
        <v>155.4</v>
      </c>
      <c r="BF970" s="321">
        <f t="shared" si="613"/>
        <v>0.23309999999999997</v>
      </c>
      <c r="BG970" s="197">
        <f t="shared" si="595"/>
        <v>155.1669</v>
      </c>
      <c r="BH970" s="321">
        <f t="shared" si="614"/>
        <v>154.80000000000001</v>
      </c>
      <c r="BI970" s="322">
        <f t="shared" si="615"/>
        <v>59.999999999999432</v>
      </c>
      <c r="BJ970" s="322">
        <v>0</v>
      </c>
      <c r="BK970" s="318">
        <f t="shared" si="616"/>
        <v>59.999999999999432</v>
      </c>
      <c r="BL970" s="67"/>
      <c r="BM970" s="68" t="str">
        <f t="shared" si="617"/>
        <v>Unloading no. 940 Bill No ST-41 ,Deduction For Oil Deduction= 54075.5 ,Bardana= 2610 ,F.M= 4787.874 Brokerage/Rate Difference 1025.64 ,Shortage = 4740 ,Greenish=  ,Moisture= 0</v>
      </c>
      <c r="BN970" s="69"/>
      <c r="BO970" s="70" t="str">
        <f t="shared" si="618"/>
        <v xml:space="preserve"> Party Condition 42  ,F.M% 0.39 ,Greenish 3.7 ,Moisture 5.1 ,Shortage in KG= 60  ,Oil% 40.15</v>
      </c>
      <c r="BP970" s="71">
        <f t="shared" si="619"/>
        <v>7496.2595994832036</v>
      </c>
      <c r="BQ970" s="55"/>
      <c r="BR970" s="55"/>
      <c r="BS970" s="41"/>
      <c r="BT970" s="41"/>
      <c r="BU970" s="41"/>
      <c r="BV970" s="41"/>
      <c r="BW970" s="85"/>
      <c r="BX970" s="30">
        <v>40.15</v>
      </c>
      <c r="BY970" s="30">
        <v>40.21</v>
      </c>
    </row>
    <row r="971" spans="1:82" ht="14.1" hidden="1" customHeight="1" x14ac:dyDescent="0.3">
      <c r="A971" s="128" t="s">
        <v>2028</v>
      </c>
      <c r="B971" s="146">
        <v>46184</v>
      </c>
      <c r="C971" s="138">
        <v>941</v>
      </c>
      <c r="D971" s="348" t="s">
        <v>2041</v>
      </c>
      <c r="E971" s="129">
        <v>46188</v>
      </c>
      <c r="F971" s="128" t="s">
        <v>1080</v>
      </c>
      <c r="G971" s="128" t="s">
        <v>1081</v>
      </c>
      <c r="H971" s="128" t="s">
        <v>1082</v>
      </c>
      <c r="I971" s="136"/>
      <c r="J971" s="347" t="s">
        <v>1455</v>
      </c>
      <c r="K971" s="136"/>
      <c r="L971" s="146">
        <v>46184</v>
      </c>
      <c r="M971" s="136"/>
      <c r="N971" s="281">
        <v>135</v>
      </c>
      <c r="O971" s="146">
        <v>46186</v>
      </c>
      <c r="P971" s="138">
        <v>0</v>
      </c>
      <c r="Q971" s="138">
        <v>901</v>
      </c>
      <c r="R971" s="138">
        <v>0</v>
      </c>
      <c r="S971" s="138">
        <v>901</v>
      </c>
      <c r="T971" s="138">
        <v>901</v>
      </c>
      <c r="U971" s="136"/>
      <c r="V971" s="136"/>
      <c r="W971" s="147">
        <v>448.5</v>
      </c>
      <c r="X971" s="147">
        <v>448.3</v>
      </c>
      <c r="Y971" s="147">
        <v>3588000</v>
      </c>
      <c r="Z971" s="165"/>
      <c r="AA971" s="147">
        <v>89700</v>
      </c>
      <c r="AB971" s="147">
        <v>89700</v>
      </c>
      <c r="AC971" s="147">
        <v>3767400</v>
      </c>
      <c r="AD971" s="315">
        <f t="shared" si="603"/>
        <v>3763632.6</v>
      </c>
      <c r="AE971" s="147">
        <v>39.24</v>
      </c>
      <c r="AF971" s="147">
        <v>42</v>
      </c>
      <c r="AG971" s="147">
        <v>39.07</v>
      </c>
      <c r="AH971" s="403">
        <v>4.4000000000000003E-3</v>
      </c>
      <c r="AI971" s="287">
        <v>3.7999999999999999E-2</v>
      </c>
      <c r="AJ971" s="287">
        <v>5.0999999999999997E-2</v>
      </c>
      <c r="AK971" s="318">
        <f t="shared" si="604"/>
        <v>250305.71428571429</v>
      </c>
      <c r="AL971" s="193">
        <f>901*10</f>
        <v>9010</v>
      </c>
      <c r="AM971" s="319">
        <f t="shared" si="620"/>
        <v>15787.2</v>
      </c>
      <c r="AN971" s="393">
        <f>W971*14</f>
        <v>6279</v>
      </c>
      <c r="AO971" s="320">
        <f t="shared" si="605"/>
        <v>1600</v>
      </c>
      <c r="AP971" s="193"/>
      <c r="AQ971" s="318">
        <v>0</v>
      </c>
      <c r="AR971" s="318">
        <f t="shared" si="606"/>
        <v>282981.91428571427</v>
      </c>
      <c r="AS971" s="318">
        <f t="shared" si="607"/>
        <v>297131</v>
      </c>
      <c r="AT971" s="321">
        <v>20</v>
      </c>
      <c r="AU971" s="157" t="s">
        <v>2056</v>
      </c>
      <c r="AV971" s="157"/>
      <c r="AW971" s="318">
        <f t="shared" si="608"/>
        <v>44850</v>
      </c>
      <c r="AX971" s="193"/>
      <c r="AY971" s="318">
        <f t="shared" si="609"/>
        <v>44850</v>
      </c>
      <c r="AZ971" s="318">
        <f t="shared" si="610"/>
        <v>44830</v>
      </c>
      <c r="BA971" s="318">
        <f t="shared" si="611"/>
        <v>20</v>
      </c>
      <c r="BB971" s="318">
        <f t="shared" si="612"/>
        <v>89.7</v>
      </c>
      <c r="BC971" s="318">
        <v>0</v>
      </c>
      <c r="BD971" s="193"/>
      <c r="BE971" s="147">
        <v>448.5</v>
      </c>
      <c r="BF971" s="321">
        <f t="shared" si="613"/>
        <v>0.67274999999999996</v>
      </c>
      <c r="BG971" s="197">
        <f t="shared" si="595"/>
        <v>447.82724999999999</v>
      </c>
      <c r="BH971" s="321">
        <f t="shared" si="614"/>
        <v>448.3</v>
      </c>
      <c r="BI971" s="322">
        <f t="shared" si="615"/>
        <v>19.999999999998863</v>
      </c>
      <c r="BJ971" s="322">
        <v>0</v>
      </c>
      <c r="BK971" s="318">
        <f t="shared" si="616"/>
        <v>19.999999999998863</v>
      </c>
      <c r="BL971" s="67"/>
      <c r="BM971" s="68" t="str">
        <f t="shared" si="617"/>
        <v>Unloading no. 941 Bill No 135 ,Deduction For Oil Deduction= 250305.714285714 ,Bardana= 9010 ,F.M= 15787.2 Brokerage/Rate Difference 6279 ,Shortage = 1600 ,Greenish=  ,Moisture= 0</v>
      </c>
      <c r="BN971" s="69"/>
      <c r="BO971" s="70" t="str">
        <f t="shared" si="618"/>
        <v xml:space="preserve"> Party Condition 42  ,F.M% 0.44 ,Greenish 3.8 ,Moisture 5.1 ,Shortage in KG= 20  ,Oil% 39.07</v>
      </c>
      <c r="BP971" s="71">
        <f t="shared" si="619"/>
        <v>7372.3356808259778</v>
      </c>
      <c r="BQ971" s="55"/>
      <c r="BR971" s="55"/>
      <c r="BS971" s="41"/>
      <c r="BT971" s="41"/>
      <c r="BU971" s="41"/>
      <c r="BV971" s="41"/>
      <c r="BW971" s="85"/>
      <c r="BX971" s="30">
        <v>39.24</v>
      </c>
      <c r="BY971" s="30">
        <v>39.07</v>
      </c>
    </row>
    <row r="972" spans="1:82" ht="14.1" hidden="1" customHeight="1" x14ac:dyDescent="0.3">
      <c r="A972" s="128" t="s">
        <v>2029</v>
      </c>
      <c r="B972" s="146">
        <v>46185</v>
      </c>
      <c r="C972" s="138">
        <v>942</v>
      </c>
      <c r="D972" s="348" t="s">
        <v>2042</v>
      </c>
      <c r="E972" s="129">
        <v>46188</v>
      </c>
      <c r="F972" s="281" t="s">
        <v>1142</v>
      </c>
      <c r="G972" s="128" t="s">
        <v>1143</v>
      </c>
      <c r="H972" s="128" t="s">
        <v>100</v>
      </c>
      <c r="I972" s="136"/>
      <c r="J972" s="347" t="s">
        <v>1455</v>
      </c>
      <c r="K972" s="136"/>
      <c r="L972" s="146">
        <v>46185</v>
      </c>
      <c r="M972" s="136"/>
      <c r="N972" s="281" t="s">
        <v>2054</v>
      </c>
      <c r="O972" s="146">
        <v>46188</v>
      </c>
      <c r="P972" s="138">
        <v>0</v>
      </c>
      <c r="Q972" s="138">
        <v>463</v>
      </c>
      <c r="R972" s="138">
        <v>150</v>
      </c>
      <c r="S972" s="138">
        <v>613</v>
      </c>
      <c r="T972" s="138">
        <v>613</v>
      </c>
      <c r="U972" s="136"/>
      <c r="V972" s="136"/>
      <c r="W972" s="147">
        <v>312</v>
      </c>
      <c r="X972" s="147">
        <v>312.5</v>
      </c>
      <c r="Y972" s="147">
        <v>2480400</v>
      </c>
      <c r="Z972" s="165"/>
      <c r="AA972" s="147">
        <v>62010</v>
      </c>
      <c r="AB972" s="147">
        <v>62010</v>
      </c>
      <c r="AC972" s="147">
        <v>2604420</v>
      </c>
      <c r="AD972" s="315">
        <f t="shared" si="603"/>
        <v>2601815.58</v>
      </c>
      <c r="AE972" s="147">
        <v>39.6</v>
      </c>
      <c r="AF972" s="147">
        <v>42</v>
      </c>
      <c r="AG972" s="147">
        <v>39.619999999999997</v>
      </c>
      <c r="AH972" s="403">
        <v>4.1999999999999997E-3</v>
      </c>
      <c r="AI972" s="407">
        <v>5.5300000000000002E-2</v>
      </c>
      <c r="AJ972" s="287">
        <v>4.9000000000000002E-2</v>
      </c>
      <c r="AK972" s="318">
        <f t="shared" si="604"/>
        <v>141737.14285714275</v>
      </c>
      <c r="AL972" s="193">
        <f>463*10+150*15</f>
        <v>6880</v>
      </c>
      <c r="AM972" s="319">
        <f t="shared" si="620"/>
        <v>10417.679999999998</v>
      </c>
      <c r="AN972" s="319"/>
      <c r="AO972" s="320">
        <f t="shared" si="605"/>
        <v>0</v>
      </c>
      <c r="AP972" s="405">
        <f>W972*14.75</f>
        <v>4602</v>
      </c>
      <c r="AQ972" s="318">
        <v>0</v>
      </c>
      <c r="AR972" s="318">
        <f t="shared" si="606"/>
        <v>163636.82285714275</v>
      </c>
      <c r="AS972" s="318">
        <f t="shared" si="607"/>
        <v>171819</v>
      </c>
      <c r="AT972" s="321">
        <v>0</v>
      </c>
      <c r="AU972" s="157" t="s">
        <v>2057</v>
      </c>
      <c r="AV972" s="157"/>
      <c r="AW972" s="318">
        <f t="shared" si="608"/>
        <v>31200</v>
      </c>
      <c r="AX972" s="193"/>
      <c r="AY972" s="318">
        <f t="shared" si="609"/>
        <v>31200</v>
      </c>
      <c r="AZ972" s="318">
        <f t="shared" si="610"/>
        <v>31250</v>
      </c>
      <c r="BA972" s="318">
        <f t="shared" si="611"/>
        <v>-50</v>
      </c>
      <c r="BB972" s="318">
        <f t="shared" si="612"/>
        <v>62.4</v>
      </c>
      <c r="BC972" s="318">
        <v>0</v>
      </c>
      <c r="BD972" s="193"/>
      <c r="BE972" s="147">
        <v>312</v>
      </c>
      <c r="BF972" s="321">
        <f t="shared" si="613"/>
        <v>0.46799999999999997</v>
      </c>
      <c r="BG972" s="197">
        <f t="shared" si="595"/>
        <v>311.53199999999998</v>
      </c>
      <c r="BH972" s="321">
        <f t="shared" si="614"/>
        <v>312.5</v>
      </c>
      <c r="BI972" s="322">
        <f t="shared" si="615"/>
        <v>-50</v>
      </c>
      <c r="BJ972" s="322">
        <v>0</v>
      </c>
      <c r="BK972" s="318">
        <f t="shared" si="616"/>
        <v>-50</v>
      </c>
      <c r="BL972" s="67"/>
      <c r="BM972" s="68" t="str">
        <f t="shared" si="617"/>
        <v>Unloading no. 942 Bill No 2026-27-6945 ,Deduction For Oil Deduction= 141737.142857143 ,Bardana= 6880 ,F.M= 10417.68 Brokerage/Rate Difference  ,Shortage = 0 ,Greenish= 4602 ,Moisture= 0</v>
      </c>
      <c r="BN972" s="69"/>
      <c r="BO972" s="70" t="str">
        <f t="shared" si="618"/>
        <v xml:space="preserve"> Party Condition 42  ,F.M% 0.42 ,Greenish 5.53 ,Moisture 4.9 ,Shortage in KG= 0  ,Oil% 39.6</v>
      </c>
      <c r="BP972" s="71">
        <f t="shared" si="619"/>
        <v>7413.6421668571429</v>
      </c>
      <c r="BQ972" s="55"/>
      <c r="BR972" s="55"/>
      <c r="BS972" s="41"/>
      <c r="BT972" s="41"/>
      <c r="BU972" s="41"/>
      <c r="BV972" s="41"/>
      <c r="BW972" s="85"/>
      <c r="BX972" s="27">
        <v>39.6</v>
      </c>
      <c r="BY972" s="27">
        <v>39.619999999999997</v>
      </c>
    </row>
    <row r="973" spans="1:82" ht="14.1" hidden="1" customHeight="1" x14ac:dyDescent="0.3">
      <c r="A973" s="128" t="s">
        <v>2058</v>
      </c>
      <c r="B973" s="146">
        <v>46188</v>
      </c>
      <c r="C973" s="138">
        <v>943</v>
      </c>
      <c r="D973" s="135" t="s">
        <v>2059</v>
      </c>
      <c r="E973" s="129">
        <v>46190</v>
      </c>
      <c r="F973" s="128" t="s">
        <v>1083</v>
      </c>
      <c r="G973" s="128" t="s">
        <v>1084</v>
      </c>
      <c r="H973" s="128" t="s">
        <v>1454</v>
      </c>
      <c r="I973" s="136"/>
      <c r="J973" s="347" t="s">
        <v>1455</v>
      </c>
      <c r="K973" s="136"/>
      <c r="L973" s="146">
        <v>46188</v>
      </c>
      <c r="M973" s="136"/>
      <c r="N973" s="281">
        <v>38</v>
      </c>
      <c r="O973" s="146">
        <v>46189</v>
      </c>
      <c r="P973" s="138">
        <v>0</v>
      </c>
      <c r="Q973" s="138">
        <v>190</v>
      </c>
      <c r="R973" s="138">
        <v>170</v>
      </c>
      <c r="S973" s="138">
        <v>15</v>
      </c>
      <c r="T973" s="138">
        <v>360</v>
      </c>
      <c r="U973" s="136"/>
      <c r="V973" s="136"/>
      <c r="W973" s="147">
        <v>249.4</v>
      </c>
      <c r="X973" s="147">
        <v>247.9</v>
      </c>
      <c r="Y973" s="147">
        <v>1970260</v>
      </c>
      <c r="Z973" s="165"/>
      <c r="AA973" s="147">
        <v>49256.5</v>
      </c>
      <c r="AB973" s="147">
        <v>49256.5</v>
      </c>
      <c r="AC973" s="147">
        <v>2068773</v>
      </c>
      <c r="AD973" s="315">
        <f t="shared" si="603"/>
        <v>2066704.227</v>
      </c>
      <c r="AE973" s="147">
        <v>38.799999999999997</v>
      </c>
      <c r="AF973" s="147">
        <v>42</v>
      </c>
      <c r="AG973" s="147">
        <v>38.96</v>
      </c>
      <c r="AH973" s="392">
        <v>7.9000000000000008E-3</v>
      </c>
      <c r="AI973" s="287">
        <v>3.5499999999999997E-2</v>
      </c>
      <c r="AJ973" s="287">
        <v>5.3999999999999999E-2</v>
      </c>
      <c r="AK973" s="318">
        <f t="shared" si="604"/>
        <v>150115.04761904775</v>
      </c>
      <c r="AL973" s="193">
        <f>190*10+170*15</f>
        <v>4450</v>
      </c>
      <c r="AM973" s="319">
        <f t="shared" si="620"/>
        <v>15565.054000000002</v>
      </c>
      <c r="AN973" s="388">
        <f>X973*15</f>
        <v>3718.5</v>
      </c>
      <c r="AO973" s="320">
        <f t="shared" si="605"/>
        <v>11850</v>
      </c>
      <c r="AP973" s="408"/>
      <c r="AQ973" s="318">
        <v>0</v>
      </c>
      <c r="AR973" s="318">
        <f t="shared" si="606"/>
        <v>185698.60161904775</v>
      </c>
      <c r="AS973" s="318">
        <f t="shared" si="607"/>
        <v>194984</v>
      </c>
      <c r="AT973" s="321">
        <f>BK973</f>
        <v>150</v>
      </c>
      <c r="AU973" s="136" t="s">
        <v>2109</v>
      </c>
      <c r="AV973" s="136"/>
      <c r="AW973" s="318">
        <f t="shared" si="608"/>
        <v>24940</v>
      </c>
      <c r="AX973" s="193"/>
      <c r="AY973" s="318">
        <f t="shared" si="609"/>
        <v>24940</v>
      </c>
      <c r="AZ973" s="318">
        <f t="shared" si="610"/>
        <v>24790</v>
      </c>
      <c r="BA973" s="318">
        <f t="shared" si="611"/>
        <v>150</v>
      </c>
      <c r="BB973" s="318">
        <f t="shared" si="612"/>
        <v>49.88</v>
      </c>
      <c r="BC973" s="318">
        <v>0</v>
      </c>
      <c r="BD973" s="136"/>
      <c r="BE973" s="147">
        <v>249.4</v>
      </c>
      <c r="BF973" s="321">
        <f t="shared" si="613"/>
        <v>0.37409999999999999</v>
      </c>
      <c r="BG973" s="197">
        <f t="shared" si="595"/>
        <v>249.02590000000001</v>
      </c>
      <c r="BH973" s="321">
        <f t="shared" si="614"/>
        <v>247.9</v>
      </c>
      <c r="BI973" s="322">
        <f t="shared" si="615"/>
        <v>150</v>
      </c>
      <c r="BJ973" s="322">
        <v>0</v>
      </c>
      <c r="BK973" s="318">
        <f t="shared" si="616"/>
        <v>150</v>
      </c>
      <c r="BL973" s="80"/>
      <c r="BM973" s="68" t="str">
        <f t="shared" si="617"/>
        <v>Unloading no. 943 Bill No 38 ,Deduction For Oil Deduction= 150115.047619048 ,Bardana= 4450 ,F.M= 15565.054 Brokerage/Rate Difference 3718.5 ,Shortage = 11850 ,Greenish=  ,Moisture= 0</v>
      </c>
      <c r="BN973" s="69"/>
      <c r="BO973" s="70" t="str">
        <f t="shared" si="618"/>
        <v xml:space="preserve"> Party Condition 42  ,F.M% 0.79 ,Greenish 3.55 ,Moisture 5.4 ,Shortage in KG= 150  ,Oil% 38.8</v>
      </c>
      <c r="BP973" s="71">
        <f t="shared" si="619"/>
        <v>7198.7147978255434</v>
      </c>
      <c r="BQ973" s="55"/>
      <c r="BR973" s="55"/>
      <c r="BS973" s="41"/>
      <c r="BT973" s="41"/>
      <c r="BU973" s="41"/>
      <c r="BV973" s="41"/>
      <c r="BW973" s="85"/>
      <c r="BX973" s="27">
        <v>38.799999999999997</v>
      </c>
      <c r="BY973" s="27">
        <v>38.96</v>
      </c>
      <c r="CB973" s="56">
        <v>9427.25</v>
      </c>
      <c r="CC973" s="56">
        <f>Y973*0.79/100</f>
        <v>15565.054000000002</v>
      </c>
      <c r="CD973" s="56">
        <f>CC973-CB973</f>
        <v>6137.8040000000019</v>
      </c>
    </row>
    <row r="974" spans="1:82" ht="14.1" hidden="1" customHeight="1" x14ac:dyDescent="0.3">
      <c r="A974" s="128" t="s">
        <v>2060</v>
      </c>
      <c r="B974" s="146">
        <v>46188</v>
      </c>
      <c r="C974" s="138">
        <v>944</v>
      </c>
      <c r="D974" s="135" t="s">
        <v>2061</v>
      </c>
      <c r="E974" s="129">
        <v>46190</v>
      </c>
      <c r="F974" s="128" t="s">
        <v>1807</v>
      </c>
      <c r="G974" s="128" t="s">
        <v>1808</v>
      </c>
      <c r="H974" s="128" t="s">
        <v>100</v>
      </c>
      <c r="I974" s="136"/>
      <c r="J974" s="347" t="s">
        <v>1455</v>
      </c>
      <c r="K974" s="136"/>
      <c r="L974" s="146">
        <v>46188</v>
      </c>
      <c r="M974" s="136"/>
      <c r="N974" s="281" t="s">
        <v>1238</v>
      </c>
      <c r="O974" s="146">
        <v>46189</v>
      </c>
      <c r="P974" s="138">
        <v>0</v>
      </c>
      <c r="Q974" s="138">
        <v>485</v>
      </c>
      <c r="R974" s="138">
        <v>60</v>
      </c>
      <c r="S974" s="138">
        <v>0</v>
      </c>
      <c r="T974" s="138">
        <v>545</v>
      </c>
      <c r="U974" s="136"/>
      <c r="V974" s="136"/>
      <c r="W974" s="147">
        <v>327.2</v>
      </c>
      <c r="X974" s="147">
        <v>326.39999999999998</v>
      </c>
      <c r="Y974" s="147">
        <v>2552160</v>
      </c>
      <c r="Z974" s="165"/>
      <c r="AA974" s="147">
        <v>63804</v>
      </c>
      <c r="AB974" s="147">
        <v>63804</v>
      </c>
      <c r="AC974" s="147">
        <v>2679768</v>
      </c>
      <c r="AD974" s="315">
        <f t="shared" si="603"/>
        <v>2677088.2319999998</v>
      </c>
      <c r="AE974" s="147">
        <v>38.39</v>
      </c>
      <c r="AF974" s="147">
        <v>42</v>
      </c>
      <c r="AG974" s="147">
        <v>38.57</v>
      </c>
      <c r="AH974" s="287">
        <v>4.8999999999999998E-3</v>
      </c>
      <c r="AI974" s="287">
        <v>4.1000000000000002E-2</v>
      </c>
      <c r="AJ974" s="287">
        <v>4.9000000000000002E-2</v>
      </c>
      <c r="AK974" s="318">
        <f t="shared" si="604"/>
        <v>219364.22857142851</v>
      </c>
      <c r="AL974" s="193">
        <f>485*10+60*15</f>
        <v>5750</v>
      </c>
      <c r="AM974" s="319">
        <f t="shared" si="620"/>
        <v>12505.583999999999</v>
      </c>
      <c r="AN974" s="388">
        <f>X974*15</f>
        <v>4896</v>
      </c>
      <c r="AO974" s="320">
        <f t="shared" si="605"/>
        <v>6240.0000000000882</v>
      </c>
      <c r="AP974" s="408"/>
      <c r="AQ974" s="318">
        <v>0</v>
      </c>
      <c r="AR974" s="318">
        <f t="shared" si="606"/>
        <v>248755.8125714286</v>
      </c>
      <c r="AS974" s="318">
        <f t="shared" si="607"/>
        <v>261194</v>
      </c>
      <c r="AT974" s="321">
        <f>BK974</f>
        <v>80.000000000001137</v>
      </c>
      <c r="AU974" s="136"/>
      <c r="AV974" s="136"/>
      <c r="AW974" s="318">
        <f t="shared" si="608"/>
        <v>32720</v>
      </c>
      <c r="AX974" s="193"/>
      <c r="AY974" s="318">
        <f t="shared" si="609"/>
        <v>32720</v>
      </c>
      <c r="AZ974" s="318">
        <f t="shared" si="610"/>
        <v>32639.999999999996</v>
      </c>
      <c r="BA974" s="318">
        <f t="shared" si="611"/>
        <v>80.000000000003638</v>
      </c>
      <c r="BB974" s="318">
        <f t="shared" si="612"/>
        <v>65.44</v>
      </c>
      <c r="BC974" s="318">
        <v>0</v>
      </c>
      <c r="BD974" s="136"/>
      <c r="BE974" s="147">
        <v>327.2</v>
      </c>
      <c r="BF974" s="321">
        <f t="shared" si="613"/>
        <v>0.49079999999999996</v>
      </c>
      <c r="BG974" s="197">
        <f t="shared" si="595"/>
        <v>326.70920000000001</v>
      </c>
      <c r="BH974" s="321">
        <f t="shared" si="614"/>
        <v>326.39999999999998</v>
      </c>
      <c r="BI974" s="322">
        <f t="shared" si="615"/>
        <v>80.000000000001137</v>
      </c>
      <c r="BJ974" s="322">
        <v>0</v>
      </c>
      <c r="BK974" s="318">
        <f t="shared" si="616"/>
        <v>80.000000000001137</v>
      </c>
      <c r="BL974" s="80"/>
      <c r="BM974" s="68" t="str">
        <f t="shared" si="617"/>
        <v>Unloading no. 944 Bill No 2026-27/7 ,Deduction For Oil Deduction= 219364.228571429 ,Bardana= 5750 ,F.M= 12505.584 Brokerage/Rate Difference 4896 ,Shortage = 6240.00000000009 ,Greenish=  ,Moisture= 0</v>
      </c>
      <c r="BN974" s="69"/>
      <c r="BO974" s="70" t="str">
        <f t="shared" si="618"/>
        <v xml:space="preserve"> Party Condition 42  ,F.M% 0.49 ,Greenish 4.1 ,Moisture 4.9 ,Shortage in KG= 80.0000000000011  ,Oil% 38.39</v>
      </c>
      <c r="BP974" s="71">
        <f t="shared" si="619"/>
        <v>7056.9981232493001</v>
      </c>
      <c r="BQ974" s="55"/>
      <c r="BR974" s="55"/>
      <c r="BS974" s="41"/>
      <c r="BT974" s="41"/>
      <c r="BU974" s="41"/>
      <c r="BV974" s="41"/>
      <c r="BW974" s="85"/>
      <c r="BX974" s="27">
        <v>38.39</v>
      </c>
      <c r="BY974" s="27">
        <v>38.57</v>
      </c>
    </row>
    <row r="975" spans="1:82" ht="14.1" hidden="1" customHeight="1" x14ac:dyDescent="0.3">
      <c r="A975" s="138" t="s">
        <v>2058</v>
      </c>
      <c r="B975" s="146">
        <v>46188</v>
      </c>
      <c r="C975" s="138">
        <v>945</v>
      </c>
      <c r="D975" s="135" t="s">
        <v>2062</v>
      </c>
      <c r="E975" s="129">
        <v>46191</v>
      </c>
      <c r="F975" s="128" t="s">
        <v>1083</v>
      </c>
      <c r="G975" s="128" t="s">
        <v>1084</v>
      </c>
      <c r="H975" s="128" t="s">
        <v>1454</v>
      </c>
      <c r="I975" s="136"/>
      <c r="J975" s="347" t="s">
        <v>1455</v>
      </c>
      <c r="K975" s="136"/>
      <c r="L975" s="146">
        <v>46188</v>
      </c>
      <c r="M975" s="136"/>
      <c r="N975" s="281">
        <v>39</v>
      </c>
      <c r="O975" s="146">
        <v>46189</v>
      </c>
      <c r="P975" s="138">
        <v>0</v>
      </c>
      <c r="Q975" s="138">
        <v>300</v>
      </c>
      <c r="R975" s="138">
        <v>69</v>
      </c>
      <c r="S975" s="138">
        <v>0</v>
      </c>
      <c r="T975" s="138">
        <v>369</v>
      </c>
      <c r="U975" s="136"/>
      <c r="V975" s="136"/>
      <c r="W975" s="147">
        <v>257.55</v>
      </c>
      <c r="X975" s="147">
        <v>255.5</v>
      </c>
      <c r="Y975" s="147">
        <f>2034645-16195</f>
        <v>2018450</v>
      </c>
      <c r="Z975" s="165"/>
      <c r="AA975" s="147">
        <v>50866.13</v>
      </c>
      <c r="AB975" s="147">
        <v>50866.13</v>
      </c>
      <c r="AC975" s="147">
        <v>2136377.25</v>
      </c>
      <c r="AD975" s="315">
        <f t="shared" si="603"/>
        <v>2134240.8727500001</v>
      </c>
      <c r="AE975" s="147">
        <v>38.299999999999997</v>
      </c>
      <c r="AF975" s="147">
        <v>42</v>
      </c>
      <c r="AG975" s="147">
        <v>38.4</v>
      </c>
      <c r="AH975" s="292">
        <v>6.1999999999999998E-3</v>
      </c>
      <c r="AI975" s="287">
        <v>3.44E-2</v>
      </c>
      <c r="AJ975" s="287">
        <v>4.9000000000000002E-2</v>
      </c>
      <c r="AK975" s="318">
        <f t="shared" si="604"/>
        <v>177815.83333333346</v>
      </c>
      <c r="AL975" s="193">
        <f>300*10+69*15</f>
        <v>4035</v>
      </c>
      <c r="AM975" s="319">
        <f t="shared" si="620"/>
        <v>12514.39</v>
      </c>
      <c r="AN975" s="388">
        <f>W975*15</f>
        <v>3863.25</v>
      </c>
      <c r="AO975" s="320">
        <f t="shared" si="605"/>
        <v>0</v>
      </c>
      <c r="AP975" s="193">
        <v>0</v>
      </c>
      <c r="AQ975" s="318">
        <v>0</v>
      </c>
      <c r="AR975" s="318">
        <f t="shared" si="606"/>
        <v>198228.47333333344</v>
      </c>
      <c r="AS975" s="318">
        <f t="shared" si="607"/>
        <v>208140</v>
      </c>
      <c r="AT975" s="321">
        <v>0</v>
      </c>
      <c r="AU975" s="136" t="s">
        <v>2086</v>
      </c>
      <c r="AV975" s="136"/>
      <c r="AW975" s="318">
        <f t="shared" si="608"/>
        <v>25755</v>
      </c>
      <c r="AX975" s="193"/>
      <c r="AY975" s="318">
        <f t="shared" si="609"/>
        <v>25755</v>
      </c>
      <c r="AZ975" s="318">
        <f t="shared" si="610"/>
        <v>25550</v>
      </c>
      <c r="BA975" s="318">
        <f t="shared" si="611"/>
        <v>205</v>
      </c>
      <c r="BB975" s="318">
        <f t="shared" si="612"/>
        <v>51.51</v>
      </c>
      <c r="BC975" s="318">
        <v>0</v>
      </c>
      <c r="BD975" s="136"/>
      <c r="BE975" s="147">
        <v>257.55</v>
      </c>
      <c r="BF975" s="321">
        <f t="shared" si="613"/>
        <v>0.38632500000000003</v>
      </c>
      <c r="BG975" s="197">
        <f t="shared" si="595"/>
        <v>257.16367500000001</v>
      </c>
      <c r="BH975" s="321">
        <f t="shared" si="614"/>
        <v>255.5</v>
      </c>
      <c r="BI975" s="322">
        <f t="shared" si="615"/>
        <v>205.00000000000114</v>
      </c>
      <c r="BJ975" s="322">
        <v>0</v>
      </c>
      <c r="BK975" s="318">
        <f t="shared" si="616"/>
        <v>205.00000000000114</v>
      </c>
      <c r="BL975" s="80"/>
      <c r="BM975" s="68" t="str">
        <f t="shared" si="617"/>
        <v>Unloading no. 945 Bill No 39 ,Deduction For Oil Deduction= 177815.833333333 ,Bardana= 4035 ,F.M= 12514.39 Brokerage/Rate Difference 3863.25 ,Shortage = 0 ,Greenish= 0 ,Moisture= 0</v>
      </c>
      <c r="BN975" s="69"/>
      <c r="BO975" s="70" t="str">
        <f t="shared" si="618"/>
        <v xml:space="preserve"> Party Condition 42  ,F.M% 0.62 ,Greenish 3.44 ,Moisture 4.9 ,Shortage in KG= 0  ,Oil% 38.3</v>
      </c>
      <c r="BP975" s="71">
        <f t="shared" si="619"/>
        <v>7124.1547031963464</v>
      </c>
      <c r="BQ975" s="55"/>
      <c r="BR975" s="55"/>
      <c r="BS975" s="41"/>
      <c r="BT975" s="41"/>
      <c r="BU975" s="41"/>
      <c r="BV975" s="41"/>
      <c r="BW975" s="85"/>
      <c r="BX975" s="27">
        <v>38.299999999999997</v>
      </c>
      <c r="BY975" s="27">
        <v>38.4</v>
      </c>
    </row>
    <row r="976" spans="1:82" ht="14.1" hidden="1" customHeight="1" x14ac:dyDescent="0.3">
      <c r="A976" s="138" t="s">
        <v>2063</v>
      </c>
      <c r="B976" s="146">
        <v>46190</v>
      </c>
      <c r="C976" s="138">
        <v>946</v>
      </c>
      <c r="D976" s="135" t="s">
        <v>2064</v>
      </c>
      <c r="E976" s="129">
        <v>46191</v>
      </c>
      <c r="F976" s="128" t="s">
        <v>98</v>
      </c>
      <c r="G976" s="128" t="s">
        <v>99</v>
      </c>
      <c r="H976" s="128" t="s">
        <v>199</v>
      </c>
      <c r="I976" s="136"/>
      <c r="J976" s="347" t="s">
        <v>1455</v>
      </c>
      <c r="K976" s="136"/>
      <c r="L976" s="146">
        <v>46190</v>
      </c>
      <c r="M976" s="136"/>
      <c r="N976" s="281">
        <v>133</v>
      </c>
      <c r="O976" s="146">
        <v>46190</v>
      </c>
      <c r="P976" s="138">
        <v>0</v>
      </c>
      <c r="Q976" s="138">
        <v>356</v>
      </c>
      <c r="R976" s="138">
        <v>60</v>
      </c>
      <c r="S976" s="138">
        <v>0</v>
      </c>
      <c r="T976" s="138">
        <v>416</v>
      </c>
      <c r="U976" s="136"/>
      <c r="V976" s="136"/>
      <c r="W976" s="147">
        <v>253.55</v>
      </c>
      <c r="X976" s="147">
        <v>253.1</v>
      </c>
      <c r="Y976" s="147">
        <v>2003045</v>
      </c>
      <c r="Z976" s="165"/>
      <c r="AA976" s="147">
        <v>50076.13</v>
      </c>
      <c r="AB976" s="147">
        <v>50076.13</v>
      </c>
      <c r="AC976" s="147">
        <v>2103197.25</v>
      </c>
      <c r="AD976" s="315">
        <f t="shared" si="603"/>
        <v>2101094.0527499998</v>
      </c>
      <c r="AE976" s="147">
        <v>40.65</v>
      </c>
      <c r="AF976" s="147">
        <v>42</v>
      </c>
      <c r="AG976" s="147">
        <v>40.549999999999997</v>
      </c>
      <c r="AH976" s="287">
        <v>4.0000000000000001E-3</v>
      </c>
      <c r="AI976" s="287">
        <v>3.3500000000000002E-2</v>
      </c>
      <c r="AJ976" s="287">
        <v>4.9000000000000002E-2</v>
      </c>
      <c r="AK976" s="318">
        <f t="shared" si="604"/>
        <v>69152.744047619184</v>
      </c>
      <c r="AL976" s="193">
        <f>356*10+60*15</f>
        <v>4460</v>
      </c>
      <c r="AM976" s="319">
        <f t="shared" si="620"/>
        <v>8012.18</v>
      </c>
      <c r="AN976" s="319"/>
      <c r="AO976" s="320">
        <f t="shared" si="605"/>
        <v>3555</v>
      </c>
      <c r="AP976" s="193">
        <v>0</v>
      </c>
      <c r="AQ976" s="318">
        <v>0</v>
      </c>
      <c r="AR976" s="318">
        <f t="shared" si="606"/>
        <v>85179.924047619192</v>
      </c>
      <c r="AS976" s="318">
        <f t="shared" si="607"/>
        <v>89439</v>
      </c>
      <c r="AT976" s="321">
        <v>45</v>
      </c>
      <c r="AU976" s="136"/>
      <c r="AV976" s="136"/>
      <c r="AW976" s="318">
        <f t="shared" si="608"/>
        <v>25355</v>
      </c>
      <c r="AX976" s="193"/>
      <c r="AY976" s="318">
        <f t="shared" si="609"/>
        <v>25355</v>
      </c>
      <c r="AZ976" s="318">
        <f t="shared" si="610"/>
        <v>25310</v>
      </c>
      <c r="BA976" s="318">
        <f t="shared" si="611"/>
        <v>45</v>
      </c>
      <c r="BB976" s="318">
        <f t="shared" si="612"/>
        <v>50.71</v>
      </c>
      <c r="BC976" s="318">
        <v>0</v>
      </c>
      <c r="BD976" s="136"/>
      <c r="BE976" s="147">
        <v>253.55</v>
      </c>
      <c r="BF976" s="321">
        <f t="shared" si="613"/>
        <v>0.38032499999999997</v>
      </c>
      <c r="BG976" s="197">
        <f t="shared" si="595"/>
        <v>253.16967500000001</v>
      </c>
      <c r="BH976" s="321">
        <f t="shared" si="614"/>
        <v>253.1</v>
      </c>
      <c r="BI976" s="322">
        <f t="shared" si="615"/>
        <v>45.000000000001705</v>
      </c>
      <c r="BJ976" s="322">
        <v>0</v>
      </c>
      <c r="BK976" s="318">
        <f t="shared" si="616"/>
        <v>45.000000000001705</v>
      </c>
      <c r="BL976" s="80"/>
      <c r="BM976" s="68" t="str">
        <f t="shared" si="617"/>
        <v>Unloading no. 946 Bill No 133 ,Deduction For Oil Deduction= 69152.7440476192 ,Bardana= 4460 ,F.M= 8012.18 Brokerage/Rate Difference  ,Shortage = 3555 ,Greenish= 0 ,Moisture= 0</v>
      </c>
      <c r="BN976" s="69"/>
      <c r="BO976" s="70" t="str">
        <f t="shared" si="618"/>
        <v xml:space="preserve"> Party Condition 42  ,F.M% 0.4 ,Greenish 3.35 ,Moisture 4.9 ,Shortage in KG= 45  ,Oil% 40.55</v>
      </c>
      <c r="BP976" s="71">
        <f t="shared" si="619"/>
        <v>7577.4993123365502</v>
      </c>
      <c r="BQ976" s="55"/>
      <c r="BR976" s="55"/>
      <c r="BS976" s="41"/>
      <c r="BT976" s="41"/>
      <c r="BU976" s="41"/>
      <c r="BV976" s="41"/>
      <c r="BW976" s="85"/>
      <c r="BX976" s="27">
        <v>40.65</v>
      </c>
      <c r="BY976" s="27">
        <v>40.549999999999997</v>
      </c>
    </row>
    <row r="977" spans="1:77" ht="14.1" hidden="1" customHeight="1" x14ac:dyDescent="0.3">
      <c r="A977" s="138" t="s">
        <v>2065</v>
      </c>
      <c r="B977" s="146">
        <v>46189</v>
      </c>
      <c r="C977" s="138">
        <v>947</v>
      </c>
      <c r="D977" s="135" t="s">
        <v>2066</v>
      </c>
      <c r="E977" s="129">
        <v>46191</v>
      </c>
      <c r="F977" s="128" t="s">
        <v>1083</v>
      </c>
      <c r="G977" s="128" t="s">
        <v>1084</v>
      </c>
      <c r="H977" s="128" t="s">
        <v>1454</v>
      </c>
      <c r="I977" s="136"/>
      <c r="J977" s="347" t="s">
        <v>1455</v>
      </c>
      <c r="K977" s="136"/>
      <c r="L977" s="146">
        <v>46189</v>
      </c>
      <c r="M977" s="136"/>
      <c r="N977" s="281">
        <v>40</v>
      </c>
      <c r="O977" s="146">
        <v>46190</v>
      </c>
      <c r="P977" s="138">
        <v>0</v>
      </c>
      <c r="Q977" s="138">
        <v>50</v>
      </c>
      <c r="R977" s="138">
        <v>366</v>
      </c>
      <c r="S977" s="138">
        <v>0</v>
      </c>
      <c r="T977" s="138">
        <v>416</v>
      </c>
      <c r="U977" s="136"/>
      <c r="V977" s="136"/>
      <c r="W977" s="147">
        <v>271.39999999999998</v>
      </c>
      <c r="X977" s="147">
        <v>271</v>
      </c>
      <c r="Y977" s="147">
        <v>2157630</v>
      </c>
      <c r="Z977" s="165"/>
      <c r="AA977" s="147">
        <v>53940.75</v>
      </c>
      <c r="AB977" s="147">
        <v>53940.75</v>
      </c>
      <c r="AC977" s="147">
        <v>2265511.5</v>
      </c>
      <c r="AD977" s="315">
        <f t="shared" si="603"/>
        <v>2263245.9885</v>
      </c>
      <c r="AE977" s="147">
        <v>39.67</v>
      </c>
      <c r="AF977" s="147">
        <v>42</v>
      </c>
      <c r="AG977" s="147">
        <v>39.630000000000003</v>
      </c>
      <c r="AH977" s="287">
        <v>5.7000000000000002E-3</v>
      </c>
      <c r="AI977" s="287">
        <v>3.2500000000000001E-2</v>
      </c>
      <c r="AJ977" s="287">
        <v>5.1999999999999998E-2</v>
      </c>
      <c r="AK977" s="318">
        <f t="shared" si="604"/>
        <v>121751.97857142844</v>
      </c>
      <c r="AL977" s="193">
        <f>50*10+366*15</f>
        <v>5990</v>
      </c>
      <c r="AM977" s="319">
        <f t="shared" si="620"/>
        <v>12298.491</v>
      </c>
      <c r="AN977" s="388">
        <f>W977*15</f>
        <v>4070.9999999999995</v>
      </c>
      <c r="AO977" s="320">
        <f t="shared" si="605"/>
        <v>3180.0000000000005</v>
      </c>
      <c r="AP977" s="193">
        <v>0</v>
      </c>
      <c r="AQ977" s="318">
        <v>0</v>
      </c>
      <c r="AR977" s="318">
        <f t="shared" si="606"/>
        <v>147291.46957142843</v>
      </c>
      <c r="AS977" s="318">
        <f t="shared" si="607"/>
        <v>154656</v>
      </c>
      <c r="AT977" s="321">
        <v>40</v>
      </c>
      <c r="AU977" s="136"/>
      <c r="AV977" s="136"/>
      <c r="AW977" s="318">
        <f t="shared" si="608"/>
        <v>27139.999999999996</v>
      </c>
      <c r="AX977" s="193"/>
      <c r="AY977" s="318">
        <f t="shared" si="609"/>
        <v>27139.999999999996</v>
      </c>
      <c r="AZ977" s="318">
        <f t="shared" si="610"/>
        <v>27100</v>
      </c>
      <c r="BA977" s="318">
        <f t="shared" si="611"/>
        <v>39.999999999996362</v>
      </c>
      <c r="BB977" s="318">
        <f t="shared" si="612"/>
        <v>54.279999999999994</v>
      </c>
      <c r="BC977" s="318">
        <v>0</v>
      </c>
      <c r="BD977" s="136"/>
      <c r="BE977" s="147">
        <v>271.39999999999998</v>
      </c>
      <c r="BF977" s="321">
        <f t="shared" si="613"/>
        <v>0.40709999999999996</v>
      </c>
      <c r="BG977" s="197">
        <f t="shared" si="595"/>
        <v>270.99289999999996</v>
      </c>
      <c r="BH977" s="321">
        <f t="shared" si="614"/>
        <v>271</v>
      </c>
      <c r="BI977" s="322">
        <f t="shared" si="615"/>
        <v>39.999999999997726</v>
      </c>
      <c r="BJ977" s="322">
        <v>0</v>
      </c>
      <c r="BK977" s="318">
        <f t="shared" si="616"/>
        <v>39.999999999997726</v>
      </c>
      <c r="BL977" s="80"/>
      <c r="BM977" s="68" t="str">
        <f t="shared" si="617"/>
        <v>Unloading no. 947 Bill No 40 ,Deduction For Oil Deduction= 121751.978571428 ,Bardana= 5990 ,F.M= 12298.491 Brokerage/Rate Difference 4071 ,Shortage = 3180 ,Greenish= 0 ,Moisture= 0</v>
      </c>
      <c r="BN977" s="69"/>
      <c r="BO977" s="70" t="str">
        <f t="shared" si="618"/>
        <v xml:space="preserve"> Party Condition 42  ,F.M% 0.57 ,Greenish 3.25 ,Moisture 5.2 ,Shortage in KG= 40  ,Oil% 39.63</v>
      </c>
      <c r="BP977" s="71">
        <f t="shared" si="619"/>
        <v>7418.2233595150246</v>
      </c>
      <c r="BQ977" s="55"/>
      <c r="BR977" s="55"/>
      <c r="BS977" s="41"/>
      <c r="BT977" s="41"/>
      <c r="BU977" s="41"/>
      <c r="BV977" s="41"/>
      <c r="BW977" s="85"/>
      <c r="BX977" s="27">
        <v>39.67</v>
      </c>
      <c r="BY977" s="27">
        <v>39.630000000000003</v>
      </c>
    </row>
    <row r="978" spans="1:77" ht="14.1" hidden="1" customHeight="1" x14ac:dyDescent="0.3">
      <c r="A978" s="138" t="s">
        <v>2067</v>
      </c>
      <c r="B978" s="146">
        <v>46188</v>
      </c>
      <c r="C978" s="138">
        <v>948</v>
      </c>
      <c r="D978" s="135" t="s">
        <v>2068</v>
      </c>
      <c r="E978" s="129">
        <v>46191</v>
      </c>
      <c r="F978" s="128" t="s">
        <v>1689</v>
      </c>
      <c r="G978" s="128" t="s">
        <v>1690</v>
      </c>
      <c r="H978" s="128" t="s">
        <v>1511</v>
      </c>
      <c r="I978" s="136"/>
      <c r="J978" s="347" t="s">
        <v>1455</v>
      </c>
      <c r="K978" s="136"/>
      <c r="L978" s="146">
        <v>46188</v>
      </c>
      <c r="M978" s="136"/>
      <c r="N978" s="281" t="s">
        <v>2069</v>
      </c>
      <c r="O978" s="146">
        <v>46190</v>
      </c>
      <c r="P978" s="138">
        <v>0</v>
      </c>
      <c r="Q978" s="138">
        <v>538</v>
      </c>
      <c r="R978" s="138">
        <v>100</v>
      </c>
      <c r="S978" s="138">
        <v>0</v>
      </c>
      <c r="T978" s="138">
        <v>638</v>
      </c>
      <c r="U978" s="136"/>
      <c r="V978" s="136"/>
      <c r="W978" s="147">
        <v>352.45</v>
      </c>
      <c r="X978" s="147">
        <v>352</v>
      </c>
      <c r="Y978" s="147">
        <v>2784355</v>
      </c>
      <c r="Z978" s="165"/>
      <c r="AA978" s="147">
        <v>69608.88</v>
      </c>
      <c r="AB978" s="147">
        <v>69608.88</v>
      </c>
      <c r="AC978" s="147">
        <v>2923572.75</v>
      </c>
      <c r="AD978" s="315">
        <f t="shared" si="603"/>
        <v>2920649.1772500002</v>
      </c>
      <c r="AE978" s="147">
        <v>40.4</v>
      </c>
      <c r="AF978" s="147">
        <v>42</v>
      </c>
      <c r="AG978" s="147">
        <v>40.29</v>
      </c>
      <c r="AH978" s="292">
        <v>4.1000000000000003E-3</v>
      </c>
      <c r="AI978" s="287">
        <v>3.15E-2</v>
      </c>
      <c r="AJ978" s="287">
        <v>5.6000000000000001E-2</v>
      </c>
      <c r="AK978" s="318">
        <f t="shared" si="604"/>
        <v>113363.02500000007</v>
      </c>
      <c r="AL978" s="193">
        <f>538*10+100*15</f>
        <v>6880</v>
      </c>
      <c r="AM978" s="319">
        <f t="shared" si="620"/>
        <v>11415.855500000001</v>
      </c>
      <c r="AN978" s="388">
        <f>W978*15</f>
        <v>5286.75</v>
      </c>
      <c r="AO978" s="320">
        <f t="shared" si="605"/>
        <v>3555</v>
      </c>
      <c r="AP978" s="193">
        <v>0</v>
      </c>
      <c r="AQ978" s="318">
        <v>0</v>
      </c>
      <c r="AR978" s="318">
        <f t="shared" si="606"/>
        <v>140500.63050000006</v>
      </c>
      <c r="AS978" s="318">
        <f t="shared" si="607"/>
        <v>147526</v>
      </c>
      <c r="AT978" s="321">
        <v>45</v>
      </c>
      <c r="AU978" s="136"/>
      <c r="AV978" s="136"/>
      <c r="AW978" s="318">
        <f t="shared" si="608"/>
        <v>35245</v>
      </c>
      <c r="AX978" s="193"/>
      <c r="AY978" s="318">
        <f t="shared" si="609"/>
        <v>35245</v>
      </c>
      <c r="AZ978" s="318">
        <f t="shared" si="610"/>
        <v>35200</v>
      </c>
      <c r="BA978" s="318">
        <f t="shared" si="611"/>
        <v>45</v>
      </c>
      <c r="BB978" s="318">
        <f t="shared" si="612"/>
        <v>70.489999999999995</v>
      </c>
      <c r="BC978" s="318">
        <v>0</v>
      </c>
      <c r="BD978" s="136"/>
      <c r="BE978" s="147">
        <v>352.45</v>
      </c>
      <c r="BF978" s="321">
        <f t="shared" si="613"/>
        <v>0.52867500000000001</v>
      </c>
      <c r="BG978" s="197">
        <f t="shared" si="595"/>
        <v>351.92132499999997</v>
      </c>
      <c r="BH978" s="321">
        <f t="shared" si="614"/>
        <v>352</v>
      </c>
      <c r="BI978" s="322">
        <f t="shared" si="615"/>
        <v>44.999999999998863</v>
      </c>
      <c r="BJ978" s="322">
        <v>0</v>
      </c>
      <c r="BK978" s="318">
        <f t="shared" si="616"/>
        <v>44.999999999998863</v>
      </c>
      <c r="BL978" s="80"/>
      <c r="BM978" s="68" t="str">
        <f t="shared" si="617"/>
        <v>Unloading no. 948 Bill No GST28 ,Deduction For Oil Deduction= 113363.025 ,Bardana= 6880 ,F.M= 11415.8555 Brokerage/Rate Difference 5286.75 ,Shortage = 3555 ,Greenish= 0 ,Moisture= 0</v>
      </c>
      <c r="BN978" s="69"/>
      <c r="BO978" s="70" t="str">
        <f t="shared" si="618"/>
        <v xml:space="preserve"> Party Condition 42  ,F.M% 0.41 ,Greenish 3.15 ,Moisture 5.6 ,Shortage in KG= 45  ,Oil% 40.29</v>
      </c>
      <c r="BP978" s="71">
        <f t="shared" si="619"/>
        <v>7510.9499133522731</v>
      </c>
      <c r="BQ978" s="55"/>
      <c r="BR978" s="55"/>
      <c r="BS978" s="41"/>
      <c r="BT978" s="41"/>
      <c r="BU978" s="41"/>
      <c r="BV978" s="41"/>
      <c r="BW978" s="85"/>
      <c r="BX978" s="27">
        <v>40.4</v>
      </c>
      <c r="BY978" s="27">
        <v>40.29</v>
      </c>
    </row>
    <row r="979" spans="1:77" ht="14.1" hidden="1" customHeight="1" x14ac:dyDescent="0.3">
      <c r="A979" s="138" t="s">
        <v>2065</v>
      </c>
      <c r="B979" s="146">
        <v>46189</v>
      </c>
      <c r="C979" s="138">
        <v>949</v>
      </c>
      <c r="D979" s="135" t="s">
        <v>2070</v>
      </c>
      <c r="E979" s="129">
        <v>46191</v>
      </c>
      <c r="F979" s="128" t="s">
        <v>1083</v>
      </c>
      <c r="G979" s="128" t="s">
        <v>1084</v>
      </c>
      <c r="H979" s="128" t="s">
        <v>1454</v>
      </c>
      <c r="I979" s="136"/>
      <c r="J979" s="347" t="s">
        <v>1455</v>
      </c>
      <c r="K979" s="136"/>
      <c r="L979" s="146">
        <v>46189</v>
      </c>
      <c r="M979" s="136"/>
      <c r="N979" s="281">
        <v>41</v>
      </c>
      <c r="O979" s="146">
        <v>46190</v>
      </c>
      <c r="P979" s="138">
        <v>0</v>
      </c>
      <c r="Q979" s="138">
        <v>200</v>
      </c>
      <c r="R979" s="138">
        <v>175</v>
      </c>
      <c r="S979" s="138">
        <v>0</v>
      </c>
      <c r="T979" s="138">
        <v>375</v>
      </c>
      <c r="U979" s="136"/>
      <c r="V979" s="136"/>
      <c r="W979" s="147">
        <v>245.05</v>
      </c>
      <c r="X979" s="147">
        <v>244.8</v>
      </c>
      <c r="Y979" s="147">
        <v>1948147.5</v>
      </c>
      <c r="Z979" s="165"/>
      <c r="AA979" s="147">
        <v>48703.69</v>
      </c>
      <c r="AB979" s="147">
        <v>48703.69</v>
      </c>
      <c r="AC979" s="147">
        <v>2045554.88</v>
      </c>
      <c r="AD979" s="315">
        <f t="shared" si="603"/>
        <v>2043509.3251199999</v>
      </c>
      <c r="AE979" s="147">
        <v>38.799999999999997</v>
      </c>
      <c r="AF979" s="147">
        <v>42</v>
      </c>
      <c r="AG979" s="147">
        <v>38.64</v>
      </c>
      <c r="AH979" s="292">
        <v>7.4999999999999997E-3</v>
      </c>
      <c r="AI979" s="287">
        <v>3.49E-2</v>
      </c>
      <c r="AJ979" s="287">
        <v>5.2999999999999999E-2</v>
      </c>
      <c r="AK979" s="318">
        <f t="shared" si="604"/>
        <v>155851.79999999999</v>
      </c>
      <c r="AL979" s="193">
        <f>200*10+175*15</f>
        <v>4625</v>
      </c>
      <c r="AM979" s="319">
        <f t="shared" si="620"/>
        <v>14611.106249999999</v>
      </c>
      <c r="AN979" s="388">
        <f>W979*15</f>
        <v>3675.75</v>
      </c>
      <c r="AO979" s="320">
        <f t="shared" si="605"/>
        <v>1987.5</v>
      </c>
      <c r="AP979" s="193">
        <v>0</v>
      </c>
      <c r="AQ979" s="318">
        <v>0</v>
      </c>
      <c r="AR979" s="318">
        <f t="shared" si="606"/>
        <v>180751.15625</v>
      </c>
      <c r="AS979" s="318">
        <f t="shared" si="607"/>
        <v>189789</v>
      </c>
      <c r="AT979" s="321">
        <v>25</v>
      </c>
      <c r="AU979" s="136"/>
      <c r="AV979" s="136"/>
      <c r="AW979" s="318">
        <f t="shared" si="608"/>
        <v>24505</v>
      </c>
      <c r="AX979" s="193"/>
      <c r="AY979" s="318">
        <f t="shared" si="609"/>
        <v>24505</v>
      </c>
      <c r="AZ979" s="318">
        <f t="shared" si="610"/>
        <v>24480</v>
      </c>
      <c r="BA979" s="318">
        <f t="shared" si="611"/>
        <v>25</v>
      </c>
      <c r="BB979" s="318">
        <f t="shared" si="612"/>
        <v>49.01</v>
      </c>
      <c r="BC979" s="318">
        <v>0</v>
      </c>
      <c r="BD979" s="136"/>
      <c r="BE979" s="147">
        <v>245.05</v>
      </c>
      <c r="BF979" s="321">
        <f t="shared" si="613"/>
        <v>0.36757499999999999</v>
      </c>
      <c r="BG979" s="197">
        <f t="shared" si="595"/>
        <v>244.68242500000002</v>
      </c>
      <c r="BH979" s="321">
        <f t="shared" si="614"/>
        <v>244.8</v>
      </c>
      <c r="BI979" s="322">
        <f t="shared" si="615"/>
        <v>25</v>
      </c>
      <c r="BJ979" s="322">
        <v>0</v>
      </c>
      <c r="BK979" s="318">
        <f t="shared" si="616"/>
        <v>25</v>
      </c>
      <c r="BL979" s="80"/>
      <c r="BM979" s="68" t="str">
        <f t="shared" si="617"/>
        <v>Unloading no. 949 Bill No 41 ,Deduction For Oil Deduction= 155851.8 ,Bardana= 4625 ,F.M= 14611.10625 Brokerage/Rate Difference 3675.75 ,Shortage = 1987.5 ,Greenish= 0 ,Moisture= 0</v>
      </c>
      <c r="BN979" s="69"/>
      <c r="BO979" s="70" t="str">
        <f t="shared" si="618"/>
        <v xml:space="preserve"> Party Condition 42  ,F.M% 0.75 ,Greenish 3.49 ,Moisture 5.3 ,Shortage in KG= 25  ,Oil% 38.64</v>
      </c>
      <c r="BP979" s="71">
        <f t="shared" si="619"/>
        <v>7219.7563061683004</v>
      </c>
      <c r="BQ979" s="55"/>
      <c r="BR979" s="55"/>
      <c r="BS979" s="41"/>
      <c r="BT979" s="41"/>
      <c r="BU979" s="41"/>
      <c r="BV979" s="41"/>
      <c r="BW979" s="85"/>
      <c r="BX979" s="27">
        <v>38.799999999999997</v>
      </c>
      <c r="BY979" s="27">
        <v>38.64</v>
      </c>
    </row>
    <row r="980" spans="1:77" ht="14.1" hidden="1" customHeight="1" x14ac:dyDescent="0.3">
      <c r="A980" s="138" t="s">
        <v>2071</v>
      </c>
      <c r="B980" s="146">
        <v>46188</v>
      </c>
      <c r="C980" s="138">
        <v>950</v>
      </c>
      <c r="D980" s="135" t="s">
        <v>2072</v>
      </c>
      <c r="E980" s="129">
        <v>46191</v>
      </c>
      <c r="F980" s="128" t="s">
        <v>1142</v>
      </c>
      <c r="G980" s="128" t="s">
        <v>1143</v>
      </c>
      <c r="H980" s="128" t="s">
        <v>103</v>
      </c>
      <c r="I980" s="136"/>
      <c r="J980" s="347" t="s">
        <v>1455</v>
      </c>
      <c r="K980" s="136"/>
      <c r="L980" s="146">
        <v>46188</v>
      </c>
      <c r="M980" s="136"/>
      <c r="N980" s="281" t="s">
        <v>2073</v>
      </c>
      <c r="O980" s="146">
        <v>46191</v>
      </c>
      <c r="P980" s="138">
        <v>0</v>
      </c>
      <c r="Q980" s="138">
        <v>450</v>
      </c>
      <c r="R980" s="138">
        <v>40</v>
      </c>
      <c r="S980" s="138">
        <v>0</v>
      </c>
      <c r="T980" s="138">
        <v>490</v>
      </c>
      <c r="U980" s="136"/>
      <c r="V980" s="136"/>
      <c r="W980" s="147">
        <v>250.2</v>
      </c>
      <c r="X980" s="147">
        <v>250.6</v>
      </c>
      <c r="Y980" s="147">
        <v>1964070</v>
      </c>
      <c r="Z980" s="165"/>
      <c r="AA980" s="147">
        <v>49101.75</v>
      </c>
      <c r="AB980" s="147">
        <v>49101.75</v>
      </c>
      <c r="AC980" s="147">
        <v>2062273.5</v>
      </c>
      <c r="AD980" s="315">
        <f t="shared" si="603"/>
        <v>2060211.2265000001</v>
      </c>
      <c r="AE980" s="147">
        <v>40.58</v>
      </c>
      <c r="AF980" s="147">
        <v>42</v>
      </c>
      <c r="AG980" s="147">
        <v>40.450000000000003</v>
      </c>
      <c r="AH980" s="287">
        <v>4.4999999999999997E-3</v>
      </c>
      <c r="AI980" s="287">
        <v>3.7999999999999999E-2</v>
      </c>
      <c r="AJ980" s="287">
        <v>5.0999999999999997E-2</v>
      </c>
      <c r="AK980" s="318">
        <f t="shared" si="604"/>
        <v>72483.535714285579</v>
      </c>
      <c r="AL980" s="193">
        <f>450*10+40*15</f>
        <v>5100</v>
      </c>
      <c r="AM980" s="319">
        <f t="shared" si="620"/>
        <v>8838.3149999999987</v>
      </c>
      <c r="AN980" s="319"/>
      <c r="AO980" s="320">
        <f t="shared" si="605"/>
        <v>0</v>
      </c>
      <c r="AP980" s="193">
        <v>0</v>
      </c>
      <c r="AQ980" s="318">
        <v>0</v>
      </c>
      <c r="AR980" s="318">
        <f t="shared" si="606"/>
        <v>86421.850714285581</v>
      </c>
      <c r="AS980" s="318">
        <f t="shared" si="607"/>
        <v>90743</v>
      </c>
      <c r="AT980" s="321">
        <v>0</v>
      </c>
      <c r="AU980" s="136"/>
      <c r="AV980" s="136"/>
      <c r="AW980" s="318">
        <f t="shared" si="608"/>
        <v>25020</v>
      </c>
      <c r="AX980" s="193"/>
      <c r="AY980" s="318">
        <f t="shared" si="609"/>
        <v>25020</v>
      </c>
      <c r="AZ980" s="318">
        <f t="shared" si="610"/>
        <v>25060</v>
      </c>
      <c r="BA980" s="318">
        <f t="shared" si="611"/>
        <v>-40</v>
      </c>
      <c r="BB980" s="318">
        <f t="shared" si="612"/>
        <v>50.04</v>
      </c>
      <c r="BC980" s="318">
        <v>0</v>
      </c>
      <c r="BD980" s="136"/>
      <c r="BE980" s="147">
        <v>250.2</v>
      </c>
      <c r="BF980" s="321">
        <f t="shared" si="613"/>
        <v>0.37529999999999997</v>
      </c>
      <c r="BG980" s="197">
        <f t="shared" si="595"/>
        <v>249.82469999999998</v>
      </c>
      <c r="BH980" s="321">
        <f t="shared" si="614"/>
        <v>250.6</v>
      </c>
      <c r="BI980" s="322">
        <f t="shared" si="615"/>
        <v>-40.000000000000568</v>
      </c>
      <c r="BJ980" s="322">
        <v>0</v>
      </c>
      <c r="BK980" s="318">
        <f t="shared" si="616"/>
        <v>-40.000000000000568</v>
      </c>
      <c r="BL980" s="80"/>
      <c r="BM980" s="68" t="str">
        <f t="shared" si="617"/>
        <v>Unloading no. 950 Bill No 2026-27/6947 ,Deduction For Oil Deduction= 72483.5357142856 ,Bardana= 5100 ,F.M= 8838.315 Brokerage/Rate Difference  ,Shortage = 0 ,Greenish= 0 ,Moisture= 0</v>
      </c>
      <c r="BN980" s="69"/>
      <c r="BO980" s="70" t="str">
        <f t="shared" si="618"/>
        <v xml:space="preserve"> Party Condition 42  ,F.M% 0.45 ,Greenish 3.8 ,Moisture 5.1 ,Shortage in KG= 0  ,Oil% 40.45</v>
      </c>
      <c r="BP980" s="71">
        <f t="shared" si="619"/>
        <v>7492.6103323452289</v>
      </c>
      <c r="BQ980" s="55"/>
      <c r="BR980" s="55"/>
      <c r="BS980" s="41"/>
      <c r="BT980" s="41"/>
      <c r="BU980" s="41"/>
      <c r="BV980" s="41"/>
      <c r="BW980" s="85"/>
      <c r="BX980" s="27">
        <v>40.58</v>
      </c>
      <c r="BY980" s="27">
        <v>40.450000000000003</v>
      </c>
    </row>
    <row r="981" spans="1:77" ht="14.1" hidden="1" customHeight="1" x14ac:dyDescent="0.3">
      <c r="A981" s="138" t="s">
        <v>2074</v>
      </c>
      <c r="B981" s="146">
        <v>46190</v>
      </c>
      <c r="C981" s="138">
        <v>951</v>
      </c>
      <c r="D981" s="135" t="s">
        <v>2075</v>
      </c>
      <c r="E981" s="129">
        <v>46191</v>
      </c>
      <c r="F981" s="128" t="s">
        <v>1450</v>
      </c>
      <c r="G981" s="128" t="s">
        <v>1451</v>
      </c>
      <c r="H981" s="128" t="s">
        <v>199</v>
      </c>
      <c r="I981" s="136"/>
      <c r="J981" s="347" t="s">
        <v>1455</v>
      </c>
      <c r="K981" s="136"/>
      <c r="L981" s="146">
        <v>46190</v>
      </c>
      <c r="M981" s="136"/>
      <c r="N981" s="281" t="s">
        <v>2076</v>
      </c>
      <c r="O981" s="146">
        <v>46190</v>
      </c>
      <c r="P981" s="138">
        <v>0</v>
      </c>
      <c r="Q981" s="138">
        <v>258</v>
      </c>
      <c r="R981" s="138">
        <v>0</v>
      </c>
      <c r="S981" s="138">
        <v>0</v>
      </c>
      <c r="T981" s="138">
        <v>258</v>
      </c>
      <c r="U981" s="136"/>
      <c r="V981" s="136"/>
      <c r="W981" s="147">
        <v>157.6</v>
      </c>
      <c r="X981" s="147">
        <v>157.1</v>
      </c>
      <c r="Y981" s="147">
        <v>1241100</v>
      </c>
      <c r="Z981" s="165"/>
      <c r="AA981" s="147">
        <v>31027.5</v>
      </c>
      <c r="AB981" s="147">
        <v>31027.5</v>
      </c>
      <c r="AC981" s="147">
        <v>1303155</v>
      </c>
      <c r="AD981" s="315">
        <f t="shared" si="603"/>
        <v>1301851.845</v>
      </c>
      <c r="AE981" s="147">
        <v>38.700000000000003</v>
      </c>
      <c r="AF981" s="147">
        <v>42</v>
      </c>
      <c r="AG981" s="147">
        <v>38.51</v>
      </c>
      <c r="AH981" s="291">
        <v>3.8999999999999998E-3</v>
      </c>
      <c r="AI981" s="287">
        <v>4.2000000000000003E-2</v>
      </c>
      <c r="AJ981" s="286">
        <v>6.3E-2</v>
      </c>
      <c r="AK981" s="318">
        <f t="shared" si="604"/>
        <v>103129.50000000006</v>
      </c>
      <c r="AL981" s="193">
        <f>258*10</f>
        <v>2580</v>
      </c>
      <c r="AM981" s="319">
        <f t="shared" si="620"/>
        <v>4840.29</v>
      </c>
      <c r="AN981" s="319"/>
      <c r="AO981" s="320">
        <f t="shared" si="605"/>
        <v>3937.5</v>
      </c>
      <c r="AP981" s="193">
        <v>0</v>
      </c>
      <c r="AQ981" s="409">
        <f>Y981*0.3/100</f>
        <v>3723.3</v>
      </c>
      <c r="AR981" s="318">
        <f t="shared" si="606"/>
        <v>118210.59000000005</v>
      </c>
      <c r="AS981" s="318">
        <f t="shared" si="607"/>
        <v>124121</v>
      </c>
      <c r="AT981" s="321">
        <v>50</v>
      </c>
      <c r="AU981" s="136"/>
      <c r="AV981" s="136"/>
      <c r="AW981" s="318">
        <f t="shared" si="608"/>
        <v>15760</v>
      </c>
      <c r="AX981" s="193"/>
      <c r="AY981" s="318">
        <f t="shared" si="609"/>
        <v>15760</v>
      </c>
      <c r="AZ981" s="318">
        <f t="shared" si="610"/>
        <v>15710</v>
      </c>
      <c r="BA981" s="318">
        <f t="shared" si="611"/>
        <v>50</v>
      </c>
      <c r="BB981" s="318">
        <f t="shared" si="612"/>
        <v>31.52</v>
      </c>
      <c r="BC981" s="318">
        <v>0</v>
      </c>
      <c r="BD981" s="136"/>
      <c r="BE981" s="147">
        <v>157.6</v>
      </c>
      <c r="BF981" s="321">
        <f t="shared" si="613"/>
        <v>0.23639999999999997</v>
      </c>
      <c r="BG981" s="197">
        <f t="shared" si="595"/>
        <v>157.36359999999999</v>
      </c>
      <c r="BH981" s="321">
        <f t="shared" si="614"/>
        <v>157.1</v>
      </c>
      <c r="BI981" s="322">
        <f t="shared" si="615"/>
        <v>50</v>
      </c>
      <c r="BJ981" s="322">
        <v>0</v>
      </c>
      <c r="BK981" s="318">
        <f t="shared" si="616"/>
        <v>50</v>
      </c>
      <c r="BL981" s="80"/>
      <c r="BM981" s="68" t="str">
        <f t="shared" si="617"/>
        <v>Unloading no. 951 Bill No ST-42 ,Deduction For Oil Deduction= 103129.5 ,Bardana= 2580 ,F.M= 4840.29 Brokerage/Rate Difference  ,Shortage = 3937.5 ,Greenish= 0 ,Moisture= 3723.3</v>
      </c>
      <c r="BN981" s="69"/>
      <c r="BO981" s="70" t="str">
        <f t="shared" si="618"/>
        <v xml:space="preserve"> Party Condition 42  ,F.M% 0.39 ,Greenish 4.2 ,Moisture 6.3 ,Shortage in KG= 50  ,Oil% 38.51</v>
      </c>
      <c r="BP981" s="71">
        <f t="shared" si="619"/>
        <v>7147.6092297899422</v>
      </c>
      <c r="BQ981" s="55"/>
      <c r="BR981" s="55"/>
      <c r="BS981" s="41"/>
      <c r="BT981" s="41"/>
      <c r="BU981" s="41"/>
      <c r="BV981" s="41"/>
      <c r="BW981" s="85"/>
      <c r="BX981" s="27">
        <v>38.700000000000003</v>
      </c>
      <c r="BY981" s="27">
        <v>38.51</v>
      </c>
    </row>
    <row r="982" spans="1:77" ht="14.1" hidden="1" customHeight="1" x14ac:dyDescent="0.3">
      <c r="A982" s="138" t="s">
        <v>2077</v>
      </c>
      <c r="B982" s="146">
        <v>46190</v>
      </c>
      <c r="C982" s="138">
        <v>952</v>
      </c>
      <c r="D982" s="135" t="s">
        <v>2078</v>
      </c>
      <c r="E982" s="129">
        <v>46191</v>
      </c>
      <c r="F982" s="128" t="s">
        <v>2079</v>
      </c>
      <c r="G982" s="128" t="s">
        <v>2080</v>
      </c>
      <c r="H982" s="128" t="s">
        <v>2081</v>
      </c>
      <c r="I982" s="136"/>
      <c r="J982" s="347" t="s">
        <v>1455</v>
      </c>
      <c r="K982" s="136"/>
      <c r="L982" s="146">
        <v>46190</v>
      </c>
      <c r="M982" s="136"/>
      <c r="N982" s="281" t="s">
        <v>2082</v>
      </c>
      <c r="O982" s="146">
        <v>46191</v>
      </c>
      <c r="P982" s="138">
        <v>0</v>
      </c>
      <c r="Q982" s="138">
        <v>414</v>
      </c>
      <c r="R982" s="138">
        <v>0</v>
      </c>
      <c r="S982" s="138">
        <v>0</v>
      </c>
      <c r="T982" s="138">
        <v>414</v>
      </c>
      <c r="U982" s="136"/>
      <c r="V982" s="136"/>
      <c r="W982" s="147">
        <v>251.85</v>
      </c>
      <c r="X982" s="147">
        <v>250.9</v>
      </c>
      <c r="Y982" s="147">
        <v>1989615</v>
      </c>
      <c r="Z982" s="165"/>
      <c r="AA982" s="147">
        <v>49740.38</v>
      </c>
      <c r="AB982" s="147">
        <v>49740.38</v>
      </c>
      <c r="AC982" s="147">
        <v>2089095.75</v>
      </c>
      <c r="AD982" s="315">
        <f t="shared" si="603"/>
        <v>2087006.6542499999</v>
      </c>
      <c r="AE982" s="147">
        <v>39.880000000000003</v>
      </c>
      <c r="AF982" s="147">
        <v>42</v>
      </c>
      <c r="AG982" s="147">
        <v>39.6</v>
      </c>
      <c r="AH982" s="287">
        <v>3.8E-3</v>
      </c>
      <c r="AI982" s="287">
        <v>3.4799999999999998E-2</v>
      </c>
      <c r="AJ982" s="287">
        <v>5.2999999999999999E-2</v>
      </c>
      <c r="AK982" s="318">
        <f t="shared" si="604"/>
        <v>113692.28571428564</v>
      </c>
      <c r="AL982" s="193">
        <f>414*10</f>
        <v>4140</v>
      </c>
      <c r="AM982" s="319">
        <f t="shared" si="620"/>
        <v>7560.5370000000003</v>
      </c>
      <c r="AN982" s="319"/>
      <c r="AO982" s="320">
        <f t="shared" si="605"/>
        <v>7505</v>
      </c>
      <c r="AP982" s="193">
        <v>0</v>
      </c>
      <c r="AQ982" s="318">
        <v>0</v>
      </c>
      <c r="AR982" s="318">
        <f t="shared" si="606"/>
        <v>132897.82271428563</v>
      </c>
      <c r="AS982" s="318">
        <f t="shared" si="607"/>
        <v>139543</v>
      </c>
      <c r="AT982" s="321">
        <v>95</v>
      </c>
      <c r="AU982" s="136"/>
      <c r="AV982" s="136"/>
      <c r="AW982" s="318">
        <f t="shared" si="608"/>
        <v>25185</v>
      </c>
      <c r="AX982" s="193"/>
      <c r="AY982" s="318">
        <f t="shared" si="609"/>
        <v>25185</v>
      </c>
      <c r="AZ982" s="318">
        <f t="shared" si="610"/>
        <v>25090</v>
      </c>
      <c r="BA982" s="318">
        <f t="shared" si="611"/>
        <v>95</v>
      </c>
      <c r="BB982" s="318">
        <f t="shared" si="612"/>
        <v>50.37</v>
      </c>
      <c r="BC982" s="318">
        <v>0</v>
      </c>
      <c r="BD982" s="136"/>
      <c r="BE982" s="147">
        <v>251.85</v>
      </c>
      <c r="BF982" s="321">
        <f t="shared" si="613"/>
        <v>0.37777499999999997</v>
      </c>
      <c r="BG982" s="197">
        <f t="shared" si="595"/>
        <v>251.47222499999998</v>
      </c>
      <c r="BH982" s="321">
        <f t="shared" si="614"/>
        <v>250.9</v>
      </c>
      <c r="BI982" s="322">
        <f t="shared" si="615"/>
        <v>94.999999999998863</v>
      </c>
      <c r="BJ982" s="322">
        <v>0</v>
      </c>
      <c r="BK982" s="318">
        <f t="shared" si="616"/>
        <v>94.999999999998863</v>
      </c>
      <c r="BL982" s="80"/>
      <c r="BM982" s="68" t="str">
        <f t="shared" si="617"/>
        <v>Unloading no. 952 Bill No FMT27MLRJ001678 ,Deduction For Oil Deduction= 113692.285714286 ,Bardana= 4140 ,F.M= 7560.537 Brokerage/Rate Difference  ,Shortage = 7505 ,Greenish= 0 ,Moisture= 0</v>
      </c>
      <c r="BN982" s="69"/>
      <c r="BO982" s="70" t="str">
        <f t="shared" si="618"/>
        <v xml:space="preserve"> Party Condition 42  ,F.M% 0.38 ,Greenish 3.48 ,Moisture 5.3 ,Shortage in KG= 95  ,Oil% 39.6</v>
      </c>
      <c r="BP982" s="71">
        <f t="shared" si="619"/>
        <v>7400.2278887433813</v>
      </c>
      <c r="BQ982" s="55"/>
      <c r="BR982" s="55"/>
      <c r="BS982" s="41"/>
      <c r="BT982" s="41"/>
      <c r="BU982" s="41"/>
      <c r="BV982" s="41"/>
      <c r="BW982" s="85"/>
      <c r="BX982" s="27">
        <v>39.880000000000003</v>
      </c>
      <c r="BY982" s="27">
        <v>39.6</v>
      </c>
    </row>
    <row r="983" spans="1:77" ht="14.1" hidden="1" customHeight="1" x14ac:dyDescent="0.3">
      <c r="A983" s="275" t="s">
        <v>2083</v>
      </c>
      <c r="B983" s="376">
        <v>46190</v>
      </c>
      <c r="C983" s="275">
        <v>953</v>
      </c>
      <c r="D983" s="377" t="s">
        <v>2084</v>
      </c>
      <c r="E983" s="231">
        <v>46191</v>
      </c>
      <c r="F983" s="174" t="s">
        <v>1450</v>
      </c>
      <c r="G983" s="174" t="s">
        <v>1451</v>
      </c>
      <c r="H983" s="174" t="s">
        <v>199</v>
      </c>
      <c r="I983" s="176"/>
      <c r="J983" s="378" t="s">
        <v>1455</v>
      </c>
      <c r="K983" s="176"/>
      <c r="L983" s="376">
        <v>46190</v>
      </c>
      <c r="M983" s="176"/>
      <c r="N983" s="174" t="s">
        <v>2085</v>
      </c>
      <c r="O983" s="376">
        <v>46191</v>
      </c>
      <c r="P983" s="275">
        <v>0</v>
      </c>
      <c r="Q983" s="275">
        <v>200</v>
      </c>
      <c r="R983" s="275">
        <v>64</v>
      </c>
      <c r="S983" s="275">
        <v>0</v>
      </c>
      <c r="T983" s="275">
        <v>264</v>
      </c>
      <c r="U983" s="176"/>
      <c r="V983" s="176"/>
      <c r="W983" s="178">
        <v>159.9</v>
      </c>
      <c r="X983" s="178">
        <v>159.69999999999999</v>
      </c>
      <c r="Y983" s="178">
        <v>1259212.5</v>
      </c>
      <c r="Z983" s="182"/>
      <c r="AA983" s="178">
        <v>31480.31</v>
      </c>
      <c r="AB983" s="178">
        <v>31480.31</v>
      </c>
      <c r="AC983" s="178">
        <v>1322173.1299999999</v>
      </c>
      <c r="AD983" s="339">
        <f t="shared" si="603"/>
        <v>1320850.9568699999</v>
      </c>
      <c r="AE983" s="178">
        <v>39.72</v>
      </c>
      <c r="AF983" s="178">
        <v>42</v>
      </c>
      <c r="AG983" s="178">
        <v>39.64</v>
      </c>
      <c r="AH983" s="379">
        <v>3.3E-3</v>
      </c>
      <c r="AI983" s="308">
        <v>0.03</v>
      </c>
      <c r="AJ983" s="308">
        <v>5.6000000000000001E-2</v>
      </c>
      <c r="AK983" s="342">
        <f t="shared" si="604"/>
        <v>70755.749999999985</v>
      </c>
      <c r="AL983" s="335">
        <f>200*10+64*15</f>
        <v>2960</v>
      </c>
      <c r="AM983" s="343">
        <f t="shared" si="620"/>
        <v>4155.4012499999999</v>
      </c>
      <c r="AN983" s="343"/>
      <c r="AO983" s="344">
        <f t="shared" si="605"/>
        <v>1575</v>
      </c>
      <c r="AP983" s="335">
        <v>0</v>
      </c>
      <c r="AQ983" s="342">
        <v>0</v>
      </c>
      <c r="AR983" s="342">
        <f t="shared" si="606"/>
        <v>79446.151249999981</v>
      </c>
      <c r="AS983" s="342">
        <f t="shared" si="607"/>
        <v>83418</v>
      </c>
      <c r="AT983" s="345">
        <v>20</v>
      </c>
      <c r="AU983" s="176"/>
      <c r="AV983" s="176"/>
      <c r="AW983" s="342">
        <f t="shared" si="608"/>
        <v>15990</v>
      </c>
      <c r="AX983" s="335"/>
      <c r="AY983" s="342">
        <f t="shared" si="609"/>
        <v>15990</v>
      </c>
      <c r="AZ983" s="342">
        <f t="shared" si="610"/>
        <v>15969.999999999998</v>
      </c>
      <c r="BA983" s="342">
        <f t="shared" si="611"/>
        <v>20.000000000001819</v>
      </c>
      <c r="BB983" s="342">
        <f t="shared" si="612"/>
        <v>31.98</v>
      </c>
      <c r="BC983" s="342">
        <v>0</v>
      </c>
      <c r="BD983" s="176"/>
      <c r="BE983" s="178">
        <v>159.9</v>
      </c>
      <c r="BF983" s="345">
        <f t="shared" si="613"/>
        <v>0.23985000000000001</v>
      </c>
      <c r="BG983" s="210">
        <f t="shared" si="595"/>
        <v>159.66015000000002</v>
      </c>
      <c r="BH983" s="345">
        <f t="shared" si="614"/>
        <v>159.69999999999999</v>
      </c>
      <c r="BI983" s="346">
        <f t="shared" si="615"/>
        <v>20.000000000001705</v>
      </c>
      <c r="BJ983" s="346">
        <v>0</v>
      </c>
      <c r="BK983" s="342">
        <f t="shared" si="616"/>
        <v>20.000000000001705</v>
      </c>
      <c r="BL983" s="81"/>
      <c r="BM983" s="74" t="str">
        <f t="shared" si="617"/>
        <v>Unloading no. 953 Bill No ST-43 ,Deduction For Oil Deduction= 70755.75 ,Bardana= 2960 ,F.M= 4155.40125 Brokerage/Rate Difference  ,Shortage = 1575 ,Greenish= 0 ,Moisture= 0</v>
      </c>
      <c r="BN983" s="72"/>
      <c r="BO983" s="77" t="str">
        <f t="shared" si="618"/>
        <v xml:space="preserve"> Party Condition 42  ,F.M% 0.33 ,Greenish 3 ,Moisture 5.6 ,Shortage in KG= 20  ,Oil% 39.64</v>
      </c>
      <c r="BP983" s="71">
        <f t="shared" si="619"/>
        <v>7387.3910378835326</v>
      </c>
      <c r="BQ983" s="55"/>
      <c r="BR983" s="55"/>
      <c r="BS983" s="41"/>
      <c r="BT983" s="41"/>
      <c r="BU983" s="41"/>
      <c r="BV983" s="41"/>
      <c r="BW983" s="85"/>
      <c r="BX983" s="30">
        <v>39.72</v>
      </c>
      <c r="BY983" s="30">
        <v>39.64</v>
      </c>
    </row>
    <row r="984" spans="1:77" ht="14.1" hidden="1" customHeight="1" x14ac:dyDescent="0.3">
      <c r="A984" s="138" t="s">
        <v>2087</v>
      </c>
      <c r="B984" s="146">
        <v>46192</v>
      </c>
      <c r="C984" s="138">
        <v>954</v>
      </c>
      <c r="D984" s="135" t="s">
        <v>2094</v>
      </c>
      <c r="E984" s="130">
        <v>46192</v>
      </c>
      <c r="F984" s="128" t="s">
        <v>1689</v>
      </c>
      <c r="G984" s="128" t="s">
        <v>1690</v>
      </c>
      <c r="H984" s="128" t="s">
        <v>1511</v>
      </c>
      <c r="I984" s="136"/>
      <c r="J984" s="347" t="s">
        <v>1455</v>
      </c>
      <c r="K984" s="136"/>
      <c r="L984" s="146">
        <v>46189</v>
      </c>
      <c r="M984" s="136"/>
      <c r="N984" s="128" t="s">
        <v>2104</v>
      </c>
      <c r="O984" s="146">
        <v>46191</v>
      </c>
      <c r="P984" s="138">
        <v>0</v>
      </c>
      <c r="Q984" s="138">
        <v>210</v>
      </c>
      <c r="R984" s="138">
        <v>433</v>
      </c>
      <c r="S984" s="138">
        <v>643</v>
      </c>
      <c r="T984" s="138">
        <v>643</v>
      </c>
      <c r="U984" s="136"/>
      <c r="V984" s="136"/>
      <c r="W984" s="147">
        <v>332.95</v>
      </c>
      <c r="X984" s="147">
        <v>331.7</v>
      </c>
      <c r="Y984" s="147">
        <v>2646952.5</v>
      </c>
      <c r="Z984" s="165"/>
      <c r="AA984" s="147">
        <v>66173.81</v>
      </c>
      <c r="AB984" s="147">
        <v>66173.81</v>
      </c>
      <c r="AC984" s="147">
        <v>2779300.13</v>
      </c>
      <c r="AD984" s="315">
        <f t="shared" si="603"/>
        <v>2776520.82987</v>
      </c>
      <c r="AE984" s="173">
        <v>37</v>
      </c>
      <c r="AF984" s="147">
        <v>42</v>
      </c>
      <c r="AG984" s="173">
        <v>36.81</v>
      </c>
      <c r="AH984" s="292">
        <v>6.3E-3</v>
      </c>
      <c r="AI984" s="287">
        <v>3.2000000000000001E-2</v>
      </c>
      <c r="AJ984" s="287">
        <v>5.1999999999999998E-2</v>
      </c>
      <c r="AK984" s="318">
        <f t="shared" ref="AK984:AK993" si="621">+IF(AF984=42,IF(MIN(AE984,AG984)&lt;AF984,Y984*((AF984-MIN(AE984,AG984))/AF984)),IF(MIN(AE984,AG984)&lt;AF984,Y984*((AF984-MIN(AE984,AG984))/AF984),0))</f>
        <v>327087.70178571413</v>
      </c>
      <c r="AL984" s="193">
        <f>210*10+433*15</f>
        <v>8595</v>
      </c>
      <c r="AM984" s="319">
        <f t="shared" ref="AM984:AM993" si="622">Y984*AH984</f>
        <v>16675.800749999999</v>
      </c>
      <c r="AN984" s="388">
        <f>W984*15</f>
        <v>4994.25</v>
      </c>
      <c r="AO984" s="320">
        <f t="shared" ref="AO984:AO993" si="623">AT984*Y984/AW984</f>
        <v>9937.5</v>
      </c>
      <c r="AP984" s="193">
        <v>0</v>
      </c>
      <c r="AQ984" s="318">
        <v>0</v>
      </c>
      <c r="AR984" s="318">
        <f t="shared" ref="AR984:AR993" si="624">SUM(AK984:AQ984)</f>
        <v>367290.25253571413</v>
      </c>
      <c r="AS984" s="318">
        <f t="shared" ref="AS984:AS993" si="625">ROUND(AR984*1.05,0)</f>
        <v>385655</v>
      </c>
      <c r="AT984" s="321">
        <v>125</v>
      </c>
      <c r="AU984" s="136"/>
      <c r="AV984" s="136"/>
      <c r="AW984" s="318">
        <f t="shared" ref="AW984:AW993" si="626">W984*100</f>
        <v>33295</v>
      </c>
      <c r="AX984" s="193"/>
      <c r="AY984" s="318">
        <f t="shared" ref="AY984:AY993" si="627">+AW984+AX984</f>
        <v>33295</v>
      </c>
      <c r="AZ984" s="318">
        <f t="shared" ref="AZ984:AZ993" si="628">X984*100</f>
        <v>33170</v>
      </c>
      <c r="BA984" s="318">
        <f t="shared" ref="BA984:BA993" si="629">AY984-AZ984</f>
        <v>125</v>
      </c>
      <c r="BB984" s="318">
        <f t="shared" ref="BB984:BB993" si="630">AW984*2/1000</f>
        <v>66.59</v>
      </c>
      <c r="BC984" s="318">
        <v>0</v>
      </c>
      <c r="BD984" s="136"/>
      <c r="BE984" s="147">
        <v>332.95</v>
      </c>
      <c r="BF984" s="321">
        <f t="shared" ref="BF984:BF993" si="631">+BE984*0.15/100</f>
        <v>0.49942499999999995</v>
      </c>
      <c r="BG984" s="197">
        <f t="shared" si="595"/>
        <v>332.45057500000001</v>
      </c>
      <c r="BH984" s="321">
        <f t="shared" ref="BH984:BH993" si="632">X984</f>
        <v>331.7</v>
      </c>
      <c r="BI984" s="322">
        <f t="shared" ref="BI984:BI993" si="633">(BE984-BH984)*100</f>
        <v>125</v>
      </c>
      <c r="BJ984" s="322">
        <v>0</v>
      </c>
      <c r="BK984" s="318">
        <f t="shared" ref="BK984:BK993" si="634">BI984</f>
        <v>125</v>
      </c>
      <c r="BL984" s="67"/>
      <c r="BM984" s="68" t="str">
        <f t="shared" ref="BM984:BM993" si="635">+$C$1&amp;" "&amp;C984 &amp;" "&amp;$N$1&amp;" "&amp;N984&amp;" "&amp;$BM$1&amp;" "&amp;$AK$1&amp;" "&amp;AK984&amp;" "&amp;$AL$1&amp;" "&amp;AL984&amp;" "&amp;$AM$1&amp;" "&amp;AM984&amp;" "&amp;$AN$1&amp;" "&amp;AN984&amp;" "&amp;$AO$1&amp;" "&amp;AO984&amp;" "&amp;$AP$1&amp;" "&amp;AP984&amp;" "&amp;$AQ$1&amp;" "&amp;AQ984</f>
        <v>Unloading no. 954 Bill No GST29 ,Deduction For Oil Deduction= 327087.701785714 ,Bardana= 8595 ,F.M= 16675.80075 Brokerage/Rate Difference 4994.25 ,Shortage = 9937.5 ,Greenish= 0 ,Moisture= 0</v>
      </c>
      <c r="BN984" s="69"/>
      <c r="BO984" s="70" t="str">
        <f t="shared" ref="BO984:BO993" si="636">+" "&amp;$AF$1&amp;" "&amp;AF984&amp;" "&amp;" "&amp;$AH$1&amp;" "&amp;AH984*100&amp;" "&amp;$AI$1&amp;" "&amp;AI984*100&amp;" "&amp;$AJ$1&amp;" "&amp;AJ984*100&amp;" ,"&amp;$AT$1&amp;" "&amp;AT984&amp;" "&amp;IF(AE984&gt;AG984," ,Oil%"&amp;" "&amp;AG984," ,Oil%"&amp;" "&amp;AE984)</f>
        <v xml:space="preserve"> Party Condition 42  ,F.M% 0.63 ,Greenish 3.2 ,Moisture 5.2 ,Shortage in KG= 125  ,Oil% 36.81</v>
      </c>
      <c r="BP984" s="71">
        <f t="shared" ref="BP984:BP993" si="637">(Y984-AR984)/X984</f>
        <v>6872.6627900641715</v>
      </c>
      <c r="BQ984" s="55"/>
      <c r="BR984" s="55"/>
      <c r="BS984" s="41"/>
      <c r="BT984" s="41"/>
      <c r="BU984" s="41"/>
      <c r="BV984" s="41"/>
      <c r="BW984" s="85"/>
      <c r="BX984" s="30">
        <v>37</v>
      </c>
      <c r="BY984" s="30">
        <v>36.81</v>
      </c>
    </row>
    <row r="985" spans="1:77" ht="14.1" hidden="1" customHeight="1" x14ac:dyDescent="0.3">
      <c r="A985" s="138" t="s">
        <v>2088</v>
      </c>
      <c r="B985" s="146">
        <v>46192</v>
      </c>
      <c r="C985" s="138">
        <v>955</v>
      </c>
      <c r="D985" s="135" t="s">
        <v>2095</v>
      </c>
      <c r="E985" s="130">
        <v>46192</v>
      </c>
      <c r="F985" s="128" t="s">
        <v>1805</v>
      </c>
      <c r="G985" s="128" t="s">
        <v>1806</v>
      </c>
      <c r="H985" s="128" t="s">
        <v>1511</v>
      </c>
      <c r="I985" s="136"/>
      <c r="J985" s="347" t="s">
        <v>1455</v>
      </c>
      <c r="K985" s="136"/>
      <c r="L985" s="146">
        <v>46190</v>
      </c>
      <c r="M985" s="136"/>
      <c r="N985" s="128" t="s">
        <v>2105</v>
      </c>
      <c r="O985" s="146">
        <v>46191</v>
      </c>
      <c r="P985" s="138">
        <v>0</v>
      </c>
      <c r="Q985" s="138">
        <v>350</v>
      </c>
      <c r="R985" s="138">
        <v>157</v>
      </c>
      <c r="S985" s="138">
        <v>507</v>
      </c>
      <c r="T985" s="138">
        <v>507</v>
      </c>
      <c r="U985" s="136"/>
      <c r="V985" s="136"/>
      <c r="W985" s="147">
        <v>302.55</v>
      </c>
      <c r="X985" s="147">
        <v>301.3</v>
      </c>
      <c r="Y985" s="147">
        <v>2382581.25</v>
      </c>
      <c r="Z985" s="165"/>
      <c r="AA985" s="147">
        <v>59564.53</v>
      </c>
      <c r="AB985" s="147">
        <v>59564.53</v>
      </c>
      <c r="AC985" s="147">
        <v>2501710.31</v>
      </c>
      <c r="AD985" s="315">
        <f t="shared" si="603"/>
        <v>2499208.5996900001</v>
      </c>
      <c r="AE985" s="173">
        <v>37.5</v>
      </c>
      <c r="AF985" s="147">
        <v>42</v>
      </c>
      <c r="AG985" s="173">
        <v>37.42</v>
      </c>
      <c r="AH985" s="292">
        <v>6.7999999999999996E-3</v>
      </c>
      <c r="AI985" s="287">
        <v>3.4000000000000002E-2</v>
      </c>
      <c r="AJ985" s="287">
        <v>4.8000000000000001E-2</v>
      </c>
      <c r="AK985" s="318">
        <f t="shared" si="621"/>
        <v>259814.81249999988</v>
      </c>
      <c r="AL985" s="193">
        <f>350*10+157*15</f>
        <v>5855</v>
      </c>
      <c r="AM985" s="319">
        <f t="shared" si="622"/>
        <v>16201.5525</v>
      </c>
      <c r="AN985" s="319"/>
      <c r="AO985" s="320">
        <f t="shared" si="623"/>
        <v>9843.75</v>
      </c>
      <c r="AP985" s="193">
        <v>0</v>
      </c>
      <c r="AQ985" s="318">
        <v>0</v>
      </c>
      <c r="AR985" s="318">
        <f t="shared" si="624"/>
        <v>291715.11499999987</v>
      </c>
      <c r="AS985" s="318">
        <f t="shared" si="625"/>
        <v>306301</v>
      </c>
      <c r="AT985" s="321">
        <v>125</v>
      </c>
      <c r="AU985" s="136"/>
      <c r="AV985" s="136"/>
      <c r="AW985" s="318">
        <f t="shared" si="626"/>
        <v>30255</v>
      </c>
      <c r="AX985" s="193"/>
      <c r="AY985" s="318">
        <f t="shared" si="627"/>
        <v>30255</v>
      </c>
      <c r="AZ985" s="318">
        <f t="shared" si="628"/>
        <v>30130</v>
      </c>
      <c r="BA985" s="318">
        <f t="shared" si="629"/>
        <v>125</v>
      </c>
      <c r="BB985" s="318">
        <f t="shared" si="630"/>
        <v>60.51</v>
      </c>
      <c r="BC985" s="318">
        <v>0</v>
      </c>
      <c r="BD985" s="136"/>
      <c r="BE985" s="147">
        <v>302.55</v>
      </c>
      <c r="BF985" s="321">
        <f t="shared" si="631"/>
        <v>0.45382499999999998</v>
      </c>
      <c r="BG985" s="197">
        <f t="shared" si="595"/>
        <v>302.09617500000002</v>
      </c>
      <c r="BH985" s="321">
        <f t="shared" si="632"/>
        <v>301.3</v>
      </c>
      <c r="BI985" s="322">
        <f t="shared" si="633"/>
        <v>125</v>
      </c>
      <c r="BJ985" s="322">
        <v>0</v>
      </c>
      <c r="BK985" s="318">
        <f t="shared" si="634"/>
        <v>125</v>
      </c>
      <c r="BL985" s="67"/>
      <c r="BM985" s="68" t="str">
        <f t="shared" si="635"/>
        <v>Unloading no. 955 Bill No 10/2026-27 ,Deduction For Oil Deduction= 259814.8125 ,Bardana= 5855 ,F.M= 16201.5525 Brokerage/Rate Difference  ,Shortage = 9843.75 ,Greenish= 0 ,Moisture= 0</v>
      </c>
      <c r="BN985" s="69"/>
      <c r="BO985" s="70" t="str">
        <f t="shared" si="636"/>
        <v xml:space="preserve"> Party Condition 42  ,F.M% 0.68 ,Greenish 3.4 ,Moisture 4.8 ,Shortage in KG= 125  ,Oil% 37.42</v>
      </c>
      <c r="BP985" s="71">
        <f t="shared" si="637"/>
        <v>6939.4826916694328</v>
      </c>
      <c r="BQ985" s="55"/>
      <c r="BR985" s="55"/>
      <c r="BS985" s="41"/>
      <c r="BT985" s="41"/>
      <c r="BU985" s="41"/>
      <c r="BV985" s="41"/>
      <c r="BW985" s="85"/>
      <c r="BX985" s="30">
        <v>37.5</v>
      </c>
      <c r="BY985" s="30">
        <v>37.42</v>
      </c>
    </row>
    <row r="986" spans="1:77" ht="14.1" hidden="1" customHeight="1" x14ac:dyDescent="0.3">
      <c r="A986" s="138" t="s">
        <v>2089</v>
      </c>
      <c r="B986" s="146">
        <v>46192</v>
      </c>
      <c r="C986" s="138">
        <v>956</v>
      </c>
      <c r="D986" s="135" t="s">
        <v>2096</v>
      </c>
      <c r="E986" s="130">
        <v>46192</v>
      </c>
      <c r="F986" s="128" t="s">
        <v>1083</v>
      </c>
      <c r="G986" s="128" t="s">
        <v>1084</v>
      </c>
      <c r="H986" s="128" t="s">
        <v>1454</v>
      </c>
      <c r="I986" s="136"/>
      <c r="J986" s="347" t="s">
        <v>1455</v>
      </c>
      <c r="K986" s="136"/>
      <c r="L986" s="146">
        <v>46190</v>
      </c>
      <c r="M986" s="136"/>
      <c r="N986" s="128">
        <v>44</v>
      </c>
      <c r="O986" s="146">
        <v>46191</v>
      </c>
      <c r="P986" s="138">
        <v>0</v>
      </c>
      <c r="Q986" s="138">
        <v>254</v>
      </c>
      <c r="R986" s="138">
        <v>97</v>
      </c>
      <c r="S986" s="138">
        <v>351</v>
      </c>
      <c r="T986" s="138">
        <v>351</v>
      </c>
      <c r="U986" s="136"/>
      <c r="V986" s="136"/>
      <c r="W986" s="147">
        <v>246.6</v>
      </c>
      <c r="X986" s="147">
        <v>245.6</v>
      </c>
      <c r="Y986" s="147">
        <v>1960470</v>
      </c>
      <c r="Z986" s="165"/>
      <c r="AA986" s="147">
        <v>49011.75</v>
      </c>
      <c r="AB986" s="147">
        <v>49011.75</v>
      </c>
      <c r="AC986" s="147">
        <v>2058493.5</v>
      </c>
      <c r="AD986" s="315">
        <f t="shared" si="603"/>
        <v>2056435.0064999999</v>
      </c>
      <c r="AE986" s="173">
        <v>38.53</v>
      </c>
      <c r="AF986" s="147">
        <v>42</v>
      </c>
      <c r="AG986" s="173">
        <v>38.409999999999997</v>
      </c>
      <c r="AH986" s="292">
        <v>4.7999999999999996E-3</v>
      </c>
      <c r="AI986" s="287">
        <v>3.6999999999999998E-2</v>
      </c>
      <c r="AJ986" s="287">
        <v>5.6000000000000001E-2</v>
      </c>
      <c r="AK986" s="318">
        <f t="shared" si="621"/>
        <v>167573.5071428573</v>
      </c>
      <c r="AL986" s="193">
        <f>254*10+97*15</f>
        <v>3995</v>
      </c>
      <c r="AM986" s="410">
        <f>Y986*AH986+7620.34</f>
        <v>17030.595999999998</v>
      </c>
      <c r="AN986" s="319">
        <f>W986*15</f>
        <v>3699</v>
      </c>
      <c r="AO986" s="320">
        <f t="shared" si="623"/>
        <v>7950</v>
      </c>
      <c r="AP986" s="193">
        <v>0</v>
      </c>
      <c r="AQ986" s="318">
        <v>0</v>
      </c>
      <c r="AR986" s="318">
        <f t="shared" si="624"/>
        <v>200248.10314285729</v>
      </c>
      <c r="AS986" s="318">
        <f t="shared" si="625"/>
        <v>210261</v>
      </c>
      <c r="AT986" s="321">
        <v>100</v>
      </c>
      <c r="AU986" s="206" t="s">
        <v>2108</v>
      </c>
      <c r="AV986" s="136"/>
      <c r="AW986" s="318">
        <f t="shared" si="626"/>
        <v>24660</v>
      </c>
      <c r="AX986" s="193"/>
      <c r="AY986" s="318">
        <f t="shared" si="627"/>
        <v>24660</v>
      </c>
      <c r="AZ986" s="318">
        <f t="shared" si="628"/>
        <v>24560</v>
      </c>
      <c r="BA986" s="318">
        <f t="shared" si="629"/>
        <v>100</v>
      </c>
      <c r="BB986" s="318">
        <f t="shared" si="630"/>
        <v>49.32</v>
      </c>
      <c r="BC986" s="318">
        <v>0</v>
      </c>
      <c r="BD986" s="136"/>
      <c r="BE986" s="147">
        <v>246.6</v>
      </c>
      <c r="BF986" s="321">
        <f t="shared" si="631"/>
        <v>0.36989999999999995</v>
      </c>
      <c r="BG986" s="197">
        <f t="shared" si="595"/>
        <v>246.23009999999999</v>
      </c>
      <c r="BH986" s="321">
        <f t="shared" si="632"/>
        <v>245.6</v>
      </c>
      <c r="BI986" s="322">
        <f t="shared" si="633"/>
        <v>100</v>
      </c>
      <c r="BJ986" s="322">
        <v>0</v>
      </c>
      <c r="BK986" s="318">
        <f t="shared" si="634"/>
        <v>100</v>
      </c>
      <c r="BL986" s="67"/>
      <c r="BM986" s="68" t="str">
        <f t="shared" si="635"/>
        <v>Unloading no. 956 Bill No 44 ,Deduction For Oil Deduction= 167573.507142857 ,Bardana= 3995 ,F.M= 17030.596 Brokerage/Rate Difference 3699 ,Shortage = 7950 ,Greenish= 0 ,Moisture= 0</v>
      </c>
      <c r="BN986" s="69"/>
      <c r="BO986" s="70" t="str">
        <f t="shared" si="636"/>
        <v xml:space="preserve"> Party Condition 42  ,F.M% 0.48 ,Greenish 3.7 ,Moisture 5.6 ,Shortage in KG= 100  ,Oil% 38.41</v>
      </c>
      <c r="BP986" s="71">
        <f t="shared" si="637"/>
        <v>7167.0272673336431</v>
      </c>
      <c r="BQ986" s="55"/>
      <c r="BR986" s="55"/>
      <c r="BS986" s="41"/>
      <c r="BT986" s="41"/>
      <c r="BU986" s="41"/>
      <c r="BV986" s="41"/>
      <c r="BW986" s="85"/>
      <c r="BX986" s="30">
        <v>38.53</v>
      </c>
      <c r="BY986" s="30">
        <v>38.409999999999997</v>
      </c>
    </row>
    <row r="987" spans="1:77" ht="14.1" hidden="1" customHeight="1" x14ac:dyDescent="0.3">
      <c r="A987" s="138" t="s">
        <v>2089</v>
      </c>
      <c r="B987" s="146">
        <v>46192</v>
      </c>
      <c r="C987" s="138">
        <v>957</v>
      </c>
      <c r="D987" s="135" t="s">
        <v>2097</v>
      </c>
      <c r="E987" s="130">
        <v>46192</v>
      </c>
      <c r="F987" s="128" t="s">
        <v>1083</v>
      </c>
      <c r="G987" s="128" t="s">
        <v>1084</v>
      </c>
      <c r="H987" s="128" t="s">
        <v>1454</v>
      </c>
      <c r="I987" s="136"/>
      <c r="J987" s="347" t="s">
        <v>1455</v>
      </c>
      <c r="K987" s="136"/>
      <c r="L987" s="146">
        <v>46190</v>
      </c>
      <c r="M987" s="136"/>
      <c r="N987" s="128">
        <v>42</v>
      </c>
      <c r="O987" s="146">
        <v>46191</v>
      </c>
      <c r="P987" s="138">
        <v>0</v>
      </c>
      <c r="Q987" s="138">
        <v>286</v>
      </c>
      <c r="R987" s="138">
        <v>92</v>
      </c>
      <c r="S987" s="138">
        <v>378</v>
      </c>
      <c r="T987" s="138">
        <v>378</v>
      </c>
      <c r="U987" s="136"/>
      <c r="V987" s="136"/>
      <c r="W987" s="147">
        <v>249.5</v>
      </c>
      <c r="X987" s="147">
        <v>248.3</v>
      </c>
      <c r="Y987" s="147">
        <v>1983525</v>
      </c>
      <c r="Z987" s="165"/>
      <c r="AA987" s="147">
        <v>49588.13</v>
      </c>
      <c r="AB987" s="147">
        <v>49588.13</v>
      </c>
      <c r="AC987" s="147">
        <v>2082701.25</v>
      </c>
      <c r="AD987" s="315">
        <f t="shared" si="603"/>
        <v>2080618.5487500001</v>
      </c>
      <c r="AE987" s="173">
        <v>39.36</v>
      </c>
      <c r="AF987" s="147">
        <v>42</v>
      </c>
      <c r="AG987" s="173">
        <v>39.28</v>
      </c>
      <c r="AH987" s="287">
        <v>4.4999999999999997E-3</v>
      </c>
      <c r="AI987" s="287">
        <v>3.85E-2</v>
      </c>
      <c r="AJ987" s="287">
        <v>5.0999999999999997E-2</v>
      </c>
      <c r="AK987" s="318">
        <f t="shared" si="621"/>
        <v>128456.85714285707</v>
      </c>
      <c r="AL987" s="193">
        <f>286*10+92*15</f>
        <v>4240</v>
      </c>
      <c r="AM987" s="319">
        <f t="shared" si="622"/>
        <v>8925.8624999999993</v>
      </c>
      <c r="AN987" s="319">
        <f>W987*15</f>
        <v>3742.5</v>
      </c>
      <c r="AO987" s="320">
        <f t="shared" si="623"/>
        <v>9540</v>
      </c>
      <c r="AP987" s="193">
        <v>0</v>
      </c>
      <c r="AQ987" s="318">
        <v>0</v>
      </c>
      <c r="AR987" s="318">
        <f t="shared" si="624"/>
        <v>154905.21964285706</v>
      </c>
      <c r="AS987" s="318">
        <f t="shared" si="625"/>
        <v>162650</v>
      </c>
      <c r="AT987" s="321">
        <v>120</v>
      </c>
      <c r="AU987" s="136"/>
      <c r="AV987" s="136"/>
      <c r="AW987" s="318">
        <f t="shared" si="626"/>
        <v>24950</v>
      </c>
      <c r="AX987" s="193"/>
      <c r="AY987" s="318">
        <f t="shared" si="627"/>
        <v>24950</v>
      </c>
      <c r="AZ987" s="318">
        <f t="shared" si="628"/>
        <v>24830</v>
      </c>
      <c r="BA987" s="318">
        <f t="shared" si="629"/>
        <v>120</v>
      </c>
      <c r="BB987" s="318">
        <f t="shared" si="630"/>
        <v>49.9</v>
      </c>
      <c r="BC987" s="318">
        <v>0</v>
      </c>
      <c r="BD987" s="136"/>
      <c r="BE987" s="147">
        <v>249.5</v>
      </c>
      <c r="BF987" s="321">
        <f t="shared" si="631"/>
        <v>0.37424999999999997</v>
      </c>
      <c r="BG987" s="197">
        <f t="shared" si="595"/>
        <v>249.12575000000001</v>
      </c>
      <c r="BH987" s="321">
        <f t="shared" si="632"/>
        <v>248.3</v>
      </c>
      <c r="BI987" s="322">
        <f t="shared" si="633"/>
        <v>119.99999999999886</v>
      </c>
      <c r="BJ987" s="322">
        <v>0</v>
      </c>
      <c r="BK987" s="318">
        <f t="shared" si="634"/>
        <v>119.99999999999886</v>
      </c>
      <c r="BL987" s="67"/>
      <c r="BM987" s="68" t="str">
        <f t="shared" si="635"/>
        <v>Unloading no. 957 Bill No 42 ,Deduction For Oil Deduction= 128456.857142857 ,Bardana= 4240 ,F.M= 8925.8625 Brokerage/Rate Difference 3742.5 ,Shortage = 9540 ,Greenish= 0 ,Moisture= 0</v>
      </c>
      <c r="BN987" s="69"/>
      <c r="BO987" s="70" t="str">
        <f t="shared" si="636"/>
        <v xml:space="preserve"> Party Condition 42  ,F.M% 0.45 ,Greenish 3.85 ,Moisture 5.1 ,Shortage in KG= 120  ,Oil% 39.28</v>
      </c>
      <c r="BP987" s="71">
        <f t="shared" si="637"/>
        <v>7364.5581166215979</v>
      </c>
      <c r="BQ987" s="55"/>
      <c r="BR987" s="55"/>
      <c r="BS987" s="41"/>
      <c r="BT987" s="41"/>
      <c r="BU987" s="41"/>
      <c r="BV987" s="41"/>
      <c r="BW987" s="85"/>
      <c r="BX987" s="30">
        <v>39.36</v>
      </c>
      <c r="BY987" s="30">
        <v>39.28</v>
      </c>
    </row>
    <row r="988" spans="1:77" ht="14.1" hidden="1" customHeight="1" x14ac:dyDescent="0.3">
      <c r="A988" s="138" t="s">
        <v>2077</v>
      </c>
      <c r="B988" s="146">
        <v>46192</v>
      </c>
      <c r="C988" s="138">
        <v>958</v>
      </c>
      <c r="D988" s="135" t="s">
        <v>2098</v>
      </c>
      <c r="E988" s="130">
        <v>46192</v>
      </c>
      <c r="F988" s="128" t="s">
        <v>2079</v>
      </c>
      <c r="G988" s="128" t="s">
        <v>2080</v>
      </c>
      <c r="H988" s="128" t="s">
        <v>2081</v>
      </c>
      <c r="I988" s="136"/>
      <c r="J988" s="347" t="s">
        <v>1455</v>
      </c>
      <c r="K988" s="136"/>
      <c r="L988" s="146">
        <v>46190</v>
      </c>
      <c r="M988" s="136"/>
      <c r="N988" s="128" t="s">
        <v>2106</v>
      </c>
      <c r="O988" s="146">
        <v>46191</v>
      </c>
      <c r="P988" s="138">
        <v>0</v>
      </c>
      <c r="Q988" s="138">
        <v>350</v>
      </c>
      <c r="R988" s="138">
        <v>49</v>
      </c>
      <c r="S988" s="138">
        <v>399</v>
      </c>
      <c r="T988" s="138">
        <v>399</v>
      </c>
      <c r="U988" s="136"/>
      <c r="V988" s="136"/>
      <c r="W988" s="147">
        <v>244.05</v>
      </c>
      <c r="X988" s="147">
        <v>242.8</v>
      </c>
      <c r="Y988" s="147">
        <v>1927995</v>
      </c>
      <c r="Z988" s="165"/>
      <c r="AA988" s="147">
        <v>48199.88</v>
      </c>
      <c r="AB988" s="147">
        <v>48199.88</v>
      </c>
      <c r="AC988" s="147">
        <v>2024394.75</v>
      </c>
      <c r="AD988" s="315">
        <f t="shared" si="603"/>
        <v>2022370.35525</v>
      </c>
      <c r="AE988" s="147">
        <v>39.700000000000003</v>
      </c>
      <c r="AF988" s="147">
        <v>42</v>
      </c>
      <c r="AG988" s="147">
        <v>39.520000000000003</v>
      </c>
      <c r="AH988" s="292">
        <v>4.4999999999999997E-3</v>
      </c>
      <c r="AI988" s="287">
        <v>3.7499999999999999E-2</v>
      </c>
      <c r="AJ988" s="287">
        <v>5.8000000000000003E-2</v>
      </c>
      <c r="AK988" s="318">
        <f t="shared" si="621"/>
        <v>113843.51428571415</v>
      </c>
      <c r="AL988" s="193">
        <f>350*10+49*15</f>
        <v>4235</v>
      </c>
      <c r="AM988" s="319">
        <f t="shared" si="622"/>
        <v>8675.9774999999991</v>
      </c>
      <c r="AN988" s="319"/>
      <c r="AO988" s="320">
        <f t="shared" si="623"/>
        <v>9875</v>
      </c>
      <c r="AP988" s="193">
        <v>0</v>
      </c>
      <c r="AQ988" s="318">
        <v>0</v>
      </c>
      <c r="AR988" s="318">
        <f t="shared" si="624"/>
        <v>136629.49178571414</v>
      </c>
      <c r="AS988" s="318">
        <f t="shared" si="625"/>
        <v>143461</v>
      </c>
      <c r="AT988" s="321">
        <v>125</v>
      </c>
      <c r="AU988" s="136"/>
      <c r="AV988" s="136"/>
      <c r="AW988" s="318">
        <f t="shared" si="626"/>
        <v>24405</v>
      </c>
      <c r="AX988" s="193"/>
      <c r="AY988" s="318">
        <f t="shared" si="627"/>
        <v>24405</v>
      </c>
      <c r="AZ988" s="318">
        <f t="shared" si="628"/>
        <v>24280</v>
      </c>
      <c r="BA988" s="318">
        <f t="shared" si="629"/>
        <v>125</v>
      </c>
      <c r="BB988" s="318">
        <f t="shared" si="630"/>
        <v>48.81</v>
      </c>
      <c r="BC988" s="318">
        <v>0</v>
      </c>
      <c r="BD988" s="136"/>
      <c r="BE988" s="147">
        <v>244.05</v>
      </c>
      <c r="BF988" s="321">
        <f t="shared" si="631"/>
        <v>0.36607500000000004</v>
      </c>
      <c r="BG988" s="197">
        <f t="shared" si="595"/>
        <v>243.68392500000002</v>
      </c>
      <c r="BH988" s="321">
        <f t="shared" si="632"/>
        <v>242.8</v>
      </c>
      <c r="BI988" s="322">
        <f t="shared" si="633"/>
        <v>125</v>
      </c>
      <c r="BJ988" s="322">
        <v>0</v>
      </c>
      <c r="BK988" s="318">
        <f t="shared" si="634"/>
        <v>125</v>
      </c>
      <c r="BL988" s="67"/>
      <c r="BM988" s="68" t="str">
        <f t="shared" si="635"/>
        <v>Unloading no. 958 Bill No FMT27MLR001682 ,Deduction For Oil Deduction= 113843.514285714 ,Bardana= 4235 ,F.M= 8675.9775 Brokerage/Rate Difference  ,Shortage = 9875 ,Greenish= 0 ,Moisture= 0</v>
      </c>
      <c r="BN988" s="69"/>
      <c r="BO988" s="70" t="str">
        <f t="shared" si="636"/>
        <v xml:space="preserve"> Party Condition 42  ,F.M% 0.45 ,Greenish 3.75 ,Moisture 5.8 ,Shortage in KG= 125  ,Oil% 39.52</v>
      </c>
      <c r="BP988" s="71">
        <f t="shared" si="637"/>
        <v>7377.9469036832197</v>
      </c>
      <c r="BQ988" s="55"/>
      <c r="BR988" s="55"/>
      <c r="BS988" s="41"/>
      <c r="BT988" s="41"/>
      <c r="BU988" s="41"/>
      <c r="BV988" s="41"/>
      <c r="BW988" s="85"/>
      <c r="BX988" s="27">
        <v>39.700000000000003</v>
      </c>
      <c r="BY988" s="27">
        <v>39.520000000000003</v>
      </c>
    </row>
    <row r="989" spans="1:77" ht="14.1" hidden="1" customHeight="1" x14ac:dyDescent="0.3">
      <c r="A989" s="138" t="s">
        <v>2090</v>
      </c>
      <c r="B989" s="146">
        <v>46193</v>
      </c>
      <c r="C989" s="138">
        <v>959</v>
      </c>
      <c r="D989" s="135" t="s">
        <v>2099</v>
      </c>
      <c r="E989" s="130">
        <v>46193</v>
      </c>
      <c r="F989" s="128" t="s">
        <v>1450</v>
      </c>
      <c r="G989" s="128" t="s">
        <v>1451</v>
      </c>
      <c r="H989" s="128" t="s">
        <v>199</v>
      </c>
      <c r="I989" s="136"/>
      <c r="J989" s="347" t="s">
        <v>1455</v>
      </c>
      <c r="K989" s="136"/>
      <c r="L989" s="146">
        <v>46191</v>
      </c>
      <c r="M989" s="136"/>
      <c r="N989" s="281" t="s">
        <v>2107</v>
      </c>
      <c r="O989" s="146">
        <v>46192</v>
      </c>
      <c r="P989" s="138">
        <v>0</v>
      </c>
      <c r="Q989" s="138">
        <v>225</v>
      </c>
      <c r="R989" s="138">
        <v>30</v>
      </c>
      <c r="S989" s="138">
        <v>255</v>
      </c>
      <c r="T989" s="138">
        <v>255</v>
      </c>
      <c r="U989" s="136"/>
      <c r="V989" s="136"/>
      <c r="W989" s="147">
        <v>154.4</v>
      </c>
      <c r="X989" s="147">
        <v>154.19999999999999</v>
      </c>
      <c r="Y989" s="147">
        <v>1215900</v>
      </c>
      <c r="Z989" s="165"/>
      <c r="AA989" s="147">
        <v>30397.5</v>
      </c>
      <c r="AB989" s="147">
        <v>30397.5</v>
      </c>
      <c r="AC989" s="147">
        <v>1276695</v>
      </c>
      <c r="AD989" s="315">
        <f t="shared" si="603"/>
        <v>1275418.3049999999</v>
      </c>
      <c r="AE989" s="147">
        <v>39.69</v>
      </c>
      <c r="AF989" s="147">
        <v>42</v>
      </c>
      <c r="AG989" s="147">
        <v>39.549999999999997</v>
      </c>
      <c r="AH989" s="287">
        <v>3.3E-3</v>
      </c>
      <c r="AI989" s="287">
        <v>0.03</v>
      </c>
      <c r="AJ989" s="287">
        <v>5.2999999999999999E-2</v>
      </c>
      <c r="AK989" s="318">
        <f t="shared" si="621"/>
        <v>70927.500000000087</v>
      </c>
      <c r="AL989" s="193">
        <f>225*10+30*15</f>
        <v>2700</v>
      </c>
      <c r="AM989" s="319">
        <f t="shared" si="622"/>
        <v>4012.47</v>
      </c>
      <c r="AN989" s="319"/>
      <c r="AO989" s="320">
        <f t="shared" si="623"/>
        <v>1575</v>
      </c>
      <c r="AP989" s="193">
        <v>0</v>
      </c>
      <c r="AQ989" s="318">
        <v>0</v>
      </c>
      <c r="AR989" s="318">
        <f t="shared" si="624"/>
        <v>79214.970000000088</v>
      </c>
      <c r="AS989" s="318">
        <f t="shared" si="625"/>
        <v>83176</v>
      </c>
      <c r="AT989" s="321">
        <v>20</v>
      </c>
      <c r="AU989" s="136"/>
      <c r="AV989" s="136"/>
      <c r="AW989" s="318">
        <f t="shared" si="626"/>
        <v>15440</v>
      </c>
      <c r="AX989" s="193"/>
      <c r="AY989" s="318">
        <f t="shared" si="627"/>
        <v>15440</v>
      </c>
      <c r="AZ989" s="318">
        <f t="shared" si="628"/>
        <v>15419.999999999998</v>
      </c>
      <c r="BA989" s="318">
        <f t="shared" si="629"/>
        <v>20.000000000001819</v>
      </c>
      <c r="BB989" s="318">
        <f t="shared" si="630"/>
        <v>30.88</v>
      </c>
      <c r="BC989" s="318">
        <v>0</v>
      </c>
      <c r="BD989" s="136"/>
      <c r="BE989" s="147">
        <v>154.4</v>
      </c>
      <c r="BF989" s="321">
        <f t="shared" si="631"/>
        <v>0.2316</v>
      </c>
      <c r="BG989" s="197">
        <f t="shared" si="595"/>
        <v>154.16840000000002</v>
      </c>
      <c r="BH989" s="321">
        <f t="shared" si="632"/>
        <v>154.19999999999999</v>
      </c>
      <c r="BI989" s="322">
        <f t="shared" si="633"/>
        <v>20.000000000001705</v>
      </c>
      <c r="BJ989" s="322">
        <v>0</v>
      </c>
      <c r="BK989" s="318">
        <f t="shared" si="634"/>
        <v>20.000000000001705</v>
      </c>
      <c r="BL989" s="67"/>
      <c r="BM989" s="68" t="str">
        <f t="shared" si="635"/>
        <v>Unloading no. 959 Bill No ST-44 ,Deduction For Oil Deduction= 70927.5000000001 ,Bardana= 2700 ,F.M= 4012.47 Brokerage/Rate Difference  ,Shortage = 1575 ,Greenish= 0 ,Moisture= 0</v>
      </c>
      <c r="BN989" s="69"/>
      <c r="BO989" s="70" t="str">
        <f t="shared" si="636"/>
        <v xml:space="preserve"> Party Condition 42  ,F.M% 0.33 ,Greenish 3 ,Moisture 5.3 ,Shortage in KG= 20  ,Oil% 39.55</v>
      </c>
      <c r="BP989" s="71">
        <f t="shared" si="637"/>
        <v>7371.4982490272369</v>
      </c>
      <c r="BQ989" s="55"/>
      <c r="BR989" s="55"/>
      <c r="BS989" s="41"/>
      <c r="BT989" s="41"/>
      <c r="BU989" s="41"/>
      <c r="BV989" s="41"/>
      <c r="BW989" s="85"/>
      <c r="BX989" s="27">
        <v>39.69</v>
      </c>
      <c r="BY989" s="27">
        <v>39.549999999999997</v>
      </c>
    </row>
    <row r="990" spans="1:77" ht="14.1" hidden="1" customHeight="1" x14ac:dyDescent="0.3">
      <c r="A990" s="138" t="s">
        <v>2091</v>
      </c>
      <c r="B990" s="146">
        <v>46193</v>
      </c>
      <c r="C990" s="138">
        <v>960</v>
      </c>
      <c r="D990" s="135" t="s">
        <v>2100</v>
      </c>
      <c r="E990" s="130">
        <v>46193</v>
      </c>
      <c r="F990" s="128" t="s">
        <v>1512</v>
      </c>
      <c r="G990" s="128" t="s">
        <v>1513</v>
      </c>
      <c r="H990" s="128" t="s">
        <v>1514</v>
      </c>
      <c r="I990" s="136"/>
      <c r="J990" s="347" t="s">
        <v>1455</v>
      </c>
      <c r="K990" s="136"/>
      <c r="L990" s="146">
        <v>46191</v>
      </c>
      <c r="M990" s="136"/>
      <c r="N990" s="281">
        <v>34</v>
      </c>
      <c r="O990" s="146">
        <v>46191</v>
      </c>
      <c r="P990" s="138">
        <v>0</v>
      </c>
      <c r="Q990" s="138">
        <v>95</v>
      </c>
      <c r="R990" s="138">
        <v>482</v>
      </c>
      <c r="S990" s="138">
        <v>577</v>
      </c>
      <c r="T990" s="138">
        <v>577</v>
      </c>
      <c r="U990" s="136"/>
      <c r="V990" s="136"/>
      <c r="W990" s="147">
        <v>352.35</v>
      </c>
      <c r="X990" s="147">
        <v>351.6</v>
      </c>
      <c r="Y990" s="147">
        <f>2759429.03-2290.28</f>
        <v>2757138.75</v>
      </c>
      <c r="Z990" s="165"/>
      <c r="AA990" s="147">
        <v>68985.73</v>
      </c>
      <c r="AB990" s="147">
        <v>68985.73</v>
      </c>
      <c r="AC990" s="147">
        <v>2897400.48</v>
      </c>
      <c r="AD990" s="315">
        <f t="shared" si="603"/>
        <v>2894503.0795200001</v>
      </c>
      <c r="AE990" s="147">
        <v>37.64</v>
      </c>
      <c r="AF990" s="147">
        <v>42</v>
      </c>
      <c r="AG990" s="147">
        <v>37.549999999999997</v>
      </c>
      <c r="AH990" s="287">
        <v>4.7999999999999996E-3</v>
      </c>
      <c r="AI990" s="287">
        <v>0.05</v>
      </c>
      <c r="AJ990" s="287">
        <v>5.3999999999999999E-2</v>
      </c>
      <c r="AK990" s="318">
        <f t="shared" si="621"/>
        <v>292125.41517857159</v>
      </c>
      <c r="AL990" s="319">
        <f>95*10+482*15</f>
        <v>8180</v>
      </c>
      <c r="AM990" s="319">
        <f t="shared" si="622"/>
        <v>13234.266</v>
      </c>
      <c r="AN990" s="388">
        <v>2290.2800000000002</v>
      </c>
      <c r="AO990" s="320">
        <f t="shared" si="623"/>
        <v>5868.75</v>
      </c>
      <c r="AP990" s="193">
        <v>0</v>
      </c>
      <c r="AQ990" s="318">
        <v>0</v>
      </c>
      <c r="AR990" s="318">
        <f t="shared" si="624"/>
        <v>321698.71117857163</v>
      </c>
      <c r="AS990" s="318">
        <f t="shared" si="625"/>
        <v>337784</v>
      </c>
      <c r="AT990" s="321">
        <v>75</v>
      </c>
      <c r="AU990" s="136" t="s">
        <v>1535</v>
      </c>
      <c r="AV990" s="136"/>
      <c r="AW990" s="318">
        <f t="shared" si="626"/>
        <v>35235</v>
      </c>
      <c r="AX990" s="193"/>
      <c r="AY990" s="318">
        <f t="shared" si="627"/>
        <v>35235</v>
      </c>
      <c r="AZ990" s="318">
        <f t="shared" si="628"/>
        <v>35160</v>
      </c>
      <c r="BA990" s="318">
        <f t="shared" si="629"/>
        <v>75</v>
      </c>
      <c r="BB990" s="318">
        <f t="shared" si="630"/>
        <v>70.47</v>
      </c>
      <c r="BC990" s="318">
        <v>0</v>
      </c>
      <c r="BD990" s="136"/>
      <c r="BE990" s="147">
        <v>352.35</v>
      </c>
      <c r="BF990" s="321">
        <f t="shared" si="631"/>
        <v>0.52852500000000002</v>
      </c>
      <c r="BG990" s="197">
        <f t="shared" si="595"/>
        <v>351.82147500000002</v>
      </c>
      <c r="BH990" s="321">
        <f t="shared" si="632"/>
        <v>351.6</v>
      </c>
      <c r="BI990" s="322">
        <f t="shared" si="633"/>
        <v>75</v>
      </c>
      <c r="BJ990" s="322">
        <v>0</v>
      </c>
      <c r="BK990" s="318">
        <f t="shared" si="634"/>
        <v>75</v>
      </c>
      <c r="BL990" s="67"/>
      <c r="BM990" s="68" t="str">
        <f t="shared" si="635"/>
        <v>Unloading no. 960 Bill No 34 ,Deduction For Oil Deduction= 292125.415178572 ,Bardana= 8180 ,F.M= 13234.266 Brokerage/Rate Difference 2290.28 ,Shortage = 5868.75 ,Greenish= 0 ,Moisture= 0</v>
      </c>
      <c r="BN990" s="69"/>
      <c r="BO990" s="70" t="str">
        <f t="shared" si="636"/>
        <v xml:space="preserve"> Party Condition 42  ,F.M% 0.48 ,Greenish 5 ,Moisture 5.4 ,Shortage in KG= 75  ,Oil% 37.55</v>
      </c>
      <c r="BP990" s="71">
        <f t="shared" si="637"/>
        <v>6926.7350364659515</v>
      </c>
      <c r="BQ990" s="55"/>
      <c r="BR990" s="55"/>
      <c r="BS990" s="41"/>
      <c r="BT990" s="41"/>
      <c r="BU990" s="41"/>
      <c r="BV990" s="41"/>
      <c r="BW990" s="85"/>
      <c r="BX990" s="27">
        <v>37.64</v>
      </c>
      <c r="BY990" s="27">
        <v>37.549999999999997</v>
      </c>
    </row>
    <row r="991" spans="1:77" ht="14.1" hidden="1" customHeight="1" x14ac:dyDescent="0.3">
      <c r="A991" s="138" t="s">
        <v>2092</v>
      </c>
      <c r="B991" s="146">
        <v>46193</v>
      </c>
      <c r="C991" s="138">
        <v>961</v>
      </c>
      <c r="D991" s="135" t="s">
        <v>2101</v>
      </c>
      <c r="E991" s="130">
        <v>46195</v>
      </c>
      <c r="F991" s="128" t="s">
        <v>1807</v>
      </c>
      <c r="G991" s="128" t="s">
        <v>1808</v>
      </c>
      <c r="H991" s="128" t="s">
        <v>100</v>
      </c>
      <c r="I991" s="136"/>
      <c r="J991" s="347" t="s">
        <v>1455</v>
      </c>
      <c r="K991" s="136"/>
      <c r="L991" s="146">
        <v>46191</v>
      </c>
      <c r="M991" s="136"/>
      <c r="N991" s="281" t="s">
        <v>1236</v>
      </c>
      <c r="O991" s="146">
        <v>46192</v>
      </c>
      <c r="P991" s="138">
        <v>0</v>
      </c>
      <c r="Q991" s="138">
        <v>453</v>
      </c>
      <c r="R991" s="138">
        <v>130</v>
      </c>
      <c r="S991" s="138">
        <v>583</v>
      </c>
      <c r="T991" s="138">
        <v>583</v>
      </c>
      <c r="U991" s="136"/>
      <c r="V991" s="136"/>
      <c r="W991" s="147">
        <v>358.55</v>
      </c>
      <c r="X991" s="147">
        <v>269.39999999999998</v>
      </c>
      <c r="Y991" s="196">
        <f>2814617.5-699827.5</f>
        <v>2114790</v>
      </c>
      <c r="Z991" s="165"/>
      <c r="AA991" s="148">
        <v>70365.440000000002</v>
      </c>
      <c r="AB991" s="148">
        <v>70365.440000000002</v>
      </c>
      <c r="AC991" s="147">
        <v>2955348.38</v>
      </c>
      <c r="AD991" s="315">
        <f t="shared" si="603"/>
        <v>2952393.03162</v>
      </c>
      <c r="AE991" s="147">
        <v>37.549999999999997</v>
      </c>
      <c r="AF991" s="147">
        <v>42</v>
      </c>
      <c r="AG991" s="147">
        <v>37.54</v>
      </c>
      <c r="AH991" s="294">
        <v>6.4000000000000003E-3</v>
      </c>
      <c r="AI991" s="403">
        <v>5.0200000000000002E-2</v>
      </c>
      <c r="AJ991" s="287">
        <v>5.1999999999999998E-2</v>
      </c>
      <c r="AK991" s="318">
        <f t="shared" si="621"/>
        <v>224570.55714285717</v>
      </c>
      <c r="AL991" s="193">
        <f>309*10+130*15</f>
        <v>5040</v>
      </c>
      <c r="AM991" s="319">
        <f t="shared" si="622"/>
        <v>13534.656000000001</v>
      </c>
      <c r="AN991" s="388">
        <f>X991*15</f>
        <v>4040.9999999999995</v>
      </c>
      <c r="AO991" s="320">
        <f t="shared" si="623"/>
        <v>0</v>
      </c>
      <c r="AP991" s="193">
        <f>X991*0.55</f>
        <v>148.16999999999999</v>
      </c>
      <c r="AQ991" s="318">
        <v>0</v>
      </c>
      <c r="AR991" s="318">
        <f t="shared" si="624"/>
        <v>247334.38314285717</v>
      </c>
      <c r="AS991" s="318">
        <f t="shared" si="625"/>
        <v>259701</v>
      </c>
      <c r="AT991" s="321">
        <v>0</v>
      </c>
      <c r="AU991" s="206" t="s">
        <v>2110</v>
      </c>
      <c r="AV991" s="136"/>
      <c r="AW991" s="318">
        <f t="shared" si="626"/>
        <v>35855</v>
      </c>
      <c r="AX991" s="193"/>
      <c r="AY991" s="318">
        <f t="shared" si="627"/>
        <v>35855</v>
      </c>
      <c r="AZ991" s="318">
        <f t="shared" si="628"/>
        <v>26939.999999999996</v>
      </c>
      <c r="BA991" s="318">
        <f t="shared" si="629"/>
        <v>8915.0000000000036</v>
      </c>
      <c r="BB991" s="318">
        <f t="shared" si="630"/>
        <v>71.709999999999994</v>
      </c>
      <c r="BC991" s="318">
        <v>0</v>
      </c>
      <c r="BD991" s="136"/>
      <c r="BE991" s="411">
        <v>358.55</v>
      </c>
      <c r="BF991" s="321">
        <f t="shared" si="631"/>
        <v>0.537825</v>
      </c>
      <c r="BG991" s="197">
        <f t="shared" si="595"/>
        <v>358.01217500000001</v>
      </c>
      <c r="BH991" s="321">
        <f t="shared" si="632"/>
        <v>269.39999999999998</v>
      </c>
      <c r="BI991" s="322">
        <f t="shared" si="633"/>
        <v>8915.0000000000036</v>
      </c>
      <c r="BJ991" s="322">
        <v>0</v>
      </c>
      <c r="BK991" s="318">
        <f t="shared" si="634"/>
        <v>8915.0000000000036</v>
      </c>
      <c r="BL991" s="67"/>
      <c r="BM991" s="68" t="str">
        <f t="shared" si="635"/>
        <v>Unloading no. 961 Bill No 2026-27/8 ,Deduction For Oil Deduction= 224570.557142857 ,Bardana= 5040 ,F.M= 13534.656 Brokerage/Rate Difference 4041 ,Shortage = 0 ,Greenish= 148.17 ,Moisture= 0</v>
      </c>
      <c r="BN991" s="69"/>
      <c r="BO991" s="70" t="str">
        <f t="shared" si="636"/>
        <v xml:space="preserve"> Party Condition 42  ,F.M% 0.64 ,Greenish 5.02 ,Moisture 5.2 ,Shortage in KG= 0  ,Oil% 37.54</v>
      </c>
      <c r="BP991" s="71">
        <f t="shared" si="637"/>
        <v>6931.9065213702415</v>
      </c>
      <c r="BQ991" s="55"/>
      <c r="BR991" s="55"/>
      <c r="BS991" s="41"/>
      <c r="BT991" s="41"/>
      <c r="BU991" s="41"/>
      <c r="BV991" s="41"/>
      <c r="BW991" s="85"/>
      <c r="BX991" s="27">
        <v>37.549999999999997</v>
      </c>
      <c r="BY991" s="27">
        <v>37.54</v>
      </c>
    </row>
    <row r="992" spans="1:77" ht="14.1" hidden="1" customHeight="1" x14ac:dyDescent="0.3">
      <c r="A992" s="138" t="s">
        <v>2089</v>
      </c>
      <c r="B992" s="146">
        <v>46193</v>
      </c>
      <c r="C992" s="138">
        <v>962</v>
      </c>
      <c r="D992" s="135" t="s">
        <v>2102</v>
      </c>
      <c r="E992" s="130">
        <v>46193</v>
      </c>
      <c r="F992" s="128" t="s">
        <v>1083</v>
      </c>
      <c r="G992" s="128" t="s">
        <v>1084</v>
      </c>
      <c r="H992" s="128" t="s">
        <v>1454</v>
      </c>
      <c r="I992" s="136"/>
      <c r="J992" s="347" t="s">
        <v>1455</v>
      </c>
      <c r="K992" s="136"/>
      <c r="L992" s="146">
        <v>46190</v>
      </c>
      <c r="M992" s="136"/>
      <c r="N992" s="281">
        <v>45</v>
      </c>
      <c r="O992" s="146">
        <v>46192</v>
      </c>
      <c r="P992" s="138">
        <v>0</v>
      </c>
      <c r="Q992" s="138">
        <v>83</v>
      </c>
      <c r="R992" s="138">
        <v>300</v>
      </c>
      <c r="S992" s="138">
        <v>383</v>
      </c>
      <c r="T992" s="138">
        <v>383</v>
      </c>
      <c r="U992" s="136"/>
      <c r="V992" s="136"/>
      <c r="W992" s="147">
        <v>253.05</v>
      </c>
      <c r="X992" s="147">
        <v>252.6</v>
      </c>
      <c r="Y992" s="147">
        <v>2011747.5</v>
      </c>
      <c r="Z992" s="165"/>
      <c r="AA992" s="147">
        <v>50293.69</v>
      </c>
      <c r="AB992" s="147">
        <v>50293.69</v>
      </c>
      <c r="AC992" s="147">
        <v>2112334.88</v>
      </c>
      <c r="AD992" s="315">
        <f t="shared" si="603"/>
        <v>2110222.5451199999</v>
      </c>
      <c r="AE992" s="147">
        <v>40.22</v>
      </c>
      <c r="AF992" s="147">
        <v>42</v>
      </c>
      <c r="AG992" s="147">
        <v>40.090000000000003</v>
      </c>
      <c r="AH992" s="287">
        <v>4.8999999999999998E-3</v>
      </c>
      <c r="AI992" s="403">
        <v>5.0700000000000002E-2</v>
      </c>
      <c r="AJ992" s="287">
        <v>5.1999999999999998E-2</v>
      </c>
      <c r="AK992" s="318">
        <f t="shared" si="621"/>
        <v>91486.612499999828</v>
      </c>
      <c r="AL992" s="193">
        <f>83*10+133*10+167*15</f>
        <v>4665</v>
      </c>
      <c r="AM992" s="319">
        <f t="shared" si="622"/>
        <v>9857.5627499999991</v>
      </c>
      <c r="AN992" s="388">
        <f>W992*15</f>
        <v>3795.75</v>
      </c>
      <c r="AO992" s="320">
        <f t="shared" si="623"/>
        <v>3577.5</v>
      </c>
      <c r="AP992" s="193">
        <f>W992*1.95</f>
        <v>493.44749999999999</v>
      </c>
      <c r="AQ992" s="318">
        <v>0</v>
      </c>
      <c r="AR992" s="318">
        <f t="shared" si="624"/>
        <v>113875.87274999982</v>
      </c>
      <c r="AS992" s="318">
        <f t="shared" si="625"/>
        <v>119570</v>
      </c>
      <c r="AT992" s="321">
        <v>45</v>
      </c>
      <c r="AU992" s="136"/>
      <c r="AV992" s="136"/>
      <c r="AW992" s="318">
        <f t="shared" si="626"/>
        <v>25305</v>
      </c>
      <c r="AX992" s="193"/>
      <c r="AY992" s="318">
        <f t="shared" si="627"/>
        <v>25305</v>
      </c>
      <c r="AZ992" s="318">
        <f t="shared" si="628"/>
        <v>25260</v>
      </c>
      <c r="BA992" s="318">
        <f t="shared" si="629"/>
        <v>45</v>
      </c>
      <c r="BB992" s="318">
        <f t="shared" si="630"/>
        <v>50.61</v>
      </c>
      <c r="BC992" s="318">
        <v>0</v>
      </c>
      <c r="BD992" s="136"/>
      <c r="BE992" s="147">
        <v>253.05</v>
      </c>
      <c r="BF992" s="321">
        <f t="shared" si="631"/>
        <v>0.37957500000000005</v>
      </c>
      <c r="BG992" s="197">
        <f t="shared" si="595"/>
        <v>252.67042500000002</v>
      </c>
      <c r="BH992" s="321">
        <f t="shared" si="632"/>
        <v>252.6</v>
      </c>
      <c r="BI992" s="322">
        <f t="shared" si="633"/>
        <v>45.000000000001705</v>
      </c>
      <c r="BJ992" s="322">
        <v>0</v>
      </c>
      <c r="BK992" s="318">
        <f t="shared" si="634"/>
        <v>45.000000000001705</v>
      </c>
      <c r="BL992" s="67"/>
      <c r="BM992" s="68" t="str">
        <f t="shared" si="635"/>
        <v>Unloading no. 962 Bill No 45 ,Deduction For Oil Deduction= 91486.6124999998 ,Bardana= 4665 ,F.M= 9857.56275 Brokerage/Rate Difference 3795.75 ,Shortage = 3577.5 ,Greenish= 493.4475 ,Moisture= 0</v>
      </c>
      <c r="BN992" s="69"/>
      <c r="BO992" s="70" t="str">
        <f t="shared" si="636"/>
        <v xml:space="preserve"> Party Condition 42  ,F.M% 0.49 ,Greenish 5.07 ,Moisture 5.2 ,Shortage in KG= 45  ,Oil% 40.09</v>
      </c>
      <c r="BP992" s="71">
        <f t="shared" si="637"/>
        <v>7513.3476929928747</v>
      </c>
      <c r="BQ992" s="55"/>
      <c r="BR992" s="55"/>
      <c r="BS992" s="41"/>
      <c r="BT992" s="41"/>
      <c r="BU992" s="41"/>
      <c r="BV992" s="41"/>
      <c r="BW992" s="85"/>
      <c r="BX992" s="27">
        <v>40.22</v>
      </c>
      <c r="BY992" s="27">
        <v>40.090000000000003</v>
      </c>
    </row>
    <row r="993" spans="1:77" ht="14.1" hidden="1" customHeight="1" x14ac:dyDescent="0.3">
      <c r="A993" s="275" t="s">
        <v>2093</v>
      </c>
      <c r="B993" s="376">
        <v>46193</v>
      </c>
      <c r="C993" s="275">
        <v>963</v>
      </c>
      <c r="D993" s="377" t="s">
        <v>2103</v>
      </c>
      <c r="E993" s="175">
        <v>46193</v>
      </c>
      <c r="F993" s="174" t="s">
        <v>1691</v>
      </c>
      <c r="G993" s="174" t="s">
        <v>1692</v>
      </c>
      <c r="H993" s="174" t="s">
        <v>1693</v>
      </c>
      <c r="I993" s="176"/>
      <c r="J993" s="378" t="s">
        <v>1455</v>
      </c>
      <c r="K993" s="176"/>
      <c r="L993" s="376">
        <v>46191</v>
      </c>
      <c r="M993" s="176"/>
      <c r="N993" s="284" t="s">
        <v>1309</v>
      </c>
      <c r="O993" s="376">
        <v>46193</v>
      </c>
      <c r="P993" s="275">
        <v>0</v>
      </c>
      <c r="Q993" s="275">
        <v>450</v>
      </c>
      <c r="R993" s="275">
        <v>45</v>
      </c>
      <c r="S993" s="275">
        <v>495</v>
      </c>
      <c r="T993" s="275">
        <v>495</v>
      </c>
      <c r="U993" s="176"/>
      <c r="V993" s="176"/>
      <c r="W993" s="178">
        <v>301.7</v>
      </c>
      <c r="X993" s="178">
        <v>301.39999999999998</v>
      </c>
      <c r="Y993" s="178">
        <v>2375887.5</v>
      </c>
      <c r="Z993" s="182"/>
      <c r="AA993" s="178">
        <v>59397.19</v>
      </c>
      <c r="AB993" s="178">
        <v>59397.19</v>
      </c>
      <c r="AC993" s="178">
        <v>2494681.88</v>
      </c>
      <c r="AD993" s="339">
        <f t="shared" si="603"/>
        <v>2492187.1981199998</v>
      </c>
      <c r="AE993" s="178">
        <v>39.700000000000003</v>
      </c>
      <c r="AF993" s="178">
        <v>42</v>
      </c>
      <c r="AG993" s="178">
        <v>39.6</v>
      </c>
      <c r="AH993" s="412">
        <v>3.5000000000000001E-3</v>
      </c>
      <c r="AI993" s="308">
        <v>0.04</v>
      </c>
      <c r="AJ993" s="308">
        <v>4.9000000000000002E-2</v>
      </c>
      <c r="AK993" s="342">
        <f t="shared" si="621"/>
        <v>135764.99999999991</v>
      </c>
      <c r="AL993" s="335">
        <f>450*10+45*15</f>
        <v>5175</v>
      </c>
      <c r="AM993" s="343">
        <f t="shared" si="622"/>
        <v>8315.6062500000007</v>
      </c>
      <c r="AN993" s="343"/>
      <c r="AO993" s="344">
        <f t="shared" si="623"/>
        <v>2362.5</v>
      </c>
      <c r="AP993" s="335">
        <v>0</v>
      </c>
      <c r="AQ993" s="342">
        <v>0</v>
      </c>
      <c r="AR993" s="342">
        <f t="shared" si="624"/>
        <v>151618.10624999992</v>
      </c>
      <c r="AS993" s="342">
        <f t="shared" si="625"/>
        <v>159199</v>
      </c>
      <c r="AT993" s="345">
        <v>30</v>
      </c>
      <c r="AU993" s="176"/>
      <c r="AV993" s="176"/>
      <c r="AW993" s="342">
        <f t="shared" si="626"/>
        <v>30170</v>
      </c>
      <c r="AX993" s="335"/>
      <c r="AY993" s="342">
        <f t="shared" si="627"/>
        <v>30170</v>
      </c>
      <c r="AZ993" s="342">
        <f t="shared" si="628"/>
        <v>30139.999999999996</v>
      </c>
      <c r="BA993" s="342">
        <f t="shared" si="629"/>
        <v>30.000000000003638</v>
      </c>
      <c r="BB993" s="342">
        <f t="shared" si="630"/>
        <v>60.34</v>
      </c>
      <c r="BC993" s="342">
        <v>0</v>
      </c>
      <c r="BD993" s="176"/>
      <c r="BE993" s="178">
        <v>301.7</v>
      </c>
      <c r="BF993" s="345">
        <f t="shared" si="631"/>
        <v>0.45254999999999995</v>
      </c>
      <c r="BG993" s="210">
        <f t="shared" si="595"/>
        <v>301.24745000000001</v>
      </c>
      <c r="BH993" s="345">
        <f t="shared" si="632"/>
        <v>301.39999999999998</v>
      </c>
      <c r="BI993" s="346">
        <f t="shared" si="633"/>
        <v>30.000000000001137</v>
      </c>
      <c r="BJ993" s="346">
        <v>0</v>
      </c>
      <c r="BK993" s="342">
        <f t="shared" si="634"/>
        <v>30.000000000001137</v>
      </c>
      <c r="BL993" s="73"/>
      <c r="BM993" s="74" t="str">
        <f t="shared" si="635"/>
        <v>Unloading no. 963 Bill No 2026-27/69 ,Deduction For Oil Deduction= 135765 ,Bardana= 5175 ,F.M= 8315.60625 Brokerage/Rate Difference  ,Shortage = 2362.5 ,Greenish= 0 ,Moisture= 0</v>
      </c>
      <c r="BN993" s="72"/>
      <c r="BO993" s="77" t="str">
        <f t="shared" si="636"/>
        <v xml:space="preserve"> Party Condition 42  ,F.M% 0.35 ,Greenish 4 ,Moisture 4.9 ,Shortage in KG= 30  ,Oil% 39.6</v>
      </c>
      <c r="BP993" s="78">
        <f t="shared" si="637"/>
        <v>7379.7922818513616</v>
      </c>
      <c r="BQ993" s="60"/>
      <c r="BR993" s="60"/>
      <c r="BS993" s="52"/>
      <c r="BT993" s="52"/>
      <c r="BU993" s="52"/>
      <c r="BV993" s="52"/>
      <c r="BW993" s="86"/>
      <c r="BX993" s="30">
        <v>39.700000000000003</v>
      </c>
      <c r="BY993" s="30">
        <v>39.6</v>
      </c>
    </row>
    <row r="994" spans="1:77" ht="14.1" hidden="1" customHeight="1" x14ac:dyDescent="0.3">
      <c r="A994" s="138" t="s">
        <v>2112</v>
      </c>
      <c r="B994" s="146">
        <v>46191</v>
      </c>
      <c r="C994" s="190">
        <v>964</v>
      </c>
      <c r="D994" s="135" t="s">
        <v>2121</v>
      </c>
      <c r="E994" s="130">
        <v>46194</v>
      </c>
      <c r="F994" s="128" t="s">
        <v>1142</v>
      </c>
      <c r="G994" s="128" t="s">
        <v>1143</v>
      </c>
      <c r="H994" s="128" t="s">
        <v>103</v>
      </c>
      <c r="I994" s="136"/>
      <c r="J994" s="347" t="s">
        <v>1455</v>
      </c>
      <c r="K994" s="136"/>
      <c r="L994" s="146">
        <v>46191</v>
      </c>
      <c r="M994" s="136"/>
      <c r="N994" s="282" t="s">
        <v>2134</v>
      </c>
      <c r="O994" s="146">
        <v>46193</v>
      </c>
      <c r="P994" s="138">
        <v>0</v>
      </c>
      <c r="Q994" s="138">
        <v>20</v>
      </c>
      <c r="R994" s="138">
        <v>426</v>
      </c>
      <c r="S994" s="138">
        <v>446</v>
      </c>
      <c r="T994" s="138">
        <v>446</v>
      </c>
      <c r="U994" s="136"/>
      <c r="V994" s="136"/>
      <c r="W994" s="148">
        <v>258.89999999999998</v>
      </c>
      <c r="X994" s="148">
        <v>258.89999999999998</v>
      </c>
      <c r="Y994" s="238">
        <v>2038837.5</v>
      </c>
      <c r="Z994" s="165"/>
      <c r="AA994" s="128">
        <v>50970.94</v>
      </c>
      <c r="AB994" s="128">
        <v>50970.94</v>
      </c>
      <c r="AC994" s="128">
        <v>2140779.38</v>
      </c>
      <c r="AD994" s="315">
        <f t="shared" si="603"/>
        <v>2138638.6006199997</v>
      </c>
      <c r="AE994" s="147">
        <v>39.1</v>
      </c>
      <c r="AF994" s="147">
        <v>42</v>
      </c>
      <c r="AG994" s="147">
        <v>39.159999999999997</v>
      </c>
      <c r="AH994" s="287">
        <v>3.5000000000000001E-3</v>
      </c>
      <c r="AI994" s="397">
        <v>5.7000000000000002E-2</v>
      </c>
      <c r="AJ994" s="287">
        <v>4.4999999999999998E-2</v>
      </c>
      <c r="AK994" s="318">
        <f t="shared" ref="AK994" si="638">+IF(AF994=42,IF(MIN(AE994,AG994)&lt;AF994,Y994*((AF994-MIN(AE994,AG994))/AF994)),IF(MIN(AE994,AG994)&lt;AF994,Y994*((AF994-MIN(AE994,AG994))/AF994),0))</f>
        <v>140776.87499999991</v>
      </c>
      <c r="AL994" s="193">
        <f>200*10+426*15</f>
        <v>8390</v>
      </c>
      <c r="AM994" s="319">
        <f t="shared" ref="AM994:AM1002" si="639">Y994*AH994</f>
        <v>7135.9312500000005</v>
      </c>
      <c r="AN994" s="319"/>
      <c r="AO994" s="320">
        <f t="shared" ref="AO994" si="640">AT994*Y994/AW994</f>
        <v>0</v>
      </c>
      <c r="AP994" s="413">
        <f>X994*19.25</f>
        <v>4983.8249999999998</v>
      </c>
      <c r="AQ994" s="318">
        <v>0</v>
      </c>
      <c r="AR994" s="318">
        <f t="shared" ref="AR994" si="641">SUM(AK994:AQ994)</f>
        <v>161286.63124999992</v>
      </c>
      <c r="AS994" s="318">
        <f t="shared" ref="AS994" si="642">ROUND(AR994*1.05,0)</f>
        <v>169351</v>
      </c>
      <c r="AT994" s="321">
        <v>0</v>
      </c>
      <c r="AU994" s="206" t="s">
        <v>2141</v>
      </c>
      <c r="AV994" s="136"/>
      <c r="AW994" s="318">
        <f t="shared" ref="AW994" si="643">W994*100</f>
        <v>25889.999999999996</v>
      </c>
      <c r="AX994" s="193"/>
      <c r="AY994" s="318">
        <f t="shared" ref="AY994" si="644">+AW994+AX994</f>
        <v>25889.999999999996</v>
      </c>
      <c r="AZ994" s="318">
        <f t="shared" ref="AZ994" si="645">X994*100</f>
        <v>25889.999999999996</v>
      </c>
      <c r="BA994" s="318">
        <f t="shared" ref="BA994" si="646">AY994-AZ994</f>
        <v>0</v>
      </c>
      <c r="BB994" s="318">
        <f t="shared" ref="BB994" si="647">AW994*2/1000</f>
        <v>51.779999999999994</v>
      </c>
      <c r="BC994" s="318">
        <v>0</v>
      </c>
      <c r="BD994" s="136"/>
      <c r="BE994" s="138">
        <v>258.89999999999998</v>
      </c>
      <c r="BF994" s="321">
        <f t="shared" ref="BF994:BF1008" si="648">+BE994*0.15/100</f>
        <v>0.38834999999999992</v>
      </c>
      <c r="BG994" s="197">
        <f t="shared" ref="BG994:BG1008" si="649">BE994-BF994</f>
        <v>258.51164999999997</v>
      </c>
      <c r="BH994" s="321">
        <f t="shared" ref="BH994:BH1008" si="650">X994</f>
        <v>258.89999999999998</v>
      </c>
      <c r="BI994" s="322">
        <f t="shared" ref="BI994:BI1008" si="651">(BE994-BH994)*100</f>
        <v>0</v>
      </c>
      <c r="BJ994" s="322">
        <v>0</v>
      </c>
      <c r="BK994" s="318">
        <f t="shared" ref="BK994:BK1008" si="652">BI994</f>
        <v>0</v>
      </c>
      <c r="BL994" s="67"/>
      <c r="BM994" s="68" t="str">
        <f t="shared" ref="BM994:BM1008" si="653">+$C$1&amp;" "&amp;C994 &amp;" "&amp;$N$1&amp;" "&amp;N994&amp;" "&amp;$BM$1&amp;" "&amp;$AK$1&amp;" "&amp;AK994&amp;" "&amp;$AL$1&amp;" "&amp;AL994&amp;" "&amp;$AM$1&amp;" "&amp;AM994&amp;" "&amp;$AN$1&amp;" "&amp;AN994&amp;" "&amp;$AO$1&amp;" "&amp;AO994&amp;" "&amp;$AP$1&amp;" "&amp;AP994&amp;" "&amp;$AQ$1&amp;" "&amp;AQ994</f>
        <v>Unloading no. 964 Bill No 2026-27/6950 ,Deduction For Oil Deduction= 140776.875 ,Bardana= 8390 ,F.M= 7135.93125 Brokerage/Rate Difference  ,Shortage = 0 ,Greenish= 4983.825 ,Moisture= 0</v>
      </c>
      <c r="BN994" s="69"/>
      <c r="BO994" s="70" t="str">
        <f t="shared" ref="BO994:BO1008" si="654">+" "&amp;$AF$1&amp;" "&amp;AF994&amp;" "&amp;" "&amp;$AH$1&amp;" "&amp;AH994*100&amp;" "&amp;$AI$1&amp;" "&amp;AI994*100&amp;" "&amp;$AJ$1&amp;" "&amp;AJ994*100&amp;" ,"&amp;$AT$1&amp;" "&amp;AT994&amp;" "&amp;IF(AE994&gt;AG994," ,Oil%"&amp;" "&amp;AG994," ,Oil%"&amp;" "&amp;AE994)</f>
        <v xml:space="preserve"> Party Condition 42  ,F.M% 0.35 ,Greenish 5.7 ,Moisture 4.5 ,Shortage in KG= 0  ,Oil% 39.1</v>
      </c>
      <c r="BP994" s="71">
        <f t="shared" ref="BP994:BP1008" si="655">(Y994-AR994)/X994</f>
        <v>7252.0311655079195</v>
      </c>
      <c r="BQ994" s="55"/>
      <c r="BR994" s="55"/>
      <c r="BS994" s="41"/>
      <c r="BT994" s="41"/>
      <c r="BU994" s="41"/>
      <c r="BV994" s="41"/>
      <c r="BW994" s="85"/>
      <c r="BX994" s="27">
        <v>39.1</v>
      </c>
      <c r="BY994" s="27">
        <v>39.159999999999997</v>
      </c>
    </row>
    <row r="995" spans="1:77" ht="14.1" hidden="1" customHeight="1" x14ac:dyDescent="0.3">
      <c r="A995" s="138" t="s">
        <v>2113</v>
      </c>
      <c r="B995" s="146">
        <v>46192</v>
      </c>
      <c r="C995" s="190">
        <v>964</v>
      </c>
      <c r="D995" s="135" t="s">
        <v>2121</v>
      </c>
      <c r="E995" s="130">
        <v>46194</v>
      </c>
      <c r="F995" s="128" t="s">
        <v>1142</v>
      </c>
      <c r="G995" s="128" t="s">
        <v>1143</v>
      </c>
      <c r="H995" s="128" t="s">
        <v>103</v>
      </c>
      <c r="I995" s="136"/>
      <c r="J995" s="347" t="s">
        <v>1455</v>
      </c>
      <c r="K995" s="136"/>
      <c r="L995" s="146">
        <v>46192</v>
      </c>
      <c r="M995" s="136"/>
      <c r="N995" s="282" t="s">
        <v>2134</v>
      </c>
      <c r="O995" s="146">
        <v>46193</v>
      </c>
      <c r="P995" s="138">
        <v>0</v>
      </c>
      <c r="Q995" s="138">
        <v>180</v>
      </c>
      <c r="R995" s="138">
        <v>0</v>
      </c>
      <c r="S995" s="138">
        <v>180</v>
      </c>
      <c r="T995" s="138">
        <v>180</v>
      </c>
      <c r="U995" s="136"/>
      <c r="V995" s="136"/>
      <c r="W995" s="148">
        <v>90</v>
      </c>
      <c r="X995" s="148">
        <f>90-30.1</f>
        <v>59.9</v>
      </c>
      <c r="Y995" s="196">
        <f>702000-236455.06</f>
        <v>465544.94</v>
      </c>
      <c r="Z995" s="165"/>
      <c r="AA995" s="169">
        <v>17550</v>
      </c>
      <c r="AB995" s="169">
        <v>17550</v>
      </c>
      <c r="AC995" s="169">
        <v>737100</v>
      </c>
      <c r="AD995" s="315">
        <f t="shared" si="603"/>
        <v>736362.9</v>
      </c>
      <c r="AE995" s="147">
        <v>39.1</v>
      </c>
      <c r="AF995" s="147">
        <v>42</v>
      </c>
      <c r="AG995" s="147">
        <v>39.159999999999997</v>
      </c>
      <c r="AH995" s="287">
        <v>3.5000000000000001E-3</v>
      </c>
      <c r="AI995" s="397">
        <v>5.7000000000000002E-2</v>
      </c>
      <c r="AJ995" s="287">
        <v>4.4999999999999998E-2</v>
      </c>
      <c r="AK995" s="318">
        <f t="shared" ref="AK995:AK1008" si="656">+IF(AF995=42,IF(MIN(AE995,AG995)&lt;AF995,Y995*((AF995-MIN(AE995,AG995))/AF995)),IF(MIN(AE995,AG995)&lt;AF995,Y995*((AF995-MIN(AE995,AG995))/AF995),0))</f>
        <v>32144.769666666649</v>
      </c>
      <c r="AL995" s="193">
        <v>0</v>
      </c>
      <c r="AM995" s="319">
        <f t="shared" si="639"/>
        <v>1629.4072900000001</v>
      </c>
      <c r="AN995" s="319"/>
      <c r="AO995" s="320">
        <f t="shared" ref="AO995:AO1008" si="657">AT995*Y995/AW995</f>
        <v>0</v>
      </c>
      <c r="AP995" s="413">
        <f>X995*19.25</f>
        <v>1153.075</v>
      </c>
      <c r="AQ995" s="318">
        <v>0</v>
      </c>
      <c r="AR995" s="318">
        <f t="shared" ref="AR995:AR1008" si="658">SUM(AK995:AQ995)</f>
        <v>34927.251956666645</v>
      </c>
      <c r="AS995" s="318">
        <f t="shared" ref="AS995:AS1008" si="659">ROUND(AR995*1.05,0)</f>
        <v>36674</v>
      </c>
      <c r="AT995" s="321">
        <v>0</v>
      </c>
      <c r="AU995" s="206" t="s">
        <v>2141</v>
      </c>
      <c r="AV995" s="136"/>
      <c r="AW995" s="318">
        <f t="shared" ref="AW995:AW1008" si="660">W995*100</f>
        <v>9000</v>
      </c>
      <c r="AX995" s="193"/>
      <c r="AY995" s="318">
        <f t="shared" ref="AY995:AY1008" si="661">+AW995+AX995</f>
        <v>9000</v>
      </c>
      <c r="AZ995" s="318">
        <f t="shared" ref="AZ995:AZ1008" si="662">X995*100</f>
        <v>5990</v>
      </c>
      <c r="BA995" s="318">
        <f t="shared" ref="BA995:BA1008" si="663">AY995-AZ995</f>
        <v>3010</v>
      </c>
      <c r="BB995" s="318">
        <f t="shared" ref="BB995:BB1008" si="664">AW995*2/1000</f>
        <v>18</v>
      </c>
      <c r="BC995" s="318">
        <v>0</v>
      </c>
      <c r="BD995" s="136"/>
      <c r="BE995" s="138">
        <v>90</v>
      </c>
      <c r="BF995" s="321">
        <f t="shared" si="648"/>
        <v>0.13500000000000001</v>
      </c>
      <c r="BG995" s="197">
        <f t="shared" si="649"/>
        <v>89.864999999999995</v>
      </c>
      <c r="BH995" s="321">
        <f t="shared" si="650"/>
        <v>59.9</v>
      </c>
      <c r="BI995" s="322">
        <f t="shared" si="651"/>
        <v>3010</v>
      </c>
      <c r="BJ995" s="322">
        <v>0</v>
      </c>
      <c r="BK995" s="318">
        <f t="shared" si="652"/>
        <v>3010</v>
      </c>
      <c r="BL995" s="67"/>
      <c r="BM995" s="68" t="str">
        <f t="shared" si="653"/>
        <v>Unloading no. 964 Bill No 2026-27/6950 ,Deduction For Oil Deduction= 32144.7696666666 ,Bardana= 0 ,F.M= 1629.40729 Brokerage/Rate Difference  ,Shortage = 0 ,Greenish= 1153.075 ,Moisture= 0</v>
      </c>
      <c r="BN995" s="69"/>
      <c r="BO995" s="70" t="str">
        <f t="shared" si="654"/>
        <v xml:space="preserve"> Party Condition 42  ,F.M% 0.35 ,Greenish 5.7 ,Moisture 4.5 ,Shortage in KG= 0  ,Oil% 39.1</v>
      </c>
      <c r="BP995" s="71">
        <f t="shared" si="655"/>
        <v>7188.943039120757</v>
      </c>
      <c r="BQ995" s="55"/>
      <c r="BR995" s="55"/>
      <c r="BS995" s="41"/>
      <c r="BT995" s="41"/>
      <c r="BU995" s="41"/>
      <c r="BV995" s="41"/>
      <c r="BW995" s="85"/>
      <c r="BX995" s="27">
        <v>39.1</v>
      </c>
      <c r="BY995" s="27">
        <v>39.159999999999997</v>
      </c>
    </row>
    <row r="996" spans="1:77" ht="14.1" hidden="1" customHeight="1" x14ac:dyDescent="0.3">
      <c r="A996" s="138" t="s">
        <v>2114</v>
      </c>
      <c r="B996" s="146">
        <v>46190</v>
      </c>
      <c r="C996" s="138">
        <v>965</v>
      </c>
      <c r="D996" s="135" t="s">
        <v>2122</v>
      </c>
      <c r="E996" s="130">
        <v>46194</v>
      </c>
      <c r="F996" s="128" t="s">
        <v>1142</v>
      </c>
      <c r="G996" s="128" t="s">
        <v>1143</v>
      </c>
      <c r="H996" s="128" t="s">
        <v>103</v>
      </c>
      <c r="I996" s="136"/>
      <c r="J996" s="347" t="s">
        <v>1455</v>
      </c>
      <c r="K996" s="136"/>
      <c r="L996" s="146">
        <v>46190</v>
      </c>
      <c r="M996" s="136"/>
      <c r="N996" s="282" t="s">
        <v>2135</v>
      </c>
      <c r="O996" s="146">
        <v>46193</v>
      </c>
      <c r="P996" s="138">
        <v>0</v>
      </c>
      <c r="Q996" s="138">
        <v>200</v>
      </c>
      <c r="R996" s="138">
        <v>411</v>
      </c>
      <c r="S996" s="138">
        <v>611</v>
      </c>
      <c r="T996" s="138">
        <v>611</v>
      </c>
      <c r="U996" s="136"/>
      <c r="V996" s="136"/>
      <c r="W996" s="148">
        <v>374</v>
      </c>
      <c r="X996" s="148">
        <v>373.6</v>
      </c>
      <c r="Y996" s="147">
        <v>2954600</v>
      </c>
      <c r="Z996" s="165"/>
      <c r="AA996" s="169">
        <v>73865</v>
      </c>
      <c r="AB996" s="169">
        <v>73865</v>
      </c>
      <c r="AC996" s="169">
        <v>3102330</v>
      </c>
      <c r="AD996" s="315">
        <f t="shared" si="603"/>
        <v>3099227.67</v>
      </c>
      <c r="AE996" s="147">
        <v>40.700000000000003</v>
      </c>
      <c r="AF996" s="147">
        <v>42</v>
      </c>
      <c r="AG996" s="147">
        <v>40.67</v>
      </c>
      <c r="AH996" s="287">
        <v>3.0000000000000001E-3</v>
      </c>
      <c r="AI996" s="397">
        <v>5.5E-2</v>
      </c>
      <c r="AJ996" s="287">
        <v>5.0999999999999997E-2</v>
      </c>
      <c r="AK996" s="318">
        <f t="shared" si="656"/>
        <v>93562.333333333212</v>
      </c>
      <c r="AL996" s="193">
        <f>200*10+411*15</f>
        <v>8165</v>
      </c>
      <c r="AM996" s="319">
        <f t="shared" si="639"/>
        <v>8863.8000000000011</v>
      </c>
      <c r="AN996" s="319"/>
      <c r="AO996" s="320">
        <f t="shared" si="657"/>
        <v>3160</v>
      </c>
      <c r="AP996" s="413">
        <f>X996*13.83</f>
        <v>5166.8879999999999</v>
      </c>
      <c r="AQ996" s="318">
        <v>0</v>
      </c>
      <c r="AR996" s="318">
        <f t="shared" si="658"/>
        <v>118918.02133333322</v>
      </c>
      <c r="AS996" s="318">
        <f t="shared" si="659"/>
        <v>124864</v>
      </c>
      <c r="AT996" s="321">
        <v>40</v>
      </c>
      <c r="AU996" s="136"/>
      <c r="AV996" s="136"/>
      <c r="AW996" s="318">
        <f t="shared" si="660"/>
        <v>37400</v>
      </c>
      <c r="AX996" s="193"/>
      <c r="AY996" s="318">
        <f t="shared" si="661"/>
        <v>37400</v>
      </c>
      <c r="AZ996" s="318">
        <f t="shared" si="662"/>
        <v>37360</v>
      </c>
      <c r="BA996" s="318">
        <f t="shared" si="663"/>
        <v>40</v>
      </c>
      <c r="BB996" s="318">
        <f t="shared" si="664"/>
        <v>74.8</v>
      </c>
      <c r="BC996" s="318">
        <v>0</v>
      </c>
      <c r="BD996" s="136"/>
      <c r="BE996" s="138">
        <v>374</v>
      </c>
      <c r="BF996" s="321">
        <f t="shared" si="648"/>
        <v>0.56100000000000005</v>
      </c>
      <c r="BG996" s="197">
        <f t="shared" si="649"/>
        <v>373.43900000000002</v>
      </c>
      <c r="BH996" s="321">
        <f t="shared" si="650"/>
        <v>373.6</v>
      </c>
      <c r="BI996" s="322">
        <f t="shared" si="651"/>
        <v>39.999999999997726</v>
      </c>
      <c r="BJ996" s="322">
        <v>0</v>
      </c>
      <c r="BK996" s="318">
        <f t="shared" si="652"/>
        <v>39.999999999997726</v>
      </c>
      <c r="BL996" s="67"/>
      <c r="BM996" s="68" t="str">
        <f t="shared" si="653"/>
        <v>Unloading no. 965 Bill No 2026-27/6951 ,Deduction For Oil Deduction= 93562.3333333332 ,Bardana= 8165 ,F.M= 8863.8 Brokerage/Rate Difference  ,Shortage = 3160 ,Greenish= 5166.888 ,Moisture= 0</v>
      </c>
      <c r="BN996" s="69"/>
      <c r="BO996" s="70" t="str">
        <f t="shared" si="654"/>
        <v xml:space="preserve"> Party Condition 42  ,F.M% 0.3 ,Greenish 5.5 ,Moisture 5.1 ,Shortage in KG= 40  ,Oil% 40.67</v>
      </c>
      <c r="BP996" s="71">
        <f t="shared" si="655"/>
        <v>7590.1551891506069</v>
      </c>
      <c r="BQ996" s="55"/>
      <c r="BR996" s="55"/>
      <c r="BS996" s="41"/>
      <c r="BT996" s="41"/>
      <c r="BU996" s="41"/>
      <c r="BV996" s="41"/>
      <c r="BW996" s="85"/>
      <c r="BX996" s="27">
        <v>40.700000000000003</v>
      </c>
      <c r="BY996" s="27">
        <v>40.67</v>
      </c>
    </row>
    <row r="997" spans="1:77" ht="14.1" hidden="1" customHeight="1" x14ac:dyDescent="0.3">
      <c r="A997" s="138" t="s">
        <v>2115</v>
      </c>
      <c r="B997" s="146">
        <v>46193</v>
      </c>
      <c r="C997" s="138">
        <v>966</v>
      </c>
      <c r="D997" s="135" t="s">
        <v>2123</v>
      </c>
      <c r="E997" s="130">
        <v>46194</v>
      </c>
      <c r="F997" s="128" t="s">
        <v>1083</v>
      </c>
      <c r="G997" s="128" t="s">
        <v>1084</v>
      </c>
      <c r="H997" s="128" t="s">
        <v>1454</v>
      </c>
      <c r="I997" s="136"/>
      <c r="J997" s="347" t="s">
        <v>1455</v>
      </c>
      <c r="K997" s="136"/>
      <c r="L997" s="146">
        <v>46193</v>
      </c>
      <c r="M997" s="136"/>
      <c r="N997" s="282">
        <v>48</v>
      </c>
      <c r="O997" s="146">
        <v>46193</v>
      </c>
      <c r="P997" s="138">
        <v>0</v>
      </c>
      <c r="Q997" s="138">
        <v>100</v>
      </c>
      <c r="R997" s="138">
        <v>315</v>
      </c>
      <c r="S997" s="138">
        <v>415</v>
      </c>
      <c r="T997" s="138">
        <v>415</v>
      </c>
      <c r="U997" s="136"/>
      <c r="V997" s="136"/>
      <c r="W997" s="148">
        <v>291.55</v>
      </c>
      <c r="X997" s="148">
        <v>291.5</v>
      </c>
      <c r="Y997" s="147">
        <v>2274090</v>
      </c>
      <c r="Z997" s="165"/>
      <c r="AA997" s="169">
        <v>56852.25</v>
      </c>
      <c r="AB997" s="169">
        <v>56852.25</v>
      </c>
      <c r="AC997" s="169">
        <v>2387794.5</v>
      </c>
      <c r="AD997" s="315">
        <f t="shared" si="603"/>
        <v>2385406.7055000002</v>
      </c>
      <c r="AE997" s="147">
        <v>39.43</v>
      </c>
      <c r="AF997" s="147">
        <v>42</v>
      </c>
      <c r="AG997" s="147">
        <v>39.35</v>
      </c>
      <c r="AH997" s="292">
        <v>4.7999999999999996E-3</v>
      </c>
      <c r="AI997" s="287">
        <v>3.1800000000000002E-2</v>
      </c>
      <c r="AJ997" s="287">
        <v>4.7E-2</v>
      </c>
      <c r="AK997" s="318">
        <f t="shared" si="656"/>
        <v>143484.24999999994</v>
      </c>
      <c r="AL997" s="193">
        <f>100*10+315*15</f>
        <v>5725</v>
      </c>
      <c r="AM997" s="319">
        <f t="shared" si="639"/>
        <v>10915.632</v>
      </c>
      <c r="AN997" s="319">
        <f>X997*15</f>
        <v>4372.5</v>
      </c>
      <c r="AO997" s="320">
        <f t="shared" si="657"/>
        <v>390</v>
      </c>
      <c r="AP997" s="193">
        <v>0</v>
      </c>
      <c r="AQ997" s="318">
        <v>0</v>
      </c>
      <c r="AR997" s="318">
        <f t="shared" si="658"/>
        <v>164887.38199999995</v>
      </c>
      <c r="AS997" s="318">
        <f t="shared" si="659"/>
        <v>173132</v>
      </c>
      <c r="AT997" s="321">
        <v>5</v>
      </c>
      <c r="AU997" s="136" t="s">
        <v>2142</v>
      </c>
      <c r="AV997" s="136"/>
      <c r="AW997" s="318">
        <f t="shared" si="660"/>
        <v>29155</v>
      </c>
      <c r="AX997" s="193"/>
      <c r="AY997" s="318">
        <f t="shared" si="661"/>
        <v>29155</v>
      </c>
      <c r="AZ997" s="318">
        <f t="shared" si="662"/>
        <v>29150</v>
      </c>
      <c r="BA997" s="318">
        <f t="shared" si="663"/>
        <v>5</v>
      </c>
      <c r="BB997" s="318">
        <f t="shared" si="664"/>
        <v>58.31</v>
      </c>
      <c r="BC997" s="318">
        <v>0</v>
      </c>
      <c r="BD997" s="136"/>
      <c r="BE997" s="138">
        <v>291.55</v>
      </c>
      <c r="BF997" s="321">
        <f t="shared" si="648"/>
        <v>0.43732500000000002</v>
      </c>
      <c r="BG997" s="197">
        <f t="shared" si="649"/>
        <v>291.11267500000002</v>
      </c>
      <c r="BH997" s="321">
        <f t="shared" si="650"/>
        <v>291.5</v>
      </c>
      <c r="BI997" s="322">
        <f t="shared" si="651"/>
        <v>5.0000000000011369</v>
      </c>
      <c r="BJ997" s="322">
        <v>0</v>
      </c>
      <c r="BK997" s="318">
        <f t="shared" si="652"/>
        <v>5.0000000000011369</v>
      </c>
      <c r="BL997" s="67"/>
      <c r="BM997" s="68" t="str">
        <f t="shared" si="653"/>
        <v>Unloading no. 966 Bill No 48 ,Deduction For Oil Deduction= 143484.25 ,Bardana= 5725 ,F.M= 10915.632 Brokerage/Rate Difference 4372.5 ,Shortage = 390 ,Greenish= 0 ,Moisture= 0</v>
      </c>
      <c r="BN997" s="69"/>
      <c r="BO997" s="70" t="str">
        <f t="shared" si="654"/>
        <v xml:space="preserve"> Party Condition 42  ,F.M% 0.48 ,Greenish 3.18 ,Moisture 4.7 ,Shortage in KG= 5  ,Oil% 39.35</v>
      </c>
      <c r="BP997" s="71">
        <f t="shared" si="655"/>
        <v>7235.6865111492289</v>
      </c>
      <c r="BQ997" s="55"/>
      <c r="BR997" s="55"/>
      <c r="BS997" s="41"/>
      <c r="BT997" s="41"/>
      <c r="BU997" s="41"/>
      <c r="BV997" s="41"/>
      <c r="BW997" s="85"/>
      <c r="BX997" s="27">
        <v>39.43</v>
      </c>
      <c r="BY997" s="27">
        <v>39.35</v>
      </c>
    </row>
    <row r="998" spans="1:77" ht="14.1" hidden="1" customHeight="1" x14ac:dyDescent="0.3">
      <c r="A998" s="128" t="s">
        <v>2089</v>
      </c>
      <c r="B998" s="146">
        <v>46190</v>
      </c>
      <c r="C998" s="414">
        <v>967</v>
      </c>
      <c r="D998" s="135" t="s">
        <v>2124</v>
      </c>
      <c r="E998" s="130">
        <v>46195</v>
      </c>
      <c r="F998" s="128" t="s">
        <v>1083</v>
      </c>
      <c r="G998" s="128" t="s">
        <v>1084</v>
      </c>
      <c r="H998" s="128" t="s">
        <v>1454</v>
      </c>
      <c r="I998" s="136"/>
      <c r="J998" s="347" t="s">
        <v>1455</v>
      </c>
      <c r="K998" s="136"/>
      <c r="L998" s="146">
        <v>46190</v>
      </c>
      <c r="M998" s="136"/>
      <c r="N998" s="282">
        <v>43</v>
      </c>
      <c r="O998" s="130">
        <v>46191</v>
      </c>
      <c r="P998" s="138">
        <v>0</v>
      </c>
      <c r="Q998" s="138">
        <v>157</v>
      </c>
      <c r="R998" s="138">
        <v>200</v>
      </c>
      <c r="S998" s="138">
        <v>357</v>
      </c>
      <c r="T998" s="138">
        <v>357</v>
      </c>
      <c r="U998" s="136"/>
      <c r="V998" s="136"/>
      <c r="W998" s="148">
        <v>260.75</v>
      </c>
      <c r="X998" s="148">
        <v>247.8</v>
      </c>
      <c r="Y998" s="196">
        <f>2072962.5-102952.5</f>
        <v>1970010</v>
      </c>
      <c r="Z998" s="165"/>
      <c r="AA998" s="169">
        <v>51824.06</v>
      </c>
      <c r="AB998" s="169">
        <v>51824.06</v>
      </c>
      <c r="AC998" s="169">
        <v>2176610.63</v>
      </c>
      <c r="AD998" s="315">
        <f t="shared" si="603"/>
        <v>2174434.0193699999</v>
      </c>
      <c r="AE998" s="147">
        <v>39.549999999999997</v>
      </c>
      <c r="AF998" s="147">
        <v>42</v>
      </c>
      <c r="AG998" s="147">
        <v>39.409999999999997</v>
      </c>
      <c r="AH998" s="292">
        <v>3.8E-3</v>
      </c>
      <c r="AI998" s="287">
        <v>3.1E-2</v>
      </c>
      <c r="AJ998" s="287">
        <v>5.3999999999999999E-2</v>
      </c>
      <c r="AK998" s="318">
        <f t="shared" si="656"/>
        <v>121483.95000000016</v>
      </c>
      <c r="AL998" s="193">
        <f>157*10+200*15</f>
        <v>4570</v>
      </c>
      <c r="AM998" s="319">
        <f t="shared" si="639"/>
        <v>7486.0379999999996</v>
      </c>
      <c r="AN998" s="319">
        <f>X998*15</f>
        <v>3717</v>
      </c>
      <c r="AO998" s="320">
        <f t="shared" si="657"/>
        <v>0</v>
      </c>
      <c r="AP998" s="193">
        <v>0</v>
      </c>
      <c r="AQ998" s="318">
        <v>0</v>
      </c>
      <c r="AR998" s="318">
        <f t="shared" si="658"/>
        <v>137256.98800000016</v>
      </c>
      <c r="AS998" s="318">
        <f t="shared" si="659"/>
        <v>144120</v>
      </c>
      <c r="AT998" s="321">
        <v>0</v>
      </c>
      <c r="AU998" s="206" t="s">
        <v>2143</v>
      </c>
      <c r="AV998" s="136"/>
      <c r="AW998" s="318">
        <f t="shared" si="660"/>
        <v>26075</v>
      </c>
      <c r="AX998" s="193"/>
      <c r="AY998" s="318">
        <f t="shared" si="661"/>
        <v>26075</v>
      </c>
      <c r="AZ998" s="318">
        <f t="shared" si="662"/>
        <v>24780</v>
      </c>
      <c r="BA998" s="318">
        <f t="shared" si="663"/>
        <v>1295</v>
      </c>
      <c r="BB998" s="318">
        <f t="shared" si="664"/>
        <v>52.15</v>
      </c>
      <c r="BC998" s="318">
        <v>0</v>
      </c>
      <c r="BD998" s="136"/>
      <c r="BE998" s="138">
        <v>260.75</v>
      </c>
      <c r="BF998" s="321">
        <f t="shared" si="648"/>
        <v>0.39112499999999994</v>
      </c>
      <c r="BG998" s="197">
        <f t="shared" si="649"/>
        <v>260.35887500000001</v>
      </c>
      <c r="BH998" s="321">
        <f t="shared" si="650"/>
        <v>247.8</v>
      </c>
      <c r="BI998" s="322">
        <f t="shared" si="651"/>
        <v>1294.9999999999989</v>
      </c>
      <c r="BJ998" s="322">
        <v>0</v>
      </c>
      <c r="BK998" s="318">
        <f t="shared" si="652"/>
        <v>1294.9999999999989</v>
      </c>
      <c r="BL998" s="67"/>
      <c r="BM998" s="68" t="str">
        <f t="shared" si="653"/>
        <v>Unloading no. 967 Bill No 43 ,Deduction For Oil Deduction= 121483.95 ,Bardana= 4570 ,F.M= 7486.038 Brokerage/Rate Difference 3717 ,Shortage = 0 ,Greenish= 0 ,Moisture= 0</v>
      </c>
      <c r="BN998" s="69"/>
      <c r="BO998" s="70" t="str">
        <f t="shared" si="654"/>
        <v xml:space="preserve"> Party Condition 42  ,F.M% 0.38 ,Greenish 3.1 ,Moisture 5.4 ,Shortage in KG= 0  ,Oil% 39.41</v>
      </c>
      <c r="BP998" s="71">
        <f t="shared" si="655"/>
        <v>7396.0977078288934</v>
      </c>
      <c r="BQ998" s="55"/>
      <c r="BR998" s="55"/>
      <c r="BS998" s="41"/>
      <c r="BT998" s="41"/>
      <c r="BU998" s="41"/>
      <c r="BV998" s="41"/>
      <c r="BW998" s="85"/>
      <c r="BX998" s="27">
        <v>39.549999999999997</v>
      </c>
      <c r="BY998" s="27">
        <v>39.409999999999997</v>
      </c>
    </row>
    <row r="999" spans="1:77" ht="14.1" hidden="1" customHeight="1" x14ac:dyDescent="0.3">
      <c r="A999" s="138" t="s">
        <v>2115</v>
      </c>
      <c r="B999" s="146">
        <v>46193</v>
      </c>
      <c r="C999" s="138">
        <v>968</v>
      </c>
      <c r="D999" s="135" t="s">
        <v>2125</v>
      </c>
      <c r="E999" s="130">
        <v>46194</v>
      </c>
      <c r="F999" s="128" t="s">
        <v>1083</v>
      </c>
      <c r="G999" s="128" t="s">
        <v>1084</v>
      </c>
      <c r="H999" s="128" t="s">
        <v>1454</v>
      </c>
      <c r="I999" s="136"/>
      <c r="J999" s="347" t="s">
        <v>1455</v>
      </c>
      <c r="K999" s="136"/>
      <c r="L999" s="146">
        <v>46193</v>
      </c>
      <c r="M999" s="136"/>
      <c r="N999" s="282">
        <v>47</v>
      </c>
      <c r="O999" s="146">
        <v>46193</v>
      </c>
      <c r="P999" s="138">
        <v>0</v>
      </c>
      <c r="Q999" s="138">
        <v>200</v>
      </c>
      <c r="R999" s="138">
        <v>175</v>
      </c>
      <c r="S999" s="138">
        <v>375</v>
      </c>
      <c r="T999" s="138">
        <v>375</v>
      </c>
      <c r="U999" s="136"/>
      <c r="V999" s="136"/>
      <c r="W999" s="148">
        <v>266.55</v>
      </c>
      <c r="X999" s="148">
        <v>266.60000000000002</v>
      </c>
      <c r="Y999" s="147">
        <v>2079090</v>
      </c>
      <c r="Z999" s="165"/>
      <c r="AA999" s="169">
        <v>51977.25</v>
      </c>
      <c r="AB999" s="169">
        <v>51977.25</v>
      </c>
      <c r="AC999" s="169">
        <v>2183044.5</v>
      </c>
      <c r="AD999" s="315">
        <f t="shared" si="603"/>
        <v>2180861.4555000002</v>
      </c>
      <c r="AE999" s="147">
        <v>38.21</v>
      </c>
      <c r="AF999" s="147">
        <v>42</v>
      </c>
      <c r="AG999" s="147">
        <v>38.04</v>
      </c>
      <c r="AH999" s="287">
        <v>5.0000000000000001E-3</v>
      </c>
      <c r="AI999" s="287">
        <v>3.5000000000000003E-2</v>
      </c>
      <c r="AJ999" s="287">
        <v>4.3999999999999997E-2</v>
      </c>
      <c r="AK999" s="318">
        <f t="shared" si="656"/>
        <v>196028.48571428575</v>
      </c>
      <c r="AL999" s="193">
        <f>200*10+175*15</f>
        <v>4625</v>
      </c>
      <c r="AM999" s="319">
        <f t="shared" si="639"/>
        <v>10395.450000000001</v>
      </c>
      <c r="AN999" s="319">
        <f>X999*15</f>
        <v>3999.0000000000005</v>
      </c>
      <c r="AO999" s="320">
        <f t="shared" si="657"/>
        <v>0</v>
      </c>
      <c r="AP999" s="193">
        <v>0</v>
      </c>
      <c r="AQ999" s="318">
        <v>0</v>
      </c>
      <c r="AR999" s="318">
        <f t="shared" si="658"/>
        <v>215047.93571428576</v>
      </c>
      <c r="AS999" s="318">
        <f t="shared" si="659"/>
        <v>225800</v>
      </c>
      <c r="AT999" s="321">
        <v>0</v>
      </c>
      <c r="AU999" s="136"/>
      <c r="AV999" s="136"/>
      <c r="AW999" s="318">
        <f t="shared" si="660"/>
        <v>26655</v>
      </c>
      <c r="AX999" s="193"/>
      <c r="AY999" s="318">
        <f t="shared" si="661"/>
        <v>26655</v>
      </c>
      <c r="AZ999" s="318">
        <f t="shared" si="662"/>
        <v>26660.000000000004</v>
      </c>
      <c r="BA999" s="318">
        <f t="shared" si="663"/>
        <v>-5.000000000003638</v>
      </c>
      <c r="BB999" s="318">
        <f t="shared" si="664"/>
        <v>53.31</v>
      </c>
      <c r="BC999" s="318">
        <v>0</v>
      </c>
      <c r="BD999" s="136"/>
      <c r="BE999" s="138">
        <v>266.55</v>
      </c>
      <c r="BF999" s="321">
        <f t="shared" si="648"/>
        <v>0.39982500000000004</v>
      </c>
      <c r="BG999" s="197">
        <f t="shared" si="649"/>
        <v>266.15017499999999</v>
      </c>
      <c r="BH999" s="321">
        <f t="shared" si="650"/>
        <v>266.60000000000002</v>
      </c>
      <c r="BI999" s="322">
        <f t="shared" si="651"/>
        <v>-5.0000000000011369</v>
      </c>
      <c r="BJ999" s="322">
        <v>0</v>
      </c>
      <c r="BK999" s="318">
        <f t="shared" si="652"/>
        <v>-5.0000000000011369</v>
      </c>
      <c r="BL999" s="67"/>
      <c r="BM999" s="68" t="str">
        <f t="shared" si="653"/>
        <v>Unloading no. 968 Bill No 47 ,Deduction For Oil Deduction= 196028.485714286 ,Bardana= 4625 ,F.M= 10395.45 Brokerage/Rate Difference 3999 ,Shortage = 0 ,Greenish= 0 ,Moisture= 0</v>
      </c>
      <c r="BN999" s="69"/>
      <c r="BO999" s="70" t="str">
        <f t="shared" si="654"/>
        <v xml:space="preserve"> Party Condition 42  ,F.M% 0.5 ,Greenish 3.5 ,Moisture 4.4 ,Shortage in KG= 0  ,Oil% 38.04</v>
      </c>
      <c r="BP999" s="71">
        <f t="shared" si="655"/>
        <v>6991.9057175008029</v>
      </c>
      <c r="BQ999" s="55"/>
      <c r="BR999" s="55"/>
      <c r="BS999" s="41"/>
      <c r="BT999" s="41"/>
      <c r="BU999" s="41"/>
      <c r="BV999" s="41"/>
      <c r="BW999" s="85"/>
      <c r="BX999" s="27">
        <v>38.21</v>
      </c>
      <c r="BY999" s="27">
        <v>38.04</v>
      </c>
    </row>
    <row r="1000" spans="1:77" ht="14.1" hidden="1" customHeight="1" x14ac:dyDescent="0.3">
      <c r="A1000" s="128" t="s">
        <v>2115</v>
      </c>
      <c r="B1000" s="146">
        <v>46193</v>
      </c>
      <c r="C1000" s="138">
        <v>969</v>
      </c>
      <c r="D1000" s="135" t="s">
        <v>2126</v>
      </c>
      <c r="E1000" s="130">
        <v>46195</v>
      </c>
      <c r="F1000" s="128" t="s">
        <v>1083</v>
      </c>
      <c r="G1000" s="128" t="s">
        <v>1084</v>
      </c>
      <c r="H1000" s="128" t="s">
        <v>1454</v>
      </c>
      <c r="I1000" s="136"/>
      <c r="J1000" s="347" t="s">
        <v>1455</v>
      </c>
      <c r="K1000" s="136"/>
      <c r="L1000" s="146">
        <v>46193</v>
      </c>
      <c r="M1000" s="136"/>
      <c r="N1000" s="281">
        <v>46</v>
      </c>
      <c r="O1000" s="130">
        <v>46193</v>
      </c>
      <c r="P1000" s="138">
        <v>0</v>
      </c>
      <c r="Q1000" s="138">
        <v>408</v>
      </c>
      <c r="R1000" s="138">
        <v>100</v>
      </c>
      <c r="S1000" s="138">
        <v>508</v>
      </c>
      <c r="T1000" s="138">
        <v>508</v>
      </c>
      <c r="U1000" s="136"/>
      <c r="V1000" s="136"/>
      <c r="W1000" s="148">
        <v>309.64999999999998</v>
      </c>
      <c r="X1000" s="148">
        <v>308.60000000000002</v>
      </c>
      <c r="Y1000" s="147">
        <v>2415270</v>
      </c>
      <c r="Z1000" s="165"/>
      <c r="AA1000" s="169">
        <v>60381.75</v>
      </c>
      <c r="AB1000" s="169">
        <v>60381.75</v>
      </c>
      <c r="AC1000" s="169">
        <v>2536033.5</v>
      </c>
      <c r="AD1000" s="315">
        <f t="shared" si="603"/>
        <v>2533497.4665000001</v>
      </c>
      <c r="AE1000" s="147">
        <v>37.6</v>
      </c>
      <c r="AF1000" s="147">
        <v>42</v>
      </c>
      <c r="AG1000" s="147">
        <v>37.729999999999997</v>
      </c>
      <c r="AH1000" s="397">
        <v>2.0400000000000001E-2</v>
      </c>
      <c r="AI1000" s="415">
        <v>9.5000000000000001E-2</v>
      </c>
      <c r="AJ1000" s="287">
        <v>0.05</v>
      </c>
      <c r="AK1000" s="318">
        <f t="shared" si="656"/>
        <v>253028.28571428562</v>
      </c>
      <c r="AL1000" s="193">
        <f>408*10+100*15</f>
        <v>5580</v>
      </c>
      <c r="AM1000" s="319">
        <f t="shared" si="639"/>
        <v>49271.508000000002</v>
      </c>
      <c r="AN1000" s="319">
        <f>W1000*15</f>
        <v>4644.75</v>
      </c>
      <c r="AO1000" s="320">
        <f t="shared" si="657"/>
        <v>8190.0000000000009</v>
      </c>
      <c r="AP1000" s="328">
        <f>W1000*122.85</f>
        <v>38040.502499999995</v>
      </c>
      <c r="AQ1000" s="318">
        <v>0</v>
      </c>
      <c r="AR1000" s="318">
        <f t="shared" si="658"/>
        <v>358755.0462142856</v>
      </c>
      <c r="AS1000" s="318">
        <f t="shared" si="659"/>
        <v>376693</v>
      </c>
      <c r="AT1000" s="321">
        <v>105</v>
      </c>
      <c r="AU1000" s="206" t="s">
        <v>2142</v>
      </c>
      <c r="AV1000" s="136"/>
      <c r="AW1000" s="318">
        <f t="shared" si="660"/>
        <v>30964.999999999996</v>
      </c>
      <c r="AX1000" s="193"/>
      <c r="AY1000" s="318">
        <f t="shared" si="661"/>
        <v>30964.999999999996</v>
      </c>
      <c r="AZ1000" s="318">
        <f t="shared" si="662"/>
        <v>30860.000000000004</v>
      </c>
      <c r="BA1000" s="318">
        <f t="shared" si="663"/>
        <v>104.99999999999272</v>
      </c>
      <c r="BB1000" s="318">
        <f t="shared" si="664"/>
        <v>61.929999999999993</v>
      </c>
      <c r="BC1000" s="318">
        <v>0</v>
      </c>
      <c r="BD1000" s="136"/>
      <c r="BE1000" s="138">
        <v>309.64999999999998</v>
      </c>
      <c r="BF1000" s="321">
        <f t="shared" si="648"/>
        <v>0.46447499999999997</v>
      </c>
      <c r="BG1000" s="197">
        <f t="shared" si="649"/>
        <v>309.18552499999998</v>
      </c>
      <c r="BH1000" s="321">
        <f t="shared" si="650"/>
        <v>308.60000000000002</v>
      </c>
      <c r="BI1000" s="322">
        <f t="shared" si="651"/>
        <v>104.99999999999545</v>
      </c>
      <c r="BJ1000" s="322">
        <v>0</v>
      </c>
      <c r="BK1000" s="318">
        <f t="shared" si="652"/>
        <v>104.99999999999545</v>
      </c>
      <c r="BL1000" s="67"/>
      <c r="BM1000" s="68" t="str">
        <f t="shared" si="653"/>
        <v>Unloading no. 969 Bill No 46 ,Deduction For Oil Deduction= 253028.285714286 ,Bardana= 5580 ,F.M= 49271.508 Brokerage/Rate Difference 4644.75 ,Shortage = 8190 ,Greenish= 38040.5025 ,Moisture= 0</v>
      </c>
      <c r="BN1000" s="69"/>
      <c r="BO1000" s="70" t="str">
        <f t="shared" si="654"/>
        <v xml:space="preserve"> Party Condition 42  ,F.M% 2.04 ,Greenish 9.5 ,Moisture 5 ,Shortage in KG= 105  ,Oil% 37.6</v>
      </c>
      <c r="BP1000" s="71">
        <f t="shared" si="655"/>
        <v>6664.0147562725679</v>
      </c>
      <c r="BQ1000" s="55"/>
      <c r="BR1000" s="55"/>
      <c r="BS1000" s="41"/>
      <c r="BT1000" s="41"/>
      <c r="BU1000" s="41"/>
      <c r="BV1000" s="41"/>
      <c r="BW1000" s="85"/>
      <c r="BX1000" s="27">
        <v>37.6</v>
      </c>
      <c r="BY1000" s="27">
        <v>37.729999999999997</v>
      </c>
    </row>
    <row r="1001" spans="1:77" ht="14.1" hidden="1" customHeight="1" x14ac:dyDescent="0.3">
      <c r="A1001" s="128" t="s">
        <v>2116</v>
      </c>
      <c r="B1001" s="146">
        <v>46192</v>
      </c>
      <c r="C1001" s="138">
        <v>970</v>
      </c>
      <c r="D1001" s="135" t="s">
        <v>2127</v>
      </c>
      <c r="E1001" s="130">
        <v>46195</v>
      </c>
      <c r="F1001" s="128" t="s">
        <v>1805</v>
      </c>
      <c r="G1001" s="128" t="s">
        <v>1806</v>
      </c>
      <c r="H1001" s="128" t="s">
        <v>1511</v>
      </c>
      <c r="I1001" s="136"/>
      <c r="J1001" s="347" t="s">
        <v>1455</v>
      </c>
      <c r="K1001" s="136"/>
      <c r="L1001" s="146">
        <v>46192</v>
      </c>
      <c r="M1001" s="136"/>
      <c r="N1001" s="281" t="s">
        <v>2136</v>
      </c>
      <c r="O1001" s="130">
        <v>46194</v>
      </c>
      <c r="P1001" s="138">
        <v>0</v>
      </c>
      <c r="Q1001" s="138">
        <v>205</v>
      </c>
      <c r="R1001" s="138">
        <v>45</v>
      </c>
      <c r="S1001" s="138">
        <v>250</v>
      </c>
      <c r="T1001" s="138">
        <v>250</v>
      </c>
      <c r="U1001" s="136"/>
      <c r="V1001" s="136"/>
      <c r="W1001" s="148">
        <v>152.4</v>
      </c>
      <c r="X1001" s="148">
        <v>152.30000000000001</v>
      </c>
      <c r="Y1001" s="147">
        <v>1188720</v>
      </c>
      <c r="Z1001" s="165"/>
      <c r="AA1001" s="169">
        <v>29718</v>
      </c>
      <c r="AB1001" s="169">
        <v>29718</v>
      </c>
      <c r="AC1001" s="169">
        <v>1248156</v>
      </c>
      <c r="AD1001" s="315">
        <f t="shared" ref="AD1001:AD1063" si="665">SUM(AC1001-AC1001*0.1%)</f>
        <v>1246907.844</v>
      </c>
      <c r="AE1001" s="147">
        <v>37.299999999999997</v>
      </c>
      <c r="AF1001" s="147">
        <v>42</v>
      </c>
      <c r="AG1001" s="147">
        <v>37.32</v>
      </c>
      <c r="AH1001" s="287">
        <v>5.0000000000000001E-3</v>
      </c>
      <c r="AI1001" s="287">
        <v>4.1099999999999998E-2</v>
      </c>
      <c r="AJ1001" s="287">
        <v>5.2999999999999999E-2</v>
      </c>
      <c r="AK1001" s="318">
        <f t="shared" si="656"/>
        <v>133023.42857142867</v>
      </c>
      <c r="AL1001" s="193">
        <f>205*10+45*15</f>
        <v>2725</v>
      </c>
      <c r="AM1001" s="319">
        <f t="shared" si="639"/>
        <v>5943.6</v>
      </c>
      <c r="AN1001" s="319"/>
      <c r="AO1001" s="320">
        <f t="shared" si="657"/>
        <v>780</v>
      </c>
      <c r="AP1001" s="193">
        <v>0</v>
      </c>
      <c r="AQ1001" s="318">
        <v>0</v>
      </c>
      <c r="AR1001" s="318">
        <f t="shared" si="658"/>
        <v>142472.02857142867</v>
      </c>
      <c r="AS1001" s="318">
        <f t="shared" si="659"/>
        <v>149596</v>
      </c>
      <c r="AT1001" s="321">
        <v>10</v>
      </c>
      <c r="AU1001" s="136"/>
      <c r="AV1001" s="136"/>
      <c r="AW1001" s="318">
        <f t="shared" si="660"/>
        <v>15240</v>
      </c>
      <c r="AX1001" s="193"/>
      <c r="AY1001" s="318">
        <f t="shared" si="661"/>
        <v>15240</v>
      </c>
      <c r="AZ1001" s="318">
        <f t="shared" si="662"/>
        <v>15230.000000000002</v>
      </c>
      <c r="BA1001" s="318">
        <f t="shared" si="663"/>
        <v>9.999999999998181</v>
      </c>
      <c r="BB1001" s="318">
        <f t="shared" si="664"/>
        <v>30.48</v>
      </c>
      <c r="BC1001" s="318">
        <v>0</v>
      </c>
      <c r="BD1001" s="136"/>
      <c r="BE1001" s="138">
        <v>152.4</v>
      </c>
      <c r="BF1001" s="321">
        <f t="shared" si="648"/>
        <v>0.2286</v>
      </c>
      <c r="BG1001" s="197">
        <f t="shared" si="649"/>
        <v>152.17140000000001</v>
      </c>
      <c r="BH1001" s="321">
        <f t="shared" si="650"/>
        <v>152.30000000000001</v>
      </c>
      <c r="BI1001" s="322">
        <f t="shared" si="651"/>
        <v>9.9999999999994316</v>
      </c>
      <c r="BJ1001" s="322">
        <v>0</v>
      </c>
      <c r="BK1001" s="318">
        <f t="shared" si="652"/>
        <v>9.9999999999994316</v>
      </c>
      <c r="BL1001" s="67"/>
      <c r="BM1001" s="68" t="str">
        <f t="shared" si="653"/>
        <v>Unloading no. 970 Bill No 12/2026-27 ,Deduction For Oil Deduction= 133023.428571429 ,Bardana= 2725 ,F.M= 5943.6 Brokerage/Rate Difference  ,Shortage = 780 ,Greenish= 0 ,Moisture= 0</v>
      </c>
      <c r="BN1001" s="69"/>
      <c r="BO1001" s="70" t="str">
        <f t="shared" si="654"/>
        <v xml:space="preserve"> Party Condition 42  ,F.M% 0.5 ,Greenish 4.11 ,Moisture 5.3 ,Shortage in KG= 10  ,Oil% 37.3</v>
      </c>
      <c r="BP1001" s="71">
        <f t="shared" si="655"/>
        <v>6869.6518150267311</v>
      </c>
      <c r="BQ1001" s="55"/>
      <c r="BR1001" s="55"/>
      <c r="BS1001" s="41"/>
      <c r="BT1001" s="41"/>
      <c r="BU1001" s="41"/>
      <c r="BV1001" s="41"/>
      <c r="BW1001" s="85"/>
      <c r="BX1001" s="27">
        <v>37.299999999999997</v>
      </c>
      <c r="BY1001" s="27">
        <v>37.32</v>
      </c>
    </row>
    <row r="1002" spans="1:77" ht="14.1" hidden="1" customHeight="1" x14ac:dyDescent="0.3">
      <c r="A1002" s="128" t="s">
        <v>2115</v>
      </c>
      <c r="B1002" s="146">
        <v>46193</v>
      </c>
      <c r="C1002" s="138">
        <v>971</v>
      </c>
      <c r="D1002" s="135" t="s">
        <v>2128</v>
      </c>
      <c r="E1002" s="130">
        <v>46195</v>
      </c>
      <c r="F1002" s="128" t="s">
        <v>1083</v>
      </c>
      <c r="G1002" s="128" t="s">
        <v>1084</v>
      </c>
      <c r="H1002" s="128" t="s">
        <v>1454</v>
      </c>
      <c r="I1002" s="136"/>
      <c r="J1002" s="347" t="s">
        <v>1455</v>
      </c>
      <c r="K1002" s="136"/>
      <c r="L1002" s="146">
        <v>46193</v>
      </c>
      <c r="M1002" s="136"/>
      <c r="N1002" s="281">
        <v>49</v>
      </c>
      <c r="O1002" s="130">
        <v>46194</v>
      </c>
      <c r="P1002" s="138">
        <v>0</v>
      </c>
      <c r="Q1002" s="138">
        <v>292</v>
      </c>
      <c r="R1002" s="138">
        <v>105</v>
      </c>
      <c r="S1002" s="138">
        <v>397</v>
      </c>
      <c r="T1002" s="138">
        <v>397</v>
      </c>
      <c r="U1002" s="136"/>
      <c r="V1002" s="136"/>
      <c r="W1002" s="148">
        <v>275.5</v>
      </c>
      <c r="X1002" s="148">
        <v>277.5</v>
      </c>
      <c r="Y1002" s="147">
        <v>2148900</v>
      </c>
      <c r="Z1002" s="165"/>
      <c r="AA1002" s="169">
        <v>53722.5</v>
      </c>
      <c r="AB1002" s="169">
        <v>53722.5</v>
      </c>
      <c r="AC1002" s="169">
        <v>2256345</v>
      </c>
      <c r="AD1002" s="315">
        <f t="shared" si="665"/>
        <v>2254088.6549999998</v>
      </c>
      <c r="AE1002" s="147">
        <v>39.17</v>
      </c>
      <c r="AF1002" s="147">
        <v>42</v>
      </c>
      <c r="AG1002" s="147">
        <v>39.1</v>
      </c>
      <c r="AH1002" s="287">
        <v>8.8000000000000005E-3</v>
      </c>
      <c r="AI1002" s="287">
        <v>0.05</v>
      </c>
      <c r="AJ1002" s="292">
        <v>6.3E-2</v>
      </c>
      <c r="AK1002" s="318">
        <f t="shared" si="656"/>
        <v>148376.42857142849</v>
      </c>
      <c r="AL1002" s="193">
        <f>292*10+105*15</f>
        <v>4495</v>
      </c>
      <c r="AM1002" s="319">
        <f t="shared" si="639"/>
        <v>18910.32</v>
      </c>
      <c r="AN1002" s="319">
        <f>W1002*15</f>
        <v>4132.5</v>
      </c>
      <c r="AO1002" s="320">
        <f t="shared" si="657"/>
        <v>0</v>
      </c>
      <c r="AP1002" s="193">
        <v>0</v>
      </c>
      <c r="AQ1002" s="318">
        <f>Y1002*0.3/100</f>
        <v>6446.7</v>
      </c>
      <c r="AR1002" s="318">
        <f t="shared" si="658"/>
        <v>182360.94857142851</v>
      </c>
      <c r="AS1002" s="318">
        <f t="shared" si="659"/>
        <v>191479</v>
      </c>
      <c r="AT1002" s="321">
        <v>0</v>
      </c>
      <c r="AU1002" s="206" t="s">
        <v>2144</v>
      </c>
      <c r="AV1002" s="136"/>
      <c r="AW1002" s="318">
        <f t="shared" si="660"/>
        <v>27550</v>
      </c>
      <c r="AX1002" s="193"/>
      <c r="AY1002" s="318">
        <f t="shared" si="661"/>
        <v>27550</v>
      </c>
      <c r="AZ1002" s="318">
        <f t="shared" si="662"/>
        <v>27750</v>
      </c>
      <c r="BA1002" s="318">
        <f t="shared" si="663"/>
        <v>-200</v>
      </c>
      <c r="BB1002" s="318">
        <f t="shared" si="664"/>
        <v>55.1</v>
      </c>
      <c r="BC1002" s="318">
        <v>0</v>
      </c>
      <c r="BD1002" s="136"/>
      <c r="BE1002" s="138">
        <v>275.5</v>
      </c>
      <c r="BF1002" s="321">
        <f t="shared" si="648"/>
        <v>0.41324999999999995</v>
      </c>
      <c r="BG1002" s="197">
        <f t="shared" si="649"/>
        <v>275.08674999999999</v>
      </c>
      <c r="BH1002" s="321">
        <f t="shared" si="650"/>
        <v>277.5</v>
      </c>
      <c r="BI1002" s="322">
        <f t="shared" si="651"/>
        <v>-200</v>
      </c>
      <c r="BJ1002" s="322">
        <v>0</v>
      </c>
      <c r="BK1002" s="318">
        <f t="shared" si="652"/>
        <v>-200</v>
      </c>
      <c r="BL1002" s="67"/>
      <c r="BM1002" s="68" t="str">
        <f t="shared" si="653"/>
        <v>Unloading no. 971 Bill No 49 ,Deduction For Oil Deduction= 148376.428571428 ,Bardana= 4495 ,F.M= 18910.32 Brokerage/Rate Difference 4132.5 ,Shortage = 0 ,Greenish= 0 ,Moisture= 6446.7</v>
      </c>
      <c r="BN1002" s="69"/>
      <c r="BO1002" s="70" t="str">
        <f t="shared" si="654"/>
        <v xml:space="preserve"> Party Condition 42  ,F.M% 0.88 ,Greenish 5 ,Moisture 6.3 ,Shortage in KG= 0  ,Oil% 39.1</v>
      </c>
      <c r="BP1002" s="71">
        <f t="shared" si="655"/>
        <v>7086.6272123552126</v>
      </c>
      <c r="BQ1002" s="55"/>
      <c r="BR1002" s="55"/>
      <c r="BS1002" s="41"/>
      <c r="BT1002" s="41"/>
      <c r="BU1002" s="41"/>
      <c r="BV1002" s="41"/>
      <c r="BW1002" s="85"/>
      <c r="BX1002" s="27">
        <v>39.17</v>
      </c>
      <c r="BY1002" s="27">
        <v>39.1</v>
      </c>
    </row>
    <row r="1003" spans="1:77" ht="14.1" hidden="1" customHeight="1" x14ac:dyDescent="0.3">
      <c r="A1003" s="138" t="s">
        <v>2117</v>
      </c>
      <c r="B1003" s="146">
        <v>46191</v>
      </c>
      <c r="C1003" s="138">
        <v>972</v>
      </c>
      <c r="D1003" s="135" t="s">
        <v>2129</v>
      </c>
      <c r="E1003" s="130">
        <v>46196</v>
      </c>
      <c r="F1003" s="128" t="s">
        <v>1807</v>
      </c>
      <c r="G1003" s="128" t="s">
        <v>1808</v>
      </c>
      <c r="H1003" s="128" t="s">
        <v>100</v>
      </c>
      <c r="I1003" s="136"/>
      <c r="J1003" s="347" t="s">
        <v>1455</v>
      </c>
      <c r="K1003" s="136"/>
      <c r="L1003" s="146">
        <v>46191</v>
      </c>
      <c r="M1003" s="136"/>
      <c r="N1003" s="281" t="s">
        <v>1237</v>
      </c>
      <c r="O1003" s="146">
        <v>46194</v>
      </c>
      <c r="P1003" s="138">
        <v>0</v>
      </c>
      <c r="Q1003" s="138">
        <v>5</v>
      </c>
      <c r="R1003" s="138">
        <v>463</v>
      </c>
      <c r="S1003" s="138">
        <v>468</v>
      </c>
      <c r="T1003" s="138">
        <v>468</v>
      </c>
      <c r="U1003" s="136"/>
      <c r="V1003" s="136"/>
      <c r="W1003" s="148">
        <v>294.5</v>
      </c>
      <c r="X1003" s="148">
        <v>283.10000000000002</v>
      </c>
      <c r="Y1003" s="196">
        <f>2312217.5-89882.5</f>
        <v>2222335</v>
      </c>
      <c r="Z1003" s="165"/>
      <c r="AA1003" s="169">
        <v>57805.440000000002</v>
      </c>
      <c r="AB1003" s="169">
        <v>57805.440000000002</v>
      </c>
      <c r="AC1003" s="169">
        <v>2427828.38</v>
      </c>
      <c r="AD1003" s="315">
        <f t="shared" si="665"/>
        <v>2425400.55162</v>
      </c>
      <c r="AE1003" s="173">
        <v>38.35</v>
      </c>
      <c r="AF1003" s="147">
        <v>42</v>
      </c>
      <c r="AG1003" s="173">
        <v>38.5</v>
      </c>
      <c r="AH1003" s="292">
        <v>8.6E-3</v>
      </c>
      <c r="AI1003" s="403">
        <v>6.1899999999999997E-2</v>
      </c>
      <c r="AJ1003" s="287">
        <v>5.3999999999999999E-2</v>
      </c>
      <c r="AK1003" s="318">
        <f t="shared" si="656"/>
        <v>193131.49404761897</v>
      </c>
      <c r="AL1003" s="193">
        <f>5*10+463*10</f>
        <v>4680</v>
      </c>
      <c r="AM1003" s="319">
        <f t="shared" ref="AM1003:AM1008" si="666">AH1003*Y1003</f>
        <v>19112.080999999998</v>
      </c>
      <c r="AN1003" s="319">
        <f>X1003*15</f>
        <v>4246.5</v>
      </c>
      <c r="AO1003" s="320">
        <f t="shared" si="657"/>
        <v>0</v>
      </c>
      <c r="AP1003" s="193">
        <f>X1003*32.7</f>
        <v>9257.3700000000008</v>
      </c>
      <c r="AQ1003" s="318">
        <v>0</v>
      </c>
      <c r="AR1003" s="318">
        <f t="shared" si="658"/>
        <v>230427.44504761897</v>
      </c>
      <c r="AS1003" s="318">
        <f t="shared" si="659"/>
        <v>241949</v>
      </c>
      <c r="AT1003" s="321">
        <v>0</v>
      </c>
      <c r="AU1003" s="206" t="s">
        <v>2145</v>
      </c>
      <c r="AV1003" s="136"/>
      <c r="AW1003" s="318">
        <f t="shared" si="660"/>
        <v>29450</v>
      </c>
      <c r="AX1003" s="193"/>
      <c r="AY1003" s="318">
        <f t="shared" si="661"/>
        <v>29450</v>
      </c>
      <c r="AZ1003" s="318">
        <f t="shared" si="662"/>
        <v>28310.000000000004</v>
      </c>
      <c r="BA1003" s="318">
        <f t="shared" si="663"/>
        <v>1139.9999999999964</v>
      </c>
      <c r="BB1003" s="318">
        <f t="shared" si="664"/>
        <v>58.9</v>
      </c>
      <c r="BC1003" s="318">
        <v>0</v>
      </c>
      <c r="BD1003" s="136"/>
      <c r="BE1003" s="138">
        <v>294.5</v>
      </c>
      <c r="BF1003" s="321">
        <f t="shared" si="648"/>
        <v>0.44174999999999998</v>
      </c>
      <c r="BG1003" s="197">
        <f t="shared" si="649"/>
        <v>294.05824999999999</v>
      </c>
      <c r="BH1003" s="321">
        <f t="shared" si="650"/>
        <v>283.10000000000002</v>
      </c>
      <c r="BI1003" s="322">
        <f t="shared" si="651"/>
        <v>1139.9999999999977</v>
      </c>
      <c r="BJ1003" s="322">
        <v>0</v>
      </c>
      <c r="BK1003" s="318">
        <f t="shared" si="652"/>
        <v>1139.9999999999977</v>
      </c>
      <c r="BL1003" s="67"/>
      <c r="BM1003" s="68" t="str">
        <f t="shared" si="653"/>
        <v>Unloading no. 972 Bill No 2026-27/9 ,Deduction For Oil Deduction= 193131.494047619 ,Bardana= 4680 ,F.M= 19112.081 Brokerage/Rate Difference 4246.5 ,Shortage = 0 ,Greenish= 9257.37 ,Moisture= 0</v>
      </c>
      <c r="BN1003" s="69"/>
      <c r="BO1003" s="70" t="str">
        <f t="shared" si="654"/>
        <v xml:space="preserve"> Party Condition 42  ,F.M% 0.86 ,Greenish 6.19 ,Moisture 5.4 ,Shortage in KG= 0  ,Oil% 38.35</v>
      </c>
      <c r="BP1003" s="71">
        <f t="shared" si="655"/>
        <v>7036.0563580091166</v>
      </c>
      <c r="BQ1003" s="55"/>
      <c r="BR1003" s="55"/>
      <c r="BS1003" s="41"/>
      <c r="BT1003" s="41"/>
      <c r="BU1003" s="41"/>
      <c r="BV1003" s="41"/>
      <c r="BW1003" s="85"/>
      <c r="BX1003" s="30">
        <v>38.35</v>
      </c>
      <c r="BY1003" s="30">
        <v>38.5</v>
      </c>
    </row>
    <row r="1004" spans="1:77" ht="14.1" hidden="1" customHeight="1" x14ac:dyDescent="0.3">
      <c r="A1004" s="138" t="s">
        <v>2118</v>
      </c>
      <c r="B1004" s="146">
        <v>46195</v>
      </c>
      <c r="C1004" s="138">
        <v>973</v>
      </c>
      <c r="D1004" s="135" t="s">
        <v>2130</v>
      </c>
      <c r="E1004" s="130">
        <v>46196</v>
      </c>
      <c r="F1004" s="128" t="s">
        <v>1450</v>
      </c>
      <c r="G1004" s="128" t="s">
        <v>1451</v>
      </c>
      <c r="H1004" s="128" t="s">
        <v>199</v>
      </c>
      <c r="I1004" s="136"/>
      <c r="J1004" s="347" t="s">
        <v>1455</v>
      </c>
      <c r="K1004" s="136"/>
      <c r="L1004" s="146">
        <v>46195</v>
      </c>
      <c r="M1004" s="136"/>
      <c r="N1004" s="281" t="s">
        <v>2137</v>
      </c>
      <c r="O1004" s="146">
        <v>46194</v>
      </c>
      <c r="P1004" s="138">
        <v>0</v>
      </c>
      <c r="Q1004" s="138">
        <v>100</v>
      </c>
      <c r="R1004" s="138">
        <v>153</v>
      </c>
      <c r="S1004" s="138">
        <v>253</v>
      </c>
      <c r="T1004" s="138">
        <v>253</v>
      </c>
      <c r="U1004" s="136"/>
      <c r="V1004" s="136"/>
      <c r="W1004" s="148">
        <v>132.75</v>
      </c>
      <c r="X1004" s="148">
        <v>132.19999999999999</v>
      </c>
      <c r="Y1004" s="147">
        <v>1038768.75</v>
      </c>
      <c r="Z1004" s="165"/>
      <c r="AA1004" s="169">
        <v>25969.22</v>
      </c>
      <c r="AB1004" s="169">
        <v>25969.22</v>
      </c>
      <c r="AC1004" s="169">
        <v>1090707.19</v>
      </c>
      <c r="AD1004" s="315">
        <f t="shared" si="665"/>
        <v>1089616.48281</v>
      </c>
      <c r="AE1004" s="147">
        <v>39</v>
      </c>
      <c r="AF1004" s="147">
        <v>42</v>
      </c>
      <c r="AG1004" s="147">
        <v>39.03</v>
      </c>
      <c r="AH1004" s="287">
        <v>3.5000000000000001E-3</v>
      </c>
      <c r="AI1004" s="287">
        <v>3.7999999999999999E-2</v>
      </c>
      <c r="AJ1004" s="287">
        <v>5.5E-2</v>
      </c>
      <c r="AK1004" s="318">
        <f t="shared" si="656"/>
        <v>74197.767857142855</v>
      </c>
      <c r="AL1004" s="193">
        <f>100*10+153*15</f>
        <v>3295</v>
      </c>
      <c r="AM1004" s="319">
        <f t="shared" si="666"/>
        <v>3635.6906250000002</v>
      </c>
      <c r="AN1004" s="319"/>
      <c r="AO1004" s="320">
        <f t="shared" si="657"/>
        <v>4303.75</v>
      </c>
      <c r="AP1004" s="193">
        <v>0</v>
      </c>
      <c r="AQ1004" s="318">
        <v>0</v>
      </c>
      <c r="AR1004" s="318">
        <f t="shared" si="658"/>
        <v>85432.208482142858</v>
      </c>
      <c r="AS1004" s="318">
        <f t="shared" si="659"/>
        <v>89704</v>
      </c>
      <c r="AT1004" s="321">
        <v>55</v>
      </c>
      <c r="AU1004" s="136"/>
      <c r="AV1004" s="136"/>
      <c r="AW1004" s="318">
        <f t="shared" si="660"/>
        <v>13275</v>
      </c>
      <c r="AX1004" s="193"/>
      <c r="AY1004" s="318">
        <f t="shared" si="661"/>
        <v>13275</v>
      </c>
      <c r="AZ1004" s="318">
        <f t="shared" si="662"/>
        <v>13219.999999999998</v>
      </c>
      <c r="BA1004" s="318">
        <f t="shared" si="663"/>
        <v>55.000000000001819</v>
      </c>
      <c r="BB1004" s="318">
        <f t="shared" si="664"/>
        <v>26.55</v>
      </c>
      <c r="BC1004" s="318">
        <v>0</v>
      </c>
      <c r="BD1004" s="136"/>
      <c r="BE1004" s="138">
        <v>132.75</v>
      </c>
      <c r="BF1004" s="321">
        <f t="shared" si="648"/>
        <v>0.19912499999999997</v>
      </c>
      <c r="BG1004" s="197">
        <f t="shared" si="649"/>
        <v>132.55087499999999</v>
      </c>
      <c r="BH1004" s="321">
        <f t="shared" si="650"/>
        <v>132.19999999999999</v>
      </c>
      <c r="BI1004" s="322">
        <f t="shared" si="651"/>
        <v>55.000000000001137</v>
      </c>
      <c r="BJ1004" s="322">
        <v>0</v>
      </c>
      <c r="BK1004" s="318">
        <f t="shared" si="652"/>
        <v>55.000000000001137</v>
      </c>
      <c r="BL1004" s="67"/>
      <c r="BM1004" s="68" t="str">
        <f t="shared" si="653"/>
        <v>Unloading no. 973 Bill No ST-45 ,Deduction For Oil Deduction= 74197.7678571429 ,Bardana= 3295 ,F.M= 3635.690625 Brokerage/Rate Difference  ,Shortage = 4303.75 ,Greenish= 0 ,Moisture= 0</v>
      </c>
      <c r="BN1004" s="69"/>
      <c r="BO1004" s="70" t="str">
        <f t="shared" si="654"/>
        <v xml:space="preserve"> Party Condition 42  ,F.M% 0.35 ,Greenish 3.8 ,Moisture 5.5 ,Shortage in KG= 55  ,Oil% 39</v>
      </c>
      <c r="BP1004" s="71">
        <f t="shared" si="655"/>
        <v>7211.3202837961962</v>
      </c>
      <c r="BQ1004" s="55"/>
      <c r="BR1004" s="55"/>
      <c r="BS1004" s="41"/>
      <c r="BT1004" s="41"/>
      <c r="BU1004" s="41"/>
      <c r="BV1004" s="41"/>
      <c r="BW1004" s="85"/>
      <c r="BX1004" s="27">
        <v>39</v>
      </c>
      <c r="BY1004" s="27">
        <v>39.03</v>
      </c>
    </row>
    <row r="1005" spans="1:77" ht="14.1" hidden="1" customHeight="1" x14ac:dyDescent="0.3">
      <c r="A1005" s="138" t="s">
        <v>2119</v>
      </c>
      <c r="B1005" s="146">
        <v>46195</v>
      </c>
      <c r="C1005" s="190">
        <v>974</v>
      </c>
      <c r="D1005" s="135" t="s">
        <v>2131</v>
      </c>
      <c r="E1005" s="130">
        <v>46196</v>
      </c>
      <c r="F1005" s="128" t="s">
        <v>1142</v>
      </c>
      <c r="G1005" s="128" t="s">
        <v>1143</v>
      </c>
      <c r="H1005" s="128" t="s">
        <v>103</v>
      </c>
      <c r="I1005" s="136"/>
      <c r="J1005" s="347" t="s">
        <v>1455</v>
      </c>
      <c r="K1005" s="136"/>
      <c r="L1005" s="146">
        <v>46195</v>
      </c>
      <c r="M1005" s="136"/>
      <c r="N1005" s="281" t="s">
        <v>2138</v>
      </c>
      <c r="O1005" s="146">
        <v>46196</v>
      </c>
      <c r="P1005" s="138">
        <v>0</v>
      </c>
      <c r="Q1005" s="138">
        <v>79</v>
      </c>
      <c r="R1005" s="138">
        <v>0</v>
      </c>
      <c r="S1005" s="138">
        <v>79</v>
      </c>
      <c r="T1005" s="138">
        <v>79</v>
      </c>
      <c r="U1005" s="136"/>
      <c r="V1005" s="136"/>
      <c r="W1005" s="148">
        <v>39.799999999999997</v>
      </c>
      <c r="X1005" s="148">
        <v>39.799999999999997</v>
      </c>
      <c r="Y1005" s="147">
        <v>311435</v>
      </c>
      <c r="Z1005" s="165"/>
      <c r="AA1005" s="169">
        <v>7785.88</v>
      </c>
      <c r="AB1005" s="169">
        <v>7785.88</v>
      </c>
      <c r="AC1005" s="169">
        <v>327006.75</v>
      </c>
      <c r="AD1005" s="315">
        <f t="shared" si="665"/>
        <v>326679.74325</v>
      </c>
      <c r="AE1005" s="147">
        <v>38</v>
      </c>
      <c r="AF1005" s="147">
        <v>42</v>
      </c>
      <c r="AG1005" s="147">
        <v>38.049999999999997</v>
      </c>
      <c r="AH1005" s="292">
        <v>5.4000000000000003E-3</v>
      </c>
      <c r="AI1005" s="287">
        <v>4.5999999999999999E-2</v>
      </c>
      <c r="AJ1005" s="287">
        <v>4.9000000000000002E-2</v>
      </c>
      <c r="AK1005" s="318">
        <f t="shared" si="656"/>
        <v>29660.476190476187</v>
      </c>
      <c r="AL1005" s="193">
        <f>207*10+381*15</f>
        <v>7785</v>
      </c>
      <c r="AM1005" s="324">
        <f t="shared" si="666"/>
        <v>1681.749</v>
      </c>
      <c r="AN1005" s="319"/>
      <c r="AO1005" s="320">
        <v>2341</v>
      </c>
      <c r="AP1005" s="193">
        <v>0</v>
      </c>
      <c r="AQ1005" s="318">
        <v>0</v>
      </c>
      <c r="AR1005" s="242">
        <f t="shared" si="658"/>
        <v>41468.225190476187</v>
      </c>
      <c r="AS1005" s="318">
        <f t="shared" si="659"/>
        <v>43542</v>
      </c>
      <c r="AT1005" s="321">
        <v>30</v>
      </c>
      <c r="AU1005" s="355" t="s">
        <v>2146</v>
      </c>
      <c r="AV1005" s="136"/>
      <c r="AW1005" s="318">
        <f t="shared" si="660"/>
        <v>3979.9999999999995</v>
      </c>
      <c r="AX1005" s="193"/>
      <c r="AY1005" s="318">
        <f t="shared" si="661"/>
        <v>3979.9999999999995</v>
      </c>
      <c r="AZ1005" s="318">
        <f t="shared" si="662"/>
        <v>3979.9999999999995</v>
      </c>
      <c r="BA1005" s="318">
        <f t="shared" si="663"/>
        <v>0</v>
      </c>
      <c r="BB1005" s="318">
        <f t="shared" si="664"/>
        <v>7.9599999999999991</v>
      </c>
      <c r="BC1005" s="318">
        <v>0</v>
      </c>
      <c r="BD1005" s="136"/>
      <c r="BE1005" s="138">
        <v>39.799999999999997</v>
      </c>
      <c r="BF1005" s="321">
        <f t="shared" si="648"/>
        <v>5.9699999999999996E-2</v>
      </c>
      <c r="BG1005" s="197">
        <f t="shared" si="649"/>
        <v>39.740299999999998</v>
      </c>
      <c r="BH1005" s="321">
        <f t="shared" si="650"/>
        <v>39.799999999999997</v>
      </c>
      <c r="BI1005" s="322">
        <f t="shared" si="651"/>
        <v>0</v>
      </c>
      <c r="BJ1005" s="322">
        <v>0</v>
      </c>
      <c r="BK1005" s="318">
        <f t="shared" si="652"/>
        <v>0</v>
      </c>
      <c r="BL1005" s="67"/>
      <c r="BM1005" s="68" t="str">
        <f t="shared" si="653"/>
        <v>Unloading no. 974 Bill No 2026-27/6952 ,Deduction For Oil Deduction= 29660.4761904762 ,Bardana= 7785 ,F.M= 1681.749 Brokerage/Rate Difference  ,Shortage = 2341 ,Greenish= 0 ,Moisture= 0</v>
      </c>
      <c r="BN1005" s="69"/>
      <c r="BO1005" s="70" t="str">
        <f t="shared" si="654"/>
        <v xml:space="preserve"> Party Condition 42  ,F.M% 0.54 ,Greenish 4.6 ,Moisture 4.9 ,Shortage in KG= 30  ,Oil% 38</v>
      </c>
      <c r="BP1005" s="71">
        <f t="shared" si="655"/>
        <v>6783.0847942091423</v>
      </c>
      <c r="BQ1005" s="55"/>
      <c r="BR1005" s="55"/>
      <c r="BS1005" s="41"/>
      <c r="BT1005" s="41"/>
      <c r="BU1005" s="41"/>
      <c r="BV1005" s="41"/>
      <c r="BW1005" s="85"/>
      <c r="BX1005" s="27">
        <v>38</v>
      </c>
      <c r="BY1005" s="27">
        <v>38.049999999999997</v>
      </c>
    </row>
    <row r="1006" spans="1:77" ht="14.1" hidden="1" customHeight="1" x14ac:dyDescent="0.3">
      <c r="A1006" s="138" t="s">
        <v>2113</v>
      </c>
      <c r="B1006" s="146">
        <v>46192</v>
      </c>
      <c r="C1006" s="190">
        <v>974</v>
      </c>
      <c r="D1006" s="135" t="s">
        <v>2131</v>
      </c>
      <c r="E1006" s="130">
        <v>46196</v>
      </c>
      <c r="F1006" s="128" t="s">
        <v>1142</v>
      </c>
      <c r="G1006" s="128" t="s">
        <v>1143</v>
      </c>
      <c r="H1006" s="128" t="s">
        <v>103</v>
      </c>
      <c r="I1006" s="136"/>
      <c r="J1006" s="347" t="s">
        <v>1455</v>
      </c>
      <c r="K1006" s="136"/>
      <c r="L1006" s="146">
        <v>46192</v>
      </c>
      <c r="M1006" s="136"/>
      <c r="N1006" s="281" t="s">
        <v>2138</v>
      </c>
      <c r="O1006" s="146">
        <v>46196</v>
      </c>
      <c r="P1006" s="138">
        <v>0</v>
      </c>
      <c r="Q1006" s="138">
        <v>128</v>
      </c>
      <c r="R1006" s="138">
        <v>381</v>
      </c>
      <c r="S1006" s="138">
        <v>509</v>
      </c>
      <c r="T1006" s="138">
        <v>509</v>
      </c>
      <c r="U1006" s="136"/>
      <c r="V1006" s="136"/>
      <c r="W1006" s="148">
        <v>260</v>
      </c>
      <c r="X1006" s="148">
        <v>260</v>
      </c>
      <c r="Y1006" s="147">
        <v>2028000</v>
      </c>
      <c r="Z1006" s="165"/>
      <c r="AA1006" s="169">
        <v>50700</v>
      </c>
      <c r="AB1006" s="169">
        <v>50700</v>
      </c>
      <c r="AC1006" s="169">
        <v>2129400</v>
      </c>
      <c r="AD1006" s="315">
        <f t="shared" si="665"/>
        <v>2127270.6</v>
      </c>
      <c r="AE1006" s="147">
        <v>38</v>
      </c>
      <c r="AF1006" s="147">
        <v>42</v>
      </c>
      <c r="AG1006" s="147">
        <v>38.049999999999997</v>
      </c>
      <c r="AH1006" s="292">
        <v>5.4000000000000003E-3</v>
      </c>
      <c r="AI1006" s="287">
        <v>4.5999999999999999E-2</v>
      </c>
      <c r="AJ1006" s="287">
        <v>4.9000000000000002E-2</v>
      </c>
      <c r="AK1006" s="318">
        <f t="shared" si="656"/>
        <v>193142.85714285713</v>
      </c>
      <c r="AL1006" s="193">
        <v>0</v>
      </c>
      <c r="AM1006" s="324">
        <f t="shared" si="666"/>
        <v>10951.2</v>
      </c>
      <c r="AN1006" s="319"/>
      <c r="AO1006" s="320">
        <f t="shared" si="657"/>
        <v>0</v>
      </c>
      <c r="AP1006" s="193">
        <v>0</v>
      </c>
      <c r="AQ1006" s="318">
        <v>0</v>
      </c>
      <c r="AR1006" s="242">
        <f t="shared" si="658"/>
        <v>204094.05714285714</v>
      </c>
      <c r="AS1006" s="318">
        <f t="shared" si="659"/>
        <v>214299</v>
      </c>
      <c r="AT1006" s="321">
        <v>0</v>
      </c>
      <c r="AU1006" s="355" t="s">
        <v>2146</v>
      </c>
      <c r="AV1006" s="136"/>
      <c r="AW1006" s="318">
        <f t="shared" si="660"/>
        <v>26000</v>
      </c>
      <c r="AX1006" s="193"/>
      <c r="AY1006" s="318">
        <f t="shared" si="661"/>
        <v>26000</v>
      </c>
      <c r="AZ1006" s="318">
        <f t="shared" si="662"/>
        <v>26000</v>
      </c>
      <c r="BA1006" s="318">
        <f t="shared" si="663"/>
        <v>0</v>
      </c>
      <c r="BB1006" s="318">
        <f t="shared" si="664"/>
        <v>52</v>
      </c>
      <c r="BC1006" s="318">
        <v>0</v>
      </c>
      <c r="BD1006" s="136"/>
      <c r="BE1006" s="138">
        <v>260</v>
      </c>
      <c r="BF1006" s="321">
        <f t="shared" si="648"/>
        <v>0.39</v>
      </c>
      <c r="BG1006" s="197">
        <f t="shared" si="649"/>
        <v>259.61</v>
      </c>
      <c r="BH1006" s="321">
        <f t="shared" si="650"/>
        <v>260</v>
      </c>
      <c r="BI1006" s="322">
        <f t="shared" si="651"/>
        <v>0</v>
      </c>
      <c r="BJ1006" s="322">
        <v>0</v>
      </c>
      <c r="BK1006" s="318">
        <f t="shared" si="652"/>
        <v>0</v>
      </c>
      <c r="BL1006" s="67"/>
      <c r="BM1006" s="68" t="str">
        <f t="shared" si="653"/>
        <v>Unloading no. 974 Bill No 2026-27/6952 ,Deduction For Oil Deduction= 193142.857142857 ,Bardana= 0 ,F.M= 10951.2 Brokerage/Rate Difference  ,Shortage = 0 ,Greenish= 0 ,Moisture= 0</v>
      </c>
      <c r="BN1006" s="69"/>
      <c r="BO1006" s="70" t="str">
        <f t="shared" si="654"/>
        <v xml:space="preserve"> Party Condition 42  ,F.M% 0.54 ,Greenish 4.6 ,Moisture 4.9 ,Shortage in KG= 0  ,Oil% 38</v>
      </c>
      <c r="BP1006" s="71">
        <f t="shared" si="655"/>
        <v>7015.022857142857</v>
      </c>
      <c r="BQ1006" s="55"/>
      <c r="BR1006" s="55"/>
      <c r="BS1006" s="41"/>
      <c r="BT1006" s="41"/>
      <c r="BU1006" s="41"/>
      <c r="BV1006" s="41"/>
      <c r="BW1006" s="85"/>
      <c r="BX1006" s="27">
        <v>38</v>
      </c>
      <c r="BY1006" s="27">
        <v>38.049999999999997</v>
      </c>
    </row>
    <row r="1007" spans="1:77" ht="14.1" hidden="1" customHeight="1" x14ac:dyDescent="0.3">
      <c r="A1007" s="281" t="s">
        <v>2120</v>
      </c>
      <c r="B1007" s="146">
        <v>46195</v>
      </c>
      <c r="C1007" s="138">
        <v>975</v>
      </c>
      <c r="D1007" s="135" t="s">
        <v>2132</v>
      </c>
      <c r="E1007" s="130">
        <v>46196</v>
      </c>
      <c r="F1007" s="128" t="s">
        <v>1450</v>
      </c>
      <c r="G1007" s="128" t="s">
        <v>1451</v>
      </c>
      <c r="H1007" s="128" t="s">
        <v>199</v>
      </c>
      <c r="I1007" s="136"/>
      <c r="J1007" s="347" t="s">
        <v>1455</v>
      </c>
      <c r="K1007" s="136"/>
      <c r="L1007" s="146">
        <v>46195</v>
      </c>
      <c r="M1007" s="136"/>
      <c r="N1007" s="281" t="s">
        <v>2139</v>
      </c>
      <c r="O1007" s="146">
        <v>46196</v>
      </c>
      <c r="P1007" s="138">
        <v>0</v>
      </c>
      <c r="Q1007" s="138">
        <v>165</v>
      </c>
      <c r="R1007" s="138">
        <v>100</v>
      </c>
      <c r="S1007" s="138">
        <v>265</v>
      </c>
      <c r="T1007" s="138">
        <v>265</v>
      </c>
      <c r="U1007" s="136"/>
      <c r="V1007" s="136"/>
      <c r="W1007" s="148">
        <v>160.80000000000001</v>
      </c>
      <c r="X1007" s="148">
        <v>160.5</v>
      </c>
      <c r="Y1007" s="147">
        <v>1258260</v>
      </c>
      <c r="Z1007" s="165"/>
      <c r="AA1007" s="169">
        <v>31456.5</v>
      </c>
      <c r="AB1007" s="169">
        <v>31456.5</v>
      </c>
      <c r="AC1007" s="169">
        <v>1321173</v>
      </c>
      <c r="AD1007" s="315">
        <f t="shared" si="665"/>
        <v>1319851.827</v>
      </c>
      <c r="AE1007" s="147">
        <v>39.659999999999997</v>
      </c>
      <c r="AF1007" s="147">
        <v>42</v>
      </c>
      <c r="AG1007" s="147">
        <v>39.590000000000003</v>
      </c>
      <c r="AH1007" s="287">
        <v>3.5000000000000001E-3</v>
      </c>
      <c r="AI1007" s="287">
        <v>3.9E-2</v>
      </c>
      <c r="AJ1007" s="287">
        <v>5.0999999999999997E-2</v>
      </c>
      <c r="AK1007" s="318">
        <f t="shared" si="656"/>
        <v>72200.157142857031</v>
      </c>
      <c r="AL1007" s="193">
        <f>165*10+100*15</f>
        <v>3150</v>
      </c>
      <c r="AM1007" s="319">
        <f t="shared" si="666"/>
        <v>4403.91</v>
      </c>
      <c r="AN1007" s="319"/>
      <c r="AO1007" s="320">
        <f t="shared" si="657"/>
        <v>2347.4999999999995</v>
      </c>
      <c r="AP1007" s="193">
        <v>0</v>
      </c>
      <c r="AQ1007" s="318">
        <v>0</v>
      </c>
      <c r="AR1007" s="318">
        <f t="shared" si="658"/>
        <v>82101.567142857035</v>
      </c>
      <c r="AS1007" s="318">
        <f t="shared" si="659"/>
        <v>86207</v>
      </c>
      <c r="AT1007" s="321">
        <v>30</v>
      </c>
      <c r="AU1007" s="136"/>
      <c r="AV1007" s="136"/>
      <c r="AW1007" s="318">
        <f t="shared" si="660"/>
        <v>16080.000000000002</v>
      </c>
      <c r="AX1007" s="193"/>
      <c r="AY1007" s="318">
        <f t="shared" si="661"/>
        <v>16080.000000000002</v>
      </c>
      <c r="AZ1007" s="318">
        <f t="shared" si="662"/>
        <v>16050</v>
      </c>
      <c r="BA1007" s="318">
        <f t="shared" si="663"/>
        <v>30.000000000001819</v>
      </c>
      <c r="BB1007" s="318">
        <f t="shared" si="664"/>
        <v>32.160000000000004</v>
      </c>
      <c r="BC1007" s="318">
        <v>0</v>
      </c>
      <c r="BD1007" s="136"/>
      <c r="BE1007" s="138">
        <v>160.80000000000001</v>
      </c>
      <c r="BF1007" s="321">
        <f t="shared" si="648"/>
        <v>0.2412</v>
      </c>
      <c r="BG1007" s="197">
        <f t="shared" si="649"/>
        <v>160.55880000000002</v>
      </c>
      <c r="BH1007" s="321">
        <f t="shared" si="650"/>
        <v>160.5</v>
      </c>
      <c r="BI1007" s="322">
        <f t="shared" si="651"/>
        <v>30.000000000001137</v>
      </c>
      <c r="BJ1007" s="322">
        <v>0</v>
      </c>
      <c r="BK1007" s="318">
        <f t="shared" si="652"/>
        <v>30.000000000001137</v>
      </c>
      <c r="BL1007" s="67"/>
      <c r="BM1007" s="68" t="str">
        <f t="shared" si="653"/>
        <v>Unloading no. 975 Bill No ST-47 ,Deduction For Oil Deduction= 72200.157142857 ,Bardana= 3150 ,F.M= 4403.91 Brokerage/Rate Difference  ,Shortage = 2347.5 ,Greenish= 0 ,Moisture= 0</v>
      </c>
      <c r="BN1007" s="69"/>
      <c r="BO1007" s="70" t="str">
        <f t="shared" si="654"/>
        <v xml:space="preserve"> Party Condition 42  ,F.M% 0.35 ,Greenish 3.9 ,Moisture 5.1 ,Shortage in KG= 30  ,Oil% 39.59</v>
      </c>
      <c r="BP1007" s="71">
        <f t="shared" si="655"/>
        <v>7328.0899243435697</v>
      </c>
      <c r="BQ1007" s="55"/>
      <c r="BR1007" s="55"/>
      <c r="BS1007" s="41"/>
      <c r="BT1007" s="41"/>
      <c r="BU1007" s="41"/>
      <c r="BV1007" s="41"/>
      <c r="BW1007" s="85"/>
      <c r="BX1007" s="27">
        <v>39.659999999999997</v>
      </c>
      <c r="BY1007" s="27">
        <v>39.590000000000003</v>
      </c>
    </row>
    <row r="1008" spans="1:77" ht="14.1" hidden="1" customHeight="1" x14ac:dyDescent="0.3">
      <c r="A1008" s="281" t="s">
        <v>2116</v>
      </c>
      <c r="B1008" s="146">
        <v>46192</v>
      </c>
      <c r="C1008" s="138">
        <v>976</v>
      </c>
      <c r="D1008" s="135" t="s">
        <v>2133</v>
      </c>
      <c r="E1008" s="129">
        <v>46197</v>
      </c>
      <c r="F1008" s="128" t="s">
        <v>1805</v>
      </c>
      <c r="G1008" s="128" t="s">
        <v>1806</v>
      </c>
      <c r="H1008" s="128" t="s">
        <v>1511</v>
      </c>
      <c r="I1008" s="136"/>
      <c r="J1008" s="347" t="s">
        <v>1455</v>
      </c>
      <c r="K1008" s="136"/>
      <c r="L1008" s="146">
        <v>46192</v>
      </c>
      <c r="M1008" s="136"/>
      <c r="N1008" s="281" t="s">
        <v>2140</v>
      </c>
      <c r="O1008" s="146">
        <v>46196</v>
      </c>
      <c r="P1008" s="138">
        <v>0</v>
      </c>
      <c r="Q1008" s="138">
        <v>245</v>
      </c>
      <c r="R1008" s="138">
        <v>170</v>
      </c>
      <c r="S1008" s="138">
        <v>415</v>
      </c>
      <c r="T1008" s="138">
        <v>415</v>
      </c>
      <c r="U1008" s="136"/>
      <c r="V1008" s="136"/>
      <c r="W1008" s="148">
        <v>250</v>
      </c>
      <c r="X1008" s="148">
        <v>250.2</v>
      </c>
      <c r="Y1008" s="147">
        <v>1950000</v>
      </c>
      <c r="Z1008" s="165"/>
      <c r="AA1008" s="169">
        <v>48750</v>
      </c>
      <c r="AB1008" s="169">
        <v>48750</v>
      </c>
      <c r="AC1008" s="169">
        <v>2047500</v>
      </c>
      <c r="AD1008" s="315">
        <f t="shared" si="665"/>
        <v>2045452.5</v>
      </c>
      <c r="AE1008" s="147">
        <v>39.58</v>
      </c>
      <c r="AF1008" s="147">
        <v>42</v>
      </c>
      <c r="AG1008" s="147">
        <v>39.700000000000003</v>
      </c>
      <c r="AH1008" s="287">
        <v>4.0000000000000001E-3</v>
      </c>
      <c r="AI1008" s="287">
        <v>4.24E-2</v>
      </c>
      <c r="AJ1008" s="287">
        <v>5.3999999999999999E-2</v>
      </c>
      <c r="AK1008" s="318">
        <f t="shared" si="656"/>
        <v>112357.14285714294</v>
      </c>
      <c r="AL1008" s="193">
        <f>245*10+170*15</f>
        <v>5000</v>
      </c>
      <c r="AM1008" s="319">
        <f t="shared" si="666"/>
        <v>7800</v>
      </c>
      <c r="AN1008" s="319"/>
      <c r="AO1008" s="320">
        <f t="shared" si="657"/>
        <v>0</v>
      </c>
      <c r="AP1008" s="193">
        <v>0</v>
      </c>
      <c r="AQ1008" s="318">
        <v>0</v>
      </c>
      <c r="AR1008" s="318">
        <f t="shared" si="658"/>
        <v>125157.14285714294</v>
      </c>
      <c r="AS1008" s="318">
        <f t="shared" si="659"/>
        <v>131415</v>
      </c>
      <c r="AT1008" s="321">
        <v>0</v>
      </c>
      <c r="AU1008" s="206" t="s">
        <v>2147</v>
      </c>
      <c r="AV1008" s="136"/>
      <c r="AW1008" s="318">
        <f t="shared" si="660"/>
        <v>25000</v>
      </c>
      <c r="AX1008" s="193"/>
      <c r="AY1008" s="318">
        <f t="shared" si="661"/>
        <v>25000</v>
      </c>
      <c r="AZ1008" s="318">
        <f t="shared" si="662"/>
        <v>25020</v>
      </c>
      <c r="BA1008" s="318">
        <f t="shared" si="663"/>
        <v>-20</v>
      </c>
      <c r="BB1008" s="318">
        <f t="shared" si="664"/>
        <v>50</v>
      </c>
      <c r="BC1008" s="318">
        <v>0</v>
      </c>
      <c r="BD1008" s="136"/>
      <c r="BE1008" s="148">
        <v>250</v>
      </c>
      <c r="BF1008" s="321">
        <f t="shared" si="648"/>
        <v>0.375</v>
      </c>
      <c r="BG1008" s="197">
        <f t="shared" si="649"/>
        <v>249.625</v>
      </c>
      <c r="BH1008" s="321">
        <f t="shared" si="650"/>
        <v>250.2</v>
      </c>
      <c r="BI1008" s="322">
        <f t="shared" si="651"/>
        <v>-19.999999999998863</v>
      </c>
      <c r="BJ1008" s="322">
        <v>0</v>
      </c>
      <c r="BK1008" s="318">
        <f t="shared" si="652"/>
        <v>-19.999999999998863</v>
      </c>
      <c r="BL1008" s="67"/>
      <c r="BM1008" s="68" t="str">
        <f t="shared" si="653"/>
        <v>Unloading no. 976 Bill No 13/2026-27 ,Deduction For Oil Deduction= 112357.142857143 ,Bardana= 5000 ,F.M= 7800 Brokerage/Rate Difference  ,Shortage = 0 ,Greenish= 0 ,Moisture= 0</v>
      </c>
      <c r="BN1008" s="69"/>
      <c r="BO1008" s="70" t="str">
        <f t="shared" si="654"/>
        <v xml:space="preserve"> Party Condition 42  ,F.M% 0.4 ,Greenish 4.24 ,Moisture 5.4 ,Shortage in KG= 0  ,Oil% 39.58</v>
      </c>
      <c r="BP1008" s="71">
        <f t="shared" si="655"/>
        <v>7293.5365992919951</v>
      </c>
      <c r="BQ1008" s="55"/>
      <c r="BR1008" s="55"/>
      <c r="BS1008" s="41"/>
      <c r="BT1008" s="41"/>
      <c r="BU1008" s="41"/>
      <c r="BV1008" s="41"/>
      <c r="BW1008" s="85"/>
      <c r="BX1008" s="30">
        <v>39.58</v>
      </c>
      <c r="BY1008" s="30">
        <v>39.700000000000003</v>
      </c>
    </row>
    <row r="1009" spans="1:77" ht="14.1" hidden="1" customHeight="1" x14ac:dyDescent="0.3">
      <c r="A1009" s="281" t="s">
        <v>2148</v>
      </c>
      <c r="B1009" s="146">
        <v>46196</v>
      </c>
      <c r="C1009" s="138">
        <v>977</v>
      </c>
      <c r="D1009" s="128" t="s">
        <v>2163</v>
      </c>
      <c r="E1009" s="129">
        <v>46199</v>
      </c>
      <c r="F1009" s="128" t="s">
        <v>1083</v>
      </c>
      <c r="G1009" s="128" t="s">
        <v>1084</v>
      </c>
      <c r="H1009" s="128" t="s">
        <v>1454</v>
      </c>
      <c r="I1009" s="136"/>
      <c r="J1009" s="347" t="s">
        <v>1455</v>
      </c>
      <c r="K1009" s="136"/>
      <c r="L1009" s="146">
        <v>46196</v>
      </c>
      <c r="M1009" s="136"/>
      <c r="N1009" s="281">
        <v>54</v>
      </c>
      <c r="O1009" s="146">
        <v>46197</v>
      </c>
      <c r="P1009" s="138">
        <v>0</v>
      </c>
      <c r="Q1009" s="138">
        <v>150</v>
      </c>
      <c r="R1009" s="138">
        <v>250</v>
      </c>
      <c r="S1009" s="138">
        <v>400</v>
      </c>
      <c r="T1009" s="138">
        <v>400</v>
      </c>
      <c r="U1009" s="136"/>
      <c r="V1009" s="136"/>
      <c r="W1009" s="148">
        <v>268.95</v>
      </c>
      <c r="X1009" s="148">
        <v>268.39999999999998</v>
      </c>
      <c r="Y1009" s="148">
        <v>2124705</v>
      </c>
      <c r="Z1009" s="165"/>
      <c r="AA1009" s="148">
        <v>53117.63</v>
      </c>
      <c r="AB1009" s="148">
        <v>53117.63</v>
      </c>
      <c r="AC1009" s="148">
        <v>2230940.25</v>
      </c>
      <c r="AD1009" s="315">
        <f t="shared" si="665"/>
        <v>2228709.30975</v>
      </c>
      <c r="AE1009" s="173">
        <v>39.07</v>
      </c>
      <c r="AF1009" s="147">
        <v>42</v>
      </c>
      <c r="AG1009" s="173">
        <v>39.04</v>
      </c>
      <c r="AH1009" s="287">
        <v>4.7999999999999996E-3</v>
      </c>
      <c r="AI1009" s="287">
        <v>3.4000000000000002E-2</v>
      </c>
      <c r="AJ1009" s="287">
        <v>5.3999999999999999E-2</v>
      </c>
      <c r="AK1009" s="318">
        <f t="shared" ref="AK1009" si="667">+IF(AF1009=42,IF(MIN(AE1009,AG1009)&lt;AF1009,Y1009*((AF1009-MIN(AE1009,AG1009))/AF1009)),IF(MIN(AE1009,AG1009)&lt;AF1009,Y1009*((AF1009-MIN(AE1009,AG1009))/AF1009),0))</f>
        <v>149741.11428571434</v>
      </c>
      <c r="AL1009" s="193">
        <f>231*10+169*15</f>
        <v>4845</v>
      </c>
      <c r="AM1009" s="319">
        <f t="shared" ref="AM1009:AM1019" si="668">Y1009*AH1009</f>
        <v>10198.583999999999</v>
      </c>
      <c r="AN1009" s="388">
        <f>W1009*15</f>
        <v>4034.25</v>
      </c>
      <c r="AO1009" s="320">
        <f t="shared" ref="AO1009" si="669">AT1009*Y1009/AW1009</f>
        <v>4345</v>
      </c>
      <c r="AP1009" s="193">
        <v>0</v>
      </c>
      <c r="AQ1009" s="318">
        <v>0</v>
      </c>
      <c r="AR1009" s="318">
        <f t="shared" ref="AR1009" si="670">SUM(AK1009:AQ1009)</f>
        <v>173163.94828571434</v>
      </c>
      <c r="AS1009" s="318">
        <f t="shared" ref="AS1009" si="671">ROUND(AR1009*1.05,0)</f>
        <v>181822</v>
      </c>
      <c r="AT1009" s="321">
        <v>55</v>
      </c>
      <c r="AU1009" s="206" t="s">
        <v>2207</v>
      </c>
      <c r="AV1009" s="136"/>
      <c r="AW1009" s="318">
        <f t="shared" ref="AW1009:AW1035" si="672">W1009*100</f>
        <v>26895</v>
      </c>
      <c r="AX1009" s="193"/>
      <c r="AY1009" s="318">
        <f t="shared" ref="AY1009:AY1035" si="673">+AW1009+AX1009</f>
        <v>26895</v>
      </c>
      <c r="AZ1009" s="318">
        <f t="shared" ref="AZ1009:AZ1035" si="674">X1009*100</f>
        <v>26839.999999999996</v>
      </c>
      <c r="BA1009" s="318">
        <f t="shared" ref="BA1009:BA1035" si="675">AY1009-AZ1009</f>
        <v>55.000000000003638</v>
      </c>
      <c r="BB1009" s="318">
        <f t="shared" ref="BB1009:BB1035" si="676">AW1009*2/1000</f>
        <v>53.79</v>
      </c>
      <c r="BC1009" s="318">
        <v>0</v>
      </c>
      <c r="BD1009" s="136"/>
      <c r="BE1009" s="148">
        <v>268.95</v>
      </c>
      <c r="BF1009" s="321">
        <f t="shared" ref="BF1009:BF1035" si="677">+BE1009*0.15/100</f>
        <v>0.40342499999999992</v>
      </c>
      <c r="BG1009" s="197">
        <f t="shared" ref="BG1009:BG1035" si="678">BE1009-BF1009</f>
        <v>268.54657499999996</v>
      </c>
      <c r="BH1009" s="321">
        <f t="shared" ref="BH1009:BH1035" si="679">X1009</f>
        <v>268.39999999999998</v>
      </c>
      <c r="BI1009" s="322">
        <f t="shared" ref="BI1009:BI1035" si="680">(BE1009-BH1009)*100</f>
        <v>55.000000000001137</v>
      </c>
      <c r="BJ1009" s="322">
        <v>0</v>
      </c>
      <c r="BK1009" s="318">
        <f t="shared" ref="BK1009:BK1035" si="681">BI1009</f>
        <v>55.000000000001137</v>
      </c>
      <c r="BL1009" s="67"/>
      <c r="BM1009" s="68" t="str">
        <f t="shared" ref="BM1009:BM1035" si="682">+$C$1&amp;" "&amp;C1009 &amp;" "&amp;$N$1&amp;" "&amp;N1009&amp;" "&amp;$BM$1&amp;" "&amp;$AK$1&amp;" "&amp;AK1009&amp;" "&amp;$AL$1&amp;" "&amp;AL1009&amp;" "&amp;$AM$1&amp;" "&amp;AM1009&amp;" "&amp;$AN$1&amp;" "&amp;AN1009&amp;" "&amp;$AO$1&amp;" "&amp;AO1009&amp;" "&amp;$AP$1&amp;" "&amp;AP1009&amp;" "&amp;$AQ$1&amp;" "&amp;AQ1009</f>
        <v>Unloading no. 977 Bill No 54 ,Deduction For Oil Deduction= 149741.114285714 ,Bardana= 4845 ,F.M= 10198.584 Brokerage/Rate Difference 4034.25 ,Shortage = 4345 ,Greenish= 0 ,Moisture= 0</v>
      </c>
      <c r="BN1009" s="69"/>
      <c r="BO1009" s="70" t="str">
        <f t="shared" ref="BO1009:BO1035" si="683">+" "&amp;$AF$1&amp;" "&amp;AF1009&amp;" "&amp;" "&amp;$AH$1&amp;" "&amp;AH1009*100&amp;" "&amp;$AI$1&amp;" "&amp;AI1009*100&amp;" "&amp;$AJ$1&amp;" "&amp;AJ1009*100&amp;" ,"&amp;$AT$1&amp;" "&amp;AT1009&amp;" "&amp;IF(AE1009&gt;AG1009," ,Oil%"&amp;" "&amp;AG1009," ,Oil%"&amp;" "&amp;AE1009)</f>
        <v xml:space="preserve"> Party Condition 42  ,F.M% 0.48 ,Greenish 3.4 ,Moisture 5.4 ,Shortage in KG= 55  ,Oil% 39.04</v>
      </c>
      <c r="BP1009" s="71">
        <f t="shared" ref="BP1009:BP1035" si="684">(Y1009-AR1009)/X1009</f>
        <v>7271.0173312752831</v>
      </c>
      <c r="BQ1009" s="55"/>
      <c r="BR1009" s="55"/>
      <c r="BS1009" s="41"/>
      <c r="BT1009" s="41"/>
      <c r="BU1009" s="41"/>
      <c r="BV1009" s="41"/>
      <c r="BW1009" s="85"/>
      <c r="BX1009" s="30">
        <v>39.07</v>
      </c>
      <c r="BY1009" s="30">
        <v>39.04</v>
      </c>
    </row>
    <row r="1010" spans="1:77" ht="14.1" hidden="1" customHeight="1" x14ac:dyDescent="0.3">
      <c r="A1010" s="281" t="s">
        <v>2149</v>
      </c>
      <c r="B1010" s="146">
        <v>46197</v>
      </c>
      <c r="C1010" s="138">
        <v>978</v>
      </c>
      <c r="D1010" s="128" t="s">
        <v>2164</v>
      </c>
      <c r="E1010" s="129">
        <v>46199</v>
      </c>
      <c r="F1010" s="128" t="s">
        <v>2190</v>
      </c>
      <c r="G1010" s="128" t="s">
        <v>2191</v>
      </c>
      <c r="H1010" s="128" t="s">
        <v>97</v>
      </c>
      <c r="I1010" s="136"/>
      <c r="J1010" s="347" t="s">
        <v>1455</v>
      </c>
      <c r="K1010" s="136"/>
      <c r="L1010" s="146">
        <v>46197</v>
      </c>
      <c r="M1010" s="136"/>
      <c r="N1010" s="281" t="s">
        <v>2195</v>
      </c>
      <c r="O1010" s="146">
        <v>46197</v>
      </c>
      <c r="P1010" s="138">
        <v>0</v>
      </c>
      <c r="Q1010" s="138">
        <v>350</v>
      </c>
      <c r="R1010" s="138">
        <v>150</v>
      </c>
      <c r="S1010" s="138">
        <v>500</v>
      </c>
      <c r="T1010" s="138">
        <v>500</v>
      </c>
      <c r="U1010" s="136"/>
      <c r="V1010" s="136"/>
      <c r="W1010" s="148">
        <v>302.8</v>
      </c>
      <c r="X1010" s="148">
        <v>303</v>
      </c>
      <c r="Y1010" s="148">
        <v>2384550</v>
      </c>
      <c r="Z1010" s="165"/>
      <c r="AA1010" s="148">
        <v>59613.75</v>
      </c>
      <c r="AB1010" s="148">
        <v>59613.75</v>
      </c>
      <c r="AC1010" s="148">
        <v>2503777.5</v>
      </c>
      <c r="AD1010" s="315">
        <f t="shared" si="665"/>
        <v>2501273.7225000001</v>
      </c>
      <c r="AE1010" s="173">
        <v>40.049999999999997</v>
      </c>
      <c r="AF1010" s="147">
        <v>42</v>
      </c>
      <c r="AG1010" s="173">
        <v>40</v>
      </c>
      <c r="AH1010" s="287">
        <v>3.8999999999999998E-3</v>
      </c>
      <c r="AI1010" s="287">
        <v>3.2000000000000001E-2</v>
      </c>
      <c r="AJ1010" s="287">
        <v>5.3999999999999999E-2</v>
      </c>
      <c r="AK1010" s="318">
        <f t="shared" ref="AK1010:AK1035" si="685">+IF(AF1010=42,IF(MIN(AE1010,AG1010)&lt;AF1010,Y1010*((AF1010-MIN(AE1010,AG1010))/AF1010)),IF(MIN(AE1010,AG1010)&lt;AF1010,Y1010*((AF1010-MIN(AE1010,AG1010))/AF1010),0))</f>
        <v>113550</v>
      </c>
      <c r="AL1010" s="193">
        <f>350*10+150*15</f>
        <v>5750</v>
      </c>
      <c r="AM1010" s="319">
        <f t="shared" si="668"/>
        <v>9299.744999999999</v>
      </c>
      <c r="AN1010" s="319">
        <v>0</v>
      </c>
      <c r="AO1010" s="320">
        <f t="shared" ref="AO1010:AO1036" si="686">AT1010*Y1010/AW1010</f>
        <v>0</v>
      </c>
      <c r="AP1010" s="193">
        <v>0</v>
      </c>
      <c r="AQ1010" s="318">
        <v>0</v>
      </c>
      <c r="AR1010" s="318">
        <f t="shared" ref="AR1010:AR1035" si="687">SUM(AK1010:AQ1010)</f>
        <v>128599.745</v>
      </c>
      <c r="AS1010" s="318">
        <f t="shared" ref="AS1010:AS1035" si="688">ROUND(AR1010*1.05,0)</f>
        <v>135030</v>
      </c>
      <c r="AT1010" s="321">
        <v>0</v>
      </c>
      <c r="AU1010" s="206" t="s">
        <v>2207</v>
      </c>
      <c r="AV1010" s="136"/>
      <c r="AW1010" s="318">
        <f t="shared" si="672"/>
        <v>30280</v>
      </c>
      <c r="AX1010" s="193"/>
      <c r="AY1010" s="318">
        <f t="shared" si="673"/>
        <v>30280</v>
      </c>
      <c r="AZ1010" s="318">
        <f t="shared" si="674"/>
        <v>30300</v>
      </c>
      <c r="BA1010" s="318">
        <f t="shared" si="675"/>
        <v>-20</v>
      </c>
      <c r="BB1010" s="318">
        <f t="shared" si="676"/>
        <v>60.56</v>
      </c>
      <c r="BC1010" s="318">
        <v>0</v>
      </c>
      <c r="BD1010" s="136"/>
      <c r="BE1010" s="148">
        <v>302.8</v>
      </c>
      <c r="BF1010" s="321">
        <f t="shared" si="677"/>
        <v>0.45419999999999999</v>
      </c>
      <c r="BG1010" s="197">
        <f t="shared" si="678"/>
        <v>302.3458</v>
      </c>
      <c r="BH1010" s="321">
        <f t="shared" si="679"/>
        <v>303</v>
      </c>
      <c r="BI1010" s="322">
        <f t="shared" si="680"/>
        <v>-19.999999999998863</v>
      </c>
      <c r="BJ1010" s="322">
        <v>0</v>
      </c>
      <c r="BK1010" s="318">
        <f t="shared" si="681"/>
        <v>-19.999999999998863</v>
      </c>
      <c r="BL1010" s="67"/>
      <c r="BM1010" s="68" t="str">
        <f t="shared" si="682"/>
        <v>Unloading no. 978 Bill No 2026-27/330 ,Deduction For Oil Deduction= 113550 ,Bardana= 5750 ,F.M= 9299.745 Brokerage/Rate Difference 0 ,Shortage = 0 ,Greenish= 0 ,Moisture= 0</v>
      </c>
      <c r="BN1010" s="69"/>
      <c r="BO1010" s="70" t="str">
        <f t="shared" si="683"/>
        <v xml:space="preserve"> Party Condition 42  ,F.M% 0.39 ,Greenish 3.2 ,Moisture 5.4 ,Shortage in KG= 0  ,Oil% 40</v>
      </c>
      <c r="BP1010" s="71">
        <f t="shared" si="684"/>
        <v>7445.3803795379536</v>
      </c>
      <c r="BQ1010" s="55"/>
      <c r="BR1010" s="55"/>
      <c r="BS1010" s="41"/>
      <c r="BT1010" s="41"/>
      <c r="BU1010" s="41"/>
      <c r="BV1010" s="41"/>
      <c r="BW1010" s="85"/>
      <c r="BX1010" s="30">
        <v>40.049999999999997</v>
      </c>
      <c r="BY1010" s="30">
        <v>40</v>
      </c>
    </row>
    <row r="1011" spans="1:77" ht="14.1" hidden="1" customHeight="1" x14ac:dyDescent="0.3">
      <c r="A1011" s="281" t="s">
        <v>2150</v>
      </c>
      <c r="B1011" s="146">
        <v>46197</v>
      </c>
      <c r="C1011" s="138">
        <v>979</v>
      </c>
      <c r="D1011" s="128" t="s">
        <v>2165</v>
      </c>
      <c r="E1011" s="129">
        <v>46199</v>
      </c>
      <c r="F1011" s="128" t="s">
        <v>98</v>
      </c>
      <c r="G1011" s="128" t="s">
        <v>99</v>
      </c>
      <c r="H1011" s="128" t="s">
        <v>100</v>
      </c>
      <c r="I1011" s="136"/>
      <c r="J1011" s="347" t="s">
        <v>1455</v>
      </c>
      <c r="K1011" s="136"/>
      <c r="L1011" s="146">
        <v>46197</v>
      </c>
      <c r="M1011" s="136"/>
      <c r="N1011" s="281">
        <v>134</v>
      </c>
      <c r="O1011" s="146">
        <v>46197</v>
      </c>
      <c r="P1011" s="138">
        <v>0</v>
      </c>
      <c r="Q1011" s="138">
        <v>100</v>
      </c>
      <c r="R1011" s="138">
        <v>80</v>
      </c>
      <c r="S1011" s="138">
        <v>180</v>
      </c>
      <c r="T1011" s="138">
        <v>180</v>
      </c>
      <c r="U1011" s="136"/>
      <c r="V1011" s="136"/>
      <c r="W1011" s="148">
        <v>110.25</v>
      </c>
      <c r="X1011" s="148">
        <v>110</v>
      </c>
      <c r="Y1011" s="148">
        <v>868218.75</v>
      </c>
      <c r="Z1011" s="165"/>
      <c r="AA1011" s="148">
        <v>21705.47</v>
      </c>
      <c r="AB1011" s="148">
        <v>21705.47</v>
      </c>
      <c r="AC1011" s="148">
        <v>911629.69</v>
      </c>
      <c r="AD1011" s="315">
        <f t="shared" si="665"/>
        <v>910718.06030999997</v>
      </c>
      <c r="AE1011" s="173">
        <v>40.67</v>
      </c>
      <c r="AF1011" s="147">
        <v>42</v>
      </c>
      <c r="AG1011" s="173">
        <v>40.729999999999997</v>
      </c>
      <c r="AH1011" s="287">
        <v>4.7000000000000002E-3</v>
      </c>
      <c r="AI1011" s="287">
        <v>3.4500000000000003E-2</v>
      </c>
      <c r="AJ1011" s="287">
        <v>5.1999999999999998E-2</v>
      </c>
      <c r="AK1011" s="318">
        <f t="shared" si="685"/>
        <v>27493.593749999967</v>
      </c>
      <c r="AL1011" s="193">
        <f>100*10+80*15</f>
        <v>2200</v>
      </c>
      <c r="AM1011" s="319">
        <f t="shared" si="668"/>
        <v>4080.6281250000002</v>
      </c>
      <c r="AN1011" s="319"/>
      <c r="AO1011" s="320">
        <f t="shared" si="686"/>
        <v>1968.75</v>
      </c>
      <c r="AP1011" s="193">
        <v>0</v>
      </c>
      <c r="AQ1011" s="318">
        <v>0</v>
      </c>
      <c r="AR1011" s="318">
        <f t="shared" si="687"/>
        <v>35742.971874999967</v>
      </c>
      <c r="AS1011" s="318">
        <f t="shared" si="688"/>
        <v>37530</v>
      </c>
      <c r="AT1011" s="321">
        <v>25</v>
      </c>
      <c r="AU1011" s="157"/>
      <c r="AV1011" s="136"/>
      <c r="AW1011" s="318">
        <f t="shared" si="672"/>
        <v>11025</v>
      </c>
      <c r="AX1011" s="193"/>
      <c r="AY1011" s="318">
        <f t="shared" si="673"/>
        <v>11025</v>
      </c>
      <c r="AZ1011" s="318">
        <f t="shared" si="674"/>
        <v>11000</v>
      </c>
      <c r="BA1011" s="318">
        <f t="shared" si="675"/>
        <v>25</v>
      </c>
      <c r="BB1011" s="318">
        <f t="shared" si="676"/>
        <v>22.05</v>
      </c>
      <c r="BC1011" s="318">
        <v>0</v>
      </c>
      <c r="BD1011" s="136"/>
      <c r="BE1011" s="148">
        <v>110.25</v>
      </c>
      <c r="BF1011" s="321">
        <f t="shared" si="677"/>
        <v>0.16537499999999997</v>
      </c>
      <c r="BG1011" s="197">
        <f t="shared" si="678"/>
        <v>110.084625</v>
      </c>
      <c r="BH1011" s="321">
        <f t="shared" si="679"/>
        <v>110</v>
      </c>
      <c r="BI1011" s="322">
        <f t="shared" si="680"/>
        <v>25</v>
      </c>
      <c r="BJ1011" s="322">
        <v>0</v>
      </c>
      <c r="BK1011" s="318">
        <f t="shared" si="681"/>
        <v>25</v>
      </c>
      <c r="BL1011" s="67"/>
      <c r="BM1011" s="68" t="str">
        <f t="shared" si="682"/>
        <v>Unloading no. 979 Bill No 134 ,Deduction For Oil Deduction= 27493.59375 ,Bardana= 2200 ,F.M= 4080.628125 Brokerage/Rate Difference  ,Shortage = 1968.75 ,Greenish= 0 ,Moisture= 0</v>
      </c>
      <c r="BN1011" s="69"/>
      <c r="BO1011" s="70" t="str">
        <f t="shared" si="683"/>
        <v xml:space="preserve"> Party Condition 42  ,F.M% 0.47 ,Greenish 3.45 ,Moisture 5.2 ,Shortage in KG= 25  ,Oil% 40.67</v>
      </c>
      <c r="BP1011" s="71">
        <f t="shared" si="684"/>
        <v>7567.9616193181828</v>
      </c>
      <c r="BQ1011" s="55"/>
      <c r="BR1011" s="55"/>
      <c r="BS1011" s="41"/>
      <c r="BT1011" s="41"/>
      <c r="BU1011" s="41"/>
      <c r="BV1011" s="41"/>
      <c r="BW1011" s="85"/>
      <c r="BX1011" s="30">
        <v>40.67</v>
      </c>
      <c r="BY1011" s="30">
        <v>40.729999999999997</v>
      </c>
    </row>
    <row r="1012" spans="1:77" ht="14.1" hidden="1" customHeight="1" x14ac:dyDescent="0.3">
      <c r="A1012" s="281" t="s">
        <v>2151</v>
      </c>
      <c r="B1012" s="146">
        <v>46197</v>
      </c>
      <c r="C1012" s="138">
        <v>980</v>
      </c>
      <c r="D1012" s="128" t="s">
        <v>2166</v>
      </c>
      <c r="E1012" s="129">
        <v>46199</v>
      </c>
      <c r="F1012" s="128" t="s">
        <v>1575</v>
      </c>
      <c r="G1012" s="128" t="s">
        <v>1576</v>
      </c>
      <c r="H1012" s="128" t="s">
        <v>103</v>
      </c>
      <c r="I1012" s="136"/>
      <c r="J1012" s="347" t="s">
        <v>1455</v>
      </c>
      <c r="K1012" s="136"/>
      <c r="L1012" s="146">
        <v>46197</v>
      </c>
      <c r="M1012" s="136"/>
      <c r="N1012" s="281" t="s">
        <v>2196</v>
      </c>
      <c r="O1012" s="146">
        <v>46198</v>
      </c>
      <c r="P1012" s="138">
        <v>0</v>
      </c>
      <c r="Q1012" s="138">
        <v>130</v>
      </c>
      <c r="R1012" s="138">
        <v>42</v>
      </c>
      <c r="S1012" s="138">
        <v>172</v>
      </c>
      <c r="T1012" s="138">
        <v>172</v>
      </c>
      <c r="U1012" s="136"/>
      <c r="V1012" s="136"/>
      <c r="W1012" s="148">
        <v>82.5</v>
      </c>
      <c r="X1012" s="148">
        <v>82.3</v>
      </c>
      <c r="Y1012" s="148">
        <v>649687.5</v>
      </c>
      <c r="Z1012" s="165"/>
      <c r="AA1012" s="148">
        <v>16242.19</v>
      </c>
      <c r="AB1012" s="148">
        <v>16242.19</v>
      </c>
      <c r="AC1012" s="148">
        <v>682171.88</v>
      </c>
      <c r="AD1012" s="315">
        <f t="shared" si="665"/>
        <v>681489.70811999997</v>
      </c>
      <c r="AE1012" s="173">
        <v>40.43</v>
      </c>
      <c r="AF1012" s="147">
        <v>42</v>
      </c>
      <c r="AG1012" s="173">
        <v>40.6</v>
      </c>
      <c r="AH1012" s="287">
        <v>4.4000000000000003E-3</v>
      </c>
      <c r="AI1012" s="287">
        <v>4.5199999999999997E-2</v>
      </c>
      <c r="AJ1012" s="287">
        <v>4.5999999999999999E-2</v>
      </c>
      <c r="AK1012" s="318">
        <f t="shared" si="685"/>
        <v>24285.937500000007</v>
      </c>
      <c r="AL1012" s="193">
        <f>130*10+42*15</f>
        <v>1930</v>
      </c>
      <c r="AM1012" s="319">
        <f t="shared" si="668"/>
        <v>2858.625</v>
      </c>
      <c r="AN1012" s="319"/>
      <c r="AO1012" s="320">
        <f t="shared" si="686"/>
        <v>1575</v>
      </c>
      <c r="AP1012" s="193">
        <v>0</v>
      </c>
      <c r="AQ1012" s="318">
        <v>0</v>
      </c>
      <c r="AR1012" s="318">
        <f t="shared" si="687"/>
        <v>30649.562500000007</v>
      </c>
      <c r="AS1012" s="318">
        <f t="shared" si="688"/>
        <v>32182</v>
      </c>
      <c r="AT1012" s="321">
        <v>20</v>
      </c>
      <c r="AU1012" s="157"/>
      <c r="AV1012" s="136"/>
      <c r="AW1012" s="318">
        <f t="shared" si="672"/>
        <v>8250</v>
      </c>
      <c r="AX1012" s="193"/>
      <c r="AY1012" s="318">
        <f t="shared" si="673"/>
        <v>8250</v>
      </c>
      <c r="AZ1012" s="318">
        <f t="shared" si="674"/>
        <v>8230</v>
      </c>
      <c r="BA1012" s="318">
        <f t="shared" si="675"/>
        <v>20</v>
      </c>
      <c r="BB1012" s="318">
        <f t="shared" si="676"/>
        <v>16.5</v>
      </c>
      <c r="BC1012" s="318">
        <v>0</v>
      </c>
      <c r="BD1012" s="136"/>
      <c r="BE1012" s="148">
        <v>82.5</v>
      </c>
      <c r="BF1012" s="321">
        <f t="shared" si="677"/>
        <v>0.12375</v>
      </c>
      <c r="BG1012" s="197">
        <f t="shared" si="678"/>
        <v>82.376249999999999</v>
      </c>
      <c r="BH1012" s="321">
        <f t="shared" si="679"/>
        <v>82.3</v>
      </c>
      <c r="BI1012" s="322">
        <f t="shared" si="680"/>
        <v>20.000000000000284</v>
      </c>
      <c r="BJ1012" s="322">
        <v>0</v>
      </c>
      <c r="BK1012" s="318">
        <f t="shared" si="681"/>
        <v>20.000000000000284</v>
      </c>
      <c r="BL1012" s="67"/>
      <c r="BM1012" s="68" t="str">
        <f t="shared" si="682"/>
        <v>Unloading no. 980 Bill No 2026-27/0096 ,Deduction For Oil Deduction= 24285.9375 ,Bardana= 1930 ,F.M= 2858.625 Brokerage/Rate Difference  ,Shortage = 1575 ,Greenish= 0 ,Moisture= 0</v>
      </c>
      <c r="BN1012" s="69"/>
      <c r="BO1012" s="70" t="str">
        <f t="shared" si="683"/>
        <v xml:space="preserve"> Party Condition 42  ,F.M% 0.44 ,Greenish 4.52 ,Moisture 4.6 ,Shortage in KG= 20  ,Oil% 40.43</v>
      </c>
      <c r="BP1012" s="71">
        <f t="shared" si="684"/>
        <v>7521.7246354799518</v>
      </c>
      <c r="BQ1012" s="55"/>
      <c r="BR1012" s="55"/>
      <c r="BS1012" s="41"/>
      <c r="BT1012" s="41"/>
      <c r="BU1012" s="41"/>
      <c r="BV1012" s="41"/>
      <c r="BW1012" s="85"/>
      <c r="BX1012" s="30">
        <v>40.43</v>
      </c>
      <c r="BY1012" s="30">
        <v>40.6</v>
      </c>
    </row>
    <row r="1013" spans="1:77" ht="14.1" hidden="1" customHeight="1" x14ac:dyDescent="0.3">
      <c r="A1013" s="281" t="s">
        <v>2151</v>
      </c>
      <c r="B1013" s="146">
        <v>46197</v>
      </c>
      <c r="C1013" s="138">
        <v>981</v>
      </c>
      <c r="D1013" s="128" t="s">
        <v>2167</v>
      </c>
      <c r="E1013" s="129">
        <v>46199</v>
      </c>
      <c r="F1013" s="128" t="s">
        <v>1575</v>
      </c>
      <c r="G1013" s="128" t="s">
        <v>1576</v>
      </c>
      <c r="H1013" s="128" t="s">
        <v>103</v>
      </c>
      <c r="I1013" s="136"/>
      <c r="J1013" s="347" t="s">
        <v>1455</v>
      </c>
      <c r="K1013" s="136"/>
      <c r="L1013" s="146">
        <v>46197</v>
      </c>
      <c r="M1013" s="136"/>
      <c r="N1013" s="281" t="s">
        <v>2197</v>
      </c>
      <c r="O1013" s="146">
        <v>46198</v>
      </c>
      <c r="P1013" s="138">
        <v>0</v>
      </c>
      <c r="Q1013" s="138">
        <v>140</v>
      </c>
      <c r="R1013" s="138">
        <v>32</v>
      </c>
      <c r="S1013" s="138">
        <v>172</v>
      </c>
      <c r="T1013" s="138">
        <v>172</v>
      </c>
      <c r="U1013" s="136"/>
      <c r="V1013" s="136"/>
      <c r="W1013" s="148">
        <v>84</v>
      </c>
      <c r="X1013" s="148">
        <v>84.1</v>
      </c>
      <c r="Y1013" s="148">
        <v>661500</v>
      </c>
      <c r="Z1013" s="165"/>
      <c r="AA1013" s="148">
        <v>16537.5</v>
      </c>
      <c r="AB1013" s="148">
        <v>16537.5</v>
      </c>
      <c r="AC1013" s="148">
        <v>694575</v>
      </c>
      <c r="AD1013" s="315">
        <f t="shared" si="665"/>
        <v>693880.42500000005</v>
      </c>
      <c r="AE1013" s="173">
        <v>41.07</v>
      </c>
      <c r="AF1013" s="147">
        <v>42</v>
      </c>
      <c r="AG1013" s="173">
        <v>40.96</v>
      </c>
      <c r="AH1013" s="294">
        <v>4.4000000000000003E-3</v>
      </c>
      <c r="AI1013" s="287">
        <v>0.05</v>
      </c>
      <c r="AJ1013" s="287">
        <v>0.05</v>
      </c>
      <c r="AK1013" s="318">
        <f t="shared" si="685"/>
        <v>16379.999999999987</v>
      </c>
      <c r="AL1013" s="193">
        <f>140*10+32*15</f>
        <v>1880</v>
      </c>
      <c r="AM1013" s="319">
        <f t="shared" si="668"/>
        <v>2910.6000000000004</v>
      </c>
      <c r="AN1013" s="319"/>
      <c r="AO1013" s="320">
        <f t="shared" si="686"/>
        <v>0</v>
      </c>
      <c r="AP1013" s="193">
        <v>0</v>
      </c>
      <c r="AQ1013" s="318">
        <v>0</v>
      </c>
      <c r="AR1013" s="318">
        <f t="shared" si="687"/>
        <v>21170.599999999984</v>
      </c>
      <c r="AS1013" s="318">
        <f t="shared" si="688"/>
        <v>22229</v>
      </c>
      <c r="AT1013" s="321">
        <v>0</v>
      </c>
      <c r="AU1013" s="157"/>
      <c r="AV1013" s="136"/>
      <c r="AW1013" s="318">
        <f t="shared" si="672"/>
        <v>8400</v>
      </c>
      <c r="AX1013" s="193"/>
      <c r="AY1013" s="318">
        <f t="shared" si="673"/>
        <v>8400</v>
      </c>
      <c r="AZ1013" s="318">
        <f t="shared" si="674"/>
        <v>8410</v>
      </c>
      <c r="BA1013" s="318">
        <f t="shared" si="675"/>
        <v>-10</v>
      </c>
      <c r="BB1013" s="318">
        <f t="shared" si="676"/>
        <v>16.8</v>
      </c>
      <c r="BC1013" s="318">
        <v>0</v>
      </c>
      <c r="BD1013" s="136"/>
      <c r="BE1013" s="148">
        <v>84</v>
      </c>
      <c r="BF1013" s="321">
        <f t="shared" si="677"/>
        <v>0.126</v>
      </c>
      <c r="BG1013" s="197">
        <f t="shared" si="678"/>
        <v>83.873999999999995</v>
      </c>
      <c r="BH1013" s="321">
        <f t="shared" si="679"/>
        <v>84.1</v>
      </c>
      <c r="BI1013" s="322">
        <f t="shared" si="680"/>
        <v>-9.9999999999994316</v>
      </c>
      <c r="BJ1013" s="322">
        <v>0</v>
      </c>
      <c r="BK1013" s="318">
        <f t="shared" si="681"/>
        <v>-9.9999999999994316</v>
      </c>
      <c r="BL1013" s="67"/>
      <c r="BM1013" s="68" t="str">
        <f t="shared" si="682"/>
        <v>Unloading no. 981 Bill No 2026-27/0097 ,Deduction For Oil Deduction= 16380 ,Bardana= 1880 ,F.M= 2910.6 Brokerage/Rate Difference  ,Shortage = 0 ,Greenish= 0 ,Moisture= 0</v>
      </c>
      <c r="BN1013" s="69"/>
      <c r="BO1013" s="70" t="str">
        <f t="shared" si="683"/>
        <v xml:space="preserve"> Party Condition 42  ,F.M% 0.44 ,Greenish 5 ,Moisture 5 ,Shortage in KG= 0  ,Oil% 40.96</v>
      </c>
      <c r="BP1013" s="71">
        <f t="shared" si="684"/>
        <v>7613.9048751486334</v>
      </c>
      <c r="BQ1013" s="55"/>
      <c r="BR1013" s="55"/>
      <c r="BS1013" s="41"/>
      <c r="BT1013" s="41"/>
      <c r="BU1013" s="41"/>
      <c r="BV1013" s="41"/>
      <c r="BW1013" s="85"/>
      <c r="BX1013" s="30">
        <v>41.07</v>
      </c>
      <c r="BY1013" s="30">
        <v>40.96</v>
      </c>
    </row>
    <row r="1014" spans="1:77" ht="14.1" hidden="1" customHeight="1" x14ac:dyDescent="0.3">
      <c r="A1014" s="281" t="s">
        <v>2148</v>
      </c>
      <c r="B1014" s="146">
        <v>46196</v>
      </c>
      <c r="C1014" s="138">
        <v>982</v>
      </c>
      <c r="D1014" s="128" t="s">
        <v>2168</v>
      </c>
      <c r="E1014" s="129">
        <v>46199</v>
      </c>
      <c r="F1014" s="128" t="s">
        <v>1083</v>
      </c>
      <c r="G1014" s="128" t="s">
        <v>1084</v>
      </c>
      <c r="H1014" s="128" t="s">
        <v>1454</v>
      </c>
      <c r="I1014" s="136"/>
      <c r="J1014" s="347" t="s">
        <v>1455</v>
      </c>
      <c r="K1014" s="136"/>
      <c r="L1014" s="146">
        <v>46196</v>
      </c>
      <c r="M1014" s="136"/>
      <c r="N1014" s="281">
        <v>53</v>
      </c>
      <c r="O1014" s="146">
        <v>46197</v>
      </c>
      <c r="P1014" s="138">
        <v>0</v>
      </c>
      <c r="Q1014" s="138">
        <v>320</v>
      </c>
      <c r="R1014" s="138">
        <v>63</v>
      </c>
      <c r="S1014" s="138">
        <v>383</v>
      </c>
      <c r="T1014" s="138">
        <v>383</v>
      </c>
      <c r="U1014" s="136"/>
      <c r="V1014" s="136"/>
      <c r="W1014" s="148">
        <v>260.7</v>
      </c>
      <c r="X1014" s="148">
        <v>259.8</v>
      </c>
      <c r="Y1014" s="148">
        <v>2059530</v>
      </c>
      <c r="Z1014" s="165"/>
      <c r="AA1014" s="148">
        <v>51488.25</v>
      </c>
      <c r="AB1014" s="148">
        <v>51488.25</v>
      </c>
      <c r="AC1014" s="148">
        <v>2162506.5</v>
      </c>
      <c r="AD1014" s="315">
        <f t="shared" si="665"/>
        <v>2160343.9934999999</v>
      </c>
      <c r="AE1014" s="173">
        <v>39.549999999999997</v>
      </c>
      <c r="AF1014" s="147">
        <v>42</v>
      </c>
      <c r="AG1014" s="173">
        <v>39.6</v>
      </c>
      <c r="AH1014" s="287">
        <v>1.01E-2</v>
      </c>
      <c r="AI1014" s="287">
        <v>3.49E-2</v>
      </c>
      <c r="AJ1014" s="287">
        <v>4.8000000000000001E-2</v>
      </c>
      <c r="AK1014" s="318">
        <f t="shared" si="685"/>
        <v>120139.25000000015</v>
      </c>
      <c r="AL1014" s="193">
        <f>320*10+63*15</f>
        <v>4145</v>
      </c>
      <c r="AM1014" s="319">
        <f t="shared" si="668"/>
        <v>20801.253000000001</v>
      </c>
      <c r="AN1014" s="388">
        <f>W1014*15</f>
        <v>3910.5</v>
      </c>
      <c r="AO1014" s="320">
        <f t="shared" si="686"/>
        <v>7110</v>
      </c>
      <c r="AP1014" s="193">
        <v>0</v>
      </c>
      <c r="AQ1014" s="318">
        <v>0</v>
      </c>
      <c r="AR1014" s="318">
        <f t="shared" si="687"/>
        <v>156106.00300000014</v>
      </c>
      <c r="AS1014" s="318">
        <f t="shared" si="688"/>
        <v>163911</v>
      </c>
      <c r="AT1014" s="321">
        <v>90</v>
      </c>
      <c r="AU1014" s="206" t="s">
        <v>2207</v>
      </c>
      <c r="AV1014" s="136"/>
      <c r="AW1014" s="318">
        <f t="shared" si="672"/>
        <v>26070</v>
      </c>
      <c r="AX1014" s="193"/>
      <c r="AY1014" s="318">
        <f t="shared" si="673"/>
        <v>26070</v>
      </c>
      <c r="AZ1014" s="318">
        <f t="shared" si="674"/>
        <v>25980</v>
      </c>
      <c r="BA1014" s="318">
        <f t="shared" si="675"/>
        <v>90</v>
      </c>
      <c r="BB1014" s="318">
        <f t="shared" si="676"/>
        <v>52.14</v>
      </c>
      <c r="BC1014" s="318">
        <v>0</v>
      </c>
      <c r="BD1014" s="136"/>
      <c r="BE1014" s="148">
        <v>260.7</v>
      </c>
      <c r="BF1014" s="321">
        <f t="shared" si="677"/>
        <v>0.39104999999999995</v>
      </c>
      <c r="BG1014" s="197">
        <f t="shared" si="678"/>
        <v>260.30894999999998</v>
      </c>
      <c r="BH1014" s="321">
        <f t="shared" si="679"/>
        <v>259.8</v>
      </c>
      <c r="BI1014" s="322">
        <f t="shared" si="680"/>
        <v>89.999999999997726</v>
      </c>
      <c r="BJ1014" s="322">
        <v>0</v>
      </c>
      <c r="BK1014" s="318">
        <f t="shared" si="681"/>
        <v>89.999999999997726</v>
      </c>
      <c r="BL1014" s="67"/>
      <c r="BM1014" s="68" t="str">
        <f t="shared" si="682"/>
        <v>Unloading no. 982 Bill No 53 ,Deduction For Oil Deduction= 120139.25 ,Bardana= 4145 ,F.M= 20801.253 Brokerage/Rate Difference 3910.5 ,Shortage = 7110 ,Greenish= 0 ,Moisture= 0</v>
      </c>
      <c r="BN1014" s="69"/>
      <c r="BO1014" s="70" t="str">
        <f t="shared" si="683"/>
        <v xml:space="preserve"> Party Condition 42  ,F.M% 1.01 ,Greenish 3.49 ,Moisture 4.8 ,Shortage in KG= 90  ,Oil% 39.55</v>
      </c>
      <c r="BP1014" s="71">
        <f t="shared" si="684"/>
        <v>7326.4972940723628</v>
      </c>
      <c r="BQ1014" s="55"/>
      <c r="BR1014" s="55"/>
      <c r="BS1014" s="41"/>
      <c r="BT1014" s="41"/>
      <c r="BU1014" s="41"/>
      <c r="BV1014" s="41"/>
      <c r="BW1014" s="85"/>
      <c r="BX1014" s="30">
        <v>39.549999999999997</v>
      </c>
      <c r="BY1014" s="30">
        <v>39.6</v>
      </c>
    </row>
    <row r="1015" spans="1:77" ht="14.1" hidden="1" customHeight="1" x14ac:dyDescent="0.3">
      <c r="A1015" s="281" t="s">
        <v>2151</v>
      </c>
      <c r="B1015" s="146">
        <v>46197</v>
      </c>
      <c r="C1015" s="138">
        <v>983</v>
      </c>
      <c r="D1015" s="128" t="s">
        <v>2169</v>
      </c>
      <c r="E1015" s="129">
        <v>46199</v>
      </c>
      <c r="F1015" s="128" t="s">
        <v>1575</v>
      </c>
      <c r="G1015" s="128" t="s">
        <v>1576</v>
      </c>
      <c r="H1015" s="128" t="s">
        <v>103</v>
      </c>
      <c r="I1015" s="136"/>
      <c r="J1015" s="347" t="s">
        <v>1455</v>
      </c>
      <c r="K1015" s="136"/>
      <c r="L1015" s="146">
        <v>46197</v>
      </c>
      <c r="M1015" s="136"/>
      <c r="N1015" s="281" t="s">
        <v>2198</v>
      </c>
      <c r="O1015" s="146">
        <v>46198</v>
      </c>
      <c r="P1015" s="138">
        <v>0</v>
      </c>
      <c r="Q1015" s="138">
        <v>150</v>
      </c>
      <c r="R1015" s="138">
        <v>22</v>
      </c>
      <c r="S1015" s="138">
        <v>172</v>
      </c>
      <c r="T1015" s="138">
        <v>172</v>
      </c>
      <c r="U1015" s="136"/>
      <c r="V1015" s="136"/>
      <c r="W1015" s="148">
        <v>85.5</v>
      </c>
      <c r="X1015" s="148">
        <v>85.5</v>
      </c>
      <c r="Y1015" s="148">
        <v>673312.5</v>
      </c>
      <c r="Z1015" s="165"/>
      <c r="AA1015" s="148">
        <v>16832.810000000001</v>
      </c>
      <c r="AB1015" s="148">
        <v>16832.810000000001</v>
      </c>
      <c r="AC1015" s="148">
        <v>706978.13</v>
      </c>
      <c r="AD1015" s="315">
        <f t="shared" si="665"/>
        <v>706271.15187000006</v>
      </c>
      <c r="AE1015" s="173">
        <v>40.44</v>
      </c>
      <c r="AF1015" s="147">
        <v>42</v>
      </c>
      <c r="AG1015" s="173">
        <v>40.380000000000003</v>
      </c>
      <c r="AH1015" s="294">
        <v>3.7000000000000002E-3</v>
      </c>
      <c r="AI1015" s="403">
        <v>5.9499999999999997E-2</v>
      </c>
      <c r="AJ1015" s="287">
        <v>4.7E-2</v>
      </c>
      <c r="AK1015" s="318">
        <f t="shared" si="685"/>
        <v>25970.62499999996</v>
      </c>
      <c r="AL1015" s="193">
        <f>150*10+22*15</f>
        <v>1830</v>
      </c>
      <c r="AM1015" s="319">
        <f t="shared" si="668"/>
        <v>2491.2562499999999</v>
      </c>
      <c r="AN1015" s="319"/>
      <c r="AO1015" s="320">
        <f t="shared" si="686"/>
        <v>0</v>
      </c>
      <c r="AP1015" s="416">
        <f>W1015*26.18</f>
        <v>2238.39</v>
      </c>
      <c r="AQ1015" s="318">
        <v>0</v>
      </c>
      <c r="AR1015" s="318">
        <f t="shared" si="687"/>
        <v>32530.271249999958</v>
      </c>
      <c r="AS1015" s="318">
        <f t="shared" si="688"/>
        <v>34157</v>
      </c>
      <c r="AT1015" s="321">
        <v>0</v>
      </c>
      <c r="AU1015" s="157"/>
      <c r="AV1015" s="136"/>
      <c r="AW1015" s="318">
        <f t="shared" si="672"/>
        <v>8550</v>
      </c>
      <c r="AX1015" s="193"/>
      <c r="AY1015" s="318">
        <f t="shared" si="673"/>
        <v>8550</v>
      </c>
      <c r="AZ1015" s="318">
        <f t="shared" si="674"/>
        <v>8550</v>
      </c>
      <c r="BA1015" s="318">
        <f t="shared" si="675"/>
        <v>0</v>
      </c>
      <c r="BB1015" s="318">
        <f t="shared" si="676"/>
        <v>17.100000000000001</v>
      </c>
      <c r="BC1015" s="318">
        <v>0</v>
      </c>
      <c r="BD1015" s="136"/>
      <c r="BE1015" s="148">
        <v>85.5</v>
      </c>
      <c r="BF1015" s="321">
        <f t="shared" si="677"/>
        <v>0.12825</v>
      </c>
      <c r="BG1015" s="197">
        <f t="shared" si="678"/>
        <v>85.371750000000006</v>
      </c>
      <c r="BH1015" s="321">
        <f t="shared" si="679"/>
        <v>85.5</v>
      </c>
      <c r="BI1015" s="322">
        <f t="shared" si="680"/>
        <v>0</v>
      </c>
      <c r="BJ1015" s="322">
        <v>0</v>
      </c>
      <c r="BK1015" s="318">
        <f t="shared" si="681"/>
        <v>0</v>
      </c>
      <c r="BL1015" s="67"/>
      <c r="BM1015" s="68" t="str">
        <f t="shared" si="682"/>
        <v>Unloading no. 983 Bill No 2026-27/0099 ,Deduction For Oil Deduction= 25970.625 ,Bardana= 1830 ,F.M= 2491.25625 Brokerage/Rate Difference  ,Shortage = 0 ,Greenish= 2238.39 ,Moisture= 0</v>
      </c>
      <c r="BN1015" s="69"/>
      <c r="BO1015" s="70" t="str">
        <f t="shared" si="683"/>
        <v xml:space="preserve"> Party Condition 42  ,F.M% 0.37 ,Greenish 5.95 ,Moisture 4.7 ,Shortage in KG= 0  ,Oil% 40.38</v>
      </c>
      <c r="BP1015" s="71">
        <f t="shared" si="684"/>
        <v>7494.5289912280705</v>
      </c>
      <c r="BQ1015" s="55"/>
      <c r="BR1015" s="55"/>
      <c r="BS1015" s="41"/>
      <c r="BT1015" s="41"/>
      <c r="BU1015" s="41"/>
      <c r="BV1015" s="41"/>
      <c r="BW1015" s="85"/>
      <c r="BX1015" s="30">
        <v>40.44</v>
      </c>
      <c r="BY1015" s="30">
        <v>40.380000000000003</v>
      </c>
    </row>
    <row r="1016" spans="1:77" ht="14.1" hidden="1" customHeight="1" x14ac:dyDescent="0.3">
      <c r="A1016" s="281" t="s">
        <v>2151</v>
      </c>
      <c r="B1016" s="146">
        <v>46197</v>
      </c>
      <c r="C1016" s="138">
        <v>984</v>
      </c>
      <c r="D1016" s="128" t="s">
        <v>2170</v>
      </c>
      <c r="E1016" s="129">
        <v>46199</v>
      </c>
      <c r="F1016" s="128" t="s">
        <v>1575</v>
      </c>
      <c r="G1016" s="128" t="s">
        <v>1576</v>
      </c>
      <c r="H1016" s="128" t="s">
        <v>103</v>
      </c>
      <c r="I1016" s="136"/>
      <c r="J1016" s="347" t="s">
        <v>1455</v>
      </c>
      <c r="K1016" s="136"/>
      <c r="L1016" s="146">
        <v>46197</v>
      </c>
      <c r="M1016" s="136"/>
      <c r="N1016" s="281" t="s">
        <v>2199</v>
      </c>
      <c r="O1016" s="146">
        <v>46198</v>
      </c>
      <c r="P1016" s="138">
        <v>0</v>
      </c>
      <c r="Q1016" s="138">
        <v>130</v>
      </c>
      <c r="R1016" s="138">
        <v>45</v>
      </c>
      <c r="S1016" s="138">
        <v>175</v>
      </c>
      <c r="T1016" s="138">
        <v>175</v>
      </c>
      <c r="U1016" s="136"/>
      <c r="V1016" s="136"/>
      <c r="W1016" s="148">
        <v>87.7</v>
      </c>
      <c r="X1016" s="148">
        <v>87.7</v>
      </c>
      <c r="Y1016" s="148">
        <v>690637.5</v>
      </c>
      <c r="Z1016" s="165"/>
      <c r="AA1016" s="148">
        <v>17265.939999999999</v>
      </c>
      <c r="AB1016" s="148">
        <v>17265.939999999999</v>
      </c>
      <c r="AC1016" s="148">
        <v>725169.38</v>
      </c>
      <c r="AD1016" s="315">
        <f t="shared" si="665"/>
        <v>724444.21062000003</v>
      </c>
      <c r="AE1016" s="173">
        <v>39.909999999999997</v>
      </c>
      <c r="AF1016" s="147">
        <v>42</v>
      </c>
      <c r="AG1016" s="173">
        <v>40.11</v>
      </c>
      <c r="AH1016" s="287">
        <v>4.4999999999999997E-3</v>
      </c>
      <c r="AI1016" s="403">
        <v>5.1700000000000003E-2</v>
      </c>
      <c r="AJ1016" s="287">
        <v>5.2999999999999999E-2</v>
      </c>
      <c r="AK1016" s="318">
        <f t="shared" si="685"/>
        <v>34367.437500000051</v>
      </c>
      <c r="AL1016" s="193">
        <f>130*10+45*15</f>
        <v>1975</v>
      </c>
      <c r="AM1016" s="319">
        <f t="shared" si="668"/>
        <v>3107.8687499999996</v>
      </c>
      <c r="AN1016" s="319"/>
      <c r="AO1016" s="320">
        <f t="shared" si="686"/>
        <v>0</v>
      </c>
      <c r="AP1016" s="416">
        <f>W1016*4.69</f>
        <v>411.31300000000005</v>
      </c>
      <c r="AQ1016" s="318">
        <v>0</v>
      </c>
      <c r="AR1016" s="318">
        <f t="shared" si="687"/>
        <v>39861.619250000054</v>
      </c>
      <c r="AS1016" s="318">
        <f t="shared" si="688"/>
        <v>41855</v>
      </c>
      <c r="AT1016" s="321">
        <v>0</v>
      </c>
      <c r="AU1016" s="157" t="s">
        <v>2208</v>
      </c>
      <c r="AV1016" s="136"/>
      <c r="AW1016" s="318">
        <f t="shared" si="672"/>
        <v>8770</v>
      </c>
      <c r="AX1016" s="193"/>
      <c r="AY1016" s="318">
        <f t="shared" si="673"/>
        <v>8770</v>
      </c>
      <c r="AZ1016" s="318">
        <f t="shared" si="674"/>
        <v>8770</v>
      </c>
      <c r="BA1016" s="318">
        <f t="shared" si="675"/>
        <v>0</v>
      </c>
      <c r="BB1016" s="318">
        <f t="shared" si="676"/>
        <v>17.54</v>
      </c>
      <c r="BC1016" s="318">
        <v>0</v>
      </c>
      <c r="BD1016" s="136"/>
      <c r="BE1016" s="148">
        <v>87.7</v>
      </c>
      <c r="BF1016" s="321">
        <f t="shared" si="677"/>
        <v>0.13155</v>
      </c>
      <c r="BG1016" s="197">
        <f t="shared" si="678"/>
        <v>87.568449999999999</v>
      </c>
      <c r="BH1016" s="321">
        <f t="shared" si="679"/>
        <v>87.7</v>
      </c>
      <c r="BI1016" s="322">
        <f t="shared" si="680"/>
        <v>0</v>
      </c>
      <c r="BJ1016" s="322">
        <v>0</v>
      </c>
      <c r="BK1016" s="318">
        <f t="shared" si="681"/>
        <v>0</v>
      </c>
      <c r="BL1016" s="67"/>
      <c r="BM1016" s="68" t="str">
        <f t="shared" si="682"/>
        <v>Unloading no. 984 Bill No 2026-27/00100 ,Deduction For Oil Deduction= 34367.4375000001 ,Bardana= 1975 ,F.M= 3107.86875 Brokerage/Rate Difference  ,Shortage = 0 ,Greenish= 411.313 ,Moisture= 0</v>
      </c>
      <c r="BN1016" s="69"/>
      <c r="BO1016" s="70" t="str">
        <f t="shared" si="683"/>
        <v xml:space="preserve"> Party Condition 42  ,F.M% 0.45 ,Greenish 5.17 ,Moisture 5.3 ,Shortage in KG= 0  ,Oil% 39.91</v>
      </c>
      <c r="BP1016" s="71">
        <f t="shared" si="684"/>
        <v>7420.4775456100324</v>
      </c>
      <c r="BQ1016" s="55"/>
      <c r="BR1016" s="55"/>
      <c r="BS1016" s="41"/>
      <c r="BT1016" s="41"/>
      <c r="BU1016" s="41"/>
      <c r="BV1016" s="41"/>
      <c r="BW1016" s="85"/>
      <c r="BX1016" s="30">
        <v>39.909999999999997</v>
      </c>
      <c r="BY1016" s="30">
        <v>40.11</v>
      </c>
    </row>
    <row r="1017" spans="1:77" ht="14.1" hidden="1" customHeight="1" x14ac:dyDescent="0.3">
      <c r="A1017" s="281" t="s">
        <v>2148</v>
      </c>
      <c r="B1017" s="146">
        <v>46196</v>
      </c>
      <c r="C1017" s="138">
        <v>985</v>
      </c>
      <c r="D1017" s="128" t="s">
        <v>2171</v>
      </c>
      <c r="E1017" s="129">
        <v>46199</v>
      </c>
      <c r="F1017" s="128" t="s">
        <v>1083</v>
      </c>
      <c r="G1017" s="128" t="s">
        <v>1084</v>
      </c>
      <c r="H1017" s="128" t="s">
        <v>1454</v>
      </c>
      <c r="I1017" s="136"/>
      <c r="J1017" s="347" t="s">
        <v>1455</v>
      </c>
      <c r="K1017" s="136"/>
      <c r="L1017" s="146">
        <v>46196</v>
      </c>
      <c r="M1017" s="136"/>
      <c r="N1017" s="281">
        <v>51</v>
      </c>
      <c r="O1017" s="146">
        <v>46197</v>
      </c>
      <c r="P1017" s="138">
        <v>0</v>
      </c>
      <c r="Q1017" s="138">
        <v>200</v>
      </c>
      <c r="R1017" s="138">
        <v>156</v>
      </c>
      <c r="S1017" s="138">
        <v>356</v>
      </c>
      <c r="T1017" s="138">
        <v>356</v>
      </c>
      <c r="U1017" s="136"/>
      <c r="V1017" s="136"/>
      <c r="W1017" s="148">
        <v>244.8</v>
      </c>
      <c r="X1017" s="148">
        <v>245.3</v>
      </c>
      <c r="Y1017" s="148">
        <v>1933920</v>
      </c>
      <c r="Z1017" s="165"/>
      <c r="AA1017" s="148">
        <v>48348</v>
      </c>
      <c r="AB1017" s="148">
        <v>48348</v>
      </c>
      <c r="AC1017" s="148">
        <v>2030616</v>
      </c>
      <c r="AD1017" s="315">
        <f t="shared" si="665"/>
        <v>2028585.3840000001</v>
      </c>
      <c r="AE1017" s="173">
        <v>40.229999999999997</v>
      </c>
      <c r="AF1017" s="147">
        <v>42</v>
      </c>
      <c r="AG1017" s="173">
        <v>40.200000000000003</v>
      </c>
      <c r="AH1017" s="287">
        <v>4.7999999999999996E-3</v>
      </c>
      <c r="AI1017" s="287">
        <v>3.2399999999999998E-2</v>
      </c>
      <c r="AJ1017" s="287">
        <v>4.8000000000000001E-2</v>
      </c>
      <c r="AK1017" s="318">
        <f t="shared" si="685"/>
        <v>82882.285714285579</v>
      </c>
      <c r="AL1017" s="193">
        <f>200*10+156*15</f>
        <v>4340</v>
      </c>
      <c r="AM1017" s="319">
        <f t="shared" si="668"/>
        <v>9282.8159999999989</v>
      </c>
      <c r="AN1017" s="388">
        <f>W1017*15</f>
        <v>3672</v>
      </c>
      <c r="AO1017" s="320">
        <f t="shared" si="686"/>
        <v>0</v>
      </c>
      <c r="AP1017" s="193">
        <v>0</v>
      </c>
      <c r="AQ1017" s="318">
        <v>0</v>
      </c>
      <c r="AR1017" s="318">
        <f t="shared" si="687"/>
        <v>100177.10171428559</v>
      </c>
      <c r="AS1017" s="318">
        <f t="shared" si="688"/>
        <v>105186</v>
      </c>
      <c r="AT1017" s="321">
        <v>0</v>
      </c>
      <c r="AU1017" s="206" t="s">
        <v>2207</v>
      </c>
      <c r="AV1017" s="136"/>
      <c r="AW1017" s="318">
        <f t="shared" si="672"/>
        <v>24480</v>
      </c>
      <c r="AX1017" s="193"/>
      <c r="AY1017" s="318">
        <f t="shared" si="673"/>
        <v>24480</v>
      </c>
      <c r="AZ1017" s="318">
        <f t="shared" si="674"/>
        <v>24530</v>
      </c>
      <c r="BA1017" s="318">
        <f t="shared" si="675"/>
        <v>-50</v>
      </c>
      <c r="BB1017" s="318">
        <f t="shared" si="676"/>
        <v>48.96</v>
      </c>
      <c r="BC1017" s="318">
        <v>0</v>
      </c>
      <c r="BD1017" s="136"/>
      <c r="BE1017" s="148">
        <v>244.8</v>
      </c>
      <c r="BF1017" s="321">
        <f t="shared" si="677"/>
        <v>0.36719999999999997</v>
      </c>
      <c r="BG1017" s="197">
        <f t="shared" si="678"/>
        <v>244.43280000000001</v>
      </c>
      <c r="BH1017" s="321">
        <f t="shared" si="679"/>
        <v>245.3</v>
      </c>
      <c r="BI1017" s="322">
        <f t="shared" si="680"/>
        <v>-50</v>
      </c>
      <c r="BJ1017" s="322">
        <v>0</v>
      </c>
      <c r="BK1017" s="318">
        <f t="shared" si="681"/>
        <v>-50</v>
      </c>
      <c r="BL1017" s="67"/>
      <c r="BM1017" s="68" t="str">
        <f t="shared" si="682"/>
        <v>Unloading no. 985 Bill No 51 ,Deduction For Oil Deduction= 82882.2857142856 ,Bardana= 4340 ,F.M= 9282.816 Brokerage/Rate Difference 3672 ,Shortage = 0 ,Greenish= 0 ,Moisture= 0</v>
      </c>
      <c r="BN1017" s="69"/>
      <c r="BO1017" s="70" t="str">
        <f t="shared" si="683"/>
        <v xml:space="preserve"> Party Condition 42  ,F.M% 0.48 ,Greenish 3.24 ,Moisture 4.8 ,Shortage in KG= 0  ,Oil% 40.2</v>
      </c>
      <c r="BP1017" s="71">
        <f t="shared" si="684"/>
        <v>7475.5112037738054</v>
      </c>
      <c r="BQ1017" s="55"/>
      <c r="BR1017" s="55"/>
      <c r="BS1017" s="41"/>
      <c r="BT1017" s="41"/>
      <c r="BU1017" s="41"/>
      <c r="BV1017" s="41"/>
      <c r="BW1017" s="85"/>
      <c r="BX1017" s="30">
        <v>40.229999999999997</v>
      </c>
      <c r="BY1017" s="30">
        <v>40.200000000000003</v>
      </c>
    </row>
    <row r="1018" spans="1:77" ht="14.1" hidden="1" customHeight="1" x14ac:dyDescent="0.3">
      <c r="A1018" s="281" t="s">
        <v>2151</v>
      </c>
      <c r="B1018" s="146">
        <v>46197</v>
      </c>
      <c r="C1018" s="138">
        <v>986</v>
      </c>
      <c r="D1018" s="128" t="s">
        <v>2172</v>
      </c>
      <c r="E1018" s="129">
        <v>46199</v>
      </c>
      <c r="F1018" s="128" t="s">
        <v>1575</v>
      </c>
      <c r="G1018" s="128" t="s">
        <v>1576</v>
      </c>
      <c r="H1018" s="128" t="s">
        <v>103</v>
      </c>
      <c r="I1018" s="136"/>
      <c r="J1018" s="347" t="s">
        <v>1455</v>
      </c>
      <c r="K1018" s="136"/>
      <c r="L1018" s="146">
        <v>46197</v>
      </c>
      <c r="M1018" s="136"/>
      <c r="N1018" s="281" t="s">
        <v>2200</v>
      </c>
      <c r="O1018" s="146">
        <v>46198</v>
      </c>
      <c r="P1018" s="138">
        <v>0</v>
      </c>
      <c r="Q1018" s="138">
        <v>140</v>
      </c>
      <c r="R1018" s="138">
        <v>32</v>
      </c>
      <c r="S1018" s="138">
        <v>172</v>
      </c>
      <c r="T1018" s="138">
        <v>172</v>
      </c>
      <c r="U1018" s="136"/>
      <c r="V1018" s="136"/>
      <c r="W1018" s="148">
        <v>84.8</v>
      </c>
      <c r="X1018" s="148">
        <v>84.7</v>
      </c>
      <c r="Y1018" s="148">
        <v>667800</v>
      </c>
      <c r="Z1018" s="165"/>
      <c r="AA1018" s="148">
        <v>16695</v>
      </c>
      <c r="AB1018" s="148">
        <v>16695</v>
      </c>
      <c r="AC1018" s="148">
        <v>701190</v>
      </c>
      <c r="AD1018" s="315">
        <f t="shared" si="665"/>
        <v>700488.81</v>
      </c>
      <c r="AE1018" s="173">
        <v>40.71</v>
      </c>
      <c r="AF1018" s="147">
        <v>42</v>
      </c>
      <c r="AG1018" s="173">
        <v>40.89</v>
      </c>
      <c r="AH1018" s="287">
        <v>4.1999999999999997E-3</v>
      </c>
      <c r="AI1018" s="403">
        <v>5.62E-2</v>
      </c>
      <c r="AJ1018" s="287">
        <v>4.4999999999999998E-2</v>
      </c>
      <c r="AK1018" s="318">
        <f t="shared" si="685"/>
        <v>20510.999999999985</v>
      </c>
      <c r="AL1018" s="193">
        <f>140*10+32*15</f>
        <v>1880</v>
      </c>
      <c r="AM1018" s="319">
        <f t="shared" si="668"/>
        <v>2804.7599999999998</v>
      </c>
      <c r="AN1018" s="319"/>
      <c r="AO1018" s="320">
        <f t="shared" si="686"/>
        <v>787.5</v>
      </c>
      <c r="AP1018" s="416">
        <f>W1018*17.09</f>
        <v>1449.232</v>
      </c>
      <c r="AQ1018" s="318">
        <v>0</v>
      </c>
      <c r="AR1018" s="318">
        <f t="shared" si="687"/>
        <v>27432.491999999984</v>
      </c>
      <c r="AS1018" s="318">
        <f t="shared" si="688"/>
        <v>28804</v>
      </c>
      <c r="AT1018" s="321">
        <v>10</v>
      </c>
      <c r="AU1018" s="157"/>
      <c r="AV1018" s="136"/>
      <c r="AW1018" s="318">
        <f t="shared" si="672"/>
        <v>8480</v>
      </c>
      <c r="AX1018" s="193"/>
      <c r="AY1018" s="318">
        <f t="shared" si="673"/>
        <v>8480</v>
      </c>
      <c r="AZ1018" s="318">
        <f t="shared" si="674"/>
        <v>8470</v>
      </c>
      <c r="BA1018" s="318">
        <f t="shared" si="675"/>
        <v>10</v>
      </c>
      <c r="BB1018" s="318">
        <f t="shared" si="676"/>
        <v>16.96</v>
      </c>
      <c r="BC1018" s="318">
        <v>0</v>
      </c>
      <c r="BD1018" s="136"/>
      <c r="BE1018" s="148">
        <v>84.8</v>
      </c>
      <c r="BF1018" s="321">
        <f t="shared" si="677"/>
        <v>0.12719999999999998</v>
      </c>
      <c r="BG1018" s="197">
        <f t="shared" si="678"/>
        <v>84.672799999999995</v>
      </c>
      <c r="BH1018" s="321">
        <f t="shared" si="679"/>
        <v>84.7</v>
      </c>
      <c r="BI1018" s="322">
        <f t="shared" si="680"/>
        <v>9.9999999999994316</v>
      </c>
      <c r="BJ1018" s="322">
        <v>0</v>
      </c>
      <c r="BK1018" s="318">
        <f t="shared" si="681"/>
        <v>9.9999999999994316</v>
      </c>
      <c r="BL1018" s="67"/>
      <c r="BM1018" s="68" t="str">
        <f t="shared" si="682"/>
        <v>Unloading no. 986 Bill No 2026-27/0098 ,Deduction For Oil Deduction= 20511 ,Bardana= 1880 ,F.M= 2804.76 Brokerage/Rate Difference  ,Shortage = 787.5 ,Greenish= 1449.232 ,Moisture= 0</v>
      </c>
      <c r="BN1018" s="69"/>
      <c r="BO1018" s="70" t="str">
        <f t="shared" si="683"/>
        <v xml:space="preserve"> Party Condition 42  ,F.M% 0.42 ,Greenish 5.62 ,Moisture 4.5 ,Shortage in KG= 10  ,Oil% 40.71</v>
      </c>
      <c r="BP1018" s="71">
        <f t="shared" si="684"/>
        <v>7560.4192207792212</v>
      </c>
      <c r="BQ1018" s="55"/>
      <c r="BR1018" s="55"/>
      <c r="BS1018" s="41"/>
      <c r="BT1018" s="41"/>
      <c r="BU1018" s="41"/>
      <c r="BV1018" s="41"/>
      <c r="BW1018" s="85"/>
      <c r="BX1018" s="30">
        <v>40.71</v>
      </c>
      <c r="BY1018" s="30">
        <v>40.89</v>
      </c>
    </row>
    <row r="1019" spans="1:77" ht="14.1" hidden="1" customHeight="1" x14ac:dyDescent="0.3">
      <c r="A1019" s="281" t="s">
        <v>2152</v>
      </c>
      <c r="B1019" s="146">
        <v>46192</v>
      </c>
      <c r="C1019" s="138">
        <v>987</v>
      </c>
      <c r="D1019" s="128" t="s">
        <v>2173</v>
      </c>
      <c r="E1019" s="129">
        <v>46199</v>
      </c>
      <c r="F1019" s="128" t="s">
        <v>1807</v>
      </c>
      <c r="G1019" s="128" t="s">
        <v>1808</v>
      </c>
      <c r="H1019" s="128" t="s">
        <v>100</v>
      </c>
      <c r="I1019" s="136"/>
      <c r="J1019" s="347" t="s">
        <v>1455</v>
      </c>
      <c r="K1019" s="136"/>
      <c r="L1019" s="146">
        <v>46192</v>
      </c>
      <c r="M1019" s="136"/>
      <c r="N1019" s="281" t="s">
        <v>2201</v>
      </c>
      <c r="O1019" s="146">
        <v>46198</v>
      </c>
      <c r="P1019" s="138">
        <v>0</v>
      </c>
      <c r="Q1019" s="138">
        <v>480</v>
      </c>
      <c r="R1019" s="138">
        <v>88</v>
      </c>
      <c r="S1019" s="138">
        <v>568</v>
      </c>
      <c r="T1019" s="138">
        <v>568</v>
      </c>
      <c r="U1019" s="136"/>
      <c r="V1019" s="136"/>
      <c r="W1019" s="148">
        <v>341.2</v>
      </c>
      <c r="X1019" s="148">
        <v>340.2</v>
      </c>
      <c r="Y1019" s="148">
        <v>2661360</v>
      </c>
      <c r="Z1019" s="165"/>
      <c r="AA1019" s="148">
        <v>66534</v>
      </c>
      <c r="AB1019" s="148">
        <v>66534</v>
      </c>
      <c r="AC1019" s="148">
        <v>2794428</v>
      </c>
      <c r="AD1019" s="315">
        <f t="shared" si="665"/>
        <v>2791633.5720000002</v>
      </c>
      <c r="AE1019" s="173">
        <v>37.950000000000003</v>
      </c>
      <c r="AF1019" s="147">
        <v>42</v>
      </c>
      <c r="AG1019" s="173">
        <v>38.1</v>
      </c>
      <c r="AH1019" s="294">
        <v>4.4999999999999997E-3</v>
      </c>
      <c r="AI1019" s="287">
        <v>3.56E-2</v>
      </c>
      <c r="AJ1019" s="287">
        <v>0.05</v>
      </c>
      <c r="AK1019" s="318">
        <f t="shared" si="685"/>
        <v>256631.14285714269</v>
      </c>
      <c r="AL1019" s="193">
        <f>480*10+88*15</f>
        <v>6120</v>
      </c>
      <c r="AM1019" s="319">
        <f t="shared" si="668"/>
        <v>11976.119999999999</v>
      </c>
      <c r="AN1019" s="388">
        <f>W1019*15</f>
        <v>5118</v>
      </c>
      <c r="AO1019" s="320">
        <f t="shared" si="686"/>
        <v>6240</v>
      </c>
      <c r="AP1019" s="193">
        <v>0</v>
      </c>
      <c r="AQ1019" s="318">
        <v>0</v>
      </c>
      <c r="AR1019" s="318">
        <f t="shared" si="687"/>
        <v>286085.26285714272</v>
      </c>
      <c r="AS1019" s="318">
        <f t="shared" si="688"/>
        <v>300390</v>
      </c>
      <c r="AT1019" s="321">
        <v>80</v>
      </c>
      <c r="AU1019" s="206" t="s">
        <v>2207</v>
      </c>
      <c r="AV1019" s="136"/>
      <c r="AW1019" s="318">
        <f t="shared" si="672"/>
        <v>34120</v>
      </c>
      <c r="AX1019" s="193"/>
      <c r="AY1019" s="318">
        <f t="shared" si="673"/>
        <v>34120</v>
      </c>
      <c r="AZ1019" s="318">
        <f t="shared" si="674"/>
        <v>34020</v>
      </c>
      <c r="BA1019" s="318">
        <f t="shared" si="675"/>
        <v>100</v>
      </c>
      <c r="BB1019" s="318">
        <f t="shared" si="676"/>
        <v>68.239999999999995</v>
      </c>
      <c r="BC1019" s="318">
        <v>0</v>
      </c>
      <c r="BD1019" s="136"/>
      <c r="BE1019" s="148">
        <v>341.2</v>
      </c>
      <c r="BF1019" s="321">
        <f t="shared" si="677"/>
        <v>0.51180000000000003</v>
      </c>
      <c r="BG1019" s="197">
        <f t="shared" si="678"/>
        <v>340.68819999999999</v>
      </c>
      <c r="BH1019" s="321">
        <f t="shared" si="679"/>
        <v>340.2</v>
      </c>
      <c r="BI1019" s="322">
        <f t="shared" si="680"/>
        <v>100</v>
      </c>
      <c r="BJ1019" s="322">
        <v>0</v>
      </c>
      <c r="BK1019" s="318">
        <f t="shared" si="681"/>
        <v>100</v>
      </c>
      <c r="BL1019" s="67"/>
      <c r="BM1019" s="68" t="str">
        <f t="shared" si="682"/>
        <v>Unloading no. 987 Bill No 2026-27/11 ,Deduction For Oil Deduction= 256631.142857143 ,Bardana= 6120 ,F.M= 11976.12 Brokerage/Rate Difference 5118 ,Shortage = 6240 ,Greenish= 0 ,Moisture= 0</v>
      </c>
      <c r="BN1019" s="69"/>
      <c r="BO1019" s="70" t="str">
        <f t="shared" si="683"/>
        <v xml:space="preserve"> Party Condition 42  ,F.M% 0.45 ,Greenish 3.56 ,Moisture 5 ,Shortage in KG= 80  ,Oil% 37.95</v>
      </c>
      <c r="BP1019" s="71">
        <f t="shared" si="684"/>
        <v>6981.9951121189215</v>
      </c>
      <c r="BQ1019" s="55"/>
      <c r="BR1019" s="55"/>
      <c r="BS1019" s="41"/>
      <c r="BT1019" s="41"/>
      <c r="BU1019" s="41"/>
      <c r="BV1019" s="41"/>
      <c r="BW1019" s="85"/>
      <c r="BX1019" s="30">
        <v>37.950000000000003</v>
      </c>
      <c r="BY1019" s="30">
        <v>38.1</v>
      </c>
    </row>
    <row r="1020" spans="1:77" ht="14.1" hidden="1" customHeight="1" x14ac:dyDescent="0.3">
      <c r="A1020" s="281" t="s">
        <v>2153</v>
      </c>
      <c r="B1020" s="146">
        <v>46197</v>
      </c>
      <c r="C1020" s="138">
        <v>988</v>
      </c>
      <c r="D1020" s="128" t="s">
        <v>2174</v>
      </c>
      <c r="E1020" s="129">
        <v>46200</v>
      </c>
      <c r="F1020" s="128" t="s">
        <v>2192</v>
      </c>
      <c r="G1020" s="128" t="s">
        <v>2193</v>
      </c>
      <c r="H1020" s="128" t="s">
        <v>2194</v>
      </c>
      <c r="I1020" s="136"/>
      <c r="J1020" s="347" t="s">
        <v>1455</v>
      </c>
      <c r="K1020" s="136"/>
      <c r="L1020" s="146">
        <v>46197</v>
      </c>
      <c r="M1020" s="136"/>
      <c r="N1020" s="281">
        <v>735</v>
      </c>
      <c r="O1020" s="146">
        <v>46198</v>
      </c>
      <c r="P1020" s="138">
        <v>0</v>
      </c>
      <c r="Q1020" s="138">
        <v>180</v>
      </c>
      <c r="R1020" s="138">
        <v>41</v>
      </c>
      <c r="S1020" s="138">
        <v>221</v>
      </c>
      <c r="T1020" s="138">
        <v>221</v>
      </c>
      <c r="U1020" s="136"/>
      <c r="V1020" s="136"/>
      <c r="W1020" s="148">
        <v>112.05</v>
      </c>
      <c r="X1020" s="148">
        <v>111.9</v>
      </c>
      <c r="Y1020" s="148">
        <v>882393.75</v>
      </c>
      <c r="Z1020" s="165"/>
      <c r="AA1020" s="148">
        <v>22059.84</v>
      </c>
      <c r="AB1020" s="148">
        <v>22059.84</v>
      </c>
      <c r="AC1020" s="148">
        <v>926513.44</v>
      </c>
      <c r="AD1020" s="315">
        <f t="shared" si="665"/>
        <v>925586.92655999993</v>
      </c>
      <c r="AE1020" s="173">
        <v>40.200000000000003</v>
      </c>
      <c r="AF1020" s="147">
        <v>42</v>
      </c>
      <c r="AG1020" s="173">
        <v>40.14</v>
      </c>
      <c r="AH1020" s="287">
        <v>2.2000000000000001E-3</v>
      </c>
      <c r="AI1020" s="287">
        <v>0.03</v>
      </c>
      <c r="AJ1020" s="287">
        <v>5.5E-2</v>
      </c>
      <c r="AK1020" s="318">
        <f t="shared" si="685"/>
        <v>39077.437499999993</v>
      </c>
      <c r="AL1020" s="193">
        <f>180*10+41*15</f>
        <v>2415</v>
      </c>
      <c r="AM1020" s="319">
        <f t="shared" ref="AM1020:AM1030" si="689">Y1020*AH1020</f>
        <v>1941.2662500000001</v>
      </c>
      <c r="AN1020" s="319"/>
      <c r="AO1020" s="320">
        <f t="shared" si="686"/>
        <v>1181.25</v>
      </c>
      <c r="AP1020" s="193">
        <v>0</v>
      </c>
      <c r="AQ1020" s="318">
        <v>0</v>
      </c>
      <c r="AR1020" s="318">
        <f t="shared" si="687"/>
        <v>44614.953749999993</v>
      </c>
      <c r="AS1020" s="318">
        <f t="shared" si="688"/>
        <v>46846</v>
      </c>
      <c r="AT1020" s="321">
        <v>15</v>
      </c>
      <c r="AU1020" s="157"/>
      <c r="AV1020" s="136"/>
      <c r="AW1020" s="318">
        <f t="shared" si="672"/>
        <v>11205</v>
      </c>
      <c r="AX1020" s="193"/>
      <c r="AY1020" s="318">
        <f t="shared" si="673"/>
        <v>11205</v>
      </c>
      <c r="AZ1020" s="318">
        <f t="shared" si="674"/>
        <v>11190</v>
      </c>
      <c r="BA1020" s="318">
        <f t="shared" si="675"/>
        <v>15</v>
      </c>
      <c r="BB1020" s="318">
        <f t="shared" si="676"/>
        <v>22.41</v>
      </c>
      <c r="BC1020" s="318">
        <v>0</v>
      </c>
      <c r="BD1020" s="136"/>
      <c r="BE1020" s="148">
        <v>112.05</v>
      </c>
      <c r="BF1020" s="321">
        <f t="shared" si="677"/>
        <v>0.16807499999999997</v>
      </c>
      <c r="BG1020" s="197">
        <f t="shared" si="678"/>
        <v>111.881925</v>
      </c>
      <c r="BH1020" s="321">
        <f t="shared" si="679"/>
        <v>111.9</v>
      </c>
      <c r="BI1020" s="322">
        <f t="shared" si="680"/>
        <v>14.999999999999147</v>
      </c>
      <c r="BJ1020" s="322">
        <v>0</v>
      </c>
      <c r="BK1020" s="318">
        <f t="shared" si="681"/>
        <v>14.999999999999147</v>
      </c>
      <c r="BL1020" s="67"/>
      <c r="BM1020" s="68" t="str">
        <f t="shared" si="682"/>
        <v>Unloading no. 988 Bill No 735 ,Deduction For Oil Deduction= 39077.4375 ,Bardana= 2415 ,F.M= 1941.26625 Brokerage/Rate Difference  ,Shortage = 1181.25 ,Greenish= 0 ,Moisture= 0</v>
      </c>
      <c r="BN1020" s="69"/>
      <c r="BO1020" s="70" t="str">
        <f t="shared" si="683"/>
        <v xml:space="preserve"> Party Condition 42  ,F.M% 0.22 ,Greenish 3 ,Moisture 5.5 ,Shortage in KG= 15  ,Oil% 40.14</v>
      </c>
      <c r="BP1020" s="71">
        <f t="shared" si="684"/>
        <v>7486.8525134048259</v>
      </c>
      <c r="BQ1020" s="55"/>
      <c r="BR1020" s="55"/>
      <c r="BS1020" s="41"/>
      <c r="BT1020" s="41"/>
      <c r="BU1020" s="41"/>
      <c r="BV1020" s="41"/>
      <c r="BW1020" s="85"/>
      <c r="BX1020" s="30">
        <v>40.200000000000003</v>
      </c>
      <c r="BY1020" s="30">
        <v>40.14</v>
      </c>
    </row>
    <row r="1021" spans="1:77" ht="14.1" hidden="1" customHeight="1" x14ac:dyDescent="0.3">
      <c r="A1021" s="281" t="s">
        <v>2154</v>
      </c>
      <c r="B1021" s="146">
        <v>46197</v>
      </c>
      <c r="C1021" s="138">
        <v>989</v>
      </c>
      <c r="D1021" s="128" t="s">
        <v>2175</v>
      </c>
      <c r="E1021" s="129">
        <v>46200</v>
      </c>
      <c r="F1021" s="128" t="s">
        <v>1691</v>
      </c>
      <c r="G1021" s="128" t="s">
        <v>1692</v>
      </c>
      <c r="H1021" s="128" t="s">
        <v>1693</v>
      </c>
      <c r="I1021" s="136"/>
      <c r="J1021" s="347" t="s">
        <v>1455</v>
      </c>
      <c r="K1021" s="136"/>
      <c r="L1021" s="146">
        <v>46197</v>
      </c>
      <c r="M1021" s="136"/>
      <c r="N1021" s="281" t="s">
        <v>1308</v>
      </c>
      <c r="O1021" s="146">
        <v>46198</v>
      </c>
      <c r="P1021" s="138">
        <v>0</v>
      </c>
      <c r="Q1021" s="138">
        <v>175</v>
      </c>
      <c r="R1021" s="138">
        <v>75</v>
      </c>
      <c r="S1021" s="138">
        <v>250</v>
      </c>
      <c r="T1021" s="138">
        <v>250</v>
      </c>
      <c r="U1021" s="136"/>
      <c r="V1021" s="136"/>
      <c r="W1021" s="148">
        <v>151.5</v>
      </c>
      <c r="X1021" s="148">
        <v>151.4</v>
      </c>
      <c r="Y1021" s="148">
        <v>1193062.5</v>
      </c>
      <c r="Z1021" s="165"/>
      <c r="AA1021" s="148">
        <v>29826.560000000001</v>
      </c>
      <c r="AB1021" s="148">
        <v>29826.560000000001</v>
      </c>
      <c r="AC1021" s="148">
        <v>1252715.6299999999</v>
      </c>
      <c r="AD1021" s="315">
        <f t="shared" si="665"/>
        <v>1251462.9143699999</v>
      </c>
      <c r="AE1021" s="173">
        <v>40.19</v>
      </c>
      <c r="AF1021" s="147">
        <v>42</v>
      </c>
      <c r="AG1021" s="173">
        <v>40.049999999999997</v>
      </c>
      <c r="AH1021" s="287">
        <v>3.3E-3</v>
      </c>
      <c r="AI1021" s="287">
        <v>3.7999999999999999E-2</v>
      </c>
      <c r="AJ1021" s="287">
        <v>5.3999999999999999E-2</v>
      </c>
      <c r="AK1021" s="318">
        <f t="shared" si="685"/>
        <v>55392.187500000087</v>
      </c>
      <c r="AL1021" s="193">
        <f>175*10+75*15</f>
        <v>2875</v>
      </c>
      <c r="AM1021" s="319">
        <f t="shared" si="689"/>
        <v>3937.1062499999998</v>
      </c>
      <c r="AN1021" s="319"/>
      <c r="AO1021" s="320">
        <f t="shared" si="686"/>
        <v>787.5</v>
      </c>
      <c r="AP1021" s="193">
        <v>0</v>
      </c>
      <c r="AQ1021" s="318">
        <v>0</v>
      </c>
      <c r="AR1021" s="318">
        <f t="shared" si="687"/>
        <v>62991.793750000084</v>
      </c>
      <c r="AS1021" s="318">
        <f t="shared" si="688"/>
        <v>66141</v>
      </c>
      <c r="AT1021" s="321">
        <v>10</v>
      </c>
      <c r="AU1021" s="157"/>
      <c r="AV1021" s="136"/>
      <c r="AW1021" s="318">
        <f t="shared" si="672"/>
        <v>15150</v>
      </c>
      <c r="AX1021" s="193"/>
      <c r="AY1021" s="318">
        <f t="shared" si="673"/>
        <v>15150</v>
      </c>
      <c r="AZ1021" s="318">
        <f t="shared" si="674"/>
        <v>15140</v>
      </c>
      <c r="BA1021" s="318">
        <f t="shared" si="675"/>
        <v>10</v>
      </c>
      <c r="BB1021" s="318">
        <f t="shared" si="676"/>
        <v>30.3</v>
      </c>
      <c r="BC1021" s="318">
        <v>0</v>
      </c>
      <c r="BD1021" s="136"/>
      <c r="BE1021" s="148">
        <v>151.5</v>
      </c>
      <c r="BF1021" s="321">
        <f t="shared" si="677"/>
        <v>0.22724999999999998</v>
      </c>
      <c r="BG1021" s="197">
        <f t="shared" si="678"/>
        <v>151.27275</v>
      </c>
      <c r="BH1021" s="321">
        <f t="shared" si="679"/>
        <v>151.4</v>
      </c>
      <c r="BI1021" s="322">
        <f t="shared" si="680"/>
        <v>9.9999999999994316</v>
      </c>
      <c r="BJ1021" s="322">
        <v>0</v>
      </c>
      <c r="BK1021" s="318">
        <f t="shared" si="681"/>
        <v>9.9999999999994316</v>
      </c>
      <c r="BL1021" s="67"/>
      <c r="BM1021" s="68" t="str">
        <f t="shared" si="682"/>
        <v>Unloading no. 989 Bill No 2026-27/70 ,Deduction For Oil Deduction= 55392.1875000001 ,Bardana= 2875 ,F.M= 3937.10625 Brokerage/Rate Difference  ,Shortage = 787.5 ,Greenish= 0 ,Moisture= 0</v>
      </c>
      <c r="BN1021" s="69"/>
      <c r="BO1021" s="70" t="str">
        <f t="shared" si="683"/>
        <v xml:space="preserve"> Party Condition 42  ,F.M% 0.33 ,Greenish 3.8 ,Moisture 5.4 ,Shortage in KG= 10  ,Oil% 40.05</v>
      </c>
      <c r="BP1021" s="71">
        <f t="shared" si="684"/>
        <v>7464.13940719947</v>
      </c>
      <c r="BQ1021" s="55"/>
      <c r="BR1021" s="55"/>
      <c r="BS1021" s="41"/>
      <c r="BT1021" s="41"/>
      <c r="BU1021" s="41"/>
      <c r="BV1021" s="41"/>
      <c r="BW1021" s="85"/>
      <c r="BX1021" s="30">
        <v>40.19</v>
      </c>
      <c r="BY1021" s="30">
        <v>40.049999999999997</v>
      </c>
    </row>
    <row r="1022" spans="1:77" ht="14.1" hidden="1" customHeight="1" x14ac:dyDescent="0.3">
      <c r="A1022" s="281" t="s">
        <v>2155</v>
      </c>
      <c r="B1022" s="417">
        <v>46198</v>
      </c>
      <c r="C1022" s="138">
        <v>990</v>
      </c>
      <c r="D1022" s="128" t="s">
        <v>2176</v>
      </c>
      <c r="E1022" s="129">
        <v>46200</v>
      </c>
      <c r="F1022" s="128" t="s">
        <v>1450</v>
      </c>
      <c r="G1022" s="128" t="s">
        <v>1451</v>
      </c>
      <c r="H1022" s="128" t="s">
        <v>199</v>
      </c>
      <c r="I1022" s="136"/>
      <c r="J1022" s="347" t="s">
        <v>1455</v>
      </c>
      <c r="K1022" s="136"/>
      <c r="L1022" s="146">
        <v>46198</v>
      </c>
      <c r="M1022" s="136"/>
      <c r="N1022" s="281" t="s">
        <v>2202</v>
      </c>
      <c r="O1022" s="146">
        <v>46198</v>
      </c>
      <c r="P1022" s="138">
        <v>0</v>
      </c>
      <c r="Q1022" s="138">
        <v>200</v>
      </c>
      <c r="R1022" s="138">
        <v>35</v>
      </c>
      <c r="S1022" s="138">
        <v>235</v>
      </c>
      <c r="T1022" s="138">
        <v>235</v>
      </c>
      <c r="U1022" s="136"/>
      <c r="V1022" s="136"/>
      <c r="W1022" s="148">
        <v>144.05000000000001</v>
      </c>
      <c r="X1022" s="148">
        <v>143.5</v>
      </c>
      <c r="Y1022" s="148">
        <v>1123590</v>
      </c>
      <c r="Z1022" s="165"/>
      <c r="AA1022" s="148">
        <v>28089.75</v>
      </c>
      <c r="AB1022" s="148">
        <v>28089.75</v>
      </c>
      <c r="AC1022" s="148">
        <v>1179769.5</v>
      </c>
      <c r="AD1022" s="315">
        <f t="shared" si="665"/>
        <v>1178589.7305000001</v>
      </c>
      <c r="AE1022" s="173">
        <v>40.200000000000003</v>
      </c>
      <c r="AF1022" s="147">
        <v>42</v>
      </c>
      <c r="AG1022" s="173">
        <v>40</v>
      </c>
      <c r="AH1022" s="287">
        <v>3.2000000000000002E-3</v>
      </c>
      <c r="AI1022" s="287">
        <v>0.03</v>
      </c>
      <c r="AJ1022" s="392">
        <v>5.2499999999999998E-2</v>
      </c>
      <c r="AK1022" s="318">
        <f t="shared" si="685"/>
        <v>53504.28571428571</v>
      </c>
      <c r="AL1022" s="193">
        <f>200*10+35*15</f>
        <v>2525</v>
      </c>
      <c r="AM1022" s="319">
        <f t="shared" si="689"/>
        <v>3595.4880000000003</v>
      </c>
      <c r="AN1022" s="319"/>
      <c r="AO1022" s="320">
        <f t="shared" si="686"/>
        <v>4289.9999999999991</v>
      </c>
      <c r="AP1022" s="193">
        <v>0</v>
      </c>
      <c r="AQ1022" s="325">
        <f>Y1022*0.25/100</f>
        <v>2808.9749999999999</v>
      </c>
      <c r="AR1022" s="318">
        <f t="shared" si="687"/>
        <v>66723.748714285714</v>
      </c>
      <c r="AS1022" s="318">
        <f t="shared" si="688"/>
        <v>70060</v>
      </c>
      <c r="AT1022" s="321">
        <v>55</v>
      </c>
      <c r="AU1022" s="157"/>
      <c r="AV1022" s="136"/>
      <c r="AW1022" s="318">
        <f t="shared" si="672"/>
        <v>14405.000000000002</v>
      </c>
      <c r="AX1022" s="193"/>
      <c r="AY1022" s="318">
        <f t="shared" si="673"/>
        <v>14405.000000000002</v>
      </c>
      <c r="AZ1022" s="318">
        <f t="shared" si="674"/>
        <v>14350</v>
      </c>
      <c r="BA1022" s="318">
        <f t="shared" si="675"/>
        <v>55.000000000001819</v>
      </c>
      <c r="BB1022" s="318">
        <f t="shared" si="676"/>
        <v>28.810000000000002</v>
      </c>
      <c r="BC1022" s="318">
        <v>0</v>
      </c>
      <c r="BD1022" s="136"/>
      <c r="BE1022" s="148">
        <v>144.05000000000001</v>
      </c>
      <c r="BF1022" s="321">
        <f t="shared" si="677"/>
        <v>0.21607500000000002</v>
      </c>
      <c r="BG1022" s="197">
        <f t="shared" si="678"/>
        <v>143.83392500000002</v>
      </c>
      <c r="BH1022" s="321">
        <f t="shared" si="679"/>
        <v>143.5</v>
      </c>
      <c r="BI1022" s="322">
        <f t="shared" si="680"/>
        <v>55.000000000001137</v>
      </c>
      <c r="BJ1022" s="322">
        <v>0</v>
      </c>
      <c r="BK1022" s="318">
        <f t="shared" si="681"/>
        <v>55.000000000001137</v>
      </c>
      <c r="BL1022" s="67"/>
      <c r="BM1022" s="68" t="str">
        <f t="shared" si="682"/>
        <v>Unloading no. 990 Bill No ST-48 ,Deduction For Oil Deduction= 53504.2857142857 ,Bardana= 2525 ,F.M= 3595.488 Brokerage/Rate Difference  ,Shortage = 4290 ,Greenish= 0 ,Moisture= 2808.975</v>
      </c>
      <c r="BN1022" s="69"/>
      <c r="BO1022" s="70" t="str">
        <f t="shared" si="683"/>
        <v xml:space="preserve"> Party Condition 42  ,F.M% 0.32 ,Greenish 3 ,Moisture 5.25 ,Shortage in KG= 55  ,Oil% 40</v>
      </c>
      <c r="BP1022" s="71">
        <f t="shared" si="684"/>
        <v>7364.9216117471378</v>
      </c>
      <c r="BQ1022" s="55"/>
      <c r="BR1022" s="55"/>
      <c r="BS1022" s="41"/>
      <c r="BT1022" s="41"/>
      <c r="BU1022" s="41"/>
      <c r="BV1022" s="41"/>
      <c r="BW1022" s="85"/>
      <c r="BX1022" s="30">
        <v>40.200000000000003</v>
      </c>
      <c r="BY1022" s="30">
        <v>40</v>
      </c>
    </row>
    <row r="1023" spans="1:77" ht="14.1" hidden="1" customHeight="1" x14ac:dyDescent="0.3">
      <c r="A1023" s="281" t="s">
        <v>2148</v>
      </c>
      <c r="B1023" s="146">
        <v>46196</v>
      </c>
      <c r="C1023" s="138">
        <v>991</v>
      </c>
      <c r="D1023" s="128" t="s">
        <v>2177</v>
      </c>
      <c r="E1023" s="129">
        <v>46200</v>
      </c>
      <c r="F1023" s="128" t="s">
        <v>1083</v>
      </c>
      <c r="G1023" s="128" t="s">
        <v>1084</v>
      </c>
      <c r="H1023" s="128" t="s">
        <v>1454</v>
      </c>
      <c r="I1023" s="136"/>
      <c r="J1023" s="347" t="s">
        <v>1455</v>
      </c>
      <c r="K1023" s="136"/>
      <c r="L1023" s="146">
        <v>46196</v>
      </c>
      <c r="M1023" s="136"/>
      <c r="N1023" s="281">
        <v>52</v>
      </c>
      <c r="O1023" s="146">
        <v>46197</v>
      </c>
      <c r="P1023" s="138">
        <v>0</v>
      </c>
      <c r="Q1023" s="138">
        <v>280</v>
      </c>
      <c r="R1023" s="138">
        <v>105</v>
      </c>
      <c r="S1023" s="138">
        <v>385</v>
      </c>
      <c r="T1023" s="138">
        <v>385</v>
      </c>
      <c r="U1023" s="136"/>
      <c r="V1023" s="136"/>
      <c r="W1023" s="148">
        <v>282.7</v>
      </c>
      <c r="X1023" s="148">
        <v>273</v>
      </c>
      <c r="Y1023" s="296">
        <f>2233330-76630</f>
        <v>2156700</v>
      </c>
      <c r="Z1023" s="165"/>
      <c r="AA1023" s="148">
        <v>55833.25</v>
      </c>
      <c r="AB1023" s="148">
        <v>55833.25</v>
      </c>
      <c r="AC1023" s="148">
        <v>2344996.5</v>
      </c>
      <c r="AD1023" s="315">
        <f t="shared" si="665"/>
        <v>2342651.5035000001</v>
      </c>
      <c r="AE1023" s="173">
        <v>38.25</v>
      </c>
      <c r="AF1023" s="147">
        <v>42</v>
      </c>
      <c r="AG1023" s="147">
        <v>38.17</v>
      </c>
      <c r="AH1023" s="294">
        <v>8.5000000000000006E-3</v>
      </c>
      <c r="AI1023" s="287">
        <v>3.6499999999999998E-2</v>
      </c>
      <c r="AJ1023" s="287">
        <v>0.05</v>
      </c>
      <c r="AK1023" s="318">
        <f t="shared" si="685"/>
        <v>196670.49999999991</v>
      </c>
      <c r="AL1023" s="193">
        <f>280*10+105*15</f>
        <v>4375</v>
      </c>
      <c r="AM1023" s="319">
        <f t="shared" si="689"/>
        <v>18331.95</v>
      </c>
      <c r="AN1023" s="393">
        <f>X1023*15</f>
        <v>4095</v>
      </c>
      <c r="AO1023" s="320">
        <f t="shared" si="686"/>
        <v>0</v>
      </c>
      <c r="AP1023" s="193">
        <v>0</v>
      </c>
      <c r="AQ1023" s="318">
        <v>0</v>
      </c>
      <c r="AR1023" s="318">
        <f t="shared" si="687"/>
        <v>223472.44999999992</v>
      </c>
      <c r="AS1023" s="318">
        <f t="shared" si="688"/>
        <v>234646</v>
      </c>
      <c r="AT1023" s="321">
        <v>0</v>
      </c>
      <c r="AU1023" s="206" t="s">
        <v>2209</v>
      </c>
      <c r="AV1023" s="136"/>
      <c r="AW1023" s="318">
        <f t="shared" si="672"/>
        <v>28270</v>
      </c>
      <c r="AX1023" s="193"/>
      <c r="AY1023" s="318">
        <f t="shared" si="673"/>
        <v>28270</v>
      </c>
      <c r="AZ1023" s="318">
        <f t="shared" si="674"/>
        <v>27300</v>
      </c>
      <c r="BA1023" s="318">
        <f t="shared" si="675"/>
        <v>970</v>
      </c>
      <c r="BB1023" s="318">
        <f t="shared" si="676"/>
        <v>56.54</v>
      </c>
      <c r="BC1023" s="318">
        <v>0</v>
      </c>
      <c r="BD1023" s="136"/>
      <c r="BE1023" s="148">
        <v>282.7</v>
      </c>
      <c r="BF1023" s="321">
        <f t="shared" si="677"/>
        <v>0.42404999999999993</v>
      </c>
      <c r="BG1023" s="197">
        <f t="shared" si="678"/>
        <v>282.27594999999997</v>
      </c>
      <c r="BH1023" s="321">
        <f t="shared" si="679"/>
        <v>273</v>
      </c>
      <c r="BI1023" s="322">
        <f t="shared" si="680"/>
        <v>969.99999999999886</v>
      </c>
      <c r="BJ1023" s="322">
        <v>0</v>
      </c>
      <c r="BK1023" s="318">
        <f t="shared" si="681"/>
        <v>969.99999999999886</v>
      </c>
      <c r="BL1023" s="67"/>
      <c r="BM1023" s="68" t="str">
        <f t="shared" si="682"/>
        <v>Unloading no. 991 Bill No 52 ,Deduction For Oil Deduction= 196670.5 ,Bardana= 4375 ,F.M= 18331.95 Brokerage/Rate Difference 4095 ,Shortage = 0 ,Greenish= 0 ,Moisture= 0</v>
      </c>
      <c r="BN1023" s="69"/>
      <c r="BO1023" s="70" t="str">
        <f t="shared" si="683"/>
        <v xml:space="preserve"> Party Condition 42  ,F.M% 0.85 ,Greenish 3.65 ,Moisture 5 ,Shortage in KG= 0  ,Oil% 38.17</v>
      </c>
      <c r="BP1023" s="71">
        <f t="shared" si="684"/>
        <v>7081.4195970695973</v>
      </c>
      <c r="BQ1023" s="55"/>
      <c r="BR1023" s="55"/>
      <c r="BS1023" s="41"/>
      <c r="BT1023" s="41"/>
      <c r="BU1023" s="41"/>
      <c r="BV1023" s="41"/>
      <c r="BW1023" s="85"/>
      <c r="BX1023" s="30">
        <v>38.25</v>
      </c>
      <c r="BY1023" s="27">
        <v>38.17</v>
      </c>
    </row>
    <row r="1024" spans="1:77" ht="14.1" hidden="1" customHeight="1" x14ac:dyDescent="0.3">
      <c r="A1024" s="281" t="s">
        <v>2153</v>
      </c>
      <c r="B1024" s="146">
        <v>46197</v>
      </c>
      <c r="C1024" s="138">
        <v>992</v>
      </c>
      <c r="D1024" s="128" t="s">
        <v>2178</v>
      </c>
      <c r="E1024" s="129">
        <v>46200</v>
      </c>
      <c r="F1024" s="128" t="s">
        <v>2192</v>
      </c>
      <c r="G1024" s="128" t="s">
        <v>2193</v>
      </c>
      <c r="H1024" s="128" t="s">
        <v>2194</v>
      </c>
      <c r="I1024" s="136"/>
      <c r="J1024" s="347" t="s">
        <v>1455</v>
      </c>
      <c r="K1024" s="136"/>
      <c r="L1024" s="146">
        <v>46197</v>
      </c>
      <c r="M1024" s="136"/>
      <c r="N1024" s="281">
        <v>737</v>
      </c>
      <c r="O1024" s="146">
        <v>46198</v>
      </c>
      <c r="P1024" s="138">
        <v>0</v>
      </c>
      <c r="Q1024" s="138">
        <v>250</v>
      </c>
      <c r="R1024" s="138">
        <v>60</v>
      </c>
      <c r="S1024" s="138">
        <v>310</v>
      </c>
      <c r="T1024" s="138">
        <v>310</v>
      </c>
      <c r="U1024" s="136"/>
      <c r="V1024" s="136"/>
      <c r="W1024" s="148">
        <v>156.6</v>
      </c>
      <c r="X1024" s="148">
        <v>156.30000000000001</v>
      </c>
      <c r="Y1024" s="148">
        <v>1233225</v>
      </c>
      <c r="Z1024" s="165"/>
      <c r="AA1024" s="148">
        <v>30830.63</v>
      </c>
      <c r="AB1024" s="148">
        <v>30830.63</v>
      </c>
      <c r="AC1024" s="148">
        <v>1294886.25</v>
      </c>
      <c r="AD1024" s="315">
        <f t="shared" si="665"/>
        <v>1293591.36375</v>
      </c>
      <c r="AE1024" s="173">
        <v>40.950000000000003</v>
      </c>
      <c r="AF1024" s="147">
        <v>42</v>
      </c>
      <c r="AG1024" s="173">
        <v>40.71</v>
      </c>
      <c r="AH1024" s="292">
        <v>3.8E-3</v>
      </c>
      <c r="AI1024" s="287">
        <v>0.03</v>
      </c>
      <c r="AJ1024" s="287">
        <v>5.2999999999999999E-2</v>
      </c>
      <c r="AK1024" s="318">
        <f t="shared" si="685"/>
        <v>37877.624999999978</v>
      </c>
      <c r="AL1024" s="193">
        <f>250*10+60*15</f>
        <v>3400</v>
      </c>
      <c r="AM1024" s="319">
        <f t="shared" si="689"/>
        <v>4686.2550000000001</v>
      </c>
      <c r="AN1024" s="319"/>
      <c r="AO1024" s="320">
        <f t="shared" si="686"/>
        <v>2362.5</v>
      </c>
      <c r="AP1024" s="193">
        <v>0</v>
      </c>
      <c r="AQ1024" s="318">
        <v>0</v>
      </c>
      <c r="AR1024" s="318">
        <f t="shared" si="687"/>
        <v>48326.379999999976</v>
      </c>
      <c r="AS1024" s="318">
        <f t="shared" si="688"/>
        <v>50743</v>
      </c>
      <c r="AT1024" s="321">
        <v>30</v>
      </c>
      <c r="AU1024" s="157"/>
      <c r="AV1024" s="136"/>
      <c r="AW1024" s="318">
        <f t="shared" si="672"/>
        <v>15660</v>
      </c>
      <c r="AX1024" s="193"/>
      <c r="AY1024" s="318">
        <f t="shared" si="673"/>
        <v>15660</v>
      </c>
      <c r="AZ1024" s="318">
        <f t="shared" si="674"/>
        <v>15630.000000000002</v>
      </c>
      <c r="BA1024" s="318">
        <f t="shared" si="675"/>
        <v>29.999999999998181</v>
      </c>
      <c r="BB1024" s="318">
        <f t="shared" si="676"/>
        <v>31.32</v>
      </c>
      <c r="BC1024" s="318">
        <v>0</v>
      </c>
      <c r="BD1024" s="136"/>
      <c r="BE1024" s="148">
        <v>156.6</v>
      </c>
      <c r="BF1024" s="321">
        <f t="shared" si="677"/>
        <v>0.2349</v>
      </c>
      <c r="BG1024" s="197">
        <f t="shared" si="678"/>
        <v>156.36509999999998</v>
      </c>
      <c r="BH1024" s="321">
        <f t="shared" si="679"/>
        <v>156.30000000000001</v>
      </c>
      <c r="BI1024" s="322">
        <f t="shared" si="680"/>
        <v>29.999999999998295</v>
      </c>
      <c r="BJ1024" s="322">
        <v>0</v>
      </c>
      <c r="BK1024" s="318">
        <f t="shared" si="681"/>
        <v>29.999999999998295</v>
      </c>
      <c r="BL1024" s="67"/>
      <c r="BM1024" s="68" t="str">
        <f t="shared" si="682"/>
        <v>Unloading no. 992 Bill No 737 ,Deduction For Oil Deduction= 37877.625 ,Bardana= 3400 ,F.M= 4686.255 Brokerage/Rate Difference  ,Shortage = 2362.5 ,Greenish= 0 ,Moisture= 0</v>
      </c>
      <c r="BN1024" s="69"/>
      <c r="BO1024" s="70" t="str">
        <f t="shared" si="683"/>
        <v xml:space="preserve"> Party Condition 42  ,F.M% 0.38 ,Greenish 3 ,Moisture 5.3 ,Shortage in KG= 30  ,Oil% 40.71</v>
      </c>
      <c r="BP1024" s="71">
        <f t="shared" si="684"/>
        <v>7580.9252719129881</v>
      </c>
      <c r="BQ1024" s="55"/>
      <c r="BR1024" s="55"/>
      <c r="BS1024" s="41"/>
      <c r="BT1024" s="41"/>
      <c r="BU1024" s="41"/>
      <c r="BV1024" s="41"/>
      <c r="BW1024" s="85"/>
      <c r="BX1024" s="30">
        <v>40.950000000000003</v>
      </c>
      <c r="BY1024" s="30">
        <v>40.71</v>
      </c>
    </row>
    <row r="1025" spans="1:81" ht="14.1" hidden="1" customHeight="1" x14ac:dyDescent="0.3">
      <c r="A1025" s="281" t="s">
        <v>2153</v>
      </c>
      <c r="B1025" s="146">
        <v>46197</v>
      </c>
      <c r="C1025" s="138">
        <v>993</v>
      </c>
      <c r="D1025" s="128" t="s">
        <v>2179</v>
      </c>
      <c r="E1025" s="129">
        <v>46200</v>
      </c>
      <c r="F1025" s="128" t="s">
        <v>2192</v>
      </c>
      <c r="G1025" s="128" t="s">
        <v>2193</v>
      </c>
      <c r="H1025" s="128" t="s">
        <v>2194</v>
      </c>
      <c r="I1025" s="136"/>
      <c r="J1025" s="347" t="s">
        <v>1455</v>
      </c>
      <c r="K1025" s="136"/>
      <c r="L1025" s="146">
        <v>46197</v>
      </c>
      <c r="M1025" s="136"/>
      <c r="N1025" s="281">
        <v>738</v>
      </c>
      <c r="O1025" s="146">
        <v>46199</v>
      </c>
      <c r="P1025" s="138">
        <v>0</v>
      </c>
      <c r="Q1025" s="138">
        <v>150</v>
      </c>
      <c r="R1025" s="138">
        <v>13</v>
      </c>
      <c r="S1025" s="138">
        <v>163</v>
      </c>
      <c r="T1025" s="138">
        <v>163</v>
      </c>
      <c r="U1025" s="136"/>
      <c r="V1025" s="136"/>
      <c r="W1025" s="148">
        <v>82.7</v>
      </c>
      <c r="X1025" s="148">
        <v>82.5</v>
      </c>
      <c r="Y1025" s="148">
        <v>651262.5</v>
      </c>
      <c r="Z1025" s="165"/>
      <c r="AA1025" s="148">
        <v>16281.56</v>
      </c>
      <c r="AB1025" s="148">
        <v>16281.56</v>
      </c>
      <c r="AC1025" s="148">
        <v>683825.63</v>
      </c>
      <c r="AD1025" s="315">
        <f t="shared" si="665"/>
        <v>683141.80437000003</v>
      </c>
      <c r="AE1025" s="173">
        <v>41.92</v>
      </c>
      <c r="AF1025" s="147">
        <v>42</v>
      </c>
      <c r="AG1025" s="173">
        <v>41.7</v>
      </c>
      <c r="AH1025" s="287">
        <v>2.3E-3</v>
      </c>
      <c r="AI1025" s="287">
        <v>0.03</v>
      </c>
      <c r="AJ1025" s="287">
        <v>5.1999999999999998E-2</v>
      </c>
      <c r="AK1025" s="318">
        <f t="shared" si="685"/>
        <v>4651.8749999999554</v>
      </c>
      <c r="AL1025" s="193">
        <f>150*10+13*15</f>
        <v>1695</v>
      </c>
      <c r="AM1025" s="319">
        <f t="shared" si="689"/>
        <v>1497.9037499999999</v>
      </c>
      <c r="AN1025" s="319"/>
      <c r="AO1025" s="320">
        <f t="shared" si="686"/>
        <v>1575</v>
      </c>
      <c r="AP1025" s="193">
        <v>0</v>
      </c>
      <c r="AQ1025" s="318">
        <v>0</v>
      </c>
      <c r="AR1025" s="318">
        <f t="shared" si="687"/>
        <v>9419.7787499999558</v>
      </c>
      <c r="AS1025" s="318">
        <f t="shared" si="688"/>
        <v>9891</v>
      </c>
      <c r="AT1025" s="321">
        <v>20</v>
      </c>
      <c r="AU1025" s="157"/>
      <c r="AV1025" s="136"/>
      <c r="AW1025" s="318">
        <f t="shared" si="672"/>
        <v>8270</v>
      </c>
      <c r="AX1025" s="193"/>
      <c r="AY1025" s="318">
        <f t="shared" si="673"/>
        <v>8270</v>
      </c>
      <c r="AZ1025" s="318">
        <f t="shared" si="674"/>
        <v>8250</v>
      </c>
      <c r="BA1025" s="318">
        <f t="shared" si="675"/>
        <v>20</v>
      </c>
      <c r="BB1025" s="318">
        <f t="shared" si="676"/>
        <v>16.54</v>
      </c>
      <c r="BC1025" s="318">
        <v>0</v>
      </c>
      <c r="BD1025" s="136"/>
      <c r="BE1025" s="148">
        <v>82.7</v>
      </c>
      <c r="BF1025" s="321">
        <f t="shared" si="677"/>
        <v>0.12404999999999999</v>
      </c>
      <c r="BG1025" s="197">
        <f t="shared" si="678"/>
        <v>82.575950000000006</v>
      </c>
      <c r="BH1025" s="321">
        <f t="shared" si="679"/>
        <v>82.5</v>
      </c>
      <c r="BI1025" s="322">
        <f t="shared" si="680"/>
        <v>20.000000000000284</v>
      </c>
      <c r="BJ1025" s="322">
        <v>0</v>
      </c>
      <c r="BK1025" s="318">
        <f t="shared" si="681"/>
        <v>20.000000000000284</v>
      </c>
      <c r="BL1025" s="67"/>
      <c r="BM1025" s="68" t="str">
        <f t="shared" si="682"/>
        <v>Unloading no. 993 Bill No 738 ,Deduction For Oil Deduction= 4651.87499999996 ,Bardana= 1695 ,F.M= 1497.90375 Brokerage/Rate Difference  ,Shortage = 1575 ,Greenish= 0 ,Moisture= 0</v>
      </c>
      <c r="BN1025" s="69"/>
      <c r="BO1025" s="70" t="str">
        <f t="shared" si="683"/>
        <v xml:space="preserve"> Party Condition 42  ,F.M% 0.23 ,Greenish 3 ,Moisture 5.2 ,Shortage in KG= 20  ,Oil% 41.7</v>
      </c>
      <c r="BP1025" s="71">
        <f t="shared" si="684"/>
        <v>7779.9117727272733</v>
      </c>
      <c r="BQ1025" s="55"/>
      <c r="BR1025" s="55"/>
      <c r="BS1025" s="41"/>
      <c r="BT1025" s="41"/>
      <c r="BU1025" s="41"/>
      <c r="BV1025" s="41"/>
      <c r="BW1025" s="85"/>
      <c r="BX1025" s="30">
        <v>41.92</v>
      </c>
      <c r="BY1025" s="30">
        <v>41.7</v>
      </c>
    </row>
    <row r="1026" spans="1:81" ht="14.1" hidden="1" customHeight="1" x14ac:dyDescent="0.3">
      <c r="A1026" s="281" t="s">
        <v>2156</v>
      </c>
      <c r="B1026" s="417">
        <v>46198</v>
      </c>
      <c r="C1026" s="138">
        <v>994</v>
      </c>
      <c r="D1026" s="128" t="s">
        <v>2180</v>
      </c>
      <c r="E1026" s="129">
        <v>46200</v>
      </c>
      <c r="F1026" s="128" t="s">
        <v>1083</v>
      </c>
      <c r="G1026" s="128" t="s">
        <v>1084</v>
      </c>
      <c r="H1026" s="128" t="s">
        <v>1454</v>
      </c>
      <c r="I1026" s="136"/>
      <c r="J1026" s="347" t="s">
        <v>1455</v>
      </c>
      <c r="K1026" s="136"/>
      <c r="L1026" s="146">
        <v>46198</v>
      </c>
      <c r="M1026" s="136"/>
      <c r="N1026" s="281">
        <v>56</v>
      </c>
      <c r="O1026" s="130">
        <v>46199</v>
      </c>
      <c r="P1026" s="138">
        <v>0</v>
      </c>
      <c r="Q1026" s="138">
        <v>65</v>
      </c>
      <c r="R1026" s="138">
        <v>300</v>
      </c>
      <c r="S1026" s="138">
        <v>365</v>
      </c>
      <c r="T1026" s="138">
        <v>365</v>
      </c>
      <c r="U1026" s="136"/>
      <c r="V1026" s="136"/>
      <c r="W1026" s="148">
        <v>252</v>
      </c>
      <c r="X1026" s="148">
        <v>251.4</v>
      </c>
      <c r="Y1026" s="148">
        <v>1965600</v>
      </c>
      <c r="Z1026" s="165"/>
      <c r="AA1026" s="148">
        <v>49140</v>
      </c>
      <c r="AB1026" s="148">
        <v>49140</v>
      </c>
      <c r="AC1026" s="148">
        <v>2063880</v>
      </c>
      <c r="AD1026" s="315">
        <f t="shared" si="665"/>
        <v>2061816.12</v>
      </c>
      <c r="AE1026" s="173">
        <v>36.799999999999997</v>
      </c>
      <c r="AF1026" s="147">
        <v>42</v>
      </c>
      <c r="AG1026" s="173">
        <v>36.72</v>
      </c>
      <c r="AH1026" s="418">
        <v>8.5000000000000006E-3</v>
      </c>
      <c r="AI1026" s="287">
        <v>3.4000000000000002E-2</v>
      </c>
      <c r="AJ1026" s="392">
        <v>5.2999999999999999E-2</v>
      </c>
      <c r="AK1026" s="318">
        <f t="shared" si="685"/>
        <v>247104.00000000006</v>
      </c>
      <c r="AL1026" s="193">
        <f>65*10+300*15</f>
        <v>5150</v>
      </c>
      <c r="AM1026" s="319">
        <f t="shared" si="689"/>
        <v>16707.600000000002</v>
      </c>
      <c r="AN1026" s="393">
        <f>X1026*15</f>
        <v>3771</v>
      </c>
      <c r="AO1026" s="320">
        <f t="shared" si="686"/>
        <v>4680</v>
      </c>
      <c r="AP1026" s="193">
        <v>0</v>
      </c>
      <c r="AQ1026" s="325">
        <f>Y1026*0.3/100</f>
        <v>5896.8</v>
      </c>
      <c r="AR1026" s="318">
        <f t="shared" si="687"/>
        <v>283309.40000000002</v>
      </c>
      <c r="AS1026" s="318">
        <f t="shared" si="688"/>
        <v>297475</v>
      </c>
      <c r="AT1026" s="321">
        <v>60</v>
      </c>
      <c r="AU1026" s="157"/>
      <c r="AV1026" s="136"/>
      <c r="AW1026" s="318">
        <f t="shared" si="672"/>
        <v>25200</v>
      </c>
      <c r="AX1026" s="193"/>
      <c r="AY1026" s="318">
        <f t="shared" si="673"/>
        <v>25200</v>
      </c>
      <c r="AZ1026" s="318">
        <f t="shared" si="674"/>
        <v>25140</v>
      </c>
      <c r="BA1026" s="318">
        <f t="shared" si="675"/>
        <v>60</v>
      </c>
      <c r="BB1026" s="318">
        <f t="shared" si="676"/>
        <v>50.4</v>
      </c>
      <c r="BC1026" s="318">
        <v>0</v>
      </c>
      <c r="BD1026" s="136"/>
      <c r="BE1026" s="148">
        <v>252</v>
      </c>
      <c r="BF1026" s="321">
        <f t="shared" si="677"/>
        <v>0.37799999999999995</v>
      </c>
      <c r="BG1026" s="197">
        <f t="shared" si="678"/>
        <v>251.62200000000001</v>
      </c>
      <c r="BH1026" s="321">
        <f t="shared" si="679"/>
        <v>251.4</v>
      </c>
      <c r="BI1026" s="322">
        <f t="shared" si="680"/>
        <v>59.999999999999432</v>
      </c>
      <c r="BJ1026" s="322">
        <v>0</v>
      </c>
      <c r="BK1026" s="318">
        <f t="shared" si="681"/>
        <v>59.999999999999432</v>
      </c>
      <c r="BL1026" s="67"/>
      <c r="BM1026" s="68" t="str">
        <f t="shared" si="682"/>
        <v>Unloading no. 994 Bill No 56 ,Deduction For Oil Deduction= 247104 ,Bardana= 5150 ,F.M= 16707.6 Brokerage/Rate Difference 3771 ,Shortage = 4680 ,Greenish= 0 ,Moisture= 5896.8</v>
      </c>
      <c r="BN1026" s="69"/>
      <c r="BO1026" s="70" t="str">
        <f t="shared" si="683"/>
        <v xml:space="preserve"> Party Condition 42  ,F.M% 0.85 ,Greenish 3.4 ,Moisture 5.3 ,Shortage in KG= 60  ,Oil% 36.72</v>
      </c>
      <c r="BP1026" s="71">
        <f t="shared" si="684"/>
        <v>6691.6889419252193</v>
      </c>
      <c r="BQ1026" s="55"/>
      <c r="BR1026" s="55"/>
      <c r="BS1026" s="41"/>
      <c r="BT1026" s="41"/>
      <c r="BU1026" s="41"/>
      <c r="BV1026" s="41"/>
      <c r="BW1026" s="85"/>
      <c r="BX1026" s="30">
        <v>36.799999999999997</v>
      </c>
      <c r="BY1026" s="30">
        <v>36.72</v>
      </c>
    </row>
    <row r="1027" spans="1:81" ht="14.1" hidden="1" customHeight="1" x14ac:dyDescent="0.3">
      <c r="A1027" s="281" t="s">
        <v>2157</v>
      </c>
      <c r="B1027" s="417">
        <v>46199</v>
      </c>
      <c r="C1027" s="138">
        <v>995</v>
      </c>
      <c r="D1027" s="128" t="s">
        <v>2181</v>
      </c>
      <c r="E1027" s="129">
        <v>46200</v>
      </c>
      <c r="F1027" s="128" t="s">
        <v>1691</v>
      </c>
      <c r="G1027" s="128" t="s">
        <v>1692</v>
      </c>
      <c r="H1027" s="128" t="s">
        <v>1693</v>
      </c>
      <c r="I1027" s="136"/>
      <c r="J1027" s="347" t="s">
        <v>1455</v>
      </c>
      <c r="K1027" s="136"/>
      <c r="L1027" s="146">
        <v>46199</v>
      </c>
      <c r="M1027" s="136"/>
      <c r="N1027" s="281" t="s">
        <v>1307</v>
      </c>
      <c r="O1027" s="130">
        <v>46199</v>
      </c>
      <c r="P1027" s="138">
        <v>0</v>
      </c>
      <c r="Q1027" s="138">
        <v>200</v>
      </c>
      <c r="R1027" s="138">
        <v>48</v>
      </c>
      <c r="S1027" s="138">
        <v>248</v>
      </c>
      <c r="T1027" s="138">
        <v>248</v>
      </c>
      <c r="U1027" s="136"/>
      <c r="V1027" s="136"/>
      <c r="W1027" s="148">
        <v>151.5</v>
      </c>
      <c r="X1027" s="148">
        <v>151.1</v>
      </c>
      <c r="Y1027" s="148">
        <v>1181700</v>
      </c>
      <c r="Z1027" s="165"/>
      <c r="AA1027" s="148">
        <v>29542.5</v>
      </c>
      <c r="AB1027" s="148">
        <v>29542.5</v>
      </c>
      <c r="AC1027" s="148">
        <v>1240785</v>
      </c>
      <c r="AD1027" s="315">
        <f t="shared" si="665"/>
        <v>1239544.2150000001</v>
      </c>
      <c r="AE1027" s="173">
        <v>40.72</v>
      </c>
      <c r="AF1027" s="147">
        <v>42</v>
      </c>
      <c r="AG1027" s="173">
        <v>40.56</v>
      </c>
      <c r="AH1027" s="287">
        <v>3.5999999999999999E-3</v>
      </c>
      <c r="AI1027" s="287">
        <v>0.04</v>
      </c>
      <c r="AJ1027" s="418">
        <v>5.7000000000000002E-2</v>
      </c>
      <c r="AK1027" s="318">
        <f t="shared" si="685"/>
        <v>40515.428571428507</v>
      </c>
      <c r="AL1027" s="193">
        <f>200*10+48*15</f>
        <v>2720</v>
      </c>
      <c r="AM1027" s="319">
        <f t="shared" si="689"/>
        <v>4254.12</v>
      </c>
      <c r="AN1027" s="319"/>
      <c r="AO1027" s="320">
        <f t="shared" si="686"/>
        <v>3120</v>
      </c>
      <c r="AP1027" s="193">
        <v>0</v>
      </c>
      <c r="AQ1027" s="325">
        <f>Y1027*0.7/100</f>
        <v>8271.9</v>
      </c>
      <c r="AR1027" s="318">
        <f t="shared" si="687"/>
        <v>58881.448571428511</v>
      </c>
      <c r="AS1027" s="318">
        <f t="shared" si="688"/>
        <v>61826</v>
      </c>
      <c r="AT1027" s="321">
        <v>40</v>
      </c>
      <c r="AU1027" s="157"/>
      <c r="AV1027" s="136"/>
      <c r="AW1027" s="318">
        <f t="shared" si="672"/>
        <v>15150</v>
      </c>
      <c r="AX1027" s="193"/>
      <c r="AY1027" s="318">
        <f t="shared" si="673"/>
        <v>15150</v>
      </c>
      <c r="AZ1027" s="318">
        <f t="shared" si="674"/>
        <v>15110</v>
      </c>
      <c r="BA1027" s="318">
        <f t="shared" si="675"/>
        <v>40</v>
      </c>
      <c r="BB1027" s="318">
        <f t="shared" si="676"/>
        <v>30.3</v>
      </c>
      <c r="BC1027" s="318">
        <v>0</v>
      </c>
      <c r="BD1027" s="136"/>
      <c r="BE1027" s="148">
        <v>151.5</v>
      </c>
      <c r="BF1027" s="321">
        <f t="shared" si="677"/>
        <v>0.22724999999999998</v>
      </c>
      <c r="BG1027" s="197">
        <f t="shared" si="678"/>
        <v>151.27275</v>
      </c>
      <c r="BH1027" s="321">
        <f t="shared" si="679"/>
        <v>151.1</v>
      </c>
      <c r="BI1027" s="322">
        <f t="shared" si="680"/>
        <v>40.000000000000568</v>
      </c>
      <c r="BJ1027" s="322">
        <v>0</v>
      </c>
      <c r="BK1027" s="318">
        <f t="shared" si="681"/>
        <v>40.000000000000568</v>
      </c>
      <c r="BL1027" s="67"/>
      <c r="BM1027" s="68" t="str">
        <f t="shared" si="682"/>
        <v>Unloading no. 995 Bill No 2026-27/71 ,Deduction For Oil Deduction= 40515.4285714285 ,Bardana= 2720 ,F.M= 4254.12 Brokerage/Rate Difference  ,Shortage = 3120 ,Greenish= 0 ,Moisture= 8271.9</v>
      </c>
      <c r="BN1027" s="69"/>
      <c r="BO1027" s="70" t="str">
        <f t="shared" si="683"/>
        <v xml:space="preserve"> Party Condition 42  ,F.M% 0.36 ,Greenish 4 ,Moisture 5.7 ,Shortage in KG= 40  ,Oil% 40.56</v>
      </c>
      <c r="BP1027" s="71">
        <f t="shared" si="684"/>
        <v>7430.9632788125191</v>
      </c>
      <c r="BQ1027" s="55"/>
      <c r="BR1027" s="55"/>
      <c r="BS1027" s="41"/>
      <c r="BT1027" s="41"/>
      <c r="BU1027" s="41"/>
      <c r="BV1027" s="41"/>
      <c r="BW1027" s="85"/>
      <c r="BX1027" s="30">
        <v>40.72</v>
      </c>
      <c r="BY1027" s="30">
        <v>40.56</v>
      </c>
    </row>
    <row r="1028" spans="1:81" ht="14.1" hidden="1" customHeight="1" x14ac:dyDescent="0.3">
      <c r="A1028" s="281" t="s">
        <v>2155</v>
      </c>
      <c r="B1028" s="417">
        <v>46198</v>
      </c>
      <c r="C1028" s="138">
        <v>996</v>
      </c>
      <c r="D1028" s="128" t="s">
        <v>2182</v>
      </c>
      <c r="E1028" s="129">
        <v>46200</v>
      </c>
      <c r="F1028" s="128" t="s">
        <v>1450</v>
      </c>
      <c r="G1028" s="128" t="s">
        <v>1451</v>
      </c>
      <c r="H1028" s="128" t="s">
        <v>199</v>
      </c>
      <c r="I1028" s="136"/>
      <c r="J1028" s="347" t="s">
        <v>1455</v>
      </c>
      <c r="K1028" s="136"/>
      <c r="L1028" s="146">
        <v>46198</v>
      </c>
      <c r="M1028" s="136"/>
      <c r="N1028" s="281" t="s">
        <v>2203</v>
      </c>
      <c r="O1028" s="130">
        <v>46199</v>
      </c>
      <c r="P1028" s="138">
        <v>0</v>
      </c>
      <c r="Q1028" s="138">
        <v>154</v>
      </c>
      <c r="R1028" s="138">
        <v>110</v>
      </c>
      <c r="S1028" s="138">
        <v>264</v>
      </c>
      <c r="T1028" s="138">
        <v>264</v>
      </c>
      <c r="U1028" s="136"/>
      <c r="V1028" s="136"/>
      <c r="W1028" s="148">
        <v>157.80000000000001</v>
      </c>
      <c r="X1028" s="148">
        <v>157.5</v>
      </c>
      <c r="Y1028" s="148">
        <v>1230840</v>
      </c>
      <c r="Z1028" s="165"/>
      <c r="AA1028" s="148">
        <v>30771</v>
      </c>
      <c r="AB1028" s="148">
        <v>30771</v>
      </c>
      <c r="AC1028" s="148">
        <v>1292382</v>
      </c>
      <c r="AD1028" s="315">
        <f t="shared" si="665"/>
        <v>1291089.618</v>
      </c>
      <c r="AE1028" s="173">
        <v>40.299999999999997</v>
      </c>
      <c r="AF1028" s="147">
        <v>42</v>
      </c>
      <c r="AG1028" s="147">
        <v>40.17</v>
      </c>
      <c r="AH1028" s="418">
        <v>3.5999999999999999E-3</v>
      </c>
      <c r="AI1028" s="287">
        <v>3.2500000000000001E-2</v>
      </c>
      <c r="AJ1028" s="287">
        <v>0.05</v>
      </c>
      <c r="AK1028" s="318">
        <f t="shared" si="685"/>
        <v>53629.457142857093</v>
      </c>
      <c r="AL1028" s="193">
        <f>154*10+110*15</f>
        <v>3190</v>
      </c>
      <c r="AM1028" s="319">
        <f t="shared" si="689"/>
        <v>4431.0239999999994</v>
      </c>
      <c r="AN1028" s="319"/>
      <c r="AO1028" s="320">
        <f t="shared" si="686"/>
        <v>2339.9999999999995</v>
      </c>
      <c r="AP1028" s="193">
        <v>0</v>
      </c>
      <c r="AQ1028" s="318">
        <v>0</v>
      </c>
      <c r="AR1028" s="318">
        <f t="shared" si="687"/>
        <v>63590.48114285709</v>
      </c>
      <c r="AS1028" s="318">
        <f t="shared" si="688"/>
        <v>66770</v>
      </c>
      <c r="AT1028" s="321">
        <v>30</v>
      </c>
      <c r="AU1028" s="157"/>
      <c r="AV1028" s="136"/>
      <c r="AW1028" s="318">
        <f t="shared" si="672"/>
        <v>15780.000000000002</v>
      </c>
      <c r="AX1028" s="193"/>
      <c r="AY1028" s="318">
        <f t="shared" si="673"/>
        <v>15780.000000000002</v>
      </c>
      <c r="AZ1028" s="318">
        <f t="shared" si="674"/>
        <v>15750</v>
      </c>
      <c r="BA1028" s="318">
        <f t="shared" si="675"/>
        <v>30.000000000001819</v>
      </c>
      <c r="BB1028" s="318">
        <f t="shared" si="676"/>
        <v>31.560000000000002</v>
      </c>
      <c r="BC1028" s="318">
        <v>0</v>
      </c>
      <c r="BD1028" s="136"/>
      <c r="BE1028" s="148">
        <v>157.80000000000001</v>
      </c>
      <c r="BF1028" s="321">
        <f t="shared" si="677"/>
        <v>0.23670000000000002</v>
      </c>
      <c r="BG1028" s="197">
        <f t="shared" si="678"/>
        <v>157.5633</v>
      </c>
      <c r="BH1028" s="321">
        <f t="shared" si="679"/>
        <v>157.5</v>
      </c>
      <c r="BI1028" s="322">
        <f t="shared" si="680"/>
        <v>30.000000000001137</v>
      </c>
      <c r="BJ1028" s="322">
        <v>0</v>
      </c>
      <c r="BK1028" s="318">
        <f t="shared" si="681"/>
        <v>30.000000000001137</v>
      </c>
      <c r="BL1028" s="67"/>
      <c r="BM1028" s="68" t="str">
        <f t="shared" si="682"/>
        <v>Unloading no. 996 Bill No ST-49 ,Deduction For Oil Deduction= 53629.4571428571 ,Bardana= 3190 ,F.M= 4431.024 Brokerage/Rate Difference  ,Shortage = 2340 ,Greenish= 0 ,Moisture= 0</v>
      </c>
      <c r="BN1028" s="69"/>
      <c r="BO1028" s="70" t="str">
        <f t="shared" si="683"/>
        <v xml:space="preserve"> Party Condition 42  ,F.M% 0.36 ,Greenish 3.25 ,Moisture 5 ,Shortage in KG= 30  ,Oil% 40.17</v>
      </c>
      <c r="BP1028" s="71">
        <f t="shared" si="684"/>
        <v>7411.1080562358275</v>
      </c>
      <c r="BQ1028" s="55"/>
      <c r="BR1028" s="55"/>
      <c r="BS1028" s="41"/>
      <c r="BT1028" s="41"/>
      <c r="BU1028" s="41"/>
      <c r="BV1028" s="41"/>
      <c r="BW1028" s="85"/>
      <c r="BX1028" s="30">
        <v>40.299999999999997</v>
      </c>
      <c r="BY1028" s="27">
        <v>40.17</v>
      </c>
    </row>
    <row r="1029" spans="1:81" ht="14.1" hidden="1" customHeight="1" x14ac:dyDescent="0.3">
      <c r="A1029" s="281" t="s">
        <v>2158</v>
      </c>
      <c r="B1029" s="146">
        <v>46197</v>
      </c>
      <c r="C1029" s="138">
        <v>997</v>
      </c>
      <c r="D1029" s="128" t="s">
        <v>2183</v>
      </c>
      <c r="E1029" s="129">
        <v>46200</v>
      </c>
      <c r="F1029" s="128" t="s">
        <v>1802</v>
      </c>
      <c r="G1029" s="128" t="s">
        <v>204</v>
      </c>
      <c r="H1029" s="128" t="s">
        <v>1384</v>
      </c>
      <c r="I1029" s="136"/>
      <c r="J1029" s="347" t="s">
        <v>1455</v>
      </c>
      <c r="K1029" s="136"/>
      <c r="L1029" s="146">
        <v>46197</v>
      </c>
      <c r="M1029" s="136"/>
      <c r="N1029" s="281" t="s">
        <v>1409</v>
      </c>
      <c r="O1029" s="130">
        <v>46199</v>
      </c>
      <c r="P1029" s="138">
        <v>0</v>
      </c>
      <c r="Q1029" s="138">
        <v>280</v>
      </c>
      <c r="R1029" s="138">
        <v>56</v>
      </c>
      <c r="S1029" s="138">
        <v>336</v>
      </c>
      <c r="T1029" s="138">
        <v>336</v>
      </c>
      <c r="U1029" s="136"/>
      <c r="V1029" s="136"/>
      <c r="W1029" s="148">
        <v>204.8</v>
      </c>
      <c r="X1029" s="148">
        <v>204.3</v>
      </c>
      <c r="Y1029" s="148">
        <f>1613910-1110</f>
        <v>1612800</v>
      </c>
      <c r="Z1029" s="165"/>
      <c r="AA1029" s="148">
        <v>40347.75</v>
      </c>
      <c r="AB1029" s="148">
        <v>40347.75</v>
      </c>
      <c r="AC1029" s="148">
        <v>1694605.5</v>
      </c>
      <c r="AD1029" s="315">
        <f t="shared" si="665"/>
        <v>1692910.8944999999</v>
      </c>
      <c r="AE1029" s="173">
        <v>40.26</v>
      </c>
      <c r="AF1029" s="147">
        <v>42</v>
      </c>
      <c r="AG1029" s="147">
        <v>40.22</v>
      </c>
      <c r="AH1029" s="418">
        <v>3.8E-3</v>
      </c>
      <c r="AI1029" s="287">
        <v>3.49E-2</v>
      </c>
      <c r="AJ1029" s="287">
        <v>0.05</v>
      </c>
      <c r="AK1029" s="318">
        <f t="shared" si="685"/>
        <v>68352.000000000044</v>
      </c>
      <c r="AL1029" s="193">
        <f>280*10+56*15</f>
        <v>3640</v>
      </c>
      <c r="AM1029" s="319">
        <f t="shared" si="689"/>
        <v>6128.64</v>
      </c>
      <c r="AN1029" s="324">
        <v>1110</v>
      </c>
      <c r="AO1029" s="320">
        <f t="shared" si="686"/>
        <v>3937.5</v>
      </c>
      <c r="AP1029" s="193">
        <v>0</v>
      </c>
      <c r="AQ1029" s="318">
        <v>0</v>
      </c>
      <c r="AR1029" s="318">
        <f t="shared" si="687"/>
        <v>83168.140000000043</v>
      </c>
      <c r="AS1029" s="318">
        <f t="shared" si="688"/>
        <v>87327</v>
      </c>
      <c r="AT1029" s="321">
        <v>50</v>
      </c>
      <c r="AU1029" s="157" t="s">
        <v>2210</v>
      </c>
      <c r="AV1029" s="136"/>
      <c r="AW1029" s="318">
        <f t="shared" si="672"/>
        <v>20480</v>
      </c>
      <c r="AX1029" s="193"/>
      <c r="AY1029" s="318">
        <f t="shared" si="673"/>
        <v>20480</v>
      </c>
      <c r="AZ1029" s="318">
        <f t="shared" si="674"/>
        <v>20430</v>
      </c>
      <c r="BA1029" s="318">
        <f t="shared" si="675"/>
        <v>50</v>
      </c>
      <c r="BB1029" s="318">
        <f t="shared" si="676"/>
        <v>40.96</v>
      </c>
      <c r="BC1029" s="318">
        <v>0</v>
      </c>
      <c r="BD1029" s="136"/>
      <c r="BE1029" s="148">
        <v>204.8</v>
      </c>
      <c r="BF1029" s="321">
        <f t="shared" si="677"/>
        <v>0.30719999999999997</v>
      </c>
      <c r="BG1029" s="197">
        <f t="shared" si="678"/>
        <v>204.49280000000002</v>
      </c>
      <c r="BH1029" s="321">
        <f t="shared" si="679"/>
        <v>204.3</v>
      </c>
      <c r="BI1029" s="322">
        <f t="shared" si="680"/>
        <v>50</v>
      </c>
      <c r="BJ1029" s="322">
        <v>0</v>
      </c>
      <c r="BK1029" s="318">
        <f t="shared" si="681"/>
        <v>50</v>
      </c>
      <c r="BL1029" s="67"/>
      <c r="BM1029" s="68" t="str">
        <f t="shared" si="682"/>
        <v>Unloading no. 997 Bill No 2026-27/111 ,Deduction For Oil Deduction= 68352 ,Bardana= 3640 ,F.M= 6128.64 Brokerage/Rate Difference 1110 ,Shortage = 3937.5 ,Greenish= 0 ,Moisture= 0</v>
      </c>
      <c r="BN1029" s="69"/>
      <c r="BO1029" s="70" t="str">
        <f t="shared" si="683"/>
        <v xml:space="preserve"> Party Condition 42  ,F.M% 0.38 ,Greenish 3.49 ,Moisture 5 ,Shortage in KG= 50  ,Oil% 40.22</v>
      </c>
      <c r="BP1029" s="71">
        <f t="shared" si="684"/>
        <v>7487.1848262359263</v>
      </c>
      <c r="BQ1029" s="55"/>
      <c r="BR1029" s="55"/>
      <c r="BS1029" s="41"/>
      <c r="BT1029" s="41"/>
      <c r="BU1029" s="41"/>
      <c r="BV1029" s="41"/>
      <c r="BW1029" s="85"/>
      <c r="BX1029" s="30">
        <v>40.26</v>
      </c>
      <c r="BY1029" s="27">
        <v>40.22</v>
      </c>
    </row>
    <row r="1030" spans="1:81" ht="14.1" hidden="1" customHeight="1" x14ac:dyDescent="0.3">
      <c r="A1030" s="281" t="s">
        <v>2159</v>
      </c>
      <c r="B1030" s="146">
        <v>46191</v>
      </c>
      <c r="C1030" s="138">
        <v>999</v>
      </c>
      <c r="D1030" s="128" t="s">
        <v>2184</v>
      </c>
      <c r="E1030" s="129">
        <v>46200</v>
      </c>
      <c r="F1030" s="128" t="s">
        <v>2079</v>
      </c>
      <c r="G1030" s="128" t="s">
        <v>2080</v>
      </c>
      <c r="H1030" s="128" t="s">
        <v>2081</v>
      </c>
      <c r="I1030" s="136"/>
      <c r="J1030" s="347" t="s">
        <v>1455</v>
      </c>
      <c r="K1030" s="136"/>
      <c r="L1030" s="146">
        <v>46191</v>
      </c>
      <c r="M1030" s="136"/>
      <c r="N1030" s="281" t="s">
        <v>2204</v>
      </c>
      <c r="O1030" s="130">
        <v>46199</v>
      </c>
      <c r="P1030" s="138">
        <v>0</v>
      </c>
      <c r="Q1030" s="138">
        <v>250</v>
      </c>
      <c r="R1030" s="138">
        <v>160</v>
      </c>
      <c r="S1030" s="138">
        <v>410</v>
      </c>
      <c r="T1030" s="138">
        <v>410</v>
      </c>
      <c r="U1030" s="136"/>
      <c r="V1030" s="136"/>
      <c r="W1030" s="148">
        <v>249.6</v>
      </c>
      <c r="X1030" s="148">
        <v>249.2</v>
      </c>
      <c r="Y1030" s="148">
        <v>1965600</v>
      </c>
      <c r="Z1030" s="165"/>
      <c r="AA1030" s="148">
        <v>49140</v>
      </c>
      <c r="AB1030" s="305">
        <v>49140</v>
      </c>
      <c r="AC1030" s="305">
        <v>2063880</v>
      </c>
      <c r="AD1030" s="339">
        <f t="shared" si="665"/>
        <v>2061816.12</v>
      </c>
      <c r="AE1030" s="178">
        <v>40</v>
      </c>
      <c r="AF1030" s="178">
        <v>42</v>
      </c>
      <c r="AG1030" s="419">
        <v>39.880000000000003</v>
      </c>
      <c r="AH1030" s="308">
        <v>3.8E-3</v>
      </c>
      <c r="AI1030" s="308">
        <v>3.1E-2</v>
      </c>
      <c r="AJ1030" s="287">
        <v>0.05</v>
      </c>
      <c r="AK1030" s="318">
        <f t="shared" si="685"/>
        <v>99215.999999999884</v>
      </c>
      <c r="AL1030" s="193">
        <f>250*10+160*15</f>
        <v>4900</v>
      </c>
      <c r="AM1030" s="319">
        <f t="shared" si="689"/>
        <v>7469.28</v>
      </c>
      <c r="AN1030" s="420">
        <f>W1030*25</f>
        <v>6240</v>
      </c>
      <c r="AO1030" s="320">
        <f t="shared" si="686"/>
        <v>3150</v>
      </c>
      <c r="AP1030" s="193">
        <v>0</v>
      </c>
      <c r="AQ1030" s="318">
        <v>0</v>
      </c>
      <c r="AR1030" s="318">
        <f t="shared" si="687"/>
        <v>120975.27999999988</v>
      </c>
      <c r="AS1030" s="318">
        <f t="shared" si="688"/>
        <v>127024</v>
      </c>
      <c r="AT1030" s="321">
        <v>40</v>
      </c>
      <c r="AU1030" s="157"/>
      <c r="AV1030" s="136"/>
      <c r="AW1030" s="318">
        <f t="shared" si="672"/>
        <v>24960</v>
      </c>
      <c r="AX1030" s="193"/>
      <c r="AY1030" s="318">
        <f t="shared" si="673"/>
        <v>24960</v>
      </c>
      <c r="AZ1030" s="318">
        <f t="shared" si="674"/>
        <v>24920</v>
      </c>
      <c r="BA1030" s="318">
        <f t="shared" si="675"/>
        <v>40</v>
      </c>
      <c r="BB1030" s="318">
        <f t="shared" si="676"/>
        <v>49.92</v>
      </c>
      <c r="BC1030" s="318">
        <v>0</v>
      </c>
      <c r="BD1030" s="136"/>
      <c r="BE1030" s="148">
        <v>249.6</v>
      </c>
      <c r="BF1030" s="321">
        <f t="shared" si="677"/>
        <v>0.37439999999999996</v>
      </c>
      <c r="BG1030" s="197">
        <f t="shared" si="678"/>
        <v>249.22559999999999</v>
      </c>
      <c r="BH1030" s="321">
        <f t="shared" si="679"/>
        <v>249.2</v>
      </c>
      <c r="BI1030" s="322">
        <f t="shared" si="680"/>
        <v>40.000000000000568</v>
      </c>
      <c r="BJ1030" s="322">
        <v>0</v>
      </c>
      <c r="BK1030" s="318">
        <f t="shared" si="681"/>
        <v>40.000000000000568</v>
      </c>
      <c r="BL1030" s="67"/>
      <c r="BM1030" s="68" t="str">
        <f t="shared" si="682"/>
        <v>Unloading no. 999 Bill No FMT27MLRJ001820 ,Deduction For Oil Deduction= 99215.9999999999 ,Bardana= 4900 ,F.M= 7469.28 Brokerage/Rate Difference 6240 ,Shortage = 3150 ,Greenish= 0 ,Moisture= 0</v>
      </c>
      <c r="BN1030" s="69"/>
      <c r="BO1030" s="70" t="str">
        <f t="shared" si="683"/>
        <v xml:space="preserve"> Party Condition 42  ,F.M% 0.38 ,Greenish 3.1 ,Moisture 5 ,Shortage in KG= 40  ,Oil% 39.88</v>
      </c>
      <c r="BP1030" s="71">
        <f t="shared" si="684"/>
        <v>7402.1858747993592</v>
      </c>
      <c r="BQ1030" s="55"/>
      <c r="BR1030" s="55"/>
      <c r="BS1030" s="41"/>
      <c r="BT1030" s="41"/>
      <c r="BU1030" s="41"/>
      <c r="BV1030" s="41"/>
      <c r="BW1030" s="85"/>
      <c r="BX1030" s="30">
        <v>40</v>
      </c>
      <c r="BY1030" s="30">
        <v>39.880000000000003</v>
      </c>
    </row>
    <row r="1031" spans="1:81" ht="14.1" hidden="1" customHeight="1" x14ac:dyDescent="0.3">
      <c r="A1031" s="281" t="s">
        <v>2156</v>
      </c>
      <c r="B1031" s="171">
        <v>46198</v>
      </c>
      <c r="C1031" s="138">
        <v>998</v>
      </c>
      <c r="D1031" s="138" t="s">
        <v>2185</v>
      </c>
      <c r="E1031" s="129">
        <v>46201</v>
      </c>
      <c r="F1031" s="128" t="s">
        <v>1083</v>
      </c>
      <c r="G1031" s="128" t="s">
        <v>1084</v>
      </c>
      <c r="H1031" s="128" t="s">
        <v>1454</v>
      </c>
      <c r="I1031" s="136"/>
      <c r="J1031" s="347" t="s">
        <v>1455</v>
      </c>
      <c r="K1031" s="136"/>
      <c r="L1031" s="146">
        <v>46198</v>
      </c>
      <c r="M1031" s="136"/>
      <c r="N1031" s="281">
        <v>55</v>
      </c>
      <c r="O1031" s="130">
        <v>46199</v>
      </c>
      <c r="P1031" s="138">
        <v>0</v>
      </c>
      <c r="Q1031" s="138">
        <v>258</v>
      </c>
      <c r="R1031" s="138">
        <v>100</v>
      </c>
      <c r="S1031" s="138">
        <v>358</v>
      </c>
      <c r="T1031" s="138">
        <v>358</v>
      </c>
      <c r="U1031" s="136"/>
      <c r="V1031" s="136"/>
      <c r="W1031" s="148">
        <v>254.75</v>
      </c>
      <c r="X1031" s="148">
        <v>250.3</v>
      </c>
      <c r="Y1031" s="296">
        <f>1987050-34710</f>
        <v>1952340</v>
      </c>
      <c r="Z1031" s="165"/>
      <c r="AA1031" s="148">
        <v>49676.25</v>
      </c>
      <c r="AB1031" s="148">
        <v>49676.25</v>
      </c>
      <c r="AC1031" s="148">
        <v>2086402.5</v>
      </c>
      <c r="AD1031" s="315">
        <f t="shared" si="665"/>
        <v>2084316.0974999999</v>
      </c>
      <c r="AE1031" s="347">
        <v>38.42</v>
      </c>
      <c r="AF1031" s="147">
        <v>42</v>
      </c>
      <c r="AG1031" s="347">
        <v>38.31</v>
      </c>
      <c r="AH1031" s="292">
        <v>6.4999999999999997E-3</v>
      </c>
      <c r="AI1031" s="287">
        <v>3.7999999999999999E-2</v>
      </c>
      <c r="AJ1031" s="403">
        <v>5.1700000000000003E-2</v>
      </c>
      <c r="AK1031" s="318">
        <f t="shared" si="685"/>
        <v>171527.01428571416</v>
      </c>
      <c r="AL1031" s="193">
        <f>258*10+100*15</f>
        <v>4080</v>
      </c>
      <c r="AM1031" s="319">
        <f t="shared" ref="AM1031:AM1036" si="690">Y1031*AH1031</f>
        <v>12690.21</v>
      </c>
      <c r="AN1031" s="388">
        <f>X1031*15</f>
        <v>3754.5</v>
      </c>
      <c r="AO1031" s="320">
        <f t="shared" si="686"/>
        <v>0</v>
      </c>
      <c r="AP1031" s="193">
        <v>0</v>
      </c>
      <c r="AQ1031" s="318">
        <f>Y1031*0.17/100</f>
        <v>3318.9780000000005</v>
      </c>
      <c r="AR1031" s="318">
        <f t="shared" si="687"/>
        <v>195370.70228571416</v>
      </c>
      <c r="AS1031" s="325">
        <f t="shared" si="688"/>
        <v>205139</v>
      </c>
      <c r="AT1031" s="321">
        <v>0</v>
      </c>
      <c r="AU1031" s="206" t="s">
        <v>2211</v>
      </c>
      <c r="AV1031" s="136"/>
      <c r="AW1031" s="318">
        <f t="shared" si="672"/>
        <v>25475</v>
      </c>
      <c r="AX1031" s="193"/>
      <c r="AY1031" s="318">
        <f t="shared" si="673"/>
        <v>25475</v>
      </c>
      <c r="AZ1031" s="318">
        <f t="shared" si="674"/>
        <v>25030</v>
      </c>
      <c r="BA1031" s="318">
        <f t="shared" si="675"/>
        <v>445</v>
      </c>
      <c r="BB1031" s="318">
        <f t="shared" si="676"/>
        <v>50.95</v>
      </c>
      <c r="BC1031" s="318">
        <v>0</v>
      </c>
      <c r="BD1031" s="136"/>
      <c r="BE1031" s="148">
        <v>254.75</v>
      </c>
      <c r="BF1031" s="321">
        <f t="shared" si="677"/>
        <v>0.38212499999999999</v>
      </c>
      <c r="BG1031" s="197">
        <f t="shared" si="678"/>
        <v>254.367875</v>
      </c>
      <c r="BH1031" s="321">
        <f t="shared" si="679"/>
        <v>250.3</v>
      </c>
      <c r="BI1031" s="322">
        <f t="shared" si="680"/>
        <v>444.99999999999886</v>
      </c>
      <c r="BJ1031" s="322">
        <v>0</v>
      </c>
      <c r="BK1031" s="318">
        <f t="shared" si="681"/>
        <v>444.99999999999886</v>
      </c>
      <c r="BL1031" s="67"/>
      <c r="BM1031" s="68" t="str">
        <f t="shared" si="682"/>
        <v>Unloading no. 998 Bill No 55 ,Deduction For Oil Deduction= 171527.014285714 ,Bardana= 4080 ,F.M= 12690.21 Brokerage/Rate Difference 3754.5 ,Shortage = 0 ,Greenish= 0 ,Moisture= 3318.978</v>
      </c>
      <c r="BN1031" s="69"/>
      <c r="BO1031" s="70" t="str">
        <f t="shared" si="683"/>
        <v xml:space="preserve"> Party Condition 42  ,F.M% 0.65 ,Greenish 3.8 ,Moisture 5.17 ,Shortage in KG= 0  ,Oil% 38.31</v>
      </c>
      <c r="BP1031" s="71">
        <f t="shared" si="684"/>
        <v>7019.4538462416531</v>
      </c>
      <c r="BQ1031" s="55"/>
      <c r="BR1031" s="55"/>
      <c r="BS1031" s="41"/>
      <c r="BT1031" s="41"/>
      <c r="BU1031" s="41"/>
      <c r="BV1031" s="41"/>
      <c r="BW1031" s="85"/>
      <c r="BX1031" s="30">
        <v>38.42</v>
      </c>
      <c r="BY1031" s="30">
        <v>38.31</v>
      </c>
    </row>
    <row r="1032" spans="1:81" ht="14.1" hidden="1" customHeight="1" x14ac:dyDescent="0.3">
      <c r="A1032" s="281" t="s">
        <v>2160</v>
      </c>
      <c r="B1032" s="171">
        <v>46200</v>
      </c>
      <c r="C1032" s="138">
        <v>1000</v>
      </c>
      <c r="D1032" s="138" t="s">
        <v>2186</v>
      </c>
      <c r="E1032" s="129">
        <v>46201</v>
      </c>
      <c r="F1032" s="128" t="s">
        <v>1382</v>
      </c>
      <c r="G1032" s="128" t="s">
        <v>1383</v>
      </c>
      <c r="H1032" s="128" t="s">
        <v>1384</v>
      </c>
      <c r="I1032" s="136"/>
      <c r="J1032" s="347" t="s">
        <v>1455</v>
      </c>
      <c r="K1032" s="136"/>
      <c r="L1032" s="146">
        <v>46200</v>
      </c>
      <c r="M1032" s="136"/>
      <c r="N1032" s="281">
        <v>24</v>
      </c>
      <c r="O1032" s="130">
        <v>46200</v>
      </c>
      <c r="P1032" s="138">
        <v>0</v>
      </c>
      <c r="Q1032" s="138">
        <v>0</v>
      </c>
      <c r="R1032" s="138">
        <v>500</v>
      </c>
      <c r="S1032" s="138">
        <v>500</v>
      </c>
      <c r="T1032" s="138">
        <v>500</v>
      </c>
      <c r="U1032" s="136"/>
      <c r="V1032" s="136"/>
      <c r="W1032" s="148">
        <v>306.05</v>
      </c>
      <c r="X1032" s="148">
        <v>305.60000000000002</v>
      </c>
      <c r="Y1032" s="148">
        <v>2402492.5</v>
      </c>
      <c r="Z1032" s="165"/>
      <c r="AA1032" s="148">
        <v>60062.31</v>
      </c>
      <c r="AB1032" s="148">
        <v>60062.31</v>
      </c>
      <c r="AC1032" s="148">
        <v>2522617.13</v>
      </c>
      <c r="AD1032" s="315">
        <f t="shared" si="665"/>
        <v>2520094.5128699997</v>
      </c>
      <c r="AE1032" s="347">
        <v>40.72</v>
      </c>
      <c r="AF1032" s="147">
        <v>42</v>
      </c>
      <c r="AG1032" s="347">
        <v>40.659999999999997</v>
      </c>
      <c r="AH1032" s="287">
        <v>3.8E-3</v>
      </c>
      <c r="AI1032" s="287">
        <v>3.2500000000000001E-2</v>
      </c>
      <c r="AJ1032" s="403">
        <v>5.0599999999999999E-2</v>
      </c>
      <c r="AK1032" s="318">
        <f t="shared" si="685"/>
        <v>76650.951190476379</v>
      </c>
      <c r="AL1032" s="193">
        <f>500*15</f>
        <v>7500</v>
      </c>
      <c r="AM1032" s="319">
        <f t="shared" si="690"/>
        <v>9129.4714999999997</v>
      </c>
      <c r="AN1032" s="319"/>
      <c r="AO1032" s="320">
        <f t="shared" si="686"/>
        <v>3532.5</v>
      </c>
      <c r="AP1032" s="193">
        <v>0</v>
      </c>
      <c r="AQ1032" s="318">
        <f>Y1032*0.06/100</f>
        <v>1441.4955</v>
      </c>
      <c r="AR1032" s="318">
        <f t="shared" si="687"/>
        <v>98254.418190476383</v>
      </c>
      <c r="AS1032" s="325">
        <f t="shared" si="688"/>
        <v>103167</v>
      </c>
      <c r="AT1032" s="321">
        <v>45</v>
      </c>
      <c r="AU1032" s="157"/>
      <c r="AV1032" s="136"/>
      <c r="AW1032" s="318">
        <f t="shared" si="672"/>
        <v>30605</v>
      </c>
      <c r="AX1032" s="193"/>
      <c r="AY1032" s="318">
        <f t="shared" si="673"/>
        <v>30605</v>
      </c>
      <c r="AZ1032" s="318">
        <f t="shared" si="674"/>
        <v>30560.000000000004</v>
      </c>
      <c r="BA1032" s="318">
        <f t="shared" si="675"/>
        <v>44.999999999996362</v>
      </c>
      <c r="BB1032" s="318">
        <f t="shared" si="676"/>
        <v>61.21</v>
      </c>
      <c r="BC1032" s="318">
        <v>0</v>
      </c>
      <c r="BD1032" s="136"/>
      <c r="BE1032" s="148">
        <v>306.05</v>
      </c>
      <c r="BF1032" s="321">
        <f t="shared" si="677"/>
        <v>0.45907500000000001</v>
      </c>
      <c r="BG1032" s="197">
        <f t="shared" si="678"/>
        <v>305.59092500000003</v>
      </c>
      <c r="BH1032" s="321">
        <f t="shared" si="679"/>
        <v>305.60000000000002</v>
      </c>
      <c r="BI1032" s="322">
        <f t="shared" si="680"/>
        <v>44.999999999998863</v>
      </c>
      <c r="BJ1032" s="322">
        <v>0</v>
      </c>
      <c r="BK1032" s="318">
        <f t="shared" si="681"/>
        <v>44.999999999998863</v>
      </c>
      <c r="BL1032" s="67"/>
      <c r="BM1032" s="68" t="str">
        <f t="shared" si="682"/>
        <v>Unloading no. 1000 Bill No 24 ,Deduction For Oil Deduction= 76650.9511904764 ,Bardana= 7500 ,F.M= 9129.4715 Brokerage/Rate Difference  ,Shortage = 3532.5 ,Greenish= 0 ,Moisture= 1441.4955</v>
      </c>
      <c r="BN1032" s="69"/>
      <c r="BO1032" s="70" t="str">
        <f t="shared" si="683"/>
        <v xml:space="preserve"> Party Condition 42  ,F.M% 0.38 ,Greenish 3.25 ,Moisture 5.06 ,Shortage in KG= 45  ,Oil% 40.66</v>
      </c>
      <c r="BP1032" s="71">
        <f t="shared" si="684"/>
        <v>7540.0460792196445</v>
      </c>
      <c r="BQ1032" s="55"/>
      <c r="BR1032" s="55"/>
      <c r="BS1032" s="41"/>
      <c r="BT1032" s="41"/>
      <c r="BU1032" s="41"/>
      <c r="BV1032" s="41"/>
      <c r="BW1032" s="85"/>
      <c r="BX1032" s="30">
        <v>40.72</v>
      </c>
      <c r="BY1032" s="30">
        <v>40.659999999999997</v>
      </c>
    </row>
    <row r="1033" spans="1:81" ht="14.1" hidden="1" customHeight="1" x14ac:dyDescent="0.3">
      <c r="A1033" s="281" t="s">
        <v>2155</v>
      </c>
      <c r="B1033" s="171">
        <v>46198</v>
      </c>
      <c r="C1033" s="138">
        <v>1001</v>
      </c>
      <c r="D1033" s="138" t="s">
        <v>2187</v>
      </c>
      <c r="E1033" s="129">
        <v>46201</v>
      </c>
      <c r="F1033" s="128" t="s">
        <v>1450</v>
      </c>
      <c r="G1033" s="128" t="s">
        <v>1451</v>
      </c>
      <c r="H1033" s="128" t="s">
        <v>199</v>
      </c>
      <c r="I1033" s="136"/>
      <c r="J1033" s="347" t="s">
        <v>1455</v>
      </c>
      <c r="K1033" s="136"/>
      <c r="L1033" s="146">
        <v>46198</v>
      </c>
      <c r="M1033" s="136"/>
      <c r="N1033" s="281" t="s">
        <v>2205</v>
      </c>
      <c r="O1033" s="130">
        <v>46200</v>
      </c>
      <c r="P1033" s="138">
        <v>0</v>
      </c>
      <c r="Q1033" s="138">
        <v>248</v>
      </c>
      <c r="R1033" s="138">
        <v>0</v>
      </c>
      <c r="S1033" s="138">
        <v>248</v>
      </c>
      <c r="T1033" s="138">
        <v>248</v>
      </c>
      <c r="U1033" s="136"/>
      <c r="V1033" s="136"/>
      <c r="W1033" s="148">
        <v>149.5</v>
      </c>
      <c r="X1033" s="148">
        <v>149.19999999999999</v>
      </c>
      <c r="Y1033" s="148">
        <v>1166100</v>
      </c>
      <c r="Z1033" s="165"/>
      <c r="AA1033" s="148">
        <v>29152.5</v>
      </c>
      <c r="AB1033" s="148">
        <v>29152.5</v>
      </c>
      <c r="AC1033" s="148">
        <v>1224405</v>
      </c>
      <c r="AD1033" s="315">
        <f t="shared" si="665"/>
        <v>1223180.595</v>
      </c>
      <c r="AE1033" s="347">
        <v>39.020000000000003</v>
      </c>
      <c r="AF1033" s="147">
        <v>42</v>
      </c>
      <c r="AG1033" s="347">
        <v>39.090000000000003</v>
      </c>
      <c r="AH1033" s="287">
        <v>3.5000000000000001E-3</v>
      </c>
      <c r="AI1033" s="287">
        <v>3.49E-2</v>
      </c>
      <c r="AJ1033" s="287">
        <v>4.2000000000000003E-2</v>
      </c>
      <c r="AK1033" s="318">
        <f t="shared" si="685"/>
        <v>82737.571428571347</v>
      </c>
      <c r="AL1033" s="193">
        <f>248*10</f>
        <v>2480</v>
      </c>
      <c r="AM1033" s="319">
        <f t="shared" si="690"/>
        <v>4081.35</v>
      </c>
      <c r="AN1033" s="319"/>
      <c r="AO1033" s="320">
        <f t="shared" si="686"/>
        <v>2340</v>
      </c>
      <c r="AP1033" s="193">
        <v>0</v>
      </c>
      <c r="AQ1033" s="318">
        <v>0</v>
      </c>
      <c r="AR1033" s="318">
        <f t="shared" si="687"/>
        <v>91638.921428571353</v>
      </c>
      <c r="AS1033" s="325">
        <f t="shared" si="688"/>
        <v>96221</v>
      </c>
      <c r="AT1033" s="321">
        <v>30</v>
      </c>
      <c r="AU1033" s="157"/>
      <c r="AV1033" s="136"/>
      <c r="AW1033" s="318">
        <f t="shared" si="672"/>
        <v>14950</v>
      </c>
      <c r="AX1033" s="193"/>
      <c r="AY1033" s="318">
        <f t="shared" si="673"/>
        <v>14950</v>
      </c>
      <c r="AZ1033" s="318">
        <f t="shared" si="674"/>
        <v>14919.999999999998</v>
      </c>
      <c r="BA1033" s="318">
        <f t="shared" si="675"/>
        <v>30.000000000001819</v>
      </c>
      <c r="BB1033" s="318">
        <f t="shared" si="676"/>
        <v>29.9</v>
      </c>
      <c r="BC1033" s="318">
        <v>0</v>
      </c>
      <c r="BD1033" s="136"/>
      <c r="BE1033" s="148">
        <v>149.5</v>
      </c>
      <c r="BF1033" s="321">
        <f t="shared" si="677"/>
        <v>0.22425</v>
      </c>
      <c r="BG1033" s="197">
        <f t="shared" si="678"/>
        <v>149.27574999999999</v>
      </c>
      <c r="BH1033" s="321">
        <f t="shared" si="679"/>
        <v>149.19999999999999</v>
      </c>
      <c r="BI1033" s="322">
        <f t="shared" si="680"/>
        <v>30.000000000001137</v>
      </c>
      <c r="BJ1033" s="322">
        <v>0</v>
      </c>
      <c r="BK1033" s="318">
        <f t="shared" si="681"/>
        <v>30.000000000001137</v>
      </c>
      <c r="BL1033" s="67"/>
      <c r="BM1033" s="68" t="str">
        <f t="shared" si="682"/>
        <v>Unloading no. 1001 Bill No ST-50 ,Deduction For Oil Deduction= 82737.5714285713 ,Bardana= 2480 ,F.M= 4081.35 Brokerage/Rate Difference  ,Shortage = 2340 ,Greenish= 0 ,Moisture= 0</v>
      </c>
      <c r="BN1033" s="69"/>
      <c r="BO1033" s="70" t="str">
        <f t="shared" si="683"/>
        <v xml:space="preserve"> Party Condition 42  ,F.M% 0.35 ,Greenish 3.49 ,Moisture 4.2 ,Shortage in KG= 30  ,Oil% 39.02</v>
      </c>
      <c r="BP1033" s="71">
        <f t="shared" si="684"/>
        <v>7201.4817598621221</v>
      </c>
      <c r="BQ1033" s="55"/>
      <c r="BR1033" s="55"/>
      <c r="BS1033" s="41"/>
      <c r="BT1033" s="41"/>
      <c r="BU1033" s="41"/>
      <c r="BV1033" s="41"/>
      <c r="BW1033" s="85"/>
      <c r="BX1033" s="30">
        <v>39.020000000000003</v>
      </c>
      <c r="BY1033" s="30">
        <v>39.090000000000003</v>
      </c>
    </row>
    <row r="1034" spans="1:81" ht="14.1" hidden="1" customHeight="1" x14ac:dyDescent="0.3">
      <c r="A1034" s="281" t="s">
        <v>2161</v>
      </c>
      <c r="B1034" s="171">
        <v>46199</v>
      </c>
      <c r="C1034" s="138">
        <v>1002</v>
      </c>
      <c r="D1034" s="138" t="s">
        <v>2188</v>
      </c>
      <c r="E1034" s="129">
        <v>46201</v>
      </c>
      <c r="F1034" s="128" t="s">
        <v>1691</v>
      </c>
      <c r="G1034" s="128" t="s">
        <v>1692</v>
      </c>
      <c r="H1034" s="128" t="s">
        <v>1693</v>
      </c>
      <c r="I1034" s="136"/>
      <c r="J1034" s="347" t="s">
        <v>1455</v>
      </c>
      <c r="K1034" s="136"/>
      <c r="L1034" s="146">
        <v>46199</v>
      </c>
      <c r="M1034" s="136"/>
      <c r="N1034" s="281" t="s">
        <v>1310</v>
      </c>
      <c r="O1034" s="130">
        <v>46200</v>
      </c>
      <c r="P1034" s="138">
        <v>0</v>
      </c>
      <c r="Q1034" s="138">
        <v>200</v>
      </c>
      <c r="R1034" s="138">
        <v>47</v>
      </c>
      <c r="S1034" s="138">
        <v>247</v>
      </c>
      <c r="T1034" s="138">
        <v>247</v>
      </c>
      <c r="U1034" s="136"/>
      <c r="V1034" s="136"/>
      <c r="W1034" s="148">
        <v>150.69999999999999</v>
      </c>
      <c r="X1034" s="148">
        <v>150.30000000000001</v>
      </c>
      <c r="Y1034" s="148">
        <v>1175460</v>
      </c>
      <c r="Z1034" s="165"/>
      <c r="AA1034" s="148">
        <v>29386.5</v>
      </c>
      <c r="AB1034" s="148">
        <v>29386.5</v>
      </c>
      <c r="AC1034" s="148">
        <v>1234233</v>
      </c>
      <c r="AD1034" s="315">
        <f t="shared" si="665"/>
        <v>1232998.767</v>
      </c>
      <c r="AE1034" s="347">
        <v>41.09</v>
      </c>
      <c r="AF1034" s="147">
        <v>42</v>
      </c>
      <c r="AG1034" s="347">
        <v>40.950000000000003</v>
      </c>
      <c r="AH1034" s="292">
        <v>4.0000000000000001E-3</v>
      </c>
      <c r="AI1034" s="287">
        <v>3.3500000000000002E-2</v>
      </c>
      <c r="AJ1034" s="403">
        <v>5.1799999999999999E-2</v>
      </c>
      <c r="AK1034" s="318">
        <f t="shared" si="685"/>
        <v>29386.49999999992</v>
      </c>
      <c r="AL1034" s="193">
        <f>200*10+47*15</f>
        <v>2705</v>
      </c>
      <c r="AM1034" s="319">
        <f t="shared" si="690"/>
        <v>4701.84</v>
      </c>
      <c r="AN1034" s="319"/>
      <c r="AO1034" s="320">
        <f t="shared" si="686"/>
        <v>3120.0000000000005</v>
      </c>
      <c r="AP1034" s="193">
        <v>0</v>
      </c>
      <c r="AQ1034" s="318">
        <f>Y1034*0.18/100</f>
        <v>2115.828</v>
      </c>
      <c r="AR1034" s="318">
        <f t="shared" si="687"/>
        <v>42029.167999999925</v>
      </c>
      <c r="AS1034" s="318">
        <f t="shared" si="688"/>
        <v>44131</v>
      </c>
      <c r="AT1034" s="321">
        <v>40</v>
      </c>
      <c r="AU1034" s="157"/>
      <c r="AV1034" s="136"/>
      <c r="AW1034" s="318">
        <f t="shared" si="672"/>
        <v>15069.999999999998</v>
      </c>
      <c r="AX1034" s="193"/>
      <c r="AY1034" s="318">
        <f t="shared" si="673"/>
        <v>15069.999999999998</v>
      </c>
      <c r="AZ1034" s="318">
        <f t="shared" si="674"/>
        <v>15030.000000000002</v>
      </c>
      <c r="BA1034" s="318">
        <f t="shared" si="675"/>
        <v>39.999999999996362</v>
      </c>
      <c r="BB1034" s="318">
        <f t="shared" si="676"/>
        <v>30.139999999999997</v>
      </c>
      <c r="BC1034" s="318">
        <v>0</v>
      </c>
      <c r="BD1034" s="136"/>
      <c r="BE1034" s="148">
        <v>150.69999999999999</v>
      </c>
      <c r="BF1034" s="321">
        <f t="shared" si="677"/>
        <v>0.22604999999999997</v>
      </c>
      <c r="BG1034" s="197">
        <f t="shared" si="678"/>
        <v>150.47395</v>
      </c>
      <c r="BH1034" s="321">
        <f t="shared" si="679"/>
        <v>150.30000000000001</v>
      </c>
      <c r="BI1034" s="322">
        <f t="shared" si="680"/>
        <v>39.999999999997726</v>
      </c>
      <c r="BJ1034" s="322">
        <v>0</v>
      </c>
      <c r="BK1034" s="318">
        <f t="shared" si="681"/>
        <v>39.999999999997726</v>
      </c>
      <c r="BL1034" s="67"/>
      <c r="BM1034" s="68" t="str">
        <f t="shared" si="682"/>
        <v>Unloading no. 1002 Bill No 2026-27/72 ,Deduction For Oil Deduction= 29386.4999999999 ,Bardana= 2705 ,F.M= 4701.84 Brokerage/Rate Difference  ,Shortage = 3120 ,Greenish= 0 ,Moisture= 2115.828</v>
      </c>
      <c r="BN1034" s="69"/>
      <c r="BO1034" s="70" t="str">
        <f t="shared" si="683"/>
        <v xml:space="preserve"> Party Condition 42  ,F.M% 0.4 ,Greenish 3.35 ,Moisture 5.18 ,Shortage in KG= 40  ,Oil% 40.95</v>
      </c>
      <c r="BP1034" s="71">
        <f t="shared" si="684"/>
        <v>7541.1233000665343</v>
      </c>
      <c r="BQ1034" s="55"/>
      <c r="BR1034" s="55"/>
      <c r="BS1034" s="41"/>
      <c r="BT1034" s="41"/>
      <c r="BU1034" s="41"/>
      <c r="BV1034" s="41"/>
      <c r="BW1034" s="85"/>
      <c r="BX1034" s="30">
        <v>41.09</v>
      </c>
      <c r="BY1034" s="30">
        <v>40.950000000000003</v>
      </c>
    </row>
    <row r="1035" spans="1:81" ht="14.1" hidden="1" customHeight="1" x14ac:dyDescent="0.3">
      <c r="A1035" s="284" t="s">
        <v>2162</v>
      </c>
      <c r="B1035" s="376">
        <v>46192</v>
      </c>
      <c r="C1035" s="275">
        <v>1003</v>
      </c>
      <c r="D1035" s="275" t="s">
        <v>2189</v>
      </c>
      <c r="E1035" s="231">
        <v>46201</v>
      </c>
      <c r="F1035" s="174" t="s">
        <v>2079</v>
      </c>
      <c r="G1035" s="174" t="s">
        <v>2080</v>
      </c>
      <c r="H1035" s="174" t="s">
        <v>2081</v>
      </c>
      <c r="I1035" s="176"/>
      <c r="J1035" s="378" t="s">
        <v>1455</v>
      </c>
      <c r="K1035" s="176"/>
      <c r="L1035" s="376">
        <v>46192</v>
      </c>
      <c r="M1035" s="176"/>
      <c r="N1035" s="284" t="s">
        <v>2206</v>
      </c>
      <c r="O1035" s="175">
        <v>46200</v>
      </c>
      <c r="P1035" s="275">
        <v>0</v>
      </c>
      <c r="Q1035" s="275">
        <v>210</v>
      </c>
      <c r="R1035" s="275">
        <v>195</v>
      </c>
      <c r="S1035" s="275">
        <v>405</v>
      </c>
      <c r="T1035" s="275">
        <v>405</v>
      </c>
      <c r="U1035" s="176"/>
      <c r="V1035" s="176"/>
      <c r="W1035" s="305">
        <v>247.3</v>
      </c>
      <c r="X1035" s="305">
        <v>246.2</v>
      </c>
      <c r="Y1035" s="305">
        <v>1928940</v>
      </c>
      <c r="Z1035" s="182"/>
      <c r="AA1035" s="305">
        <v>48223.5</v>
      </c>
      <c r="AB1035" s="305">
        <v>48223.5</v>
      </c>
      <c r="AC1035" s="305">
        <v>2025387</v>
      </c>
      <c r="AD1035" s="339">
        <f t="shared" si="665"/>
        <v>2023361.6129999999</v>
      </c>
      <c r="AE1035" s="378">
        <v>39.61</v>
      </c>
      <c r="AF1035" s="178">
        <v>42</v>
      </c>
      <c r="AG1035" s="378">
        <v>39.78</v>
      </c>
      <c r="AH1035" s="308">
        <v>3.5999999999999999E-3</v>
      </c>
      <c r="AI1035" s="308">
        <v>3.7999999999999999E-2</v>
      </c>
      <c r="AJ1035" s="308">
        <v>4.7E-2</v>
      </c>
      <c r="AK1035" s="342">
        <f t="shared" si="685"/>
        <v>109765.87142857145</v>
      </c>
      <c r="AL1035" s="335">
        <f>210*10+195*15</f>
        <v>5025</v>
      </c>
      <c r="AM1035" s="343">
        <f t="shared" si="690"/>
        <v>6944.1840000000002</v>
      </c>
      <c r="AN1035" s="343"/>
      <c r="AO1035" s="344">
        <f t="shared" si="686"/>
        <v>8580</v>
      </c>
      <c r="AP1035" s="335">
        <v>0</v>
      </c>
      <c r="AQ1035" s="342">
        <v>0</v>
      </c>
      <c r="AR1035" s="342">
        <f t="shared" si="687"/>
        <v>130315.05542857145</v>
      </c>
      <c r="AS1035" s="342">
        <f t="shared" si="688"/>
        <v>136831</v>
      </c>
      <c r="AT1035" s="345">
        <v>110</v>
      </c>
      <c r="AU1035" s="208"/>
      <c r="AV1035" s="176"/>
      <c r="AW1035" s="342">
        <f t="shared" si="672"/>
        <v>24730</v>
      </c>
      <c r="AX1035" s="335"/>
      <c r="AY1035" s="342">
        <f t="shared" si="673"/>
        <v>24730</v>
      </c>
      <c r="AZ1035" s="342">
        <f t="shared" si="674"/>
        <v>24620</v>
      </c>
      <c r="BA1035" s="342">
        <f t="shared" si="675"/>
        <v>110</v>
      </c>
      <c r="BB1035" s="342">
        <f t="shared" si="676"/>
        <v>49.46</v>
      </c>
      <c r="BC1035" s="342">
        <v>0</v>
      </c>
      <c r="BD1035" s="176"/>
      <c r="BE1035" s="305">
        <v>247.3</v>
      </c>
      <c r="BF1035" s="345">
        <f t="shared" si="677"/>
        <v>0.37095</v>
      </c>
      <c r="BG1035" s="210">
        <f t="shared" si="678"/>
        <v>246.92905000000002</v>
      </c>
      <c r="BH1035" s="345">
        <f t="shared" si="679"/>
        <v>246.2</v>
      </c>
      <c r="BI1035" s="346">
        <f t="shared" si="680"/>
        <v>110.00000000000227</v>
      </c>
      <c r="BJ1035" s="346">
        <v>0</v>
      </c>
      <c r="BK1035" s="342">
        <f t="shared" si="681"/>
        <v>110.00000000000227</v>
      </c>
      <c r="BL1035" s="73"/>
      <c r="BM1035" s="74" t="str">
        <f t="shared" si="682"/>
        <v>Unloading no. 1003 Bill No FMT27MLRJ001837 ,Deduction For Oil Deduction= 109765.871428571 ,Bardana= 5025 ,F.M= 6944.184 Brokerage/Rate Difference  ,Shortage = 8580 ,Greenish= 0 ,Moisture= 0</v>
      </c>
      <c r="BN1035" s="72"/>
      <c r="BO1035" s="77" t="str">
        <f t="shared" si="683"/>
        <v xml:space="preserve"> Party Condition 42  ,F.M% 0.36 ,Greenish 3.8 ,Moisture 4.7 ,Shortage in KG= 110  ,Oil% 39.61</v>
      </c>
      <c r="BP1035" s="78">
        <f t="shared" si="684"/>
        <v>7305.5440478124638</v>
      </c>
      <c r="BQ1035" s="60"/>
      <c r="BR1035" s="60"/>
      <c r="BS1035" s="52"/>
      <c r="BT1035" s="52"/>
      <c r="BU1035" s="52"/>
      <c r="BV1035" s="52"/>
      <c r="BW1035" s="86"/>
      <c r="BX1035" s="30">
        <v>39.61</v>
      </c>
      <c r="BY1035" s="30">
        <v>39.78</v>
      </c>
    </row>
    <row r="1036" spans="1:81" ht="14.1" hidden="1" customHeight="1" x14ac:dyDescent="0.3">
      <c r="A1036" s="128" t="s">
        <v>2212</v>
      </c>
      <c r="B1036" s="146">
        <v>46200</v>
      </c>
      <c r="C1036" s="138">
        <v>1004</v>
      </c>
      <c r="D1036" s="138" t="s">
        <v>2220</v>
      </c>
      <c r="E1036" s="129">
        <v>46202</v>
      </c>
      <c r="F1036" s="128" t="s">
        <v>1083</v>
      </c>
      <c r="G1036" s="128" t="s">
        <v>1084</v>
      </c>
      <c r="H1036" s="128" t="s">
        <v>1454</v>
      </c>
      <c r="I1036" s="136"/>
      <c r="J1036" s="138" t="s">
        <v>1455</v>
      </c>
      <c r="K1036" s="136"/>
      <c r="L1036" s="146">
        <v>46200</v>
      </c>
      <c r="M1036" s="136"/>
      <c r="N1036" s="421">
        <v>60</v>
      </c>
      <c r="O1036" s="146">
        <v>46201</v>
      </c>
      <c r="P1036" s="138">
        <v>0</v>
      </c>
      <c r="Q1036" s="138">
        <v>100</v>
      </c>
      <c r="R1036" s="138">
        <v>315</v>
      </c>
      <c r="S1036" s="138">
        <v>415</v>
      </c>
      <c r="T1036" s="138">
        <v>415</v>
      </c>
      <c r="U1036" s="136"/>
      <c r="V1036" s="136"/>
      <c r="W1036" s="148">
        <v>254.15</v>
      </c>
      <c r="X1036" s="148">
        <v>252.4</v>
      </c>
      <c r="Y1036" s="148">
        <v>1995077.5</v>
      </c>
      <c r="Z1036" s="422"/>
      <c r="AA1036" s="148">
        <v>49876.94</v>
      </c>
      <c r="AB1036" s="148">
        <v>49876.94</v>
      </c>
      <c r="AC1036" s="148">
        <v>2094831.38</v>
      </c>
      <c r="AD1036" s="315">
        <f t="shared" si="665"/>
        <v>2092736.5486199998</v>
      </c>
      <c r="AE1036" s="147">
        <v>40.090000000000003</v>
      </c>
      <c r="AF1036" s="147">
        <v>42</v>
      </c>
      <c r="AG1036" s="147">
        <v>40.07</v>
      </c>
      <c r="AH1036" s="292">
        <v>8.0999999999999996E-3</v>
      </c>
      <c r="AI1036" s="287">
        <v>3.5000000000000003E-2</v>
      </c>
      <c r="AJ1036" s="287">
        <v>4.3999999999999997E-2</v>
      </c>
      <c r="AK1036" s="318">
        <f>+IF(AF1036=42,IF(MIN(AE1036,AG1036)&lt;AF1036,Y1036*((AF1036-MIN(AE1036,AG1036))/AF1036)),IF(MIN(AE1036,AG1036)&lt;AF1036,Y1036*((AF1036-MIN(AE1036,AG1036))/AF1036),0))-37</f>
        <v>91641.561309523793</v>
      </c>
      <c r="AL1036" s="193">
        <f>161*15</f>
        <v>2415</v>
      </c>
      <c r="AM1036" s="319">
        <f t="shared" si="690"/>
        <v>16160.12775</v>
      </c>
      <c r="AN1036" s="319">
        <f>X1036*15</f>
        <v>3786</v>
      </c>
      <c r="AO1036" s="320">
        <f t="shared" si="686"/>
        <v>13737.5</v>
      </c>
      <c r="AP1036" s="193">
        <v>0</v>
      </c>
      <c r="AQ1036" s="318">
        <v>0</v>
      </c>
      <c r="AR1036" s="318">
        <f>SUM(AK1036:AQ1036)</f>
        <v>127740.18905952379</v>
      </c>
      <c r="AS1036" s="318">
        <f t="shared" ref="AS1036" si="691">ROUND(AR1036*1.05,0)</f>
        <v>134127</v>
      </c>
      <c r="AT1036" s="321">
        <v>175</v>
      </c>
      <c r="AU1036" s="423" t="s">
        <v>2243</v>
      </c>
      <c r="AV1036" s="136"/>
      <c r="AW1036" s="318">
        <f t="shared" ref="AW1036:AW1049" si="692">W1036*100</f>
        <v>25415</v>
      </c>
      <c r="AX1036" s="193"/>
      <c r="AY1036" s="318">
        <f t="shared" ref="AY1036:AY1049" si="693">+AW1036+AX1036</f>
        <v>25415</v>
      </c>
      <c r="AZ1036" s="318">
        <f t="shared" ref="AZ1036:AZ1049" si="694">X1036*100</f>
        <v>25240</v>
      </c>
      <c r="BA1036" s="318">
        <f t="shared" ref="BA1036:BA1049" si="695">AY1036-AZ1036</f>
        <v>175</v>
      </c>
      <c r="BB1036" s="318">
        <f t="shared" ref="BB1036:BB1049" si="696">AW1036*2/1000</f>
        <v>50.83</v>
      </c>
      <c r="BC1036" s="318">
        <v>0</v>
      </c>
      <c r="BD1036" s="136"/>
      <c r="BE1036" s="138">
        <v>254.15</v>
      </c>
      <c r="BF1036" s="321">
        <f t="shared" ref="BF1036:BF1049" si="697">+BE1036*0.15/100</f>
        <v>0.38122500000000004</v>
      </c>
      <c r="BG1036" s="197">
        <f t="shared" ref="BG1036:BG1049" si="698">BE1036-BF1036</f>
        <v>253.76877500000001</v>
      </c>
      <c r="BH1036" s="321">
        <f t="shared" ref="BH1036:BH1049" si="699">X1036</f>
        <v>252.4</v>
      </c>
      <c r="BI1036" s="322">
        <f t="shared" ref="BI1036:BI1049" si="700">(BE1036-BH1036)*100</f>
        <v>175</v>
      </c>
      <c r="BJ1036" s="322">
        <v>0</v>
      </c>
      <c r="BK1036" s="318">
        <f t="shared" ref="BK1036:BK1049" si="701">BI1036</f>
        <v>175</v>
      </c>
      <c r="BL1036" s="67"/>
      <c r="BM1036" s="68" t="str">
        <f t="shared" ref="BM1036:BM1049" si="702">+$C$1&amp;" "&amp;C1036 &amp;" "&amp;$N$1&amp;" "&amp;N1036&amp;" "&amp;$BM$1&amp;" "&amp;$AK$1&amp;" "&amp;AK1036&amp;" "&amp;$AL$1&amp;" "&amp;AL1036&amp;" "&amp;$AM$1&amp;" "&amp;AM1036&amp;" "&amp;$AN$1&amp;" "&amp;AN1036&amp;" "&amp;$AO$1&amp;" "&amp;AO1036&amp;" "&amp;$AP$1&amp;" "&amp;AP1036&amp;" "&amp;$AQ$1&amp;" "&amp;AQ1036</f>
        <v>Unloading no. 1004 Bill No 60 ,Deduction For Oil Deduction= 91641.5613095238 ,Bardana= 2415 ,F.M= 16160.12775 Brokerage/Rate Difference 3786 ,Shortage = 13737.5 ,Greenish= 0 ,Moisture= 0</v>
      </c>
      <c r="BN1036" s="69"/>
      <c r="BO1036" s="70" t="str">
        <f t="shared" ref="BO1036:BO1049" si="703">+" "&amp;$AF$1&amp;" "&amp;AF1036&amp;" "&amp;" "&amp;$AH$1&amp;" "&amp;AH1036*100&amp;" "&amp;$AI$1&amp;" "&amp;AI1036*100&amp;" "&amp;$AJ$1&amp;" "&amp;AJ1036*100&amp;" ,"&amp;$AT$1&amp;" "&amp;AT1036&amp;" "&amp;IF(AE1036&gt;AG1036," ,Oil%"&amp;" "&amp;AG1036," ,Oil%"&amp;" "&amp;AE1036)</f>
        <v xml:space="preserve"> Party Condition 42  ,F.M% 0.81 ,Greenish 3.5 ,Moisture 4.4 ,Shortage in KG= 175  ,Oil% 40.07</v>
      </c>
      <c r="BP1036" s="71">
        <f t="shared" ref="BP1036:BP1049" si="704">(Y1036-AR1036)/X1036</f>
        <v>7398.3253206833442</v>
      </c>
      <c r="BQ1036" s="55"/>
      <c r="BR1036" s="55"/>
      <c r="BS1036" s="41"/>
      <c r="BT1036" s="41"/>
      <c r="BU1036" s="41"/>
      <c r="BV1036" s="41"/>
      <c r="BW1036" s="85"/>
      <c r="BX1036" s="27">
        <v>40.090000000000003</v>
      </c>
      <c r="BY1036" s="27">
        <v>40.07</v>
      </c>
      <c r="CA1036" s="57">
        <v>121712.3</v>
      </c>
      <c r="CC1036" s="82">
        <f>AS1036-CA1036</f>
        <v>12414.699999999997</v>
      </c>
    </row>
    <row r="1037" spans="1:81" ht="14.1" hidden="1" customHeight="1" x14ac:dyDescent="0.3">
      <c r="A1037" s="128" t="s">
        <v>2212</v>
      </c>
      <c r="B1037" s="146">
        <v>46200</v>
      </c>
      <c r="C1037" s="138">
        <v>1005</v>
      </c>
      <c r="D1037" s="138" t="s">
        <v>2221</v>
      </c>
      <c r="E1037" s="129">
        <v>46203</v>
      </c>
      <c r="F1037" s="128" t="s">
        <v>1083</v>
      </c>
      <c r="G1037" s="128" t="s">
        <v>1084</v>
      </c>
      <c r="H1037" s="128" t="s">
        <v>1454</v>
      </c>
      <c r="I1037" s="136"/>
      <c r="J1037" s="138" t="s">
        <v>1455</v>
      </c>
      <c r="K1037" s="136"/>
      <c r="L1037" s="146">
        <v>46200</v>
      </c>
      <c r="M1037" s="136"/>
      <c r="N1037" s="281">
        <v>58</v>
      </c>
      <c r="O1037" s="130">
        <v>46201</v>
      </c>
      <c r="P1037" s="138">
        <v>0</v>
      </c>
      <c r="Q1037" s="138">
        <v>150</v>
      </c>
      <c r="R1037" s="138">
        <v>227</v>
      </c>
      <c r="S1037" s="138">
        <v>377</v>
      </c>
      <c r="T1037" s="138">
        <v>377</v>
      </c>
      <c r="U1037" s="136"/>
      <c r="V1037" s="136"/>
      <c r="W1037" s="148">
        <v>260.89999999999998</v>
      </c>
      <c r="X1037" s="148">
        <v>247.8</v>
      </c>
      <c r="Y1037" s="296">
        <f>2048065-102835</f>
        <v>1945230</v>
      </c>
      <c r="Z1037" s="422"/>
      <c r="AA1037" s="148">
        <v>51201.63</v>
      </c>
      <c r="AB1037" s="148">
        <v>51201.63</v>
      </c>
      <c r="AC1037" s="148">
        <v>2150468.25</v>
      </c>
      <c r="AD1037" s="315">
        <f t="shared" si="665"/>
        <v>2148317.7817500001</v>
      </c>
      <c r="AE1037" s="147">
        <v>38.9</v>
      </c>
      <c r="AF1037" s="147">
        <v>42</v>
      </c>
      <c r="AG1037" s="147">
        <v>38.85</v>
      </c>
      <c r="AH1037" s="292">
        <v>7.4000000000000003E-3</v>
      </c>
      <c r="AI1037" s="287">
        <v>3.5999999999999997E-2</v>
      </c>
      <c r="AJ1037" s="287">
        <v>4.2000000000000003E-2</v>
      </c>
      <c r="AK1037" s="318">
        <f t="shared" ref="AK1037:AK1049" si="705">+IF(AF1037=42,IF(MIN(AE1037,AG1037)&lt;AF1037,Y1037*((AF1037-MIN(AE1037,AG1037))/AF1037)),IF(MIN(AE1037,AG1037)&lt;AF1037,Y1037*((AF1037-MIN(AE1037,AG1037))/AF1037),0))</f>
        <v>145892.24999999994</v>
      </c>
      <c r="AL1037" s="193">
        <f>25*10+227*15</f>
        <v>3655</v>
      </c>
      <c r="AM1037" s="319">
        <f t="shared" ref="AM1037:AM1044" si="706">Y1037*AH1037</f>
        <v>14394.702000000001</v>
      </c>
      <c r="AN1037" s="319">
        <f>X1037*15</f>
        <v>3717</v>
      </c>
      <c r="AO1037" s="320">
        <f t="shared" ref="AO1037:AO1049" si="707">AT1037*Y1037/AW1037</f>
        <v>0</v>
      </c>
      <c r="AP1037" s="193">
        <v>0</v>
      </c>
      <c r="AQ1037" s="318">
        <v>0</v>
      </c>
      <c r="AR1037" s="318">
        <f t="shared" ref="AR1037:AR1049" si="708">SUM(AK1037:AQ1037)</f>
        <v>167658.95199999993</v>
      </c>
      <c r="AS1037" s="318">
        <f t="shared" ref="AS1037:AS1049" si="709">ROUND(AR1037*1.05,0)</f>
        <v>176042</v>
      </c>
      <c r="AT1037" s="321">
        <v>0</v>
      </c>
      <c r="AU1037" s="206" t="s">
        <v>2244</v>
      </c>
      <c r="AV1037" s="136"/>
      <c r="AW1037" s="318">
        <f t="shared" si="692"/>
        <v>26089.999999999996</v>
      </c>
      <c r="AX1037" s="193"/>
      <c r="AY1037" s="318">
        <f t="shared" si="693"/>
        <v>26089.999999999996</v>
      </c>
      <c r="AZ1037" s="318">
        <f t="shared" si="694"/>
        <v>24780</v>
      </c>
      <c r="BA1037" s="318">
        <f t="shared" si="695"/>
        <v>1309.9999999999964</v>
      </c>
      <c r="BB1037" s="318">
        <f t="shared" si="696"/>
        <v>52.179999999999993</v>
      </c>
      <c r="BC1037" s="318">
        <v>0</v>
      </c>
      <c r="BD1037" s="136"/>
      <c r="BE1037" s="138">
        <v>260.89999999999998</v>
      </c>
      <c r="BF1037" s="321">
        <f t="shared" si="697"/>
        <v>0.39134999999999998</v>
      </c>
      <c r="BG1037" s="197">
        <f t="shared" si="698"/>
        <v>260.50864999999999</v>
      </c>
      <c r="BH1037" s="321">
        <f t="shared" si="699"/>
        <v>247.8</v>
      </c>
      <c r="BI1037" s="322">
        <f t="shared" si="700"/>
        <v>1309.9999999999966</v>
      </c>
      <c r="BJ1037" s="322">
        <v>0</v>
      </c>
      <c r="BK1037" s="318">
        <f t="shared" si="701"/>
        <v>1309.9999999999966</v>
      </c>
      <c r="BL1037" s="67"/>
      <c r="BM1037" s="68" t="str">
        <f t="shared" si="702"/>
        <v>Unloading no. 1005 Bill No 58 ,Deduction For Oil Deduction= 145892.25 ,Bardana= 3655 ,F.M= 14394.702 Brokerage/Rate Difference 3717 ,Shortage = 0 ,Greenish= 0 ,Moisture= 0</v>
      </c>
      <c r="BN1037" s="69"/>
      <c r="BO1037" s="70" t="str">
        <f t="shared" si="703"/>
        <v xml:space="preserve"> Party Condition 42  ,F.M% 0.74 ,Greenish 3.6 ,Moisture 4.2 ,Shortage in KG= 0  ,Oil% 38.85</v>
      </c>
      <c r="BP1037" s="71">
        <f t="shared" si="704"/>
        <v>7173.410201775625</v>
      </c>
      <c r="BQ1037" s="55"/>
      <c r="BR1037" s="55"/>
      <c r="BS1037" s="41"/>
      <c r="BT1037" s="41"/>
      <c r="BU1037" s="41"/>
      <c r="BV1037" s="41"/>
      <c r="BW1037" s="85"/>
      <c r="BX1037" s="27">
        <v>38.9</v>
      </c>
      <c r="BY1037" s="27">
        <v>38.85</v>
      </c>
    </row>
    <row r="1038" spans="1:81" ht="14.1" hidden="1" customHeight="1" x14ac:dyDescent="0.3">
      <c r="A1038" s="128" t="s">
        <v>2213</v>
      </c>
      <c r="B1038" s="146">
        <v>46202</v>
      </c>
      <c r="C1038" s="138">
        <v>1006</v>
      </c>
      <c r="D1038" s="138" t="s">
        <v>2222</v>
      </c>
      <c r="E1038" s="129">
        <v>46203</v>
      </c>
      <c r="F1038" s="128" t="s">
        <v>2192</v>
      </c>
      <c r="G1038" s="128" t="s">
        <v>2193</v>
      </c>
      <c r="H1038" s="128" t="s">
        <v>2194</v>
      </c>
      <c r="I1038" s="136"/>
      <c r="J1038" s="138" t="s">
        <v>1455</v>
      </c>
      <c r="K1038" s="136"/>
      <c r="L1038" s="146">
        <v>46202</v>
      </c>
      <c r="M1038" s="136"/>
      <c r="N1038" s="424">
        <v>739</v>
      </c>
      <c r="O1038" s="130">
        <v>46203</v>
      </c>
      <c r="P1038" s="138">
        <v>0</v>
      </c>
      <c r="Q1038" s="138">
        <v>200</v>
      </c>
      <c r="R1038" s="138">
        <v>20</v>
      </c>
      <c r="S1038" s="138">
        <v>220</v>
      </c>
      <c r="T1038" s="138">
        <v>220</v>
      </c>
      <c r="U1038" s="136"/>
      <c r="V1038" s="136"/>
      <c r="W1038" s="148">
        <v>111</v>
      </c>
      <c r="X1038" s="148">
        <v>110.8</v>
      </c>
      <c r="Y1038" s="148">
        <v>878121</v>
      </c>
      <c r="Z1038" s="422"/>
      <c r="AA1038" s="148">
        <v>21953.03</v>
      </c>
      <c r="AB1038" s="148">
        <v>21953.03</v>
      </c>
      <c r="AC1038" s="148">
        <v>922027.05</v>
      </c>
      <c r="AD1038" s="315">
        <f t="shared" si="665"/>
        <v>921105.02295000001</v>
      </c>
      <c r="AE1038" s="147">
        <v>39.49</v>
      </c>
      <c r="AF1038" s="147">
        <v>42</v>
      </c>
      <c r="AG1038" s="147">
        <v>39.53</v>
      </c>
      <c r="AH1038" s="287">
        <v>3.3E-3</v>
      </c>
      <c r="AI1038" s="287">
        <v>3.5400000000000001E-2</v>
      </c>
      <c r="AJ1038" s="287">
        <v>4.4999999999999998E-2</v>
      </c>
      <c r="AK1038" s="318">
        <f t="shared" si="705"/>
        <v>52478.183571428533</v>
      </c>
      <c r="AL1038" s="193">
        <f>200*10+20*15</f>
        <v>2300</v>
      </c>
      <c r="AM1038" s="319">
        <f t="shared" si="706"/>
        <v>2897.7993000000001</v>
      </c>
      <c r="AN1038" s="319"/>
      <c r="AO1038" s="320">
        <f t="shared" si="707"/>
        <v>1582.2</v>
      </c>
      <c r="AP1038" s="193">
        <v>0</v>
      </c>
      <c r="AQ1038" s="318">
        <v>0</v>
      </c>
      <c r="AR1038" s="318">
        <f t="shared" si="708"/>
        <v>59258.182871428529</v>
      </c>
      <c r="AS1038" s="318">
        <f t="shared" si="709"/>
        <v>62221</v>
      </c>
      <c r="AT1038" s="321">
        <v>20</v>
      </c>
      <c r="AU1038" s="157"/>
      <c r="AV1038" s="136"/>
      <c r="AW1038" s="318">
        <f t="shared" si="692"/>
        <v>11100</v>
      </c>
      <c r="AX1038" s="193"/>
      <c r="AY1038" s="318">
        <f t="shared" si="693"/>
        <v>11100</v>
      </c>
      <c r="AZ1038" s="318">
        <f t="shared" si="694"/>
        <v>11080</v>
      </c>
      <c r="BA1038" s="318">
        <f t="shared" si="695"/>
        <v>20</v>
      </c>
      <c r="BB1038" s="318">
        <f t="shared" si="696"/>
        <v>22.2</v>
      </c>
      <c r="BC1038" s="318">
        <v>0</v>
      </c>
      <c r="BD1038" s="136"/>
      <c r="BE1038" s="138">
        <v>111</v>
      </c>
      <c r="BF1038" s="321">
        <f t="shared" si="697"/>
        <v>0.16649999999999998</v>
      </c>
      <c r="BG1038" s="197">
        <f t="shared" si="698"/>
        <v>110.8335</v>
      </c>
      <c r="BH1038" s="321">
        <f t="shared" si="699"/>
        <v>110.8</v>
      </c>
      <c r="BI1038" s="322">
        <f t="shared" si="700"/>
        <v>20.000000000000284</v>
      </c>
      <c r="BJ1038" s="322">
        <v>0</v>
      </c>
      <c r="BK1038" s="318">
        <f t="shared" si="701"/>
        <v>20.000000000000284</v>
      </c>
      <c r="BL1038" s="67"/>
      <c r="BM1038" s="68" t="str">
        <f t="shared" si="702"/>
        <v>Unloading no. 1006 Bill No 739 ,Deduction For Oil Deduction= 52478.1835714285 ,Bardana= 2300 ,F.M= 2897.7993 Brokerage/Rate Difference  ,Shortage = 1582.2 ,Greenish= 0 ,Moisture= 0</v>
      </c>
      <c r="BN1038" s="69"/>
      <c r="BO1038" s="70" t="str">
        <f t="shared" si="703"/>
        <v xml:space="preserve"> Party Condition 42  ,F.M% 0.33 ,Greenish 3.54 ,Moisture 4.5 ,Shortage in KG= 20  ,Oil% 39.49</v>
      </c>
      <c r="BP1038" s="71">
        <f t="shared" si="704"/>
        <v>7390.4586383445076</v>
      </c>
      <c r="BQ1038" s="55"/>
      <c r="BR1038" s="55"/>
      <c r="BS1038" s="41"/>
      <c r="BT1038" s="41"/>
      <c r="BU1038" s="41"/>
      <c r="BV1038" s="41"/>
      <c r="BW1038" s="85"/>
      <c r="BX1038" s="27">
        <v>39.49</v>
      </c>
      <c r="BY1038" s="27">
        <v>39.53</v>
      </c>
      <c r="CA1038" s="56">
        <v>59383.86</v>
      </c>
      <c r="CC1038" s="83">
        <f>AS1038-CA1038</f>
        <v>2837.1399999999994</v>
      </c>
    </row>
    <row r="1039" spans="1:81" ht="14.1" hidden="1" customHeight="1" x14ac:dyDescent="0.3">
      <c r="A1039" s="128" t="s">
        <v>2214</v>
      </c>
      <c r="B1039" s="146">
        <v>46202</v>
      </c>
      <c r="C1039" s="138">
        <v>1007</v>
      </c>
      <c r="D1039" s="138" t="s">
        <v>2223</v>
      </c>
      <c r="E1039" s="129">
        <v>46203</v>
      </c>
      <c r="F1039" s="128" t="s">
        <v>1450</v>
      </c>
      <c r="G1039" s="128" t="s">
        <v>1451</v>
      </c>
      <c r="H1039" s="128" t="s">
        <v>199</v>
      </c>
      <c r="I1039" s="136"/>
      <c r="J1039" s="138" t="s">
        <v>1455</v>
      </c>
      <c r="K1039" s="136"/>
      <c r="L1039" s="146">
        <v>46202</v>
      </c>
      <c r="M1039" s="136"/>
      <c r="N1039" s="424" t="s">
        <v>2234</v>
      </c>
      <c r="O1039" s="130">
        <v>46203</v>
      </c>
      <c r="P1039" s="138">
        <v>0</v>
      </c>
      <c r="Q1039" s="138">
        <v>230</v>
      </c>
      <c r="R1039" s="138">
        <v>20</v>
      </c>
      <c r="S1039" s="138">
        <v>250</v>
      </c>
      <c r="T1039" s="138">
        <v>250</v>
      </c>
      <c r="U1039" s="136"/>
      <c r="V1039" s="136"/>
      <c r="W1039" s="148">
        <v>151.05000000000001</v>
      </c>
      <c r="X1039" s="148">
        <v>150.69999999999999</v>
      </c>
      <c r="Y1039" s="148">
        <v>1193295</v>
      </c>
      <c r="Z1039" s="422"/>
      <c r="AA1039" s="148">
        <v>29832.38</v>
      </c>
      <c r="AB1039" s="148">
        <v>29832.38</v>
      </c>
      <c r="AC1039" s="148">
        <v>1252959.75</v>
      </c>
      <c r="AD1039" s="315">
        <f t="shared" si="665"/>
        <v>1251706.7902500001</v>
      </c>
      <c r="AE1039" s="147">
        <v>39.409999999999997</v>
      </c>
      <c r="AF1039" s="147">
        <v>42</v>
      </c>
      <c r="AG1039" s="147">
        <v>39.409999999999997</v>
      </c>
      <c r="AH1039" s="287">
        <v>3.0000000000000001E-3</v>
      </c>
      <c r="AI1039" s="287">
        <v>3.9E-2</v>
      </c>
      <c r="AJ1039" s="287">
        <v>4.4999999999999998E-2</v>
      </c>
      <c r="AK1039" s="318">
        <f>+IF(AF1039=42,IF(MIN(AE1039,AG1039)&lt;AF1039,Y1039*((AF1039-MIN(AE1039,AG1039))/AF1039)),IF(MIN(AE1039,AG1039)&lt;AF1039,Y1039*((AF1039-MIN(AE1039,AG1039))/AF1039),0))-30</f>
        <v>73556.525000000096</v>
      </c>
      <c r="AL1039" s="193">
        <f>230*10+20*15</f>
        <v>2600</v>
      </c>
      <c r="AM1039" s="319">
        <f t="shared" si="706"/>
        <v>3579.8850000000002</v>
      </c>
      <c r="AN1039" s="319"/>
      <c r="AO1039" s="320">
        <f t="shared" si="707"/>
        <v>2764.9999999999995</v>
      </c>
      <c r="AP1039" s="193">
        <v>0</v>
      </c>
      <c r="AQ1039" s="318">
        <v>0</v>
      </c>
      <c r="AR1039" s="318">
        <f t="shared" si="708"/>
        <v>82501.410000000091</v>
      </c>
      <c r="AS1039" s="318">
        <f t="shared" si="709"/>
        <v>86626</v>
      </c>
      <c r="AT1039" s="321">
        <v>35</v>
      </c>
      <c r="AU1039" s="157"/>
      <c r="AV1039" s="136"/>
      <c r="AW1039" s="318">
        <f t="shared" si="692"/>
        <v>15105.000000000002</v>
      </c>
      <c r="AX1039" s="193"/>
      <c r="AY1039" s="318">
        <f t="shared" si="693"/>
        <v>15105.000000000002</v>
      </c>
      <c r="AZ1039" s="318">
        <f t="shared" si="694"/>
        <v>15069.999999999998</v>
      </c>
      <c r="BA1039" s="318">
        <f t="shared" si="695"/>
        <v>35.000000000003638</v>
      </c>
      <c r="BB1039" s="318">
        <f t="shared" si="696"/>
        <v>30.210000000000004</v>
      </c>
      <c r="BC1039" s="318">
        <v>0</v>
      </c>
      <c r="BD1039" s="136"/>
      <c r="BE1039" s="138">
        <v>151.05000000000001</v>
      </c>
      <c r="BF1039" s="321">
        <f t="shared" si="697"/>
        <v>0.22657500000000003</v>
      </c>
      <c r="BG1039" s="197">
        <f t="shared" si="698"/>
        <v>150.82342500000001</v>
      </c>
      <c r="BH1039" s="321">
        <f t="shared" si="699"/>
        <v>150.69999999999999</v>
      </c>
      <c r="BI1039" s="322">
        <f t="shared" si="700"/>
        <v>35.000000000002274</v>
      </c>
      <c r="BJ1039" s="322">
        <v>0</v>
      </c>
      <c r="BK1039" s="318">
        <f t="shared" si="701"/>
        <v>35.000000000002274</v>
      </c>
      <c r="BL1039" s="67"/>
      <c r="BM1039" s="68" t="str">
        <f t="shared" si="702"/>
        <v>Unloading no. 1007 Bill No ST-51 ,Deduction For Oil Deduction= 73556.5250000001 ,Bardana= 2600 ,F.M= 3579.885 Brokerage/Rate Difference  ,Shortage = 2765 ,Greenish= 0 ,Moisture= 0</v>
      </c>
      <c r="BN1039" s="69"/>
      <c r="BO1039" s="70" t="str">
        <f t="shared" si="703"/>
        <v xml:space="preserve"> Party Condition 42  ,F.M% 0.3 ,Greenish 3.9 ,Moisture 4.5 ,Shortage in KG= 35  ,Oil% 39.41</v>
      </c>
      <c r="BP1039" s="71">
        <f t="shared" si="704"/>
        <v>7370.8930988719303</v>
      </c>
      <c r="BQ1039" s="55"/>
      <c r="BR1039" s="55"/>
      <c r="BS1039" s="41"/>
      <c r="BT1039" s="41"/>
      <c r="BU1039" s="41"/>
      <c r="BV1039" s="41"/>
      <c r="BW1039" s="85"/>
      <c r="BX1039" s="27">
        <v>39.409999999999997</v>
      </c>
      <c r="BY1039" s="27">
        <v>39.409999999999997</v>
      </c>
      <c r="CA1039" s="56">
        <v>82721.460000000006</v>
      </c>
      <c r="CC1039" s="83">
        <f>AS1039-CA1039</f>
        <v>3904.5399999999936</v>
      </c>
    </row>
    <row r="1040" spans="1:81" ht="14.1" hidden="1" customHeight="1" x14ac:dyDescent="0.3">
      <c r="A1040" s="128" t="s">
        <v>2214</v>
      </c>
      <c r="B1040" s="146">
        <v>46202</v>
      </c>
      <c r="C1040" s="138">
        <v>1008</v>
      </c>
      <c r="D1040" s="138" t="s">
        <v>2224</v>
      </c>
      <c r="E1040" s="129">
        <v>46203</v>
      </c>
      <c r="F1040" s="128" t="s">
        <v>1450</v>
      </c>
      <c r="G1040" s="128" t="s">
        <v>1451</v>
      </c>
      <c r="H1040" s="128" t="s">
        <v>199</v>
      </c>
      <c r="I1040" s="136"/>
      <c r="J1040" s="138" t="s">
        <v>1455</v>
      </c>
      <c r="K1040" s="136"/>
      <c r="L1040" s="146">
        <v>46202</v>
      </c>
      <c r="M1040" s="136"/>
      <c r="N1040" s="424" t="s">
        <v>2235</v>
      </c>
      <c r="O1040" s="130">
        <v>46203</v>
      </c>
      <c r="P1040" s="138">
        <v>0</v>
      </c>
      <c r="Q1040" s="138">
        <v>210</v>
      </c>
      <c r="R1040" s="138">
        <v>50</v>
      </c>
      <c r="S1040" s="138">
        <v>260</v>
      </c>
      <c r="T1040" s="138">
        <v>260</v>
      </c>
      <c r="U1040" s="136"/>
      <c r="V1040" s="136"/>
      <c r="W1040" s="148">
        <v>158.9</v>
      </c>
      <c r="X1040" s="148">
        <v>158.80000000000001</v>
      </c>
      <c r="Y1040" s="148">
        <v>1255310</v>
      </c>
      <c r="Z1040" s="422"/>
      <c r="AA1040" s="148">
        <v>31382.75</v>
      </c>
      <c r="AB1040" s="148">
        <v>31382.75</v>
      </c>
      <c r="AC1040" s="148">
        <v>1318075.5</v>
      </c>
      <c r="AD1040" s="315">
        <f t="shared" si="665"/>
        <v>1316757.4245</v>
      </c>
      <c r="AE1040" s="147">
        <v>39.950000000000003</v>
      </c>
      <c r="AF1040" s="147">
        <v>42</v>
      </c>
      <c r="AG1040" s="147">
        <v>39.89</v>
      </c>
      <c r="AH1040" s="292">
        <v>2.5000000000000001E-3</v>
      </c>
      <c r="AI1040" s="287">
        <v>0.03</v>
      </c>
      <c r="AJ1040" s="287">
        <v>4.2000000000000003E-2</v>
      </c>
      <c r="AK1040" s="318">
        <f>+IF(AF1040=42,IF(MIN(AE1040,AG1040)&lt;AF1040,Y1040*((AF1040-MIN(AE1040,AG1040))/AF1040)),IF(MIN(AE1040,AG1040)&lt;AF1040,Y1040*((AF1040-MIN(AE1040,AG1040))/AF1040),0))-24.84</f>
        <v>63039.54333333332</v>
      </c>
      <c r="AL1040" s="193">
        <f>210*10+50*15</f>
        <v>2850</v>
      </c>
      <c r="AM1040" s="319">
        <f t="shared" si="706"/>
        <v>3138.2750000000001</v>
      </c>
      <c r="AN1040" s="319"/>
      <c r="AO1040" s="320">
        <f t="shared" si="707"/>
        <v>790</v>
      </c>
      <c r="AP1040" s="193">
        <v>0</v>
      </c>
      <c r="AQ1040" s="318">
        <v>0</v>
      </c>
      <c r="AR1040" s="318">
        <f t="shared" si="708"/>
        <v>69817.818333333315</v>
      </c>
      <c r="AS1040" s="318">
        <f t="shared" si="709"/>
        <v>73309</v>
      </c>
      <c r="AT1040" s="321">
        <v>10</v>
      </c>
      <c r="AU1040" s="157"/>
      <c r="AV1040" s="136"/>
      <c r="AW1040" s="318">
        <f t="shared" si="692"/>
        <v>15890</v>
      </c>
      <c r="AX1040" s="193"/>
      <c r="AY1040" s="318">
        <f t="shared" si="693"/>
        <v>15890</v>
      </c>
      <c r="AZ1040" s="318">
        <f t="shared" si="694"/>
        <v>15880.000000000002</v>
      </c>
      <c r="BA1040" s="318">
        <f t="shared" si="695"/>
        <v>9.999999999998181</v>
      </c>
      <c r="BB1040" s="318">
        <f t="shared" si="696"/>
        <v>31.78</v>
      </c>
      <c r="BC1040" s="318">
        <v>0</v>
      </c>
      <c r="BD1040" s="136"/>
      <c r="BE1040" s="138">
        <v>158.9</v>
      </c>
      <c r="BF1040" s="321">
        <f t="shared" si="697"/>
        <v>0.23835000000000001</v>
      </c>
      <c r="BG1040" s="197">
        <f t="shared" si="698"/>
        <v>158.66165000000001</v>
      </c>
      <c r="BH1040" s="321">
        <f t="shared" si="699"/>
        <v>158.80000000000001</v>
      </c>
      <c r="BI1040" s="322">
        <f t="shared" si="700"/>
        <v>9.9999999999994316</v>
      </c>
      <c r="BJ1040" s="322">
        <v>0</v>
      </c>
      <c r="BK1040" s="318">
        <f t="shared" si="701"/>
        <v>9.9999999999994316</v>
      </c>
      <c r="BL1040" s="67"/>
      <c r="BM1040" s="68" t="str">
        <f t="shared" si="702"/>
        <v>Unloading no. 1008 Bill No ST-52 ,Deduction For Oil Deduction= 63039.5433333333 ,Bardana= 2850 ,F.M= 3138.275 Brokerage/Rate Difference  ,Shortage = 790 ,Greenish= 0 ,Moisture= 0</v>
      </c>
      <c r="BN1040" s="69"/>
      <c r="BO1040" s="70" t="str">
        <f t="shared" si="703"/>
        <v xml:space="preserve"> Party Condition 42  ,F.M% 0.25 ,Greenish 3 ,Moisture 4.2 ,Shortage in KG= 10  ,Oil% 39.89</v>
      </c>
      <c r="BP1040" s="71">
        <f t="shared" si="704"/>
        <v>7465.3160054575983</v>
      </c>
      <c r="BQ1040" s="55"/>
      <c r="BR1040" s="55"/>
      <c r="BS1040" s="41"/>
      <c r="BT1040" s="41"/>
      <c r="BU1040" s="41"/>
      <c r="BV1040" s="41"/>
      <c r="BW1040" s="85"/>
      <c r="BX1040" s="27">
        <v>39.950000000000003</v>
      </c>
      <c r="BY1040" s="27">
        <v>39.89</v>
      </c>
      <c r="CA1040" s="56">
        <v>72478.820000000007</v>
      </c>
      <c r="CC1040" s="83">
        <f>AS1040-CA1040</f>
        <v>830.17999999999302</v>
      </c>
    </row>
    <row r="1041" spans="1:83" ht="14.1" hidden="1" customHeight="1" x14ac:dyDescent="0.3">
      <c r="A1041" s="128" t="s">
        <v>2215</v>
      </c>
      <c r="B1041" s="146">
        <v>46202</v>
      </c>
      <c r="C1041" s="138">
        <v>1009</v>
      </c>
      <c r="D1041" s="138" t="s">
        <v>2225</v>
      </c>
      <c r="E1041" s="129">
        <v>46204</v>
      </c>
      <c r="F1041" s="128" t="s">
        <v>1689</v>
      </c>
      <c r="G1041" s="128" t="s">
        <v>1690</v>
      </c>
      <c r="H1041" s="128" t="s">
        <v>1511</v>
      </c>
      <c r="I1041" s="136"/>
      <c r="J1041" s="347" t="s">
        <v>1455</v>
      </c>
      <c r="K1041" s="136"/>
      <c r="L1041" s="146">
        <v>46202</v>
      </c>
      <c r="M1041" s="136"/>
      <c r="N1041" s="424" t="s">
        <v>2236</v>
      </c>
      <c r="O1041" s="130">
        <v>46203</v>
      </c>
      <c r="P1041" s="138">
        <v>0</v>
      </c>
      <c r="Q1041" s="138">
        <v>360</v>
      </c>
      <c r="R1041" s="138">
        <v>53</v>
      </c>
      <c r="S1041" s="138">
        <v>413</v>
      </c>
      <c r="T1041" s="138">
        <v>413</v>
      </c>
      <c r="U1041" s="136"/>
      <c r="V1041" s="136"/>
      <c r="W1041" s="148">
        <v>251.7</v>
      </c>
      <c r="X1041" s="148">
        <v>251.3</v>
      </c>
      <c r="Y1041" s="148">
        <v>1991198.7</v>
      </c>
      <c r="Z1041" s="422"/>
      <c r="AA1041" s="148">
        <v>49779.97</v>
      </c>
      <c r="AB1041" s="148">
        <v>49779.97</v>
      </c>
      <c r="AC1041" s="148">
        <v>2090758.64</v>
      </c>
      <c r="AD1041" s="315">
        <f t="shared" si="665"/>
        <v>2088667.88136</v>
      </c>
      <c r="AE1041" s="147">
        <v>40.21</v>
      </c>
      <c r="AF1041" s="147">
        <v>42</v>
      </c>
      <c r="AG1041" s="147">
        <v>40.049999999999997</v>
      </c>
      <c r="AH1041" s="287">
        <v>3.5999999999999999E-3</v>
      </c>
      <c r="AI1041" s="287">
        <v>3.3000000000000002E-2</v>
      </c>
      <c r="AJ1041" s="425">
        <v>5.16E-2</v>
      </c>
      <c r="AK1041" s="318">
        <f>+IF(AF1041=42,IF(MIN(AE1041,AG1041)&lt;AF1041,Y1041*((AF1041-MIN(AE1041,AG1041))/AF1041)),IF(MIN(AE1041,AG1041)&lt;AF1041,Y1041*((AF1041-MIN(AE1041,AG1041))/AF1041),0))-37.47</f>
        <v>92411.041071428714</v>
      </c>
      <c r="AL1041" s="193">
        <f>360*10+53*15</f>
        <v>4395</v>
      </c>
      <c r="AM1041" s="319">
        <f t="shared" si="706"/>
        <v>7168.3153199999997</v>
      </c>
      <c r="AN1041" s="319"/>
      <c r="AO1041" s="320">
        <f t="shared" si="707"/>
        <v>3164.4</v>
      </c>
      <c r="AP1041" s="193">
        <v>0</v>
      </c>
      <c r="AQ1041" s="318">
        <f>Y1041*0.16/100</f>
        <v>3185.9179200000003</v>
      </c>
      <c r="AR1041" s="318">
        <f t="shared" si="708"/>
        <v>110324.67431142871</v>
      </c>
      <c r="AS1041" s="318">
        <f t="shared" si="709"/>
        <v>115841</v>
      </c>
      <c r="AT1041" s="321">
        <v>40</v>
      </c>
      <c r="AU1041" s="157"/>
      <c r="AV1041" s="136"/>
      <c r="AW1041" s="318">
        <f t="shared" si="692"/>
        <v>25170</v>
      </c>
      <c r="AX1041" s="193"/>
      <c r="AY1041" s="318">
        <f t="shared" si="693"/>
        <v>25170</v>
      </c>
      <c r="AZ1041" s="318">
        <f t="shared" si="694"/>
        <v>25130</v>
      </c>
      <c r="BA1041" s="318">
        <f t="shared" si="695"/>
        <v>40</v>
      </c>
      <c r="BB1041" s="318">
        <f t="shared" si="696"/>
        <v>50.34</v>
      </c>
      <c r="BC1041" s="318">
        <v>0</v>
      </c>
      <c r="BD1041" s="136"/>
      <c r="BE1041" s="138">
        <v>251.7</v>
      </c>
      <c r="BF1041" s="321">
        <f t="shared" si="697"/>
        <v>0.37754999999999994</v>
      </c>
      <c r="BG1041" s="197">
        <f t="shared" si="698"/>
        <v>251.32244999999998</v>
      </c>
      <c r="BH1041" s="321">
        <f t="shared" si="699"/>
        <v>251.3</v>
      </c>
      <c r="BI1041" s="322">
        <f t="shared" si="700"/>
        <v>39.999999999997726</v>
      </c>
      <c r="BJ1041" s="322">
        <v>0</v>
      </c>
      <c r="BK1041" s="318">
        <f t="shared" si="701"/>
        <v>39.999999999997726</v>
      </c>
      <c r="BL1041" s="67"/>
      <c r="BM1041" s="68" t="str">
        <f t="shared" si="702"/>
        <v>Unloading no. 1009 Bill No GST37 ,Deduction For Oil Deduction= 92411.0410714287 ,Bardana= 4395 ,F.M= 7168.31532 Brokerage/Rate Difference  ,Shortage = 3164.4 ,Greenish= 0 ,Moisture= 3185.91792</v>
      </c>
      <c r="BN1041" s="69"/>
      <c r="BO1041" s="70" t="str">
        <f t="shared" si="703"/>
        <v xml:space="preserve"> Party Condition 42  ,F.M% 0.36 ,Greenish 3.3 ,Moisture 5.16 ,Shortage in KG= 40  ,Oil% 40.05</v>
      </c>
      <c r="BP1041" s="71">
        <f t="shared" si="704"/>
        <v>7484.5763059632754</v>
      </c>
      <c r="BQ1041" s="55"/>
      <c r="BR1041" s="55"/>
      <c r="BS1041" s="41"/>
      <c r="BT1041" s="41"/>
      <c r="BU1041" s="41"/>
      <c r="BV1041" s="41"/>
      <c r="BW1041" s="85"/>
      <c r="BX1041" s="27">
        <v>40.21</v>
      </c>
      <c r="BY1041" s="27">
        <v>40.049999999999997</v>
      </c>
      <c r="CA1041" s="56">
        <v>111682.53</v>
      </c>
      <c r="CC1041" s="84">
        <f>AS1041-CA1041</f>
        <v>4158.4700000000012</v>
      </c>
    </row>
    <row r="1042" spans="1:83" ht="14.1" hidden="1" customHeight="1" x14ac:dyDescent="0.3">
      <c r="A1042" s="128" t="s">
        <v>2216</v>
      </c>
      <c r="B1042" s="146">
        <v>46203</v>
      </c>
      <c r="C1042" s="138">
        <v>1010</v>
      </c>
      <c r="D1042" s="138" t="s">
        <v>2226</v>
      </c>
      <c r="E1042" s="129">
        <v>46204</v>
      </c>
      <c r="F1042" s="128" t="s">
        <v>1691</v>
      </c>
      <c r="G1042" s="128" t="s">
        <v>1692</v>
      </c>
      <c r="H1042" s="128" t="s">
        <v>1693</v>
      </c>
      <c r="I1042" s="136"/>
      <c r="J1042" s="347" t="s">
        <v>1455</v>
      </c>
      <c r="K1042" s="136"/>
      <c r="L1042" s="146">
        <v>46203</v>
      </c>
      <c r="M1042" s="136"/>
      <c r="N1042" s="424" t="s">
        <v>1313</v>
      </c>
      <c r="O1042" s="130">
        <v>46203</v>
      </c>
      <c r="P1042" s="138">
        <v>0</v>
      </c>
      <c r="Q1042" s="138">
        <v>239</v>
      </c>
      <c r="R1042" s="138">
        <v>20</v>
      </c>
      <c r="S1042" s="138">
        <v>259</v>
      </c>
      <c r="T1042" s="138">
        <v>259</v>
      </c>
      <c r="U1042" s="136"/>
      <c r="V1042" s="136"/>
      <c r="W1042" s="148">
        <v>157.30000000000001</v>
      </c>
      <c r="X1042" s="148">
        <v>157.19999999999999</v>
      </c>
      <c r="Y1042" s="148">
        <v>1242670</v>
      </c>
      <c r="Z1042" s="422"/>
      <c r="AA1042" s="148">
        <v>31066.75</v>
      </c>
      <c r="AB1042" s="148">
        <v>31066.75</v>
      </c>
      <c r="AC1042" s="148">
        <v>1304803.5</v>
      </c>
      <c r="AD1042" s="315">
        <f t="shared" si="665"/>
        <v>1303498.6965000001</v>
      </c>
      <c r="AE1042" s="147">
        <v>40.75</v>
      </c>
      <c r="AF1042" s="147">
        <v>42</v>
      </c>
      <c r="AG1042" s="147">
        <v>40.520000000000003</v>
      </c>
      <c r="AH1042" s="287">
        <v>3.7000000000000002E-3</v>
      </c>
      <c r="AI1042" s="287">
        <v>3.2000000000000001E-2</v>
      </c>
      <c r="AJ1042" s="425">
        <v>5.0799999999999998E-2</v>
      </c>
      <c r="AK1042" s="318">
        <f>+IF(AF1042=42,IF(MIN(AE1042,AG1042)&lt;AF1042,Y1042*((AF1042-MIN(AE1042,AG1042))/AF1042)),IF(MIN(AE1042,AG1042)&lt;AF1042,Y1042*((AF1042-MIN(AE1042,AG1042))/AF1042),0))-17.19</f>
        <v>43772.133809523715</v>
      </c>
      <c r="AL1042" s="193">
        <f>239*10+20*15</f>
        <v>2690</v>
      </c>
      <c r="AM1042" s="319">
        <f t="shared" si="706"/>
        <v>4597.8789999999999</v>
      </c>
      <c r="AN1042" s="319"/>
      <c r="AO1042" s="320">
        <f t="shared" si="707"/>
        <v>789.99999999999989</v>
      </c>
      <c r="AP1042" s="193">
        <v>0</v>
      </c>
      <c r="AQ1042" s="318">
        <f>Y1042*0.08/100</f>
        <v>994.13600000000008</v>
      </c>
      <c r="AR1042" s="318">
        <f t="shared" si="708"/>
        <v>52844.148809523715</v>
      </c>
      <c r="AS1042" s="318">
        <f t="shared" si="709"/>
        <v>55486</v>
      </c>
      <c r="AT1042" s="321">
        <v>10</v>
      </c>
      <c r="AU1042" s="157"/>
      <c r="AV1042" s="136"/>
      <c r="AW1042" s="318">
        <f t="shared" si="692"/>
        <v>15730.000000000002</v>
      </c>
      <c r="AX1042" s="193"/>
      <c r="AY1042" s="318">
        <f t="shared" si="693"/>
        <v>15730.000000000002</v>
      </c>
      <c r="AZ1042" s="318">
        <f t="shared" si="694"/>
        <v>15719.999999999998</v>
      </c>
      <c r="BA1042" s="318">
        <f t="shared" si="695"/>
        <v>10.000000000003638</v>
      </c>
      <c r="BB1042" s="318">
        <f t="shared" si="696"/>
        <v>31.460000000000004</v>
      </c>
      <c r="BC1042" s="318">
        <v>0</v>
      </c>
      <c r="BD1042" s="136"/>
      <c r="BE1042" s="138">
        <v>157.30000000000001</v>
      </c>
      <c r="BF1042" s="321">
        <f t="shared" si="697"/>
        <v>0.23595000000000002</v>
      </c>
      <c r="BG1042" s="197">
        <f t="shared" si="698"/>
        <v>157.06405000000001</v>
      </c>
      <c r="BH1042" s="321">
        <f t="shared" si="699"/>
        <v>157.19999999999999</v>
      </c>
      <c r="BI1042" s="322">
        <f t="shared" si="700"/>
        <v>10.000000000002274</v>
      </c>
      <c r="BJ1042" s="322">
        <v>0</v>
      </c>
      <c r="BK1042" s="318">
        <f t="shared" si="701"/>
        <v>10.000000000002274</v>
      </c>
      <c r="BL1042" s="67"/>
      <c r="BM1042" s="68" t="str">
        <f t="shared" si="702"/>
        <v>Unloading no. 1010 Bill No 2026-27/73 ,Deduction For Oil Deduction= 43772.1338095237 ,Bardana= 2690 ,F.M= 4597.879 Brokerage/Rate Difference  ,Shortage = 790 ,Greenish= 0 ,Moisture= 994.136</v>
      </c>
      <c r="BN1042" s="69"/>
      <c r="BO1042" s="70" t="str">
        <f t="shared" si="703"/>
        <v xml:space="preserve"> Party Condition 42  ,F.M% 0.37 ,Greenish 3.2 ,Moisture 5.08 ,Shortage in KG= 10  ,Oil% 40.52</v>
      </c>
      <c r="BP1042" s="71">
        <f t="shared" si="704"/>
        <v>7568.8667378529026</v>
      </c>
      <c r="BQ1042" s="55"/>
      <c r="BR1042" s="55"/>
      <c r="BS1042" s="41"/>
      <c r="BT1042" s="41"/>
      <c r="BU1042" s="41"/>
      <c r="BV1042" s="41"/>
      <c r="BW1042" s="85"/>
      <c r="BX1042" s="27">
        <v>40.75</v>
      </c>
      <c r="BY1042" s="27">
        <v>40.520000000000003</v>
      </c>
      <c r="CA1042" s="56">
        <v>54656.53</v>
      </c>
      <c r="CC1042" s="84">
        <f>AS1042-CA1042</f>
        <v>829.47000000000116</v>
      </c>
    </row>
    <row r="1043" spans="1:83" ht="14.1" hidden="1" customHeight="1" x14ac:dyDescent="0.3">
      <c r="A1043" s="128" t="s">
        <v>2217</v>
      </c>
      <c r="B1043" s="146">
        <v>46203</v>
      </c>
      <c r="C1043" s="138">
        <v>1011</v>
      </c>
      <c r="D1043" s="138" t="s">
        <v>2227</v>
      </c>
      <c r="E1043" s="129">
        <v>46204</v>
      </c>
      <c r="F1043" s="128" t="s">
        <v>95</v>
      </c>
      <c r="G1043" s="128" t="s">
        <v>96</v>
      </c>
      <c r="H1043" s="128" t="s">
        <v>97</v>
      </c>
      <c r="I1043" s="136"/>
      <c r="J1043" s="347" t="s">
        <v>1455</v>
      </c>
      <c r="K1043" s="136"/>
      <c r="L1043" s="146">
        <v>46203</v>
      </c>
      <c r="M1043" s="136"/>
      <c r="N1043" s="281">
        <v>220</v>
      </c>
      <c r="O1043" s="130">
        <v>46203</v>
      </c>
      <c r="P1043" s="138">
        <v>0</v>
      </c>
      <c r="Q1043" s="138">
        <v>300</v>
      </c>
      <c r="R1043" s="138">
        <v>100</v>
      </c>
      <c r="S1043" s="138">
        <v>400</v>
      </c>
      <c r="T1043" s="138">
        <v>400</v>
      </c>
      <c r="U1043" s="136"/>
      <c r="V1043" s="136"/>
      <c r="W1043" s="148">
        <v>241.5</v>
      </c>
      <c r="X1043" s="148">
        <v>241.4</v>
      </c>
      <c r="Y1043" s="296">
        <f>1909130-1280</f>
        <v>1907850</v>
      </c>
      <c r="Z1043" s="422"/>
      <c r="AA1043" s="148">
        <v>47728.25</v>
      </c>
      <c r="AB1043" s="148">
        <v>47728.25</v>
      </c>
      <c r="AC1043" s="148">
        <v>2004586.5</v>
      </c>
      <c r="AD1043" s="315">
        <f t="shared" si="665"/>
        <v>2002581.9135</v>
      </c>
      <c r="AE1043" s="147">
        <v>40.92</v>
      </c>
      <c r="AF1043" s="147">
        <v>42</v>
      </c>
      <c r="AG1043" s="147">
        <v>40.75</v>
      </c>
      <c r="AH1043" s="292">
        <v>3.0000000000000001E-3</v>
      </c>
      <c r="AI1043" s="287">
        <v>3.1E-2</v>
      </c>
      <c r="AJ1043" s="426">
        <v>5.7000000000000002E-2</v>
      </c>
      <c r="AK1043" s="318">
        <f t="shared" si="705"/>
        <v>56781.25</v>
      </c>
      <c r="AL1043" s="193">
        <f>300*10+100*15</f>
        <v>4500</v>
      </c>
      <c r="AM1043" s="319">
        <f t="shared" si="706"/>
        <v>5723.55</v>
      </c>
      <c r="AN1043" s="324">
        <v>1280</v>
      </c>
      <c r="AO1043" s="320">
        <f t="shared" si="707"/>
        <v>790</v>
      </c>
      <c r="AP1043" s="193">
        <v>0</v>
      </c>
      <c r="AQ1043" s="318">
        <f>Y1043*0.7/100</f>
        <v>13354.95</v>
      </c>
      <c r="AR1043" s="318">
        <f t="shared" si="708"/>
        <v>82429.75</v>
      </c>
      <c r="AS1043" s="318">
        <f t="shared" si="709"/>
        <v>86551</v>
      </c>
      <c r="AT1043" s="321">
        <v>10</v>
      </c>
      <c r="AU1043" s="157"/>
      <c r="AV1043" s="136"/>
      <c r="AW1043" s="318">
        <f t="shared" si="692"/>
        <v>24150</v>
      </c>
      <c r="AX1043" s="193"/>
      <c r="AY1043" s="318">
        <f t="shared" si="693"/>
        <v>24150</v>
      </c>
      <c r="AZ1043" s="318">
        <f t="shared" si="694"/>
        <v>24140</v>
      </c>
      <c r="BA1043" s="318">
        <f t="shared" si="695"/>
        <v>10</v>
      </c>
      <c r="BB1043" s="318">
        <f t="shared" si="696"/>
        <v>48.3</v>
      </c>
      <c r="BC1043" s="318">
        <v>0</v>
      </c>
      <c r="BD1043" s="136"/>
      <c r="BE1043" s="138">
        <v>241.5</v>
      </c>
      <c r="BF1043" s="321">
        <f t="shared" si="697"/>
        <v>0.36225000000000002</v>
      </c>
      <c r="BG1043" s="197">
        <f t="shared" si="698"/>
        <v>241.13775000000001</v>
      </c>
      <c r="BH1043" s="321">
        <f t="shared" si="699"/>
        <v>241.4</v>
      </c>
      <c r="BI1043" s="322">
        <f t="shared" si="700"/>
        <v>9.9999999999994316</v>
      </c>
      <c r="BJ1043" s="322">
        <v>0</v>
      </c>
      <c r="BK1043" s="318">
        <f t="shared" si="701"/>
        <v>9.9999999999994316</v>
      </c>
      <c r="BL1043" s="67"/>
      <c r="BM1043" s="68" t="str">
        <f t="shared" si="702"/>
        <v>Unloading no. 1011 Bill No 220 ,Deduction For Oil Deduction= 56781.25 ,Bardana= 4500 ,F.M= 5723.55 Brokerage/Rate Difference 1280 ,Shortage = 790 ,Greenish= 0 ,Moisture= 13354.95</v>
      </c>
      <c r="BN1043" s="69"/>
      <c r="BO1043" s="70" t="str">
        <f t="shared" si="703"/>
        <v xml:space="preserve"> Party Condition 42  ,F.M% 0.3 ,Greenish 3.1 ,Moisture 5.7 ,Shortage in KG= 10  ,Oil% 40.75</v>
      </c>
      <c r="BP1043" s="71">
        <f t="shared" si="704"/>
        <v>7561.8071665285834</v>
      </c>
      <c r="BQ1043" s="55"/>
      <c r="BR1043" s="55"/>
      <c r="BS1043" s="41"/>
      <c r="BT1043" s="41"/>
      <c r="BU1043" s="41"/>
      <c r="BV1043" s="41"/>
      <c r="BW1043" s="85"/>
      <c r="BX1043" s="27">
        <v>40.92</v>
      </c>
      <c r="BY1043" s="27">
        <v>40.75</v>
      </c>
    </row>
    <row r="1044" spans="1:83" ht="14.1" hidden="1" customHeight="1" x14ac:dyDescent="0.3">
      <c r="A1044" s="281" t="s">
        <v>2218</v>
      </c>
      <c r="B1044" s="146">
        <v>46203</v>
      </c>
      <c r="C1044" s="138">
        <v>1012</v>
      </c>
      <c r="D1044" s="138" t="s">
        <v>2228</v>
      </c>
      <c r="E1044" s="129">
        <v>46204</v>
      </c>
      <c r="F1044" s="128" t="s">
        <v>1142</v>
      </c>
      <c r="G1044" s="128" t="s">
        <v>1143</v>
      </c>
      <c r="H1044" s="128" t="s">
        <v>103</v>
      </c>
      <c r="I1044" s="136"/>
      <c r="J1044" s="347" t="s">
        <v>1455</v>
      </c>
      <c r="K1044" s="136"/>
      <c r="L1044" s="146">
        <v>46203</v>
      </c>
      <c r="M1044" s="136"/>
      <c r="N1044" s="424" t="s">
        <v>2237</v>
      </c>
      <c r="O1044" s="146">
        <v>46204</v>
      </c>
      <c r="P1044" s="138">
        <v>0</v>
      </c>
      <c r="Q1044" s="138">
        <v>489</v>
      </c>
      <c r="R1044" s="138">
        <v>100</v>
      </c>
      <c r="S1044" s="138">
        <v>589</v>
      </c>
      <c r="T1044" s="138">
        <v>589</v>
      </c>
      <c r="U1044" s="136"/>
      <c r="V1044" s="136"/>
      <c r="W1044" s="148">
        <v>298.89999999999998</v>
      </c>
      <c r="X1044" s="148">
        <v>298.8</v>
      </c>
      <c r="Y1044" s="148">
        <v>2361310</v>
      </c>
      <c r="Z1044" s="422"/>
      <c r="AA1044" s="148">
        <v>59032.75</v>
      </c>
      <c r="AB1044" s="148">
        <v>59032.75</v>
      </c>
      <c r="AC1044" s="148">
        <v>2479375.5</v>
      </c>
      <c r="AD1044" s="315">
        <f t="shared" si="665"/>
        <v>2476896.1244999999</v>
      </c>
      <c r="AE1044" s="147">
        <v>38.479999999999997</v>
      </c>
      <c r="AF1044" s="147">
        <v>42</v>
      </c>
      <c r="AG1044" s="147">
        <v>38.35</v>
      </c>
      <c r="AH1044" s="292">
        <v>9.2999999999999992E-3</v>
      </c>
      <c r="AI1044" s="287">
        <v>3.4599999999999999E-2</v>
      </c>
      <c r="AJ1044" s="287">
        <v>4.4999999999999998E-2</v>
      </c>
      <c r="AK1044" s="318">
        <f>+IF(AF1044=42,IF(MIN(AE1044,AG1044)&lt;AF1044,Y1044*((AF1044-MIN(AE1044,AG1044))/AF1044)),IF(MIN(AE1044,AG1044)&lt;AF1044,Y1044*((AF1044-MIN(AE1044,AG1044))/AF1044),0))-82</f>
        <v>205127.08333333326</v>
      </c>
      <c r="AL1044" s="193">
        <f>489*10+100*15</f>
        <v>6390</v>
      </c>
      <c r="AM1044" s="319">
        <f t="shared" si="706"/>
        <v>21960.182999999997</v>
      </c>
      <c r="AN1044" s="319"/>
      <c r="AO1044" s="320">
        <f t="shared" si="707"/>
        <v>790.00000000000011</v>
      </c>
      <c r="AP1044" s="193">
        <v>0</v>
      </c>
      <c r="AQ1044" s="318">
        <v>0</v>
      </c>
      <c r="AR1044" s="318">
        <f t="shared" si="708"/>
        <v>234267.26633333325</v>
      </c>
      <c r="AS1044" s="318">
        <f t="shared" si="709"/>
        <v>245981</v>
      </c>
      <c r="AT1044" s="321">
        <v>10</v>
      </c>
      <c r="AU1044" s="157"/>
      <c r="AV1044" s="136"/>
      <c r="AW1044" s="318">
        <f t="shared" si="692"/>
        <v>29889.999999999996</v>
      </c>
      <c r="AX1044" s="193"/>
      <c r="AY1044" s="318">
        <f t="shared" si="693"/>
        <v>29889.999999999996</v>
      </c>
      <c r="AZ1044" s="318">
        <f t="shared" si="694"/>
        <v>29880</v>
      </c>
      <c r="BA1044" s="318">
        <f t="shared" si="695"/>
        <v>9.999999999996362</v>
      </c>
      <c r="BB1044" s="318">
        <f t="shared" si="696"/>
        <v>59.779999999999994</v>
      </c>
      <c r="BC1044" s="318">
        <v>0</v>
      </c>
      <c r="BD1044" s="136"/>
      <c r="BE1044" s="138">
        <v>298.89999999999998</v>
      </c>
      <c r="BF1044" s="321">
        <f t="shared" si="697"/>
        <v>0.44834999999999992</v>
      </c>
      <c r="BG1044" s="197">
        <f t="shared" si="698"/>
        <v>298.45164999999997</v>
      </c>
      <c r="BH1044" s="321">
        <f t="shared" si="699"/>
        <v>298.8</v>
      </c>
      <c r="BI1044" s="322">
        <f t="shared" si="700"/>
        <v>9.9999999999965894</v>
      </c>
      <c r="BJ1044" s="322">
        <v>0</v>
      </c>
      <c r="BK1044" s="318">
        <f t="shared" si="701"/>
        <v>9.9999999999965894</v>
      </c>
      <c r="BL1044" s="67"/>
      <c r="BM1044" s="68" t="str">
        <f t="shared" si="702"/>
        <v>Unloading no. 1012 Bill No 2026-27/6954 ,Deduction For Oil Deduction= 205127.083333333 ,Bardana= 6390 ,F.M= 21960.183 Brokerage/Rate Difference  ,Shortage = 790 ,Greenish= 0 ,Moisture= 0</v>
      </c>
      <c r="BN1044" s="69"/>
      <c r="BO1044" s="70" t="str">
        <f t="shared" si="703"/>
        <v xml:space="preserve"> Party Condition 42  ,F.M% 0.93 ,Greenish 3.46 ,Moisture 4.5 ,Shortage in KG= 10  ,Oil% 38.35</v>
      </c>
      <c r="BP1044" s="71">
        <f t="shared" si="704"/>
        <v>7118.6169132083896</v>
      </c>
      <c r="BQ1044" s="55"/>
      <c r="BR1044" s="55"/>
      <c r="BS1044" s="41"/>
      <c r="BT1044" s="41"/>
      <c r="BU1044" s="41"/>
      <c r="BV1044" s="41"/>
      <c r="BW1044" s="85"/>
      <c r="BX1044" s="27">
        <v>38.479999999999997</v>
      </c>
      <c r="BY1044" s="27">
        <v>38.35</v>
      </c>
      <c r="CA1044" s="56">
        <v>245151.04</v>
      </c>
      <c r="CC1044" s="84">
        <f>AS1044-CA1044</f>
        <v>829.95999999999185</v>
      </c>
    </row>
    <row r="1045" spans="1:83" ht="14.1" hidden="1" customHeight="1" x14ac:dyDescent="0.3">
      <c r="A1045" s="281" t="s">
        <v>2219</v>
      </c>
      <c r="B1045" s="146">
        <v>46203</v>
      </c>
      <c r="C1045" s="138">
        <v>1013</v>
      </c>
      <c r="D1045" s="138" t="s">
        <v>2229</v>
      </c>
      <c r="E1045" s="129">
        <v>46204</v>
      </c>
      <c r="F1045" s="128" t="s">
        <v>1144</v>
      </c>
      <c r="G1045" s="128" t="s">
        <v>1145</v>
      </c>
      <c r="H1045" s="128" t="s">
        <v>100</v>
      </c>
      <c r="I1045" s="136"/>
      <c r="J1045" s="347" t="s">
        <v>1455</v>
      </c>
      <c r="K1045" s="136"/>
      <c r="L1045" s="146">
        <v>46203</v>
      </c>
      <c r="M1045" s="136"/>
      <c r="N1045" s="281" t="s">
        <v>2238</v>
      </c>
      <c r="O1045" s="146">
        <v>46204</v>
      </c>
      <c r="P1045" s="138">
        <v>0</v>
      </c>
      <c r="Q1045" s="138">
        <v>100</v>
      </c>
      <c r="R1045" s="138">
        <v>55</v>
      </c>
      <c r="S1045" s="138">
        <v>155</v>
      </c>
      <c r="T1045" s="138">
        <v>155</v>
      </c>
      <c r="U1045" s="136"/>
      <c r="V1045" s="136"/>
      <c r="W1045" s="148">
        <v>89.6</v>
      </c>
      <c r="X1045" s="148">
        <v>89.6</v>
      </c>
      <c r="Y1045" s="148">
        <v>703449.59999999998</v>
      </c>
      <c r="Z1045" s="427">
        <v>39.840000000000003</v>
      </c>
      <c r="AA1045" s="148">
        <v>17586.240000000002</v>
      </c>
      <c r="AB1045" s="148">
        <v>17586.240000000002</v>
      </c>
      <c r="AC1045" s="148">
        <v>738622.08</v>
      </c>
      <c r="AD1045" s="315">
        <f t="shared" si="665"/>
        <v>737883.45791999996</v>
      </c>
      <c r="AE1045" s="147">
        <v>39.840000000000003</v>
      </c>
      <c r="AF1045" s="147">
        <v>42</v>
      </c>
      <c r="AG1045" s="147">
        <v>39.840000000000003</v>
      </c>
      <c r="AH1045" s="287">
        <v>2.5000000000000001E-3</v>
      </c>
      <c r="AI1045" s="287">
        <v>3.2500000000000001E-2</v>
      </c>
      <c r="AJ1045" s="287">
        <v>5.0999999999999997E-2</v>
      </c>
      <c r="AK1045" s="318">
        <f t="shared" si="705"/>
        <v>36177.407999999938</v>
      </c>
      <c r="AL1045" s="193">
        <v>0</v>
      </c>
      <c r="AM1045" s="319">
        <v>0</v>
      </c>
      <c r="AN1045" s="319"/>
      <c r="AO1045" s="320">
        <f t="shared" si="707"/>
        <v>0</v>
      </c>
      <c r="AP1045" s="193">
        <v>0</v>
      </c>
      <c r="AQ1045" s="318">
        <v>0</v>
      </c>
      <c r="AR1045" s="318">
        <f t="shared" si="708"/>
        <v>36177.407999999938</v>
      </c>
      <c r="AS1045" s="318">
        <f t="shared" si="709"/>
        <v>37986</v>
      </c>
      <c r="AT1045" s="321">
        <v>0</v>
      </c>
      <c r="AU1045" s="157"/>
      <c r="AV1045" s="136"/>
      <c r="AW1045" s="318">
        <f t="shared" si="692"/>
        <v>8960</v>
      </c>
      <c r="AX1045" s="193"/>
      <c r="AY1045" s="318">
        <f t="shared" si="693"/>
        <v>8960</v>
      </c>
      <c r="AZ1045" s="318">
        <f t="shared" si="694"/>
        <v>8960</v>
      </c>
      <c r="BA1045" s="318">
        <f t="shared" si="695"/>
        <v>0</v>
      </c>
      <c r="BB1045" s="318">
        <f t="shared" si="696"/>
        <v>17.920000000000002</v>
      </c>
      <c r="BC1045" s="318">
        <v>0</v>
      </c>
      <c r="BD1045" s="136"/>
      <c r="BE1045" s="138">
        <v>89.6</v>
      </c>
      <c r="BF1045" s="321">
        <f t="shared" si="697"/>
        <v>0.13439999999999999</v>
      </c>
      <c r="BG1045" s="197">
        <f t="shared" si="698"/>
        <v>89.465599999999995</v>
      </c>
      <c r="BH1045" s="321">
        <f t="shared" si="699"/>
        <v>89.6</v>
      </c>
      <c r="BI1045" s="322">
        <f t="shared" si="700"/>
        <v>0</v>
      </c>
      <c r="BJ1045" s="322">
        <v>0</v>
      </c>
      <c r="BK1045" s="318">
        <f t="shared" si="701"/>
        <v>0</v>
      </c>
      <c r="BL1045" s="67"/>
      <c r="BM1045" s="68" t="str">
        <f t="shared" si="702"/>
        <v>Unloading no. 1013 Bill No 2026-27/257 ,Deduction For Oil Deduction= 36177.4079999999 ,Bardana= 0 ,F.M= 0 Brokerage/Rate Difference  ,Shortage = 0 ,Greenish= 0 ,Moisture= 0</v>
      </c>
      <c r="BN1045" s="69"/>
      <c r="BO1045" s="70" t="str">
        <f t="shared" si="703"/>
        <v xml:space="preserve"> Party Condition 42  ,F.M% 0.25 ,Greenish 3.25 ,Moisture 5.1 ,Shortage in KG= 0  ,Oil% 39.84</v>
      </c>
      <c r="BP1045" s="71">
        <f t="shared" si="704"/>
        <v>7447.2342857142867</v>
      </c>
      <c r="BQ1045" s="55"/>
      <c r="BR1045" s="55"/>
      <c r="BS1045" s="41"/>
      <c r="BT1045" s="41"/>
      <c r="BU1045" s="41"/>
      <c r="BV1045" s="41"/>
      <c r="BW1045" s="85"/>
      <c r="BX1045" s="27">
        <v>39.78</v>
      </c>
      <c r="BY1045" s="27">
        <v>39.74</v>
      </c>
    </row>
    <row r="1046" spans="1:83" ht="14.1" hidden="1" customHeight="1" x14ac:dyDescent="0.3">
      <c r="A1046" s="281" t="s">
        <v>2219</v>
      </c>
      <c r="B1046" s="146">
        <v>46203</v>
      </c>
      <c r="C1046" s="138">
        <v>1014</v>
      </c>
      <c r="D1046" s="138" t="s">
        <v>2230</v>
      </c>
      <c r="E1046" s="129">
        <v>46204</v>
      </c>
      <c r="F1046" s="128" t="s">
        <v>1144</v>
      </c>
      <c r="G1046" s="128" t="s">
        <v>1145</v>
      </c>
      <c r="H1046" s="128" t="s">
        <v>100</v>
      </c>
      <c r="I1046" s="136"/>
      <c r="J1046" s="347" t="s">
        <v>1455</v>
      </c>
      <c r="K1046" s="136"/>
      <c r="L1046" s="146">
        <v>46203</v>
      </c>
      <c r="M1046" s="136"/>
      <c r="N1046" s="281" t="s">
        <v>2239</v>
      </c>
      <c r="O1046" s="146">
        <v>46204</v>
      </c>
      <c r="P1046" s="138">
        <v>0</v>
      </c>
      <c r="Q1046" s="138">
        <v>135</v>
      </c>
      <c r="R1046" s="138">
        <v>20</v>
      </c>
      <c r="S1046" s="138">
        <v>155</v>
      </c>
      <c r="T1046" s="138">
        <v>155</v>
      </c>
      <c r="U1046" s="136"/>
      <c r="V1046" s="136"/>
      <c r="W1046" s="148">
        <v>91.1</v>
      </c>
      <c r="X1046" s="148">
        <v>91</v>
      </c>
      <c r="Y1046" s="148">
        <v>715226.1</v>
      </c>
      <c r="Z1046" s="427">
        <v>39.18</v>
      </c>
      <c r="AA1046" s="148">
        <v>17880.650000000001</v>
      </c>
      <c r="AB1046" s="148">
        <v>17880.650000000001</v>
      </c>
      <c r="AC1046" s="148">
        <v>750987.41</v>
      </c>
      <c r="AD1046" s="315">
        <f t="shared" si="665"/>
        <v>750236.42259000009</v>
      </c>
      <c r="AE1046" s="147">
        <v>39.18</v>
      </c>
      <c r="AF1046" s="147">
        <v>42</v>
      </c>
      <c r="AG1046" s="147">
        <v>39.18</v>
      </c>
      <c r="AH1046" s="287">
        <v>2.5999999999999999E-3</v>
      </c>
      <c r="AI1046" s="287">
        <v>3.5000000000000003E-2</v>
      </c>
      <c r="AJ1046" s="287">
        <v>5.0999999999999997E-2</v>
      </c>
      <c r="AK1046" s="318">
        <f t="shared" si="705"/>
        <v>48022.323857142859</v>
      </c>
      <c r="AL1046" s="193">
        <v>0</v>
      </c>
      <c r="AM1046" s="319">
        <v>0</v>
      </c>
      <c r="AN1046" s="319"/>
      <c r="AO1046" s="320">
        <f t="shared" si="707"/>
        <v>0</v>
      </c>
      <c r="AP1046" s="193">
        <v>0</v>
      </c>
      <c r="AQ1046" s="318">
        <v>0</v>
      </c>
      <c r="AR1046" s="318">
        <f t="shared" si="708"/>
        <v>48022.323857142859</v>
      </c>
      <c r="AS1046" s="318">
        <f t="shared" si="709"/>
        <v>50423</v>
      </c>
      <c r="AT1046" s="321">
        <v>0</v>
      </c>
      <c r="AU1046" s="157"/>
      <c r="AV1046" s="136"/>
      <c r="AW1046" s="318">
        <f t="shared" si="692"/>
        <v>9110</v>
      </c>
      <c r="AX1046" s="193"/>
      <c r="AY1046" s="318">
        <f t="shared" si="693"/>
        <v>9110</v>
      </c>
      <c r="AZ1046" s="318">
        <f t="shared" si="694"/>
        <v>9100</v>
      </c>
      <c r="BA1046" s="318">
        <f t="shared" si="695"/>
        <v>10</v>
      </c>
      <c r="BB1046" s="318">
        <f t="shared" si="696"/>
        <v>18.22</v>
      </c>
      <c r="BC1046" s="318">
        <v>0</v>
      </c>
      <c r="BD1046" s="136"/>
      <c r="BE1046" s="138">
        <v>91.1</v>
      </c>
      <c r="BF1046" s="321">
        <f t="shared" si="697"/>
        <v>0.13664999999999999</v>
      </c>
      <c r="BG1046" s="197">
        <f t="shared" si="698"/>
        <v>90.963349999999991</v>
      </c>
      <c r="BH1046" s="321">
        <f t="shared" si="699"/>
        <v>91</v>
      </c>
      <c r="BI1046" s="322">
        <f t="shared" si="700"/>
        <v>9.9999999999994316</v>
      </c>
      <c r="BJ1046" s="322">
        <v>0</v>
      </c>
      <c r="BK1046" s="318">
        <f t="shared" si="701"/>
        <v>9.9999999999994316</v>
      </c>
      <c r="BL1046" s="67"/>
      <c r="BM1046" s="68" t="str">
        <f t="shared" si="702"/>
        <v>Unloading no. 1014 Bill No 2026-27/258 ,Deduction For Oil Deduction= 48022.3238571429 ,Bardana= 0 ,F.M= 0 Brokerage/Rate Difference  ,Shortage = 0 ,Greenish= 0 ,Moisture= 0</v>
      </c>
      <c r="BN1046" s="69"/>
      <c r="BO1046" s="70" t="str">
        <f t="shared" si="703"/>
        <v xml:space="preserve"> Party Condition 42  ,F.M% 0.26 ,Greenish 3.5 ,Moisture 5.1 ,Shortage in KG= 0  ,Oil% 39.18</v>
      </c>
      <c r="BP1046" s="71">
        <f t="shared" si="704"/>
        <v>7331.9096279434852</v>
      </c>
      <c r="BQ1046" s="55"/>
      <c r="BR1046" s="55"/>
      <c r="BS1046" s="41"/>
      <c r="BT1046" s="41"/>
      <c r="BU1046" s="41"/>
      <c r="BV1046" s="41"/>
      <c r="BW1046" s="85"/>
      <c r="BX1046" s="27">
        <v>39.380000000000003</v>
      </c>
      <c r="BY1046" s="27">
        <v>39.229999999999997</v>
      </c>
    </row>
    <row r="1047" spans="1:83" ht="14.1" hidden="1" customHeight="1" x14ac:dyDescent="0.3">
      <c r="A1047" s="281" t="s">
        <v>2219</v>
      </c>
      <c r="B1047" s="146">
        <v>46203</v>
      </c>
      <c r="C1047" s="138">
        <v>1015</v>
      </c>
      <c r="D1047" s="138" t="s">
        <v>2231</v>
      </c>
      <c r="E1047" s="129">
        <v>46204</v>
      </c>
      <c r="F1047" s="128" t="s">
        <v>1144</v>
      </c>
      <c r="G1047" s="128" t="s">
        <v>1145</v>
      </c>
      <c r="H1047" s="128" t="s">
        <v>100</v>
      </c>
      <c r="I1047" s="136"/>
      <c r="J1047" s="347" t="s">
        <v>1455</v>
      </c>
      <c r="K1047" s="136"/>
      <c r="L1047" s="146">
        <v>46203</v>
      </c>
      <c r="M1047" s="136"/>
      <c r="N1047" s="281" t="s">
        <v>2240</v>
      </c>
      <c r="O1047" s="146">
        <v>46204</v>
      </c>
      <c r="P1047" s="138">
        <v>0</v>
      </c>
      <c r="Q1047" s="138">
        <v>100</v>
      </c>
      <c r="R1047" s="138">
        <v>55</v>
      </c>
      <c r="S1047" s="138">
        <v>155</v>
      </c>
      <c r="T1047" s="138">
        <v>155</v>
      </c>
      <c r="U1047" s="136"/>
      <c r="V1047" s="136"/>
      <c r="W1047" s="148">
        <v>90.8</v>
      </c>
      <c r="X1047" s="148">
        <v>90.7</v>
      </c>
      <c r="Y1047" s="148">
        <v>712870.8</v>
      </c>
      <c r="Z1047" s="427">
        <v>39.450000000000003</v>
      </c>
      <c r="AA1047" s="148">
        <v>17821.77</v>
      </c>
      <c r="AB1047" s="148">
        <v>17821.77</v>
      </c>
      <c r="AC1047" s="148">
        <v>748514.34</v>
      </c>
      <c r="AD1047" s="315">
        <f t="shared" si="665"/>
        <v>747765.82565999997</v>
      </c>
      <c r="AE1047" s="147">
        <v>39.450000000000003</v>
      </c>
      <c r="AF1047" s="147">
        <v>42</v>
      </c>
      <c r="AG1047" s="147">
        <v>39.450000000000003</v>
      </c>
      <c r="AH1047" s="287">
        <v>2.5999999999999999E-3</v>
      </c>
      <c r="AI1047" s="287">
        <v>3.5000000000000003E-2</v>
      </c>
      <c r="AJ1047" s="287">
        <v>4.9000000000000002E-2</v>
      </c>
      <c r="AK1047" s="318">
        <f t="shared" si="705"/>
        <v>43281.441428571379</v>
      </c>
      <c r="AL1047" s="193">
        <v>0</v>
      </c>
      <c r="AM1047" s="319">
        <v>0</v>
      </c>
      <c r="AN1047" s="319"/>
      <c r="AO1047" s="320">
        <f t="shared" si="707"/>
        <v>0</v>
      </c>
      <c r="AP1047" s="193">
        <v>0</v>
      </c>
      <c r="AQ1047" s="318">
        <v>0</v>
      </c>
      <c r="AR1047" s="318">
        <f t="shared" si="708"/>
        <v>43281.441428571379</v>
      </c>
      <c r="AS1047" s="318">
        <f t="shared" si="709"/>
        <v>45446</v>
      </c>
      <c r="AT1047" s="321">
        <v>0</v>
      </c>
      <c r="AU1047" s="157"/>
      <c r="AV1047" s="136"/>
      <c r="AW1047" s="318">
        <f t="shared" si="692"/>
        <v>9080</v>
      </c>
      <c r="AX1047" s="193"/>
      <c r="AY1047" s="318">
        <f t="shared" si="693"/>
        <v>9080</v>
      </c>
      <c r="AZ1047" s="318">
        <f t="shared" si="694"/>
        <v>9070</v>
      </c>
      <c r="BA1047" s="318">
        <f t="shared" si="695"/>
        <v>10</v>
      </c>
      <c r="BB1047" s="318">
        <f t="shared" si="696"/>
        <v>18.16</v>
      </c>
      <c r="BC1047" s="318">
        <v>0</v>
      </c>
      <c r="BD1047" s="136"/>
      <c r="BE1047" s="138">
        <v>90.8</v>
      </c>
      <c r="BF1047" s="321">
        <f t="shared" si="697"/>
        <v>0.13619999999999999</v>
      </c>
      <c r="BG1047" s="197">
        <f t="shared" si="698"/>
        <v>90.663799999999995</v>
      </c>
      <c r="BH1047" s="321">
        <f t="shared" si="699"/>
        <v>90.7</v>
      </c>
      <c r="BI1047" s="322">
        <f t="shared" si="700"/>
        <v>9.9999999999994316</v>
      </c>
      <c r="BJ1047" s="322">
        <v>0</v>
      </c>
      <c r="BK1047" s="318">
        <f t="shared" si="701"/>
        <v>9.9999999999994316</v>
      </c>
      <c r="BL1047" s="67"/>
      <c r="BM1047" s="68" t="str">
        <f t="shared" si="702"/>
        <v>Unloading no. 1015 Bill No 2026-27/259 ,Deduction For Oil Deduction= 43281.4414285714 ,Bardana= 0 ,F.M= 0 Brokerage/Rate Difference  ,Shortage = 0 ,Greenish= 0 ,Moisture= 0</v>
      </c>
      <c r="BN1047" s="69"/>
      <c r="BO1047" s="70" t="str">
        <f t="shared" si="703"/>
        <v xml:space="preserve"> Party Condition 42  ,F.M% 0.26 ,Greenish 3.5 ,Moisture 4.9 ,Shortage in KG= 0  ,Oil% 39.45</v>
      </c>
      <c r="BP1047" s="71">
        <f t="shared" si="704"/>
        <v>7382.4626082847699</v>
      </c>
      <c r="BQ1047" s="55"/>
      <c r="BR1047" s="55"/>
      <c r="BS1047" s="41"/>
      <c r="BT1047" s="41"/>
      <c r="BU1047" s="41"/>
      <c r="BV1047" s="41"/>
      <c r="BW1047" s="85"/>
      <c r="BX1047" s="27">
        <v>39.159999999999997</v>
      </c>
      <c r="BY1047" s="27">
        <v>38.9</v>
      </c>
    </row>
    <row r="1048" spans="1:83" ht="14.1" hidden="1" customHeight="1" x14ac:dyDescent="0.3">
      <c r="A1048" s="281" t="s">
        <v>2219</v>
      </c>
      <c r="B1048" s="146">
        <v>46203</v>
      </c>
      <c r="C1048" s="138">
        <v>1016</v>
      </c>
      <c r="D1048" s="138" t="s">
        <v>2232</v>
      </c>
      <c r="E1048" s="129">
        <v>46204</v>
      </c>
      <c r="F1048" s="128" t="s">
        <v>1144</v>
      </c>
      <c r="G1048" s="128" t="s">
        <v>1145</v>
      </c>
      <c r="H1048" s="128" t="s">
        <v>100</v>
      </c>
      <c r="I1048" s="136"/>
      <c r="J1048" s="347" t="s">
        <v>1455</v>
      </c>
      <c r="K1048" s="136"/>
      <c r="L1048" s="146">
        <v>46203</v>
      </c>
      <c r="M1048" s="136"/>
      <c r="N1048" s="281" t="s">
        <v>2241</v>
      </c>
      <c r="O1048" s="146">
        <v>46204</v>
      </c>
      <c r="P1048" s="138">
        <v>0</v>
      </c>
      <c r="Q1048" s="138">
        <v>125</v>
      </c>
      <c r="R1048" s="138">
        <v>30</v>
      </c>
      <c r="S1048" s="138">
        <v>155</v>
      </c>
      <c r="T1048" s="138">
        <v>155</v>
      </c>
      <c r="U1048" s="136"/>
      <c r="V1048" s="136"/>
      <c r="W1048" s="148">
        <v>90.3</v>
      </c>
      <c r="X1048" s="148">
        <v>90.2</v>
      </c>
      <c r="Y1048" s="148">
        <v>708945.3</v>
      </c>
      <c r="Z1048" s="427">
        <v>39.47</v>
      </c>
      <c r="AA1048" s="148">
        <v>17723.63</v>
      </c>
      <c r="AB1048" s="148">
        <v>17723.63</v>
      </c>
      <c r="AC1048" s="148">
        <v>744392.57</v>
      </c>
      <c r="AD1048" s="315">
        <f t="shared" si="665"/>
        <v>743648.17742999992</v>
      </c>
      <c r="AE1048" s="147">
        <v>39.47</v>
      </c>
      <c r="AF1048" s="147">
        <v>42</v>
      </c>
      <c r="AG1048" s="147">
        <v>39.47</v>
      </c>
      <c r="AH1048" s="287">
        <v>4.5999999999999999E-3</v>
      </c>
      <c r="AI1048" s="287">
        <v>0.04</v>
      </c>
      <c r="AJ1048" s="287">
        <v>5.2999999999999999E-2</v>
      </c>
      <c r="AK1048" s="318">
        <f t="shared" si="705"/>
        <v>42705.514500000019</v>
      </c>
      <c r="AL1048" s="193">
        <v>0</v>
      </c>
      <c r="AM1048" s="319">
        <v>0</v>
      </c>
      <c r="AN1048" s="319"/>
      <c r="AO1048" s="320">
        <f t="shared" si="707"/>
        <v>0</v>
      </c>
      <c r="AP1048" s="193">
        <v>0</v>
      </c>
      <c r="AQ1048" s="318">
        <v>0</v>
      </c>
      <c r="AR1048" s="318">
        <f t="shared" si="708"/>
        <v>42705.514500000019</v>
      </c>
      <c r="AS1048" s="318">
        <f t="shared" si="709"/>
        <v>44841</v>
      </c>
      <c r="AT1048" s="321">
        <v>0</v>
      </c>
      <c r="AU1048" s="157"/>
      <c r="AV1048" s="136"/>
      <c r="AW1048" s="318">
        <f t="shared" si="692"/>
        <v>9030</v>
      </c>
      <c r="AX1048" s="193"/>
      <c r="AY1048" s="318">
        <f t="shared" si="693"/>
        <v>9030</v>
      </c>
      <c r="AZ1048" s="318">
        <f t="shared" si="694"/>
        <v>9020</v>
      </c>
      <c r="BA1048" s="318">
        <f t="shared" si="695"/>
        <v>10</v>
      </c>
      <c r="BB1048" s="318">
        <f t="shared" si="696"/>
        <v>18.059999999999999</v>
      </c>
      <c r="BC1048" s="318">
        <v>0</v>
      </c>
      <c r="BD1048" s="136"/>
      <c r="BE1048" s="138">
        <v>90.3</v>
      </c>
      <c r="BF1048" s="321">
        <f t="shared" si="697"/>
        <v>0.13544999999999999</v>
      </c>
      <c r="BG1048" s="197">
        <f t="shared" si="698"/>
        <v>90.164549999999991</v>
      </c>
      <c r="BH1048" s="321">
        <f t="shared" si="699"/>
        <v>90.2</v>
      </c>
      <c r="BI1048" s="322">
        <f t="shared" si="700"/>
        <v>9.9999999999994316</v>
      </c>
      <c r="BJ1048" s="322">
        <v>0</v>
      </c>
      <c r="BK1048" s="318">
        <f t="shared" si="701"/>
        <v>9.9999999999994316</v>
      </c>
      <c r="BL1048" s="67"/>
      <c r="BM1048" s="68" t="str">
        <f t="shared" si="702"/>
        <v>Unloading no. 1016 Bill No 2026-27/260 ,Deduction For Oil Deduction= 42705.5145 ,Bardana= 0 ,F.M= 0 Brokerage/Rate Difference  ,Shortage = 0 ,Greenish= 0 ,Moisture= 0</v>
      </c>
      <c r="BN1048" s="69"/>
      <c r="BO1048" s="70" t="str">
        <f t="shared" si="703"/>
        <v xml:space="preserve"> Party Condition 42  ,F.M% 0.46 ,Greenish 4 ,Moisture 5.3 ,Shortage in KG= 0  ,Oil% 39.47</v>
      </c>
      <c r="BP1048" s="71">
        <f t="shared" si="704"/>
        <v>7386.2503935698442</v>
      </c>
      <c r="BQ1048" s="55"/>
      <c r="BR1048" s="55"/>
      <c r="BS1048" s="41"/>
      <c r="BT1048" s="41"/>
      <c r="BU1048" s="41"/>
      <c r="BV1048" s="41"/>
      <c r="BW1048" s="85"/>
      <c r="BX1048" s="27">
        <v>39.33</v>
      </c>
      <c r="BY1048" s="27">
        <v>39.14</v>
      </c>
    </row>
    <row r="1049" spans="1:83" ht="14.1" hidden="1" customHeight="1" x14ac:dyDescent="0.3">
      <c r="A1049" s="284" t="s">
        <v>2219</v>
      </c>
      <c r="B1049" s="376">
        <v>46203</v>
      </c>
      <c r="C1049" s="275">
        <v>1017</v>
      </c>
      <c r="D1049" s="275" t="s">
        <v>2233</v>
      </c>
      <c r="E1049" s="231">
        <v>46204</v>
      </c>
      <c r="F1049" s="174" t="s">
        <v>1144</v>
      </c>
      <c r="G1049" s="174" t="s">
        <v>1145</v>
      </c>
      <c r="H1049" s="174" t="s">
        <v>100</v>
      </c>
      <c r="I1049" s="176"/>
      <c r="J1049" s="378" t="s">
        <v>1455</v>
      </c>
      <c r="K1049" s="176"/>
      <c r="L1049" s="376">
        <v>46203</v>
      </c>
      <c r="M1049" s="176"/>
      <c r="N1049" s="284" t="s">
        <v>2242</v>
      </c>
      <c r="O1049" s="376">
        <v>46204</v>
      </c>
      <c r="P1049" s="275">
        <v>0</v>
      </c>
      <c r="Q1049" s="275">
        <v>100</v>
      </c>
      <c r="R1049" s="275">
        <v>55</v>
      </c>
      <c r="S1049" s="275">
        <v>155</v>
      </c>
      <c r="T1049" s="275">
        <v>155</v>
      </c>
      <c r="U1049" s="176"/>
      <c r="V1049" s="176"/>
      <c r="W1049" s="305">
        <v>91.2</v>
      </c>
      <c r="X1049" s="305">
        <v>91.2</v>
      </c>
      <c r="Y1049" s="305">
        <v>716011.2</v>
      </c>
      <c r="Z1049" s="428">
        <v>39.700000000000003</v>
      </c>
      <c r="AA1049" s="305">
        <v>17900.28</v>
      </c>
      <c r="AB1049" s="305">
        <v>17900.28</v>
      </c>
      <c r="AC1049" s="305">
        <v>751811.76</v>
      </c>
      <c r="AD1049" s="339">
        <f t="shared" si="665"/>
        <v>751059.94824000006</v>
      </c>
      <c r="AE1049" s="178">
        <v>39.700000000000003</v>
      </c>
      <c r="AF1049" s="178">
        <v>42</v>
      </c>
      <c r="AG1049" s="178">
        <v>39.700000000000003</v>
      </c>
      <c r="AH1049" s="308">
        <v>4.4999999999999997E-3</v>
      </c>
      <c r="AI1049" s="308">
        <v>4.6399999999999997E-2</v>
      </c>
      <c r="AJ1049" s="308">
        <v>5.0999999999999997E-2</v>
      </c>
      <c r="AK1049" s="342">
        <f t="shared" si="705"/>
        <v>39210.137142857093</v>
      </c>
      <c r="AL1049" s="335">
        <v>0</v>
      </c>
      <c r="AM1049" s="343">
        <v>0</v>
      </c>
      <c r="AN1049" s="343"/>
      <c r="AO1049" s="344">
        <f t="shared" si="707"/>
        <v>0</v>
      </c>
      <c r="AP1049" s="335">
        <v>0</v>
      </c>
      <c r="AQ1049" s="342">
        <v>0</v>
      </c>
      <c r="AR1049" s="342">
        <f t="shared" si="708"/>
        <v>39210.137142857093</v>
      </c>
      <c r="AS1049" s="342">
        <f t="shared" si="709"/>
        <v>41171</v>
      </c>
      <c r="AT1049" s="345">
        <v>0</v>
      </c>
      <c r="AU1049" s="208"/>
      <c r="AV1049" s="176"/>
      <c r="AW1049" s="342">
        <f t="shared" si="692"/>
        <v>9120</v>
      </c>
      <c r="AX1049" s="335"/>
      <c r="AY1049" s="342">
        <f t="shared" si="693"/>
        <v>9120</v>
      </c>
      <c r="AZ1049" s="342">
        <f t="shared" si="694"/>
        <v>9120</v>
      </c>
      <c r="BA1049" s="342">
        <f t="shared" si="695"/>
        <v>0</v>
      </c>
      <c r="BB1049" s="342">
        <f t="shared" si="696"/>
        <v>18.239999999999998</v>
      </c>
      <c r="BC1049" s="342">
        <v>0</v>
      </c>
      <c r="BD1049" s="176"/>
      <c r="BE1049" s="275">
        <v>91.2</v>
      </c>
      <c r="BF1049" s="345">
        <f t="shared" si="697"/>
        <v>0.1368</v>
      </c>
      <c r="BG1049" s="210">
        <f t="shared" si="698"/>
        <v>91.063200000000009</v>
      </c>
      <c r="BH1049" s="345">
        <f t="shared" si="699"/>
        <v>91.2</v>
      </c>
      <c r="BI1049" s="346">
        <f t="shared" si="700"/>
        <v>0</v>
      </c>
      <c r="BJ1049" s="346">
        <v>0</v>
      </c>
      <c r="BK1049" s="342">
        <f t="shared" si="701"/>
        <v>0</v>
      </c>
      <c r="BL1049" s="73"/>
      <c r="BM1049" s="74" t="str">
        <f t="shared" si="702"/>
        <v>Unloading no. 1017 Bill No 2026-27/261 ,Deduction For Oil Deduction= 39210.1371428571 ,Bardana= 0 ,F.M= 0 Brokerage/Rate Difference  ,Shortage = 0 ,Greenish= 0 ,Moisture= 0</v>
      </c>
      <c r="BN1049" s="72"/>
      <c r="BO1049" s="77" t="str">
        <f t="shared" si="703"/>
        <v xml:space="preserve"> Party Condition 42  ,F.M% 0.45 ,Greenish 4.64 ,Moisture 5.1 ,Shortage in KG= 0  ,Oil% 39.7</v>
      </c>
      <c r="BP1049" s="78">
        <f t="shared" si="704"/>
        <v>7421.0642857142857</v>
      </c>
      <c r="BQ1049" s="60"/>
      <c r="BR1049" s="60"/>
      <c r="BS1049" s="52"/>
      <c r="BT1049" s="52"/>
      <c r="BU1049" s="52"/>
      <c r="BV1049" s="52"/>
      <c r="BW1049" s="86"/>
      <c r="BX1049" s="30">
        <v>39.549999999999997</v>
      </c>
      <c r="BY1049" s="30">
        <v>39.39</v>
      </c>
    </row>
    <row r="1050" spans="1:83" ht="14.1" hidden="1" customHeight="1" x14ac:dyDescent="0.3">
      <c r="A1050" s="281" t="s">
        <v>2245</v>
      </c>
      <c r="B1050" s="146">
        <v>46203</v>
      </c>
      <c r="C1050" s="138">
        <v>1018</v>
      </c>
      <c r="D1050" s="138" t="s">
        <v>2253</v>
      </c>
      <c r="E1050" s="129">
        <v>46205</v>
      </c>
      <c r="F1050" s="128" t="s">
        <v>2079</v>
      </c>
      <c r="G1050" s="160" t="s">
        <v>2080</v>
      </c>
      <c r="H1050" s="128" t="s">
        <v>2081</v>
      </c>
      <c r="I1050" s="136"/>
      <c r="J1050" s="347" t="s">
        <v>1455</v>
      </c>
      <c r="K1050" s="136"/>
      <c r="L1050" s="146">
        <v>46203</v>
      </c>
      <c r="M1050" s="136"/>
      <c r="N1050" s="128" t="s">
        <v>2298</v>
      </c>
      <c r="O1050" s="146">
        <v>46204</v>
      </c>
      <c r="P1050" s="138">
        <v>0</v>
      </c>
      <c r="Q1050" s="138">
        <v>345</v>
      </c>
      <c r="R1050" s="138">
        <v>70</v>
      </c>
      <c r="S1050" s="138">
        <v>415</v>
      </c>
      <c r="T1050" s="138">
        <v>415</v>
      </c>
      <c r="U1050" s="136"/>
      <c r="V1050" s="136"/>
      <c r="W1050" s="148">
        <v>253</v>
      </c>
      <c r="X1050" s="148">
        <v>251.9</v>
      </c>
      <c r="Y1050" s="148">
        <v>1998700</v>
      </c>
      <c r="Z1050" s="128"/>
      <c r="AA1050" s="148">
        <v>49967.5</v>
      </c>
      <c r="AB1050" s="148">
        <v>49967.5</v>
      </c>
      <c r="AC1050" s="148">
        <v>2098635</v>
      </c>
      <c r="AD1050" s="315">
        <f t="shared" si="665"/>
        <v>2096536.365</v>
      </c>
      <c r="AE1050" s="147">
        <v>39.07</v>
      </c>
      <c r="AF1050" s="147">
        <v>42</v>
      </c>
      <c r="AG1050" s="147">
        <v>38.85</v>
      </c>
      <c r="AH1050" s="287">
        <v>4.0000000000000001E-3</v>
      </c>
      <c r="AI1050" s="287">
        <v>3.09E-2</v>
      </c>
      <c r="AJ1050" s="429">
        <v>5.28E-2</v>
      </c>
      <c r="AK1050" s="318">
        <f>+IF(AF1050=42,IF(MIN(AE1050,AG1050)&lt;AF1050,Y1050*((AF1050-MIN(AE1050,AG1050))/AF1050)),IF(MIN(AE1050,AG1050)&lt;AF1050,Y1050*((AF1050-MIN(AE1050,AG1050))/AF1050),0))-60.46</f>
        <v>149842.03999999995</v>
      </c>
      <c r="AL1050" s="193">
        <f>345*10+70*15</f>
        <v>4500</v>
      </c>
      <c r="AM1050" s="319">
        <f>Y1050*AH1050</f>
        <v>7994.8</v>
      </c>
      <c r="AN1050" s="319"/>
      <c r="AO1050" s="320">
        <f t="shared" ref="AO1050:AO1093" si="710">AT1050*Y1050/AW1050</f>
        <v>8690</v>
      </c>
      <c r="AP1050" s="193">
        <v>0</v>
      </c>
      <c r="AQ1050" s="430">
        <f>Y1050*0.28/100</f>
        <v>5596.36</v>
      </c>
      <c r="AR1050" s="318">
        <f t="shared" ref="AR1050:AR1093" si="711">SUM(AK1050:AQ1050)</f>
        <v>176623.19999999992</v>
      </c>
      <c r="AS1050" s="318">
        <f t="shared" ref="AS1050:AS1093" si="712">ROUND(AR1050*1.05,0)</f>
        <v>185454</v>
      </c>
      <c r="AT1050" s="321">
        <v>110</v>
      </c>
      <c r="AU1050" s="157"/>
      <c r="AV1050" s="136"/>
      <c r="AW1050" s="318">
        <f t="shared" ref="AW1050:AW1093" si="713">W1050*100</f>
        <v>25300</v>
      </c>
      <c r="AX1050" s="193"/>
      <c r="AY1050" s="318">
        <f t="shared" ref="AY1050:AY1093" si="714">+AW1050+AX1050</f>
        <v>25300</v>
      </c>
      <c r="AZ1050" s="318">
        <f t="shared" ref="AZ1050:AZ1093" si="715">X1050*100</f>
        <v>25190</v>
      </c>
      <c r="BA1050" s="318">
        <f t="shared" ref="BA1050:BA1093" si="716">AY1050-AZ1050</f>
        <v>110</v>
      </c>
      <c r="BB1050" s="318">
        <f t="shared" ref="BB1050:BB1093" si="717">AW1050*2/1000</f>
        <v>50.6</v>
      </c>
      <c r="BC1050" s="318">
        <v>0</v>
      </c>
      <c r="BD1050" s="431"/>
      <c r="BE1050" s="147">
        <v>253</v>
      </c>
      <c r="BF1050" s="375">
        <f t="shared" ref="BF1050:BF1079" si="718">+BE1050*0.15/100</f>
        <v>0.37949999999999995</v>
      </c>
      <c r="BG1050" s="197">
        <f t="shared" ref="BG1050:BG1079" si="719">BE1050-BF1050</f>
        <v>252.62049999999999</v>
      </c>
      <c r="BH1050" s="321">
        <f t="shared" ref="BH1050:BH1079" si="720">X1050</f>
        <v>251.9</v>
      </c>
      <c r="BI1050" s="322">
        <f t="shared" ref="BI1050:BI1079" si="721">(BE1050-BH1050)*100</f>
        <v>109.99999999999943</v>
      </c>
      <c r="BJ1050" s="322">
        <v>0</v>
      </c>
      <c r="BK1050" s="318">
        <f t="shared" ref="BK1050:BK1079" si="722">BI1050</f>
        <v>109.99999999999943</v>
      </c>
      <c r="BL1050" s="67"/>
      <c r="BM1050" s="68" t="str">
        <f t="shared" ref="BM1050:BM1079" si="723">+$C$1&amp;" "&amp;C1050 &amp;" "&amp;$N$1&amp;" "&amp;N1050&amp;" "&amp;$BM$1&amp;" "&amp;$AK$1&amp;" "&amp;AK1050&amp;" "&amp;$AL$1&amp;" "&amp;AL1050&amp;" "&amp;$AM$1&amp;" "&amp;AM1050&amp;" "&amp;$AN$1&amp;" "&amp;AN1050&amp;" "&amp;$AO$1&amp;" "&amp;AO1050&amp;" "&amp;$AP$1&amp;" "&amp;AP1050&amp;" "&amp;$AQ$1&amp;" "&amp;AQ1050</f>
        <v>Unloading no. 1018 Bill No FMT27MLRJ001880 ,Deduction For Oil Deduction= 149842.04 ,Bardana= 4500 ,F.M= 7994.8 Brokerage/Rate Difference  ,Shortage = 8690 ,Greenish= 0 ,Moisture= 5596.36</v>
      </c>
      <c r="BN1050" s="69"/>
      <c r="BO1050" s="70" t="str">
        <f t="shared" ref="BO1050:BO1079" si="724">+" "&amp;$AF$1&amp;" "&amp;AF1050&amp;" "&amp;" "&amp;$AH$1&amp;" "&amp;AH1050*100&amp;" "&amp;$AI$1&amp;" "&amp;AI1050*100&amp;" "&amp;$AJ$1&amp;" "&amp;AJ1050*100&amp;" ,"&amp;$AT$1&amp;" "&amp;AT1050&amp;" "&amp;IF(AE1050&gt;AG1050," ,Oil%"&amp;" "&amp;AG1050," ,Oil%"&amp;" "&amp;AE1050)</f>
        <v xml:space="preserve"> Party Condition 42  ,F.M% 0.4 ,Greenish 3.09 ,Moisture 5.28 ,Shortage in KG= 110  ,Oil% 38.85</v>
      </c>
      <c r="BP1050" s="71">
        <f t="shared" ref="BP1050:BP1079" si="725">(Y1050-AR1050)/X1050</f>
        <v>7233.3338626439063</v>
      </c>
      <c r="BQ1050" s="55"/>
      <c r="BR1050" s="55"/>
      <c r="BS1050" s="41"/>
      <c r="BT1050" s="41"/>
      <c r="BU1050" s="41"/>
      <c r="BV1050" s="41"/>
      <c r="BW1050" s="85"/>
      <c r="BX1050" s="27">
        <v>39.07</v>
      </c>
      <c r="BY1050" s="27">
        <v>38.85</v>
      </c>
      <c r="CA1050" s="56">
        <v>174231.74</v>
      </c>
      <c r="CC1050" s="84">
        <f>AS1050-CA1050</f>
        <v>11222.260000000009</v>
      </c>
      <c r="CE1050" s="56">
        <f>CC1050/105%</f>
        <v>10687.866666666676</v>
      </c>
    </row>
    <row r="1051" spans="1:83" ht="14.1" hidden="1" customHeight="1" x14ac:dyDescent="0.3">
      <c r="A1051" s="281" t="s">
        <v>2246</v>
      </c>
      <c r="B1051" s="146">
        <v>46203</v>
      </c>
      <c r="C1051" s="138">
        <v>1019</v>
      </c>
      <c r="D1051" s="138" t="s">
        <v>2254</v>
      </c>
      <c r="E1051" s="129">
        <v>46205</v>
      </c>
      <c r="F1051" s="128" t="s">
        <v>1689</v>
      </c>
      <c r="G1051" s="160" t="s">
        <v>1690</v>
      </c>
      <c r="H1051" s="128" t="s">
        <v>1511</v>
      </c>
      <c r="I1051" s="136"/>
      <c r="J1051" s="347" t="s">
        <v>1455</v>
      </c>
      <c r="K1051" s="136"/>
      <c r="L1051" s="146">
        <v>46203</v>
      </c>
      <c r="M1051" s="136"/>
      <c r="N1051" s="128" t="s">
        <v>2299</v>
      </c>
      <c r="O1051" s="146">
        <v>46204</v>
      </c>
      <c r="P1051" s="138">
        <v>0</v>
      </c>
      <c r="Q1051" s="138">
        <v>350</v>
      </c>
      <c r="R1051" s="138">
        <v>61</v>
      </c>
      <c r="S1051" s="138">
        <v>411</v>
      </c>
      <c r="T1051" s="138">
        <v>411</v>
      </c>
      <c r="U1051" s="136"/>
      <c r="V1051" s="136"/>
      <c r="W1051" s="148">
        <v>232.7</v>
      </c>
      <c r="X1051" s="148">
        <v>232.8</v>
      </c>
      <c r="Y1051" s="148">
        <v>1838330</v>
      </c>
      <c r="Z1051" s="128"/>
      <c r="AA1051" s="148">
        <v>45958.25</v>
      </c>
      <c r="AB1051" s="148">
        <v>45958.25</v>
      </c>
      <c r="AC1051" s="148">
        <v>1930246.5</v>
      </c>
      <c r="AD1051" s="315">
        <f t="shared" si="665"/>
        <v>1928316.2535000001</v>
      </c>
      <c r="AE1051" s="173">
        <v>40.35</v>
      </c>
      <c r="AF1051" s="147">
        <v>42</v>
      </c>
      <c r="AG1051" s="173">
        <v>40.14</v>
      </c>
      <c r="AH1051" s="287">
        <v>3.3999999999999998E-3</v>
      </c>
      <c r="AI1051" s="287">
        <v>3.1E-2</v>
      </c>
      <c r="AJ1051" s="287">
        <v>4.2000000000000003E-2</v>
      </c>
      <c r="AK1051" s="318">
        <f>+IF(AF1051=42,IF(MIN(AE1051,AG1051)&lt;AF1051,Y1051*((AF1051-MIN(AE1051,AG1051))/AF1051)),IF(MIN(AE1051,AG1051)&lt;AF1051,Y1051*((AF1051-MIN(AE1051,AG1051))/AF1051),0))-32.81</f>
        <v>81378.947142857127</v>
      </c>
      <c r="AL1051" s="193">
        <f>350*10+61*15</f>
        <v>4415</v>
      </c>
      <c r="AM1051" s="319">
        <f>Y1051*AH1051</f>
        <v>6250.3219999999992</v>
      </c>
      <c r="AN1051" s="319"/>
      <c r="AO1051" s="320">
        <f t="shared" si="710"/>
        <v>0</v>
      </c>
      <c r="AP1051" s="193">
        <v>0</v>
      </c>
      <c r="AQ1051" s="318">
        <v>0</v>
      </c>
      <c r="AR1051" s="318">
        <f t="shared" si="711"/>
        <v>92044.269142857127</v>
      </c>
      <c r="AS1051" s="318">
        <f t="shared" si="712"/>
        <v>96646</v>
      </c>
      <c r="AT1051" s="321">
        <v>0</v>
      </c>
      <c r="AU1051" s="157"/>
      <c r="AV1051" s="136"/>
      <c r="AW1051" s="318">
        <f t="shared" si="713"/>
        <v>23270</v>
      </c>
      <c r="AX1051" s="193"/>
      <c r="AY1051" s="318">
        <f t="shared" si="714"/>
        <v>23270</v>
      </c>
      <c r="AZ1051" s="318">
        <f t="shared" si="715"/>
        <v>23280</v>
      </c>
      <c r="BA1051" s="318">
        <f t="shared" si="716"/>
        <v>-10</v>
      </c>
      <c r="BB1051" s="318">
        <f t="shared" si="717"/>
        <v>46.54</v>
      </c>
      <c r="BC1051" s="318">
        <v>0</v>
      </c>
      <c r="BD1051" s="431"/>
      <c r="BE1051" s="147">
        <v>232.7</v>
      </c>
      <c r="BF1051" s="375">
        <f t="shared" si="718"/>
        <v>0.34904999999999992</v>
      </c>
      <c r="BG1051" s="197">
        <f t="shared" si="719"/>
        <v>232.35094999999998</v>
      </c>
      <c r="BH1051" s="321">
        <f t="shared" si="720"/>
        <v>232.8</v>
      </c>
      <c r="BI1051" s="322">
        <f t="shared" si="721"/>
        <v>-10.000000000002274</v>
      </c>
      <c r="BJ1051" s="322">
        <v>0</v>
      </c>
      <c r="BK1051" s="318">
        <f t="shared" si="722"/>
        <v>-10.000000000002274</v>
      </c>
      <c r="BL1051" s="67"/>
      <c r="BM1051" s="68" t="str">
        <f t="shared" si="723"/>
        <v>Unloading no. 1019 Bill No GST38 ,Deduction For Oil Deduction= 81378.9471428571 ,Bardana= 4415 ,F.M= 6250.322 Brokerage/Rate Difference  ,Shortage = 0 ,Greenish= 0 ,Moisture= 0</v>
      </c>
      <c r="BN1051" s="69"/>
      <c r="BO1051" s="70" t="str">
        <f t="shared" si="724"/>
        <v xml:space="preserve"> Party Condition 42  ,F.M% 0.34 ,Greenish 3.1 ,Moisture 4.2 ,Shortage in KG= 0  ,Oil% 40.14</v>
      </c>
      <c r="BP1051" s="71">
        <f t="shared" si="725"/>
        <v>7501.2273662248408</v>
      </c>
      <c r="BQ1051" s="55"/>
      <c r="BR1051" s="55"/>
      <c r="BS1051" s="41"/>
      <c r="BT1051" s="41"/>
      <c r="BU1051" s="41"/>
      <c r="BV1051" s="41"/>
      <c r="BW1051" s="85"/>
      <c r="BX1051" s="30">
        <v>40.35</v>
      </c>
      <c r="BY1051" s="30">
        <v>40.14</v>
      </c>
      <c r="CA1051" s="56">
        <v>96453.72</v>
      </c>
      <c r="CC1051" s="84">
        <f>AS1051-CA1051</f>
        <v>192.27999999999884</v>
      </c>
      <c r="CE1051" s="56">
        <f>CC1051/105%</f>
        <v>183.1238095238084</v>
      </c>
    </row>
    <row r="1052" spans="1:83" ht="14.1" hidden="1" customHeight="1" x14ac:dyDescent="0.3">
      <c r="A1052" s="281" t="s">
        <v>2247</v>
      </c>
      <c r="B1052" s="146">
        <v>46204</v>
      </c>
      <c r="C1052" s="138">
        <v>1020</v>
      </c>
      <c r="D1052" s="138" t="s">
        <v>2255</v>
      </c>
      <c r="E1052" s="129">
        <v>46205</v>
      </c>
      <c r="F1052" s="128" t="s">
        <v>1691</v>
      </c>
      <c r="G1052" s="160" t="s">
        <v>1692</v>
      </c>
      <c r="H1052" s="128" t="s">
        <v>1693</v>
      </c>
      <c r="I1052" s="136"/>
      <c r="J1052" s="347" t="s">
        <v>1455</v>
      </c>
      <c r="K1052" s="136"/>
      <c r="L1052" s="146">
        <v>46204</v>
      </c>
      <c r="M1052" s="136"/>
      <c r="N1052" s="128" t="s">
        <v>1311</v>
      </c>
      <c r="O1052" s="146">
        <v>46204</v>
      </c>
      <c r="P1052" s="138">
        <v>0</v>
      </c>
      <c r="Q1052" s="138">
        <v>190</v>
      </c>
      <c r="R1052" s="138">
        <v>60</v>
      </c>
      <c r="S1052" s="138">
        <v>250</v>
      </c>
      <c r="T1052" s="138">
        <v>250</v>
      </c>
      <c r="U1052" s="136"/>
      <c r="V1052" s="136"/>
      <c r="W1052" s="148">
        <v>151.6</v>
      </c>
      <c r="X1052" s="148">
        <v>151.5</v>
      </c>
      <c r="Y1052" s="148">
        <v>1193850</v>
      </c>
      <c r="Z1052" s="128"/>
      <c r="AA1052" s="148">
        <v>29846.25</v>
      </c>
      <c r="AB1052" s="148">
        <v>29846.25</v>
      </c>
      <c r="AC1052" s="148">
        <v>1253542.5</v>
      </c>
      <c r="AD1052" s="315">
        <f t="shared" si="665"/>
        <v>1252288.9575</v>
      </c>
      <c r="AE1052" s="147">
        <v>40.18</v>
      </c>
      <c r="AF1052" s="147">
        <v>42</v>
      </c>
      <c r="AG1052" s="147">
        <v>39.979999999999997</v>
      </c>
      <c r="AH1052" s="287">
        <v>3.7000000000000002E-3</v>
      </c>
      <c r="AI1052" s="287">
        <v>3.2000000000000001E-2</v>
      </c>
      <c r="AJ1052" s="429">
        <v>5.0099999999999999E-2</v>
      </c>
      <c r="AK1052" s="318">
        <f>+IF(AF1052=42,IF(MIN(AE1052,AG1052)&lt;AF1052,Y1052*((AF1052-MIN(AE1052,AG1052))/AF1052)),IF(MIN(AE1052,AG1052)&lt;AF1052,Y1052*((AF1052-MIN(AE1052,AG1052))/AF1052),0))-23.47</f>
        <v>57395.030000000086</v>
      </c>
      <c r="AL1052" s="193">
        <f>190*10+60*15</f>
        <v>2800</v>
      </c>
      <c r="AM1052" s="319">
        <f>Y1052*AH1052</f>
        <v>4417.2449999999999</v>
      </c>
      <c r="AN1052" s="319"/>
      <c r="AO1052" s="320">
        <f t="shared" si="710"/>
        <v>787.5</v>
      </c>
      <c r="AP1052" s="193">
        <v>0</v>
      </c>
      <c r="AQ1052" s="430">
        <f>Y1052*0.01/100</f>
        <v>119.38500000000001</v>
      </c>
      <c r="AR1052" s="318">
        <f t="shared" si="711"/>
        <v>65519.160000000091</v>
      </c>
      <c r="AS1052" s="318">
        <f t="shared" si="712"/>
        <v>68795</v>
      </c>
      <c r="AT1052" s="321">
        <v>10</v>
      </c>
      <c r="AU1052" s="157"/>
      <c r="AV1052" s="136"/>
      <c r="AW1052" s="318">
        <f t="shared" si="713"/>
        <v>15160</v>
      </c>
      <c r="AX1052" s="193"/>
      <c r="AY1052" s="318">
        <f t="shared" si="714"/>
        <v>15160</v>
      </c>
      <c r="AZ1052" s="318">
        <f t="shared" si="715"/>
        <v>15150</v>
      </c>
      <c r="BA1052" s="318">
        <f t="shared" si="716"/>
        <v>10</v>
      </c>
      <c r="BB1052" s="318">
        <f t="shared" si="717"/>
        <v>30.32</v>
      </c>
      <c r="BC1052" s="318">
        <v>0</v>
      </c>
      <c r="BD1052" s="431"/>
      <c r="BE1052" s="147">
        <v>151.6</v>
      </c>
      <c r="BF1052" s="375">
        <f t="shared" si="718"/>
        <v>0.22739999999999999</v>
      </c>
      <c r="BG1052" s="197">
        <f t="shared" si="719"/>
        <v>151.37260000000001</v>
      </c>
      <c r="BH1052" s="321">
        <f t="shared" si="720"/>
        <v>151.5</v>
      </c>
      <c r="BI1052" s="322">
        <f t="shared" si="721"/>
        <v>9.9999999999994316</v>
      </c>
      <c r="BJ1052" s="322">
        <v>0</v>
      </c>
      <c r="BK1052" s="318">
        <f t="shared" si="722"/>
        <v>9.9999999999994316</v>
      </c>
      <c r="BL1052" s="67"/>
      <c r="BM1052" s="68" t="str">
        <f t="shared" si="723"/>
        <v>Unloading no. 1020 Bill No 2026-27/74 ,Deduction For Oil Deduction= 57395.0300000001 ,Bardana= 2800 ,F.M= 4417.245 Brokerage/Rate Difference  ,Shortage = 787.5 ,Greenish= 0 ,Moisture= 119.385</v>
      </c>
      <c r="BN1052" s="69"/>
      <c r="BO1052" s="70" t="str">
        <f t="shared" si="724"/>
        <v xml:space="preserve"> Party Condition 42  ,F.M% 0.37 ,Greenish 3.2 ,Moisture 5.01 ,Shortage in KG= 10  ,Oil% 39.98</v>
      </c>
      <c r="BP1052" s="71">
        <f t="shared" si="725"/>
        <v>7447.7283168316826</v>
      </c>
      <c r="BQ1052" s="55"/>
      <c r="BR1052" s="55"/>
      <c r="BS1052" s="41"/>
      <c r="BT1052" s="41"/>
      <c r="BU1052" s="41"/>
      <c r="BV1052" s="41"/>
      <c r="BW1052" s="85"/>
      <c r="BX1052" s="27">
        <v>40.18</v>
      </c>
      <c r="BY1052" s="27">
        <v>39.979999999999997</v>
      </c>
      <c r="CA1052" s="56">
        <v>66840.570000000007</v>
      </c>
      <c r="CC1052" s="84">
        <f>AS1052-CA1052</f>
        <v>1954.429999999993</v>
      </c>
      <c r="CE1052" s="56">
        <f>CC1052/105%</f>
        <v>1861.3619047618981</v>
      </c>
    </row>
    <row r="1053" spans="1:83" ht="14.1" hidden="1" customHeight="1" x14ac:dyDescent="0.3">
      <c r="A1053" s="281" t="s">
        <v>2217</v>
      </c>
      <c r="B1053" s="146">
        <v>46203</v>
      </c>
      <c r="C1053" s="138">
        <v>1021</v>
      </c>
      <c r="D1053" s="138" t="s">
        <v>2256</v>
      </c>
      <c r="E1053" s="129">
        <v>46205</v>
      </c>
      <c r="F1053" s="128" t="s">
        <v>95</v>
      </c>
      <c r="G1053" s="128" t="s">
        <v>96</v>
      </c>
      <c r="H1053" s="128" t="s">
        <v>97</v>
      </c>
      <c r="I1053" s="136"/>
      <c r="J1053" s="347" t="s">
        <v>1455</v>
      </c>
      <c r="K1053" s="136"/>
      <c r="L1053" s="146">
        <v>46203</v>
      </c>
      <c r="M1053" s="136"/>
      <c r="N1053" s="128">
        <v>221</v>
      </c>
      <c r="O1053" s="146">
        <v>46204</v>
      </c>
      <c r="P1053" s="138">
        <v>0</v>
      </c>
      <c r="Q1053" s="138">
        <v>305</v>
      </c>
      <c r="R1053" s="138">
        <v>110</v>
      </c>
      <c r="S1053" s="138">
        <v>415</v>
      </c>
      <c r="T1053" s="138">
        <v>415</v>
      </c>
      <c r="U1053" s="136"/>
      <c r="V1053" s="136"/>
      <c r="W1053" s="148">
        <v>251.9</v>
      </c>
      <c r="X1053" s="148">
        <v>252</v>
      </c>
      <c r="Y1053" s="296">
        <f>1991338-1328</f>
        <v>1990010</v>
      </c>
      <c r="Z1053" s="128"/>
      <c r="AA1053" s="148">
        <v>49783.45</v>
      </c>
      <c r="AB1053" s="148">
        <v>49783.45</v>
      </c>
      <c r="AC1053" s="148">
        <v>2090904.9</v>
      </c>
      <c r="AD1053" s="315">
        <f t="shared" si="665"/>
        <v>2088813.9950999999</v>
      </c>
      <c r="AE1053" s="147">
        <v>40.549999999999997</v>
      </c>
      <c r="AF1053" s="147">
        <v>42</v>
      </c>
      <c r="AG1053" s="147">
        <v>40.380000000000003</v>
      </c>
      <c r="AH1053" s="287">
        <v>2E-3</v>
      </c>
      <c r="AI1053" s="287">
        <v>0.03</v>
      </c>
      <c r="AJ1053" s="287">
        <v>4.7E-2</v>
      </c>
      <c r="AK1053" s="318">
        <f t="shared" ref="AK1053:AK1093" si="726">+IF(AF1053=42,IF(MIN(AE1053,AG1053)&lt;AF1053,Y1053*((AF1053-MIN(AE1053,AG1053))/AF1053)),IF(MIN(AE1053,AG1053)&lt;AF1053,Y1053*((AF1053-MIN(AE1053,AG1053))/AF1053),0))</f>
        <v>76757.528571428455</v>
      </c>
      <c r="AL1053" s="193">
        <f>305*10+110*15</f>
        <v>4700</v>
      </c>
      <c r="AM1053" s="319">
        <f>Y1053*AH1053</f>
        <v>3980.02</v>
      </c>
      <c r="AN1053" s="324">
        <v>1328</v>
      </c>
      <c r="AO1053" s="320">
        <f t="shared" si="710"/>
        <v>0</v>
      </c>
      <c r="AP1053" s="193">
        <v>0</v>
      </c>
      <c r="AQ1053" s="318">
        <v>0</v>
      </c>
      <c r="AR1053" s="318">
        <f t="shared" si="711"/>
        <v>86765.548571428459</v>
      </c>
      <c r="AS1053" s="318">
        <f t="shared" si="712"/>
        <v>91104</v>
      </c>
      <c r="AT1053" s="321">
        <v>0</v>
      </c>
      <c r="AU1053" s="206" t="s">
        <v>2210</v>
      </c>
      <c r="AV1053" s="136"/>
      <c r="AW1053" s="318">
        <f t="shared" si="713"/>
        <v>25190</v>
      </c>
      <c r="AX1053" s="193"/>
      <c r="AY1053" s="318">
        <f t="shared" si="714"/>
        <v>25190</v>
      </c>
      <c r="AZ1053" s="318">
        <f t="shared" si="715"/>
        <v>25200</v>
      </c>
      <c r="BA1053" s="318">
        <f t="shared" si="716"/>
        <v>-10</v>
      </c>
      <c r="BB1053" s="318">
        <f t="shared" si="717"/>
        <v>50.38</v>
      </c>
      <c r="BC1053" s="318">
        <v>0</v>
      </c>
      <c r="BD1053" s="431"/>
      <c r="BE1053" s="147">
        <v>251.9</v>
      </c>
      <c r="BF1053" s="375">
        <f t="shared" si="718"/>
        <v>0.37784999999999996</v>
      </c>
      <c r="BG1053" s="197">
        <f t="shared" si="719"/>
        <v>251.52215000000001</v>
      </c>
      <c r="BH1053" s="321">
        <f t="shared" si="720"/>
        <v>252</v>
      </c>
      <c r="BI1053" s="322">
        <f t="shared" si="721"/>
        <v>-9.9999999999994316</v>
      </c>
      <c r="BJ1053" s="322">
        <v>0</v>
      </c>
      <c r="BK1053" s="318">
        <f t="shared" si="722"/>
        <v>-9.9999999999994316</v>
      </c>
      <c r="BL1053" s="67"/>
      <c r="BM1053" s="68" t="str">
        <f t="shared" si="723"/>
        <v>Unloading no. 1021 Bill No 221 ,Deduction For Oil Deduction= 76757.5285714285 ,Bardana= 4700 ,F.M= 3980.02 Brokerage/Rate Difference 1328 ,Shortage = 0 ,Greenish= 0 ,Moisture= 0</v>
      </c>
      <c r="BN1053" s="69"/>
      <c r="BO1053" s="70" t="str">
        <f t="shared" si="724"/>
        <v xml:space="preserve"> Party Condition 42  ,F.M% 0.2 ,Greenish 3 ,Moisture 4.7 ,Shortage in KG= 0  ,Oil% 40.38</v>
      </c>
      <c r="BP1053" s="71">
        <f t="shared" si="725"/>
        <v>7552.5573469387755</v>
      </c>
      <c r="BQ1053" s="55"/>
      <c r="BR1053" s="55"/>
      <c r="BS1053" s="41"/>
      <c r="BT1053" s="41"/>
      <c r="BU1053" s="41"/>
      <c r="BV1053" s="41"/>
      <c r="BW1053" s="85"/>
      <c r="BX1053" s="27">
        <v>40.549999999999997</v>
      </c>
      <c r="BY1053" s="27">
        <v>40.380000000000003</v>
      </c>
    </row>
    <row r="1054" spans="1:83" ht="14.1" hidden="1" customHeight="1" x14ac:dyDescent="0.3">
      <c r="A1054" s="281" t="s">
        <v>2248</v>
      </c>
      <c r="B1054" s="146">
        <v>46203</v>
      </c>
      <c r="C1054" s="138">
        <v>1022</v>
      </c>
      <c r="D1054" s="138" t="s">
        <v>2257</v>
      </c>
      <c r="E1054" s="129">
        <v>46205</v>
      </c>
      <c r="F1054" s="128" t="s">
        <v>110</v>
      </c>
      <c r="G1054" s="128" t="s">
        <v>111</v>
      </c>
      <c r="H1054" s="128" t="s">
        <v>112</v>
      </c>
      <c r="I1054" s="136"/>
      <c r="J1054" s="347" t="s">
        <v>113</v>
      </c>
      <c r="K1054" s="136"/>
      <c r="L1054" s="146">
        <v>46203</v>
      </c>
      <c r="M1054" s="136"/>
      <c r="N1054" s="128" t="s">
        <v>2300</v>
      </c>
      <c r="O1054" s="146">
        <v>46204</v>
      </c>
      <c r="P1054" s="138">
        <v>0</v>
      </c>
      <c r="Q1054" s="138">
        <v>130</v>
      </c>
      <c r="R1054" s="138">
        <v>49</v>
      </c>
      <c r="S1054" s="138">
        <v>179</v>
      </c>
      <c r="T1054" s="138">
        <v>179</v>
      </c>
      <c r="U1054" s="136"/>
      <c r="V1054" s="136"/>
      <c r="W1054" s="148">
        <v>107.4</v>
      </c>
      <c r="X1054" s="148">
        <v>108.9</v>
      </c>
      <c r="Y1054" s="148">
        <v>839975.4</v>
      </c>
      <c r="Z1054" s="128"/>
      <c r="AA1054" s="148">
        <v>20999.39</v>
      </c>
      <c r="AB1054" s="148">
        <v>20999.39</v>
      </c>
      <c r="AC1054" s="148">
        <v>881974.17</v>
      </c>
      <c r="AD1054" s="315">
        <f t="shared" si="665"/>
        <v>881092.1958300001</v>
      </c>
      <c r="AE1054" s="147">
        <v>41.24</v>
      </c>
      <c r="AF1054" s="147">
        <v>40.85</v>
      </c>
      <c r="AG1054" s="147">
        <v>41</v>
      </c>
      <c r="AH1054" s="287">
        <v>2.3E-3</v>
      </c>
      <c r="AI1054" s="287">
        <v>3.3000000000000002E-2</v>
      </c>
      <c r="AJ1054" s="287">
        <v>4.9000000000000002E-2</v>
      </c>
      <c r="AK1054" s="318">
        <f t="shared" si="726"/>
        <v>0</v>
      </c>
      <c r="AL1054" s="193">
        <v>0</v>
      </c>
      <c r="AM1054" s="319">
        <v>0</v>
      </c>
      <c r="AN1054" s="319"/>
      <c r="AO1054" s="320">
        <f t="shared" si="710"/>
        <v>0</v>
      </c>
      <c r="AP1054" s="193">
        <v>0</v>
      </c>
      <c r="AQ1054" s="318">
        <v>0</v>
      </c>
      <c r="AR1054" s="318">
        <f t="shared" si="711"/>
        <v>0</v>
      </c>
      <c r="AS1054" s="318">
        <f t="shared" si="712"/>
        <v>0</v>
      </c>
      <c r="AT1054" s="321">
        <v>0</v>
      </c>
      <c r="AU1054" s="157" t="s">
        <v>2340</v>
      </c>
      <c r="AV1054" s="136"/>
      <c r="AW1054" s="318">
        <f t="shared" si="713"/>
        <v>10740</v>
      </c>
      <c r="AX1054" s="193"/>
      <c r="AY1054" s="318">
        <f t="shared" si="714"/>
        <v>10740</v>
      </c>
      <c r="AZ1054" s="318">
        <f t="shared" si="715"/>
        <v>10890</v>
      </c>
      <c r="BA1054" s="318">
        <f t="shared" si="716"/>
        <v>-150</v>
      </c>
      <c r="BB1054" s="318">
        <f t="shared" si="717"/>
        <v>21.48</v>
      </c>
      <c r="BC1054" s="318">
        <v>0</v>
      </c>
      <c r="BD1054" s="431"/>
      <c r="BE1054" s="147">
        <v>108.8</v>
      </c>
      <c r="BF1054" s="375">
        <f t="shared" si="718"/>
        <v>0.16320000000000001</v>
      </c>
      <c r="BG1054" s="197">
        <f t="shared" si="719"/>
        <v>108.63679999999999</v>
      </c>
      <c r="BH1054" s="321">
        <f t="shared" si="720"/>
        <v>108.9</v>
      </c>
      <c r="BI1054" s="322">
        <f t="shared" si="721"/>
        <v>-10.000000000000853</v>
      </c>
      <c r="BJ1054" s="322">
        <v>0</v>
      </c>
      <c r="BK1054" s="318">
        <f t="shared" si="722"/>
        <v>-10.000000000000853</v>
      </c>
      <c r="BL1054" s="67"/>
      <c r="BM1054" s="68" t="str">
        <f t="shared" si="723"/>
        <v>Unloading no. 1022 Bill No G1731 ,Deduction For Oil Deduction= 0 ,Bardana= 0 ,F.M= 0 Brokerage/Rate Difference  ,Shortage = 0 ,Greenish= 0 ,Moisture= 0</v>
      </c>
      <c r="BN1054" s="69"/>
      <c r="BO1054" s="70" t="str">
        <f t="shared" si="724"/>
        <v xml:space="preserve"> Party Condition 40.85  ,F.M% 0.23 ,Greenish 3.3 ,Moisture 4.9 ,Shortage in KG= 0  ,Oil% 41</v>
      </c>
      <c r="BP1054" s="71">
        <f t="shared" si="725"/>
        <v>7713.272727272727</v>
      </c>
      <c r="BQ1054" s="55"/>
      <c r="BR1054" s="55"/>
      <c r="BS1054" s="41"/>
      <c r="BT1054" s="41"/>
      <c r="BU1054" s="41"/>
      <c r="BV1054" s="41"/>
      <c r="BW1054" s="85"/>
      <c r="BX1054" s="27">
        <v>41.24</v>
      </c>
      <c r="BY1054" s="27">
        <v>41</v>
      </c>
    </row>
    <row r="1055" spans="1:83" ht="14.1" hidden="1" customHeight="1" x14ac:dyDescent="0.3">
      <c r="A1055" s="281" t="s">
        <v>2219</v>
      </c>
      <c r="B1055" s="146">
        <v>46203</v>
      </c>
      <c r="C1055" s="138">
        <v>1023</v>
      </c>
      <c r="D1055" s="138" t="s">
        <v>2258</v>
      </c>
      <c r="E1055" s="129">
        <v>46205</v>
      </c>
      <c r="F1055" s="128" t="s">
        <v>1144</v>
      </c>
      <c r="G1055" s="128" t="s">
        <v>1145</v>
      </c>
      <c r="H1055" s="128" t="s">
        <v>100</v>
      </c>
      <c r="I1055" s="136"/>
      <c r="J1055" s="347" t="s">
        <v>1455</v>
      </c>
      <c r="K1055" s="136"/>
      <c r="L1055" s="146">
        <v>46203</v>
      </c>
      <c r="M1055" s="136"/>
      <c r="N1055" s="128" t="s">
        <v>2301</v>
      </c>
      <c r="O1055" s="146">
        <v>46205</v>
      </c>
      <c r="P1055" s="138">
        <v>0</v>
      </c>
      <c r="Q1055" s="138">
        <v>120</v>
      </c>
      <c r="R1055" s="138">
        <v>37</v>
      </c>
      <c r="S1055" s="138">
        <v>157</v>
      </c>
      <c r="T1055" s="138">
        <v>157</v>
      </c>
      <c r="U1055" s="136"/>
      <c r="V1055" s="136"/>
      <c r="W1055" s="148">
        <v>93.9</v>
      </c>
      <c r="X1055" s="148">
        <v>93.8</v>
      </c>
      <c r="Y1055" s="148">
        <v>737208.9</v>
      </c>
      <c r="Z1055" s="372">
        <v>39.75</v>
      </c>
      <c r="AA1055" s="148">
        <v>18430.22</v>
      </c>
      <c r="AB1055" s="148">
        <v>18430.22</v>
      </c>
      <c r="AC1055" s="148">
        <v>774069.35</v>
      </c>
      <c r="AD1055" s="315">
        <f t="shared" si="665"/>
        <v>773295.28064999997</v>
      </c>
      <c r="AE1055" s="173">
        <v>39.75</v>
      </c>
      <c r="AF1055" s="147">
        <v>42</v>
      </c>
      <c r="AG1055" s="173">
        <v>39.75</v>
      </c>
      <c r="AH1055" s="287">
        <v>2.5999999999999999E-3</v>
      </c>
      <c r="AI1055" s="287">
        <v>3.2500000000000001E-2</v>
      </c>
      <c r="AJ1055" s="287">
        <v>4.2999999999999997E-2</v>
      </c>
      <c r="AK1055" s="318">
        <f t="shared" si="726"/>
        <v>39493.333928571425</v>
      </c>
      <c r="AL1055" s="193">
        <v>0</v>
      </c>
      <c r="AM1055" s="319">
        <v>0</v>
      </c>
      <c r="AN1055" s="319"/>
      <c r="AO1055" s="320">
        <f t="shared" si="710"/>
        <v>0</v>
      </c>
      <c r="AP1055" s="193">
        <v>0</v>
      </c>
      <c r="AQ1055" s="318">
        <v>0</v>
      </c>
      <c r="AR1055" s="318">
        <f t="shared" si="711"/>
        <v>39493.333928571425</v>
      </c>
      <c r="AS1055" s="318">
        <f t="shared" si="712"/>
        <v>41468</v>
      </c>
      <c r="AT1055" s="321">
        <v>0</v>
      </c>
      <c r="AU1055" s="157"/>
      <c r="AV1055" s="136"/>
      <c r="AW1055" s="318">
        <f t="shared" si="713"/>
        <v>9390</v>
      </c>
      <c r="AX1055" s="193"/>
      <c r="AY1055" s="318">
        <f t="shared" si="714"/>
        <v>9390</v>
      </c>
      <c r="AZ1055" s="318">
        <f t="shared" si="715"/>
        <v>9380</v>
      </c>
      <c r="BA1055" s="318">
        <f t="shared" si="716"/>
        <v>10</v>
      </c>
      <c r="BB1055" s="318">
        <f t="shared" si="717"/>
        <v>18.78</v>
      </c>
      <c r="BC1055" s="318">
        <v>0</v>
      </c>
      <c r="BD1055" s="431"/>
      <c r="BE1055" s="147">
        <v>93.9</v>
      </c>
      <c r="BF1055" s="375">
        <f t="shared" si="718"/>
        <v>0.14085</v>
      </c>
      <c r="BG1055" s="197">
        <f t="shared" si="719"/>
        <v>93.759150000000005</v>
      </c>
      <c r="BH1055" s="321">
        <f t="shared" si="720"/>
        <v>93.8</v>
      </c>
      <c r="BI1055" s="322">
        <f t="shared" si="721"/>
        <v>10.000000000000853</v>
      </c>
      <c r="BJ1055" s="322">
        <v>0</v>
      </c>
      <c r="BK1055" s="318">
        <f t="shared" si="722"/>
        <v>10.000000000000853</v>
      </c>
      <c r="BL1055" s="67"/>
      <c r="BM1055" s="68" t="str">
        <f t="shared" si="723"/>
        <v>Unloading no. 1023 Bill No 2026-27/262 ,Deduction For Oil Deduction= 39493.3339285714 ,Bardana= 0 ,F.M= 0 Brokerage/Rate Difference  ,Shortage = 0 ,Greenish= 0 ,Moisture= 0</v>
      </c>
      <c r="BN1055" s="69"/>
      <c r="BO1055" s="70" t="str">
        <f t="shared" si="724"/>
        <v xml:space="preserve"> Party Condition 42  ,F.M% 0.26 ,Greenish 3.25 ,Moisture 4.3 ,Shortage in KG= 0  ,Oil% 39.75</v>
      </c>
      <c r="BP1055" s="71">
        <f t="shared" si="725"/>
        <v>7438.3322608894305</v>
      </c>
      <c r="BQ1055" s="55"/>
      <c r="BR1055" s="55"/>
      <c r="BS1055" s="41"/>
      <c r="BT1055" s="41"/>
      <c r="BU1055" s="41"/>
      <c r="BV1055" s="41"/>
      <c r="BW1055" s="85"/>
      <c r="BX1055" s="30">
        <v>39.590000000000003</v>
      </c>
      <c r="BY1055" s="30">
        <v>39.46</v>
      </c>
    </row>
    <row r="1056" spans="1:83" ht="14.1" hidden="1" customHeight="1" x14ac:dyDescent="0.3">
      <c r="A1056" s="281" t="s">
        <v>2219</v>
      </c>
      <c r="B1056" s="146">
        <v>46203</v>
      </c>
      <c r="C1056" s="138">
        <v>1024</v>
      </c>
      <c r="D1056" s="138" t="s">
        <v>2259</v>
      </c>
      <c r="E1056" s="129">
        <v>46205</v>
      </c>
      <c r="F1056" s="128" t="s">
        <v>1144</v>
      </c>
      <c r="G1056" s="128" t="s">
        <v>1145</v>
      </c>
      <c r="H1056" s="128" t="s">
        <v>100</v>
      </c>
      <c r="I1056" s="136"/>
      <c r="J1056" s="347" t="s">
        <v>1455</v>
      </c>
      <c r="K1056" s="136"/>
      <c r="L1056" s="146">
        <v>46203</v>
      </c>
      <c r="M1056" s="136"/>
      <c r="N1056" s="128" t="s">
        <v>2302</v>
      </c>
      <c r="O1056" s="146">
        <v>46205</v>
      </c>
      <c r="P1056" s="138">
        <v>0</v>
      </c>
      <c r="Q1056" s="138">
        <v>150</v>
      </c>
      <c r="R1056" s="138">
        <v>7</v>
      </c>
      <c r="S1056" s="138">
        <v>157</v>
      </c>
      <c r="T1056" s="138">
        <v>157</v>
      </c>
      <c r="U1056" s="136"/>
      <c r="V1056" s="136"/>
      <c r="W1056" s="148">
        <v>93.5</v>
      </c>
      <c r="X1056" s="148">
        <v>93.3</v>
      </c>
      <c r="Y1056" s="148">
        <v>734068.5</v>
      </c>
      <c r="Z1056" s="372">
        <v>40.08</v>
      </c>
      <c r="AA1056" s="148">
        <v>18351.71</v>
      </c>
      <c r="AB1056" s="148">
        <v>18351.71</v>
      </c>
      <c r="AC1056" s="148">
        <v>770771.93</v>
      </c>
      <c r="AD1056" s="315">
        <f t="shared" si="665"/>
        <v>770001.15807</v>
      </c>
      <c r="AE1056" s="173">
        <v>40.08</v>
      </c>
      <c r="AF1056" s="147">
        <v>42</v>
      </c>
      <c r="AG1056" s="173">
        <v>40.08</v>
      </c>
      <c r="AH1056" s="287">
        <v>2.8E-3</v>
      </c>
      <c r="AI1056" s="287">
        <v>3.1E-2</v>
      </c>
      <c r="AJ1056" s="287">
        <v>0.04</v>
      </c>
      <c r="AK1056" s="318">
        <f t="shared" si="726"/>
        <v>33557.417142857172</v>
      </c>
      <c r="AL1056" s="193">
        <v>0</v>
      </c>
      <c r="AM1056" s="319">
        <v>0</v>
      </c>
      <c r="AN1056" s="319"/>
      <c r="AO1056" s="320">
        <f t="shared" si="710"/>
        <v>78.510000000000005</v>
      </c>
      <c r="AP1056" s="193">
        <v>0</v>
      </c>
      <c r="AQ1056" s="318">
        <v>0</v>
      </c>
      <c r="AR1056" s="318">
        <f t="shared" si="711"/>
        <v>33635.927142857174</v>
      </c>
      <c r="AS1056" s="318">
        <f t="shared" si="712"/>
        <v>35318</v>
      </c>
      <c r="AT1056" s="321">
        <v>1</v>
      </c>
      <c r="AU1056" s="157"/>
      <c r="AV1056" s="136"/>
      <c r="AW1056" s="318">
        <f t="shared" si="713"/>
        <v>9350</v>
      </c>
      <c r="AX1056" s="193"/>
      <c r="AY1056" s="318">
        <f t="shared" si="714"/>
        <v>9350</v>
      </c>
      <c r="AZ1056" s="318">
        <f t="shared" si="715"/>
        <v>9330</v>
      </c>
      <c r="BA1056" s="318">
        <f t="shared" si="716"/>
        <v>20</v>
      </c>
      <c r="BB1056" s="318">
        <f t="shared" si="717"/>
        <v>18.7</v>
      </c>
      <c r="BC1056" s="318">
        <v>0</v>
      </c>
      <c r="BD1056" s="431"/>
      <c r="BE1056" s="147">
        <v>93.5</v>
      </c>
      <c r="BF1056" s="375">
        <f t="shared" si="718"/>
        <v>0.14025000000000001</v>
      </c>
      <c r="BG1056" s="197">
        <f t="shared" si="719"/>
        <v>93.359750000000005</v>
      </c>
      <c r="BH1056" s="321">
        <f t="shared" si="720"/>
        <v>93.3</v>
      </c>
      <c r="BI1056" s="322">
        <f t="shared" si="721"/>
        <v>20.000000000000284</v>
      </c>
      <c r="BJ1056" s="322">
        <v>0</v>
      </c>
      <c r="BK1056" s="318">
        <f t="shared" si="722"/>
        <v>20.000000000000284</v>
      </c>
      <c r="BL1056" s="67"/>
      <c r="BM1056" s="68" t="str">
        <f t="shared" si="723"/>
        <v>Unloading no. 1024 Bill No 2026-27/263 ,Deduction For Oil Deduction= 33557.4171428572 ,Bardana= 0 ,F.M= 0 Brokerage/Rate Difference  ,Shortage = 78.51 ,Greenish= 0 ,Moisture= 0</v>
      </c>
      <c r="BN1056" s="69"/>
      <c r="BO1056" s="70" t="str">
        <f t="shared" si="724"/>
        <v xml:space="preserve"> Party Condition 42  ,F.M% 0.28 ,Greenish 3.1 ,Moisture 4 ,Shortage in KG= 1  ,Oil% 40.08</v>
      </c>
      <c r="BP1056" s="71">
        <f t="shared" si="725"/>
        <v>7507.3158934313269</v>
      </c>
      <c r="BQ1056" s="55"/>
      <c r="BR1056" s="55"/>
      <c r="BS1056" s="41"/>
      <c r="BT1056" s="41"/>
      <c r="BU1056" s="41"/>
      <c r="BV1056" s="41"/>
      <c r="BW1056" s="85"/>
      <c r="BX1056" s="30">
        <v>39.9</v>
      </c>
      <c r="BY1056" s="30">
        <v>39.61</v>
      </c>
    </row>
    <row r="1057" spans="1:83" ht="14.1" hidden="1" customHeight="1" x14ac:dyDescent="0.3">
      <c r="A1057" s="281" t="s">
        <v>2219</v>
      </c>
      <c r="B1057" s="146">
        <v>46203</v>
      </c>
      <c r="C1057" s="138">
        <v>1025</v>
      </c>
      <c r="D1057" s="138" t="s">
        <v>2260</v>
      </c>
      <c r="E1057" s="129">
        <v>46205</v>
      </c>
      <c r="F1057" s="128" t="s">
        <v>1144</v>
      </c>
      <c r="G1057" s="128" t="s">
        <v>1145</v>
      </c>
      <c r="H1057" s="128" t="s">
        <v>100</v>
      </c>
      <c r="I1057" s="136"/>
      <c r="J1057" s="347" t="s">
        <v>1455</v>
      </c>
      <c r="K1057" s="136"/>
      <c r="L1057" s="146">
        <v>46203</v>
      </c>
      <c r="M1057" s="136"/>
      <c r="N1057" s="128" t="s">
        <v>2303</v>
      </c>
      <c r="O1057" s="146">
        <v>46205</v>
      </c>
      <c r="P1057" s="138">
        <v>0</v>
      </c>
      <c r="Q1057" s="138">
        <v>120</v>
      </c>
      <c r="R1057" s="138">
        <v>40</v>
      </c>
      <c r="S1057" s="138">
        <v>160</v>
      </c>
      <c r="T1057" s="138">
        <v>160</v>
      </c>
      <c r="U1057" s="136"/>
      <c r="V1057" s="136"/>
      <c r="W1057" s="148">
        <v>95</v>
      </c>
      <c r="X1057" s="148">
        <v>94.9</v>
      </c>
      <c r="Y1057" s="148">
        <v>745845</v>
      </c>
      <c r="Z1057" s="372">
        <v>40.58</v>
      </c>
      <c r="AA1057" s="148">
        <v>18646.13</v>
      </c>
      <c r="AB1057" s="148">
        <v>18646.13</v>
      </c>
      <c r="AC1057" s="148">
        <v>783137.25</v>
      </c>
      <c r="AD1057" s="315">
        <f t="shared" si="665"/>
        <v>782354.11274999997</v>
      </c>
      <c r="AE1057" s="173">
        <v>40.58</v>
      </c>
      <c r="AF1057" s="147">
        <v>42</v>
      </c>
      <c r="AG1057" s="173">
        <v>40.58</v>
      </c>
      <c r="AH1057" s="287">
        <v>2.2000000000000001E-3</v>
      </c>
      <c r="AI1057" s="287">
        <v>3.2899999999999999E-2</v>
      </c>
      <c r="AJ1057" s="287">
        <v>4.5999999999999999E-2</v>
      </c>
      <c r="AK1057" s="318">
        <f t="shared" si="726"/>
        <v>25216.664285714316</v>
      </c>
      <c r="AL1057" s="193">
        <v>0</v>
      </c>
      <c r="AM1057" s="319">
        <v>0</v>
      </c>
      <c r="AN1057" s="319"/>
      <c r="AO1057" s="320">
        <f t="shared" si="710"/>
        <v>0</v>
      </c>
      <c r="AP1057" s="193">
        <v>0</v>
      </c>
      <c r="AQ1057" s="318">
        <v>0</v>
      </c>
      <c r="AR1057" s="318">
        <f t="shared" si="711"/>
        <v>25216.664285714316</v>
      </c>
      <c r="AS1057" s="318">
        <f t="shared" si="712"/>
        <v>26477</v>
      </c>
      <c r="AT1057" s="321">
        <v>0</v>
      </c>
      <c r="AU1057" s="157"/>
      <c r="AV1057" s="136"/>
      <c r="AW1057" s="318">
        <f t="shared" si="713"/>
        <v>9500</v>
      </c>
      <c r="AX1057" s="193"/>
      <c r="AY1057" s="318">
        <f t="shared" si="714"/>
        <v>9500</v>
      </c>
      <c r="AZ1057" s="318">
        <f t="shared" si="715"/>
        <v>9490</v>
      </c>
      <c r="BA1057" s="318">
        <f t="shared" si="716"/>
        <v>10</v>
      </c>
      <c r="BB1057" s="318">
        <f t="shared" si="717"/>
        <v>19</v>
      </c>
      <c r="BC1057" s="318">
        <v>0</v>
      </c>
      <c r="BD1057" s="431"/>
      <c r="BE1057" s="147">
        <v>95</v>
      </c>
      <c r="BF1057" s="375">
        <f t="shared" si="718"/>
        <v>0.14249999999999999</v>
      </c>
      <c r="BG1057" s="197">
        <f t="shared" si="719"/>
        <v>94.857500000000002</v>
      </c>
      <c r="BH1057" s="321">
        <f t="shared" si="720"/>
        <v>94.9</v>
      </c>
      <c r="BI1057" s="322">
        <f t="shared" si="721"/>
        <v>9.9999999999994316</v>
      </c>
      <c r="BJ1057" s="322">
        <v>0</v>
      </c>
      <c r="BK1057" s="318">
        <f t="shared" si="722"/>
        <v>9.9999999999994316</v>
      </c>
      <c r="BL1057" s="67"/>
      <c r="BM1057" s="68" t="str">
        <f t="shared" si="723"/>
        <v>Unloading no. 1025 Bill No 2026-27/264 ,Deduction For Oil Deduction= 25216.6642857143 ,Bardana= 0 ,F.M= 0 Brokerage/Rate Difference  ,Shortage = 0 ,Greenish= 0 ,Moisture= 0</v>
      </c>
      <c r="BN1057" s="69"/>
      <c r="BO1057" s="70" t="str">
        <f t="shared" si="724"/>
        <v xml:space="preserve"> Party Condition 42  ,F.M% 0.22 ,Greenish 3.29 ,Moisture 4.6 ,Shortage in KG= 0  ,Oil% 40.58</v>
      </c>
      <c r="BP1057" s="71">
        <f t="shared" si="725"/>
        <v>7593.5546439861509</v>
      </c>
      <c r="BQ1057" s="55"/>
      <c r="BR1057" s="55"/>
      <c r="BS1057" s="41"/>
      <c r="BT1057" s="41"/>
      <c r="BU1057" s="41"/>
      <c r="BV1057" s="41"/>
      <c r="BW1057" s="85"/>
      <c r="BX1057" s="30">
        <v>40.58</v>
      </c>
      <c r="BY1057" s="30">
        <v>40.33</v>
      </c>
    </row>
    <row r="1058" spans="1:83" ht="14.1" hidden="1" customHeight="1" x14ac:dyDescent="0.3">
      <c r="A1058" s="281" t="s">
        <v>2219</v>
      </c>
      <c r="B1058" s="146">
        <v>46203</v>
      </c>
      <c r="C1058" s="138">
        <v>1026</v>
      </c>
      <c r="D1058" s="138" t="s">
        <v>2261</v>
      </c>
      <c r="E1058" s="129">
        <v>46205</v>
      </c>
      <c r="F1058" s="128" t="s">
        <v>1144</v>
      </c>
      <c r="G1058" s="128" t="s">
        <v>1145</v>
      </c>
      <c r="H1058" s="128" t="s">
        <v>100</v>
      </c>
      <c r="I1058" s="136"/>
      <c r="J1058" s="347" t="s">
        <v>1455</v>
      </c>
      <c r="K1058" s="136"/>
      <c r="L1058" s="146">
        <v>46203</v>
      </c>
      <c r="M1058" s="136"/>
      <c r="N1058" s="128" t="s">
        <v>2304</v>
      </c>
      <c r="O1058" s="146">
        <v>46205</v>
      </c>
      <c r="P1058" s="138">
        <v>0</v>
      </c>
      <c r="Q1058" s="138">
        <v>140</v>
      </c>
      <c r="R1058" s="138">
        <v>20</v>
      </c>
      <c r="S1058" s="138">
        <v>160</v>
      </c>
      <c r="T1058" s="138">
        <v>160</v>
      </c>
      <c r="U1058" s="136"/>
      <c r="V1058" s="136"/>
      <c r="W1058" s="148">
        <v>93.8</v>
      </c>
      <c r="X1058" s="148">
        <v>93.7</v>
      </c>
      <c r="Y1058" s="148">
        <v>736423</v>
      </c>
      <c r="Z1058" s="372">
        <v>40.72</v>
      </c>
      <c r="AA1058" s="148">
        <v>18410.580000000002</v>
      </c>
      <c r="AB1058" s="148">
        <v>18410.580000000002</v>
      </c>
      <c r="AC1058" s="148">
        <v>773244.15</v>
      </c>
      <c r="AD1058" s="315">
        <f t="shared" si="665"/>
        <v>772470.90584999998</v>
      </c>
      <c r="AE1058" s="173">
        <v>40.72</v>
      </c>
      <c r="AF1058" s="147">
        <v>42</v>
      </c>
      <c r="AG1058" s="173">
        <v>40.72</v>
      </c>
      <c r="AH1058" s="287">
        <v>2.2000000000000001E-3</v>
      </c>
      <c r="AI1058" s="287">
        <v>0.04</v>
      </c>
      <c r="AJ1058" s="287">
        <v>4.8000000000000001E-2</v>
      </c>
      <c r="AK1058" s="318">
        <f t="shared" si="726"/>
        <v>22443.36761904764</v>
      </c>
      <c r="AL1058" s="193">
        <v>0</v>
      </c>
      <c r="AM1058" s="319">
        <v>0</v>
      </c>
      <c r="AN1058" s="319"/>
      <c r="AO1058" s="320">
        <f t="shared" si="710"/>
        <v>0</v>
      </c>
      <c r="AP1058" s="193">
        <v>0</v>
      </c>
      <c r="AQ1058" s="318">
        <v>0</v>
      </c>
      <c r="AR1058" s="318">
        <f t="shared" si="711"/>
        <v>22443.36761904764</v>
      </c>
      <c r="AS1058" s="318">
        <f t="shared" si="712"/>
        <v>23566</v>
      </c>
      <c r="AT1058" s="321">
        <v>0</v>
      </c>
      <c r="AU1058" s="157"/>
      <c r="AV1058" s="136"/>
      <c r="AW1058" s="318">
        <f t="shared" si="713"/>
        <v>9380</v>
      </c>
      <c r="AX1058" s="193"/>
      <c r="AY1058" s="318">
        <f t="shared" si="714"/>
        <v>9380</v>
      </c>
      <c r="AZ1058" s="318">
        <f t="shared" si="715"/>
        <v>9370</v>
      </c>
      <c r="BA1058" s="318">
        <f t="shared" si="716"/>
        <v>10</v>
      </c>
      <c r="BB1058" s="318">
        <f t="shared" si="717"/>
        <v>18.760000000000002</v>
      </c>
      <c r="BC1058" s="318">
        <v>0</v>
      </c>
      <c r="BD1058" s="431"/>
      <c r="BE1058" s="147">
        <v>93.8</v>
      </c>
      <c r="BF1058" s="375">
        <f t="shared" si="718"/>
        <v>0.14069999999999999</v>
      </c>
      <c r="BG1058" s="197">
        <f t="shared" si="719"/>
        <v>93.659300000000002</v>
      </c>
      <c r="BH1058" s="321">
        <f t="shared" si="720"/>
        <v>93.7</v>
      </c>
      <c r="BI1058" s="322">
        <f t="shared" si="721"/>
        <v>9.9999999999994316</v>
      </c>
      <c r="BJ1058" s="322">
        <v>0</v>
      </c>
      <c r="BK1058" s="318">
        <f t="shared" si="722"/>
        <v>9.9999999999994316</v>
      </c>
      <c r="BL1058" s="67"/>
      <c r="BM1058" s="68" t="str">
        <f t="shared" si="723"/>
        <v>Unloading no. 1026 Bill No 2026-27/265 ,Deduction For Oil Deduction= 22443.3676190476 ,Bardana= 0 ,F.M= 0 Brokerage/Rate Difference  ,Shortage = 0 ,Greenish= 0 ,Moisture= 0</v>
      </c>
      <c r="BN1058" s="69"/>
      <c r="BO1058" s="70" t="str">
        <f t="shared" si="724"/>
        <v xml:space="preserve"> Party Condition 42  ,F.M% 0.22 ,Greenish 4 ,Moisture 4.8 ,Shortage in KG= 0  ,Oil% 40.72</v>
      </c>
      <c r="BP1058" s="71">
        <f t="shared" si="725"/>
        <v>7619.8466636174207</v>
      </c>
      <c r="BQ1058" s="55"/>
      <c r="BR1058" s="55"/>
      <c r="BS1058" s="41"/>
      <c r="BT1058" s="41"/>
      <c r="BU1058" s="41"/>
      <c r="BV1058" s="41"/>
      <c r="BW1058" s="85"/>
      <c r="BX1058" s="30">
        <v>40.4</v>
      </c>
      <c r="BY1058" s="30">
        <v>40.25</v>
      </c>
    </row>
    <row r="1059" spans="1:83" ht="14.1" hidden="1" customHeight="1" x14ac:dyDescent="0.3">
      <c r="A1059" s="281" t="s">
        <v>2219</v>
      </c>
      <c r="B1059" s="146">
        <v>46203</v>
      </c>
      <c r="C1059" s="138">
        <v>1027</v>
      </c>
      <c r="D1059" s="138" t="s">
        <v>2262</v>
      </c>
      <c r="E1059" s="129">
        <v>46205</v>
      </c>
      <c r="F1059" s="128" t="s">
        <v>1144</v>
      </c>
      <c r="G1059" s="128" t="s">
        <v>1145</v>
      </c>
      <c r="H1059" s="128" t="s">
        <v>100</v>
      </c>
      <c r="I1059" s="136"/>
      <c r="J1059" s="347" t="s">
        <v>1455</v>
      </c>
      <c r="K1059" s="136"/>
      <c r="L1059" s="146">
        <v>46203</v>
      </c>
      <c r="M1059" s="136"/>
      <c r="N1059" s="128" t="s">
        <v>2305</v>
      </c>
      <c r="O1059" s="146">
        <v>46205</v>
      </c>
      <c r="P1059" s="138">
        <v>0</v>
      </c>
      <c r="Q1059" s="138">
        <v>130</v>
      </c>
      <c r="R1059" s="138">
        <v>27</v>
      </c>
      <c r="S1059" s="138">
        <v>157</v>
      </c>
      <c r="T1059" s="138">
        <v>157</v>
      </c>
      <c r="U1059" s="136"/>
      <c r="V1059" s="136"/>
      <c r="W1059" s="148">
        <v>93.8</v>
      </c>
      <c r="X1059" s="148">
        <v>93.7</v>
      </c>
      <c r="Y1059" s="148">
        <v>736423.8</v>
      </c>
      <c r="Z1059" s="372">
        <v>40.21</v>
      </c>
      <c r="AA1059" s="148">
        <v>18410.599999999999</v>
      </c>
      <c r="AB1059" s="148">
        <v>18410.599999999999</v>
      </c>
      <c r="AC1059" s="148">
        <v>773244.99</v>
      </c>
      <c r="AD1059" s="315">
        <f t="shared" si="665"/>
        <v>772471.74500999996</v>
      </c>
      <c r="AE1059" s="173">
        <v>40.21</v>
      </c>
      <c r="AF1059" s="147">
        <v>42</v>
      </c>
      <c r="AG1059" s="173">
        <v>40.21</v>
      </c>
      <c r="AH1059" s="287">
        <v>2E-3</v>
      </c>
      <c r="AI1059" s="287">
        <v>3.5999999999999997E-2</v>
      </c>
      <c r="AJ1059" s="287">
        <v>4.2999999999999997E-2</v>
      </c>
      <c r="AK1059" s="318">
        <f t="shared" si="726"/>
        <v>31385.680999999986</v>
      </c>
      <c r="AL1059" s="193">
        <v>0</v>
      </c>
      <c r="AM1059" s="319">
        <v>0</v>
      </c>
      <c r="AN1059" s="319"/>
      <c r="AO1059" s="320">
        <f t="shared" si="710"/>
        <v>0</v>
      </c>
      <c r="AP1059" s="193">
        <v>0</v>
      </c>
      <c r="AQ1059" s="318">
        <v>0</v>
      </c>
      <c r="AR1059" s="318">
        <f t="shared" si="711"/>
        <v>31385.680999999986</v>
      </c>
      <c r="AS1059" s="318">
        <f t="shared" si="712"/>
        <v>32955</v>
      </c>
      <c r="AT1059" s="321">
        <v>0</v>
      </c>
      <c r="AU1059" s="157"/>
      <c r="AV1059" s="136"/>
      <c r="AW1059" s="318">
        <f t="shared" si="713"/>
        <v>9380</v>
      </c>
      <c r="AX1059" s="193"/>
      <c r="AY1059" s="318">
        <f t="shared" si="714"/>
        <v>9380</v>
      </c>
      <c r="AZ1059" s="318">
        <f t="shared" si="715"/>
        <v>9370</v>
      </c>
      <c r="BA1059" s="318">
        <f t="shared" si="716"/>
        <v>10</v>
      </c>
      <c r="BB1059" s="318">
        <f t="shared" si="717"/>
        <v>18.760000000000002</v>
      </c>
      <c r="BC1059" s="318">
        <v>0</v>
      </c>
      <c r="BD1059" s="431"/>
      <c r="BE1059" s="147">
        <v>93.8</v>
      </c>
      <c r="BF1059" s="375">
        <f t="shared" si="718"/>
        <v>0.14069999999999999</v>
      </c>
      <c r="BG1059" s="197">
        <f t="shared" si="719"/>
        <v>93.659300000000002</v>
      </c>
      <c r="BH1059" s="321">
        <f t="shared" si="720"/>
        <v>93.7</v>
      </c>
      <c r="BI1059" s="322">
        <f t="shared" si="721"/>
        <v>9.9999999999994316</v>
      </c>
      <c r="BJ1059" s="322">
        <v>0</v>
      </c>
      <c r="BK1059" s="318">
        <f t="shared" si="722"/>
        <v>9.9999999999994316</v>
      </c>
      <c r="BL1059" s="67"/>
      <c r="BM1059" s="68" t="str">
        <f t="shared" si="723"/>
        <v>Unloading no. 1027 Bill No 2026-27/266 ,Deduction For Oil Deduction= 31385.681 ,Bardana= 0 ,F.M= 0 Brokerage/Rate Difference  ,Shortage = 0 ,Greenish= 0 ,Moisture= 0</v>
      </c>
      <c r="BN1059" s="69"/>
      <c r="BO1059" s="70" t="str">
        <f t="shared" si="724"/>
        <v xml:space="preserve"> Party Condition 42  ,F.M% 0.2 ,Greenish 3.6 ,Moisture 4.3 ,Shortage in KG= 0  ,Oil% 40.21</v>
      </c>
      <c r="BP1059" s="71">
        <f t="shared" si="725"/>
        <v>7524.4196264674501</v>
      </c>
      <c r="BQ1059" s="55"/>
      <c r="BR1059" s="55"/>
      <c r="BS1059" s="41"/>
      <c r="BT1059" s="41"/>
      <c r="BU1059" s="41"/>
      <c r="BV1059" s="41"/>
      <c r="BW1059" s="85"/>
      <c r="BX1059" s="30">
        <v>40.1</v>
      </c>
      <c r="BY1059" s="30">
        <v>39.799999999999997</v>
      </c>
    </row>
    <row r="1060" spans="1:83" ht="14.1" hidden="1" customHeight="1" x14ac:dyDescent="0.3">
      <c r="A1060" s="281" t="s">
        <v>2219</v>
      </c>
      <c r="B1060" s="146">
        <v>46203</v>
      </c>
      <c r="C1060" s="138">
        <v>1028</v>
      </c>
      <c r="D1060" s="138" t="s">
        <v>2263</v>
      </c>
      <c r="E1060" s="129">
        <v>46205</v>
      </c>
      <c r="F1060" s="128" t="s">
        <v>1144</v>
      </c>
      <c r="G1060" s="128" t="s">
        <v>1145</v>
      </c>
      <c r="H1060" s="128" t="s">
        <v>100</v>
      </c>
      <c r="I1060" s="136"/>
      <c r="J1060" s="347" t="s">
        <v>1455</v>
      </c>
      <c r="K1060" s="136"/>
      <c r="L1060" s="146">
        <v>46203</v>
      </c>
      <c r="M1060" s="136"/>
      <c r="N1060" s="128" t="s">
        <v>2306</v>
      </c>
      <c r="O1060" s="146">
        <v>46205</v>
      </c>
      <c r="P1060" s="138">
        <v>0</v>
      </c>
      <c r="Q1060" s="138">
        <v>150</v>
      </c>
      <c r="R1060" s="138">
        <v>10</v>
      </c>
      <c r="S1060" s="138">
        <v>160</v>
      </c>
      <c r="T1060" s="138">
        <v>160</v>
      </c>
      <c r="U1060" s="136"/>
      <c r="V1060" s="136"/>
      <c r="W1060" s="148">
        <v>94.5</v>
      </c>
      <c r="X1060" s="148">
        <v>94.3</v>
      </c>
      <c r="Y1060" s="148">
        <v>741919.5</v>
      </c>
      <c r="Z1060" s="372">
        <v>40.270000000000003</v>
      </c>
      <c r="AA1060" s="148">
        <v>18547.990000000002</v>
      </c>
      <c r="AB1060" s="148">
        <v>18547.990000000002</v>
      </c>
      <c r="AC1060" s="148">
        <v>779015.48</v>
      </c>
      <c r="AD1060" s="315">
        <f t="shared" si="665"/>
        <v>778236.46452000004</v>
      </c>
      <c r="AE1060" s="173">
        <v>40.270000000000003</v>
      </c>
      <c r="AF1060" s="147">
        <v>42</v>
      </c>
      <c r="AG1060" s="173">
        <v>40.270000000000003</v>
      </c>
      <c r="AH1060" s="287">
        <v>3.0000000000000001E-3</v>
      </c>
      <c r="AI1060" s="287">
        <v>4.2999999999999997E-2</v>
      </c>
      <c r="AJ1060" s="287">
        <v>4.9000000000000002E-2</v>
      </c>
      <c r="AK1060" s="318">
        <f t="shared" si="726"/>
        <v>30560.017499999947</v>
      </c>
      <c r="AL1060" s="193">
        <v>0</v>
      </c>
      <c r="AM1060" s="319">
        <v>0</v>
      </c>
      <c r="AN1060" s="319"/>
      <c r="AO1060" s="320">
        <f t="shared" si="710"/>
        <v>78.510000000000005</v>
      </c>
      <c r="AP1060" s="193">
        <v>0</v>
      </c>
      <c r="AQ1060" s="318">
        <v>0</v>
      </c>
      <c r="AR1060" s="318">
        <f t="shared" si="711"/>
        <v>30638.527499999946</v>
      </c>
      <c r="AS1060" s="318">
        <f t="shared" si="712"/>
        <v>32170</v>
      </c>
      <c r="AT1060" s="321">
        <v>1</v>
      </c>
      <c r="AU1060" s="157"/>
      <c r="AV1060" s="136"/>
      <c r="AW1060" s="318">
        <f t="shared" si="713"/>
        <v>9450</v>
      </c>
      <c r="AX1060" s="193"/>
      <c r="AY1060" s="318">
        <f t="shared" si="714"/>
        <v>9450</v>
      </c>
      <c r="AZ1060" s="318">
        <f t="shared" si="715"/>
        <v>9430</v>
      </c>
      <c r="BA1060" s="318">
        <f t="shared" si="716"/>
        <v>20</v>
      </c>
      <c r="BB1060" s="318">
        <f t="shared" si="717"/>
        <v>18.899999999999999</v>
      </c>
      <c r="BC1060" s="318">
        <v>0</v>
      </c>
      <c r="BD1060" s="431"/>
      <c r="BE1060" s="147">
        <v>94.5</v>
      </c>
      <c r="BF1060" s="375">
        <f t="shared" si="718"/>
        <v>0.14174999999999999</v>
      </c>
      <c r="BG1060" s="197">
        <f t="shared" si="719"/>
        <v>94.358249999999998</v>
      </c>
      <c r="BH1060" s="321">
        <f t="shared" si="720"/>
        <v>94.3</v>
      </c>
      <c r="BI1060" s="322">
        <f t="shared" si="721"/>
        <v>20.000000000000284</v>
      </c>
      <c r="BJ1060" s="322">
        <v>0</v>
      </c>
      <c r="BK1060" s="318">
        <f t="shared" si="722"/>
        <v>20.000000000000284</v>
      </c>
      <c r="BL1060" s="67"/>
      <c r="BM1060" s="68" t="str">
        <f t="shared" si="723"/>
        <v>Unloading no. 1028 Bill No 2026-27/268 ,Deduction For Oil Deduction= 30560.0174999999 ,Bardana= 0 ,F.M= 0 Brokerage/Rate Difference  ,Shortage = 78.51 ,Greenish= 0 ,Moisture= 0</v>
      </c>
      <c r="BN1060" s="69"/>
      <c r="BO1060" s="70" t="str">
        <f t="shared" si="724"/>
        <v xml:space="preserve"> Party Condition 42  ,F.M% 0.3 ,Greenish 4.3 ,Moisture 4.9 ,Shortage in KG= 1  ,Oil% 40.27</v>
      </c>
      <c r="BP1060" s="71">
        <f t="shared" si="725"/>
        <v>7542.7462619300113</v>
      </c>
      <c r="BQ1060" s="55"/>
      <c r="BR1060" s="55"/>
      <c r="BS1060" s="41"/>
      <c r="BT1060" s="41"/>
      <c r="BU1060" s="41"/>
      <c r="BV1060" s="41"/>
      <c r="BW1060" s="85"/>
      <c r="BX1060" s="30">
        <v>40.35</v>
      </c>
      <c r="BY1060" s="30">
        <v>40.020000000000003</v>
      </c>
    </row>
    <row r="1061" spans="1:83" ht="14.1" hidden="1" customHeight="1" x14ac:dyDescent="0.3">
      <c r="A1061" s="281" t="s">
        <v>2219</v>
      </c>
      <c r="B1061" s="146">
        <v>46203</v>
      </c>
      <c r="C1061" s="138">
        <v>1029</v>
      </c>
      <c r="D1061" s="138" t="s">
        <v>2264</v>
      </c>
      <c r="E1061" s="129">
        <v>46205</v>
      </c>
      <c r="F1061" s="128" t="s">
        <v>1144</v>
      </c>
      <c r="G1061" s="128" t="s">
        <v>1145</v>
      </c>
      <c r="H1061" s="128" t="s">
        <v>100</v>
      </c>
      <c r="I1061" s="136"/>
      <c r="J1061" s="347" t="s">
        <v>1455</v>
      </c>
      <c r="K1061" s="136"/>
      <c r="L1061" s="146">
        <v>46203</v>
      </c>
      <c r="M1061" s="136"/>
      <c r="N1061" s="128" t="s">
        <v>2307</v>
      </c>
      <c r="O1061" s="146">
        <v>46205</v>
      </c>
      <c r="P1061" s="138">
        <v>0</v>
      </c>
      <c r="Q1061" s="138">
        <v>135</v>
      </c>
      <c r="R1061" s="138">
        <v>25</v>
      </c>
      <c r="S1061" s="138">
        <v>160</v>
      </c>
      <c r="T1061" s="138">
        <v>160</v>
      </c>
      <c r="U1061" s="136"/>
      <c r="V1061" s="136"/>
      <c r="W1061" s="148">
        <v>93.8</v>
      </c>
      <c r="X1061" s="148">
        <v>93.4</v>
      </c>
      <c r="Y1061" s="148">
        <v>736423</v>
      </c>
      <c r="Z1061" s="372">
        <v>40.51</v>
      </c>
      <c r="AA1061" s="148">
        <v>18410.580000000002</v>
      </c>
      <c r="AB1061" s="148">
        <v>18410.580000000002</v>
      </c>
      <c r="AC1061" s="148">
        <v>773244.15</v>
      </c>
      <c r="AD1061" s="315">
        <f t="shared" si="665"/>
        <v>772470.90584999998</v>
      </c>
      <c r="AE1061" s="173">
        <v>40.51</v>
      </c>
      <c r="AF1061" s="147">
        <v>42</v>
      </c>
      <c r="AG1061" s="173">
        <v>40.51</v>
      </c>
      <c r="AH1061" s="287">
        <v>2.2000000000000001E-3</v>
      </c>
      <c r="AI1061" s="287">
        <v>0.04</v>
      </c>
      <c r="AJ1061" s="287">
        <v>4.7E-2</v>
      </c>
      <c r="AK1061" s="318">
        <f t="shared" si="726"/>
        <v>26125.482619047652</v>
      </c>
      <c r="AL1061" s="193">
        <v>0</v>
      </c>
      <c r="AM1061" s="319">
        <v>0</v>
      </c>
      <c r="AN1061" s="319"/>
      <c r="AO1061" s="320">
        <f t="shared" si="710"/>
        <v>2355.2974413646057</v>
      </c>
      <c r="AP1061" s="193">
        <v>0</v>
      </c>
      <c r="AQ1061" s="318">
        <v>0</v>
      </c>
      <c r="AR1061" s="318">
        <f t="shared" si="711"/>
        <v>28480.780060412257</v>
      </c>
      <c r="AS1061" s="318">
        <f t="shared" si="712"/>
        <v>29905</v>
      </c>
      <c r="AT1061" s="321">
        <v>30</v>
      </c>
      <c r="AU1061" s="206" t="s">
        <v>2339</v>
      </c>
      <c r="AV1061" s="136"/>
      <c r="AW1061" s="318">
        <f t="shared" si="713"/>
        <v>9380</v>
      </c>
      <c r="AX1061" s="193"/>
      <c r="AY1061" s="318">
        <f t="shared" si="714"/>
        <v>9380</v>
      </c>
      <c r="AZ1061" s="318">
        <f t="shared" si="715"/>
        <v>9340</v>
      </c>
      <c r="BA1061" s="318">
        <f t="shared" si="716"/>
        <v>40</v>
      </c>
      <c r="BB1061" s="318">
        <f t="shared" si="717"/>
        <v>18.760000000000002</v>
      </c>
      <c r="BC1061" s="318">
        <v>0</v>
      </c>
      <c r="BD1061" s="431"/>
      <c r="BE1061" s="147">
        <v>93.5</v>
      </c>
      <c r="BF1061" s="375">
        <f t="shared" si="718"/>
        <v>0.14025000000000001</v>
      </c>
      <c r="BG1061" s="197">
        <f t="shared" si="719"/>
        <v>93.359750000000005</v>
      </c>
      <c r="BH1061" s="321">
        <f t="shared" si="720"/>
        <v>93.4</v>
      </c>
      <c r="BI1061" s="322">
        <f t="shared" si="721"/>
        <v>9.9999999999994316</v>
      </c>
      <c r="BJ1061" s="322">
        <v>0</v>
      </c>
      <c r="BK1061" s="318">
        <f t="shared" si="722"/>
        <v>9.9999999999994316</v>
      </c>
      <c r="BL1061" s="67"/>
      <c r="BM1061" s="68" t="str">
        <f t="shared" si="723"/>
        <v>Unloading no. 1029 Bill No 2026-27/267 ,Deduction For Oil Deduction= 26125.4826190477 ,Bardana= 0 ,F.M= 0 Brokerage/Rate Difference  ,Shortage = 2355.29744136461 ,Greenish= 0 ,Moisture= 0</v>
      </c>
      <c r="BN1061" s="69"/>
      <c r="BO1061" s="70" t="str">
        <f t="shared" si="724"/>
        <v xml:space="preserve"> Party Condition 42  ,F.M% 0.22 ,Greenish 4 ,Moisture 4.7 ,Shortage in KG= 30  ,Oil% 40.51</v>
      </c>
      <c r="BP1061" s="71">
        <f t="shared" si="725"/>
        <v>7579.6811556701041</v>
      </c>
      <c r="BQ1061" s="55"/>
      <c r="BR1061" s="55"/>
      <c r="BS1061" s="41"/>
      <c r="BT1061" s="41"/>
      <c r="BU1061" s="41"/>
      <c r="BV1061" s="41"/>
      <c r="BW1061" s="85"/>
      <c r="BX1061" s="30">
        <v>40.33</v>
      </c>
      <c r="BY1061" s="30">
        <v>40.24</v>
      </c>
    </row>
    <row r="1062" spans="1:83" ht="14.1" hidden="1" customHeight="1" x14ac:dyDescent="0.3">
      <c r="A1062" s="281" t="s">
        <v>2219</v>
      </c>
      <c r="B1062" s="146">
        <v>46203</v>
      </c>
      <c r="C1062" s="138">
        <v>1030</v>
      </c>
      <c r="D1062" s="138" t="s">
        <v>2265</v>
      </c>
      <c r="E1062" s="129">
        <v>46205</v>
      </c>
      <c r="F1062" s="128" t="s">
        <v>1144</v>
      </c>
      <c r="G1062" s="128" t="s">
        <v>1145</v>
      </c>
      <c r="H1062" s="128" t="s">
        <v>100</v>
      </c>
      <c r="I1062" s="136"/>
      <c r="J1062" s="347" t="s">
        <v>1455</v>
      </c>
      <c r="K1062" s="136"/>
      <c r="L1062" s="146">
        <v>46203</v>
      </c>
      <c r="M1062" s="136"/>
      <c r="N1062" s="128" t="s">
        <v>2308</v>
      </c>
      <c r="O1062" s="146">
        <v>46205</v>
      </c>
      <c r="P1062" s="138">
        <v>0</v>
      </c>
      <c r="Q1062" s="138">
        <v>140</v>
      </c>
      <c r="R1062" s="138">
        <v>17</v>
      </c>
      <c r="S1062" s="138">
        <v>157</v>
      </c>
      <c r="T1062" s="138">
        <v>157</v>
      </c>
      <c r="U1062" s="136"/>
      <c r="V1062" s="136"/>
      <c r="W1062" s="148">
        <v>94.7</v>
      </c>
      <c r="X1062" s="148">
        <v>94.6</v>
      </c>
      <c r="Y1062" s="148">
        <v>743489.7</v>
      </c>
      <c r="Z1062" s="372">
        <v>39.979999999999997</v>
      </c>
      <c r="AA1062" s="148">
        <v>18587.240000000002</v>
      </c>
      <c r="AB1062" s="148">
        <v>18587.240000000002</v>
      </c>
      <c r="AC1062" s="148">
        <v>780664.19</v>
      </c>
      <c r="AD1062" s="315">
        <f t="shared" si="665"/>
        <v>779883.5258099999</v>
      </c>
      <c r="AE1062" s="173">
        <v>39.979999999999997</v>
      </c>
      <c r="AF1062" s="147">
        <v>42</v>
      </c>
      <c r="AG1062" s="173">
        <v>39.979999999999997</v>
      </c>
      <c r="AH1062" s="287">
        <v>2.5000000000000001E-3</v>
      </c>
      <c r="AI1062" s="287">
        <v>3.5000000000000003E-2</v>
      </c>
      <c r="AJ1062" s="287">
        <v>4.7E-2</v>
      </c>
      <c r="AK1062" s="318">
        <f t="shared" si="726"/>
        <v>35758.314142857198</v>
      </c>
      <c r="AL1062" s="193">
        <v>0</v>
      </c>
      <c r="AM1062" s="319">
        <v>0</v>
      </c>
      <c r="AN1062" s="319"/>
      <c r="AO1062" s="320">
        <f t="shared" si="710"/>
        <v>0</v>
      </c>
      <c r="AP1062" s="193">
        <v>0</v>
      </c>
      <c r="AQ1062" s="318">
        <v>0</v>
      </c>
      <c r="AR1062" s="318">
        <f t="shared" si="711"/>
        <v>35758.314142857198</v>
      </c>
      <c r="AS1062" s="318">
        <f t="shared" si="712"/>
        <v>37546</v>
      </c>
      <c r="AT1062" s="321">
        <v>0</v>
      </c>
      <c r="AU1062" s="157"/>
      <c r="AV1062" s="136"/>
      <c r="AW1062" s="318">
        <f t="shared" si="713"/>
        <v>9470</v>
      </c>
      <c r="AX1062" s="193"/>
      <c r="AY1062" s="318">
        <f t="shared" si="714"/>
        <v>9470</v>
      </c>
      <c r="AZ1062" s="318">
        <f t="shared" si="715"/>
        <v>9460</v>
      </c>
      <c r="BA1062" s="318">
        <f t="shared" si="716"/>
        <v>10</v>
      </c>
      <c r="BB1062" s="318">
        <f t="shared" si="717"/>
        <v>18.940000000000001</v>
      </c>
      <c r="BC1062" s="318">
        <v>0</v>
      </c>
      <c r="BD1062" s="431"/>
      <c r="BE1062" s="147">
        <v>94.7</v>
      </c>
      <c r="BF1062" s="375">
        <f t="shared" si="718"/>
        <v>0.14205000000000001</v>
      </c>
      <c r="BG1062" s="197">
        <f t="shared" si="719"/>
        <v>94.557950000000005</v>
      </c>
      <c r="BH1062" s="321">
        <f t="shared" si="720"/>
        <v>94.6</v>
      </c>
      <c r="BI1062" s="322">
        <f t="shared" si="721"/>
        <v>10.000000000000853</v>
      </c>
      <c r="BJ1062" s="322">
        <v>0</v>
      </c>
      <c r="BK1062" s="318">
        <f t="shared" si="722"/>
        <v>10.000000000000853</v>
      </c>
      <c r="BL1062" s="67"/>
      <c r="BM1062" s="68" t="str">
        <f t="shared" si="723"/>
        <v>Unloading no. 1030 Bill No 2026-27/270 ,Deduction For Oil Deduction= 35758.3141428572 ,Bardana= 0 ,F.M= 0 Brokerage/Rate Difference  ,Shortage = 0 ,Greenish= 0 ,Moisture= 0</v>
      </c>
      <c r="BN1062" s="69"/>
      <c r="BO1062" s="70" t="str">
        <f t="shared" si="724"/>
        <v xml:space="preserve"> Party Condition 42  ,F.M% 0.25 ,Greenish 3.5 ,Moisture 4.7 ,Shortage in KG= 0  ,Oil% 39.98</v>
      </c>
      <c r="BP1062" s="71">
        <f t="shared" si="725"/>
        <v>7481.3042902446387</v>
      </c>
      <c r="BQ1062" s="55"/>
      <c r="BR1062" s="55"/>
      <c r="BS1062" s="41"/>
      <c r="BT1062" s="41"/>
      <c r="BU1062" s="41"/>
      <c r="BV1062" s="41"/>
      <c r="BW1062" s="85"/>
      <c r="BX1062" s="30">
        <v>39.6</v>
      </c>
      <c r="BY1062" s="30">
        <v>39.78</v>
      </c>
    </row>
    <row r="1063" spans="1:83" ht="14.1" hidden="1" customHeight="1" x14ac:dyDescent="0.3">
      <c r="A1063" s="281" t="s">
        <v>2219</v>
      </c>
      <c r="B1063" s="146">
        <v>46203</v>
      </c>
      <c r="C1063" s="138">
        <v>1031</v>
      </c>
      <c r="D1063" s="138" t="s">
        <v>2266</v>
      </c>
      <c r="E1063" s="129">
        <v>46205</v>
      </c>
      <c r="F1063" s="128" t="s">
        <v>1144</v>
      </c>
      <c r="G1063" s="128" t="s">
        <v>1145</v>
      </c>
      <c r="H1063" s="128" t="s">
        <v>100</v>
      </c>
      <c r="I1063" s="136"/>
      <c r="J1063" s="347" t="s">
        <v>1455</v>
      </c>
      <c r="K1063" s="136"/>
      <c r="L1063" s="146">
        <v>46203</v>
      </c>
      <c r="M1063" s="136"/>
      <c r="N1063" s="128" t="s">
        <v>2309</v>
      </c>
      <c r="O1063" s="146">
        <v>46205</v>
      </c>
      <c r="P1063" s="138">
        <v>0</v>
      </c>
      <c r="Q1063" s="138">
        <v>130</v>
      </c>
      <c r="R1063" s="138">
        <v>27</v>
      </c>
      <c r="S1063" s="138">
        <v>157</v>
      </c>
      <c r="T1063" s="138">
        <v>157</v>
      </c>
      <c r="U1063" s="136"/>
      <c r="V1063" s="136"/>
      <c r="W1063" s="148">
        <v>94.2</v>
      </c>
      <c r="X1063" s="148">
        <v>94</v>
      </c>
      <c r="Y1063" s="148">
        <v>739564.2</v>
      </c>
      <c r="Z1063" s="372">
        <v>39.82</v>
      </c>
      <c r="AA1063" s="148">
        <v>18489.11</v>
      </c>
      <c r="AB1063" s="148">
        <v>18489.11</v>
      </c>
      <c r="AC1063" s="148">
        <v>776542.41</v>
      </c>
      <c r="AD1063" s="315">
        <f t="shared" si="665"/>
        <v>775765.86759000004</v>
      </c>
      <c r="AE1063" s="173">
        <v>39.82</v>
      </c>
      <c r="AF1063" s="147">
        <v>42</v>
      </c>
      <c r="AG1063" s="173">
        <v>39.82</v>
      </c>
      <c r="AH1063" s="287">
        <v>1.5E-3</v>
      </c>
      <c r="AI1063" s="287">
        <v>2.06E-2</v>
      </c>
      <c r="AJ1063" s="287">
        <v>4.2000000000000003E-2</v>
      </c>
      <c r="AK1063" s="318">
        <f t="shared" si="726"/>
        <v>38386.903714285705</v>
      </c>
      <c r="AL1063" s="193">
        <v>0</v>
      </c>
      <c r="AM1063" s="319">
        <v>0</v>
      </c>
      <c r="AN1063" s="319"/>
      <c r="AO1063" s="320">
        <f t="shared" si="710"/>
        <v>78.509999999999991</v>
      </c>
      <c r="AP1063" s="193">
        <v>0</v>
      </c>
      <c r="AQ1063" s="318">
        <v>0</v>
      </c>
      <c r="AR1063" s="318">
        <f t="shared" si="711"/>
        <v>38465.413714285707</v>
      </c>
      <c r="AS1063" s="318">
        <f t="shared" si="712"/>
        <v>40389</v>
      </c>
      <c r="AT1063" s="321">
        <v>1</v>
      </c>
      <c r="AU1063" s="157"/>
      <c r="AV1063" s="136"/>
      <c r="AW1063" s="318">
        <f t="shared" si="713"/>
        <v>9420</v>
      </c>
      <c r="AX1063" s="193"/>
      <c r="AY1063" s="318">
        <f t="shared" si="714"/>
        <v>9420</v>
      </c>
      <c r="AZ1063" s="318">
        <f t="shared" si="715"/>
        <v>9400</v>
      </c>
      <c r="BA1063" s="318">
        <f t="shared" si="716"/>
        <v>20</v>
      </c>
      <c r="BB1063" s="318">
        <f t="shared" si="717"/>
        <v>18.84</v>
      </c>
      <c r="BC1063" s="318">
        <v>0</v>
      </c>
      <c r="BD1063" s="431"/>
      <c r="BE1063" s="147">
        <v>94.2</v>
      </c>
      <c r="BF1063" s="375">
        <f t="shared" si="718"/>
        <v>0.14130000000000001</v>
      </c>
      <c r="BG1063" s="197">
        <f t="shared" si="719"/>
        <v>94.058700000000002</v>
      </c>
      <c r="BH1063" s="321">
        <f t="shared" si="720"/>
        <v>94</v>
      </c>
      <c r="BI1063" s="322">
        <f t="shared" si="721"/>
        <v>20.000000000000284</v>
      </c>
      <c r="BJ1063" s="322">
        <v>0</v>
      </c>
      <c r="BK1063" s="318">
        <f t="shared" si="722"/>
        <v>20.000000000000284</v>
      </c>
      <c r="BL1063" s="67"/>
      <c r="BM1063" s="68" t="str">
        <f t="shared" si="723"/>
        <v>Unloading no. 1031 Bill No 2026-27/269 ,Deduction For Oil Deduction= 38386.9037142857 ,Bardana= 0 ,F.M= 0 Brokerage/Rate Difference  ,Shortage = 78.51 ,Greenish= 0 ,Moisture= 0</v>
      </c>
      <c r="BN1063" s="69"/>
      <c r="BO1063" s="70" t="str">
        <f t="shared" si="724"/>
        <v xml:space="preserve"> Party Condition 42  ,F.M% 0.15 ,Greenish 2.06 ,Moisture 4.2 ,Shortage in KG= 1  ,Oil% 39.82</v>
      </c>
      <c r="BP1063" s="71">
        <f t="shared" si="725"/>
        <v>7458.4977264437684</v>
      </c>
      <c r="BQ1063" s="55"/>
      <c r="BR1063" s="55"/>
      <c r="BS1063" s="41"/>
      <c r="BT1063" s="41"/>
      <c r="BU1063" s="41"/>
      <c r="BV1063" s="41"/>
      <c r="BW1063" s="85"/>
      <c r="BX1063" s="30">
        <v>39.72</v>
      </c>
      <c r="BY1063" s="30">
        <v>39.57</v>
      </c>
    </row>
    <row r="1064" spans="1:83" ht="14.1" hidden="1" customHeight="1" x14ac:dyDescent="0.3">
      <c r="A1064" s="281" t="s">
        <v>2219</v>
      </c>
      <c r="B1064" s="146">
        <v>46203</v>
      </c>
      <c r="C1064" s="138">
        <v>1032</v>
      </c>
      <c r="D1064" s="138" t="s">
        <v>2267</v>
      </c>
      <c r="E1064" s="129">
        <v>46205</v>
      </c>
      <c r="F1064" s="128" t="s">
        <v>1144</v>
      </c>
      <c r="G1064" s="128" t="s">
        <v>1145</v>
      </c>
      <c r="H1064" s="128" t="s">
        <v>100</v>
      </c>
      <c r="I1064" s="136"/>
      <c r="J1064" s="347" t="s">
        <v>1455</v>
      </c>
      <c r="K1064" s="136"/>
      <c r="L1064" s="146">
        <v>46203</v>
      </c>
      <c r="M1064" s="136"/>
      <c r="N1064" s="128" t="s">
        <v>2310</v>
      </c>
      <c r="O1064" s="146">
        <v>46205</v>
      </c>
      <c r="P1064" s="138">
        <v>0</v>
      </c>
      <c r="Q1064" s="138">
        <v>137</v>
      </c>
      <c r="R1064" s="138">
        <v>20</v>
      </c>
      <c r="S1064" s="138">
        <v>157</v>
      </c>
      <c r="T1064" s="138">
        <v>157</v>
      </c>
      <c r="U1064" s="136"/>
      <c r="V1064" s="136"/>
      <c r="W1064" s="148">
        <v>94.4</v>
      </c>
      <c r="X1064" s="148">
        <v>94.1</v>
      </c>
      <c r="Y1064" s="148">
        <v>741134.4</v>
      </c>
      <c r="Z1064" s="372">
        <v>40.07</v>
      </c>
      <c r="AA1064" s="148">
        <v>18528.36</v>
      </c>
      <c r="AB1064" s="148">
        <v>18528.36</v>
      </c>
      <c r="AC1064" s="148">
        <v>778191.12</v>
      </c>
      <c r="AD1064" s="315">
        <f t="shared" ref="AD1064:AD1127" si="727">SUM(AC1064-AC1064*0.1%)</f>
        <v>777412.92888000002</v>
      </c>
      <c r="AE1064" s="173">
        <v>40.07</v>
      </c>
      <c r="AF1064" s="147">
        <v>42</v>
      </c>
      <c r="AG1064" s="173">
        <v>40.07</v>
      </c>
      <c r="AH1064" s="287">
        <v>1.6999999999999999E-3</v>
      </c>
      <c r="AI1064" s="287">
        <v>2.1000000000000001E-2</v>
      </c>
      <c r="AJ1064" s="287">
        <v>4.4999999999999998E-2</v>
      </c>
      <c r="AK1064" s="318">
        <f t="shared" si="726"/>
        <v>34056.890285714282</v>
      </c>
      <c r="AL1064" s="193">
        <v>0</v>
      </c>
      <c r="AM1064" s="319">
        <v>0</v>
      </c>
      <c r="AN1064" s="319"/>
      <c r="AO1064" s="320">
        <f t="shared" si="710"/>
        <v>863.61</v>
      </c>
      <c r="AP1064" s="193">
        <v>0</v>
      </c>
      <c r="AQ1064" s="318">
        <v>0</v>
      </c>
      <c r="AR1064" s="318">
        <f t="shared" si="711"/>
        <v>34920.500285714283</v>
      </c>
      <c r="AS1064" s="318">
        <f t="shared" si="712"/>
        <v>36667</v>
      </c>
      <c r="AT1064" s="321">
        <v>11</v>
      </c>
      <c r="AU1064" s="157"/>
      <c r="AV1064" s="136"/>
      <c r="AW1064" s="318">
        <f t="shared" si="713"/>
        <v>9440</v>
      </c>
      <c r="AX1064" s="193"/>
      <c r="AY1064" s="318">
        <f t="shared" si="714"/>
        <v>9440</v>
      </c>
      <c r="AZ1064" s="318">
        <f t="shared" si="715"/>
        <v>9410</v>
      </c>
      <c r="BA1064" s="318">
        <f t="shared" si="716"/>
        <v>30</v>
      </c>
      <c r="BB1064" s="318">
        <f t="shared" si="717"/>
        <v>18.88</v>
      </c>
      <c r="BC1064" s="318">
        <v>0</v>
      </c>
      <c r="BD1064" s="431"/>
      <c r="BE1064" s="147">
        <v>94.4</v>
      </c>
      <c r="BF1064" s="375">
        <f t="shared" si="718"/>
        <v>0.1416</v>
      </c>
      <c r="BG1064" s="197">
        <f t="shared" si="719"/>
        <v>94.258400000000009</v>
      </c>
      <c r="BH1064" s="321">
        <f t="shared" si="720"/>
        <v>94.1</v>
      </c>
      <c r="BI1064" s="322">
        <f t="shared" si="721"/>
        <v>30.000000000001137</v>
      </c>
      <c r="BJ1064" s="322">
        <v>0</v>
      </c>
      <c r="BK1064" s="318">
        <f t="shared" si="722"/>
        <v>30.000000000001137</v>
      </c>
      <c r="BL1064" s="67"/>
      <c r="BM1064" s="68" t="str">
        <f t="shared" si="723"/>
        <v>Unloading no. 1032 Bill No 2026-27/272 ,Deduction For Oil Deduction= 34056.8902857143 ,Bardana= 0 ,F.M= 0 Brokerage/Rate Difference  ,Shortage = 863.61 ,Greenish= 0 ,Moisture= 0</v>
      </c>
      <c r="BN1064" s="69"/>
      <c r="BO1064" s="70" t="str">
        <f t="shared" si="724"/>
        <v xml:space="preserve"> Party Condition 42  ,F.M% 0.17 ,Greenish 2.1 ,Moisture 4.5 ,Shortage in KG= 11  ,Oil% 40.07</v>
      </c>
      <c r="BP1064" s="71">
        <f t="shared" si="725"/>
        <v>7504.929858812814</v>
      </c>
      <c r="BQ1064" s="55"/>
      <c r="BR1064" s="55"/>
      <c r="BS1064" s="41"/>
      <c r="BT1064" s="41"/>
      <c r="BU1064" s="41"/>
      <c r="BV1064" s="41"/>
      <c r="BW1064" s="85"/>
      <c r="BX1064" s="30">
        <v>40.04</v>
      </c>
      <c r="BY1064" s="30">
        <v>39.840000000000003</v>
      </c>
    </row>
    <row r="1065" spans="1:83" ht="14.1" hidden="1" customHeight="1" x14ac:dyDescent="0.3">
      <c r="A1065" s="281" t="s">
        <v>2219</v>
      </c>
      <c r="B1065" s="146">
        <v>46203</v>
      </c>
      <c r="C1065" s="138">
        <v>1033</v>
      </c>
      <c r="D1065" s="138" t="s">
        <v>2268</v>
      </c>
      <c r="E1065" s="129">
        <v>46205</v>
      </c>
      <c r="F1065" s="128" t="s">
        <v>1144</v>
      </c>
      <c r="G1065" s="128" t="s">
        <v>1145</v>
      </c>
      <c r="H1065" s="128" t="s">
        <v>100</v>
      </c>
      <c r="I1065" s="136"/>
      <c r="J1065" s="347" t="s">
        <v>1455</v>
      </c>
      <c r="K1065" s="136"/>
      <c r="L1065" s="146">
        <v>46203</v>
      </c>
      <c r="M1065" s="136"/>
      <c r="N1065" s="128" t="s">
        <v>2311</v>
      </c>
      <c r="O1065" s="146">
        <v>46205</v>
      </c>
      <c r="P1065" s="138">
        <v>0</v>
      </c>
      <c r="Q1065" s="138">
        <v>155</v>
      </c>
      <c r="R1065" s="138">
        <v>2</v>
      </c>
      <c r="S1065" s="138">
        <v>157</v>
      </c>
      <c r="T1065" s="138">
        <v>157</v>
      </c>
      <c r="U1065" s="136"/>
      <c r="V1065" s="136"/>
      <c r="W1065" s="148">
        <v>94.6</v>
      </c>
      <c r="X1065" s="148">
        <v>94.4</v>
      </c>
      <c r="Y1065" s="148">
        <v>742704.6</v>
      </c>
      <c r="Z1065" s="372">
        <v>40.06</v>
      </c>
      <c r="AA1065" s="148">
        <v>18567.62</v>
      </c>
      <c r="AB1065" s="148">
        <v>18567.62</v>
      </c>
      <c r="AC1065" s="148">
        <v>779839.83</v>
      </c>
      <c r="AD1065" s="315">
        <f t="shared" si="727"/>
        <v>779059.99017</v>
      </c>
      <c r="AE1065" s="173">
        <v>40.06</v>
      </c>
      <c r="AF1065" s="147">
        <v>42</v>
      </c>
      <c r="AG1065" s="173">
        <v>40.06</v>
      </c>
      <c r="AH1065" s="287">
        <v>1.4E-3</v>
      </c>
      <c r="AI1065" s="287">
        <v>0.03</v>
      </c>
      <c r="AJ1065" s="287">
        <v>4.3999999999999997E-2</v>
      </c>
      <c r="AK1065" s="318">
        <f t="shared" si="726"/>
        <v>34305.879142857098</v>
      </c>
      <c r="AL1065" s="193">
        <v>0</v>
      </c>
      <c r="AM1065" s="319">
        <v>0</v>
      </c>
      <c r="AN1065" s="319"/>
      <c r="AO1065" s="320">
        <f t="shared" si="710"/>
        <v>78.509999999999991</v>
      </c>
      <c r="AP1065" s="193">
        <v>0</v>
      </c>
      <c r="AQ1065" s="318">
        <v>0</v>
      </c>
      <c r="AR1065" s="318">
        <f t="shared" si="711"/>
        <v>34384.389142857101</v>
      </c>
      <c r="AS1065" s="318">
        <f t="shared" si="712"/>
        <v>36104</v>
      </c>
      <c r="AT1065" s="321">
        <v>1</v>
      </c>
      <c r="AU1065" s="157"/>
      <c r="AV1065" s="136"/>
      <c r="AW1065" s="318">
        <f t="shared" si="713"/>
        <v>9460</v>
      </c>
      <c r="AX1065" s="193"/>
      <c r="AY1065" s="318">
        <f t="shared" si="714"/>
        <v>9460</v>
      </c>
      <c r="AZ1065" s="318">
        <f t="shared" si="715"/>
        <v>9440</v>
      </c>
      <c r="BA1065" s="318">
        <f t="shared" si="716"/>
        <v>20</v>
      </c>
      <c r="BB1065" s="318">
        <f t="shared" si="717"/>
        <v>18.920000000000002</v>
      </c>
      <c r="BC1065" s="318">
        <v>0</v>
      </c>
      <c r="BD1065" s="431"/>
      <c r="BE1065" s="147">
        <v>94.6</v>
      </c>
      <c r="BF1065" s="375">
        <f t="shared" si="718"/>
        <v>0.1419</v>
      </c>
      <c r="BG1065" s="197">
        <f t="shared" si="719"/>
        <v>94.458099999999988</v>
      </c>
      <c r="BH1065" s="321">
        <f t="shared" si="720"/>
        <v>94.4</v>
      </c>
      <c r="BI1065" s="322">
        <f t="shared" si="721"/>
        <v>19.999999999998863</v>
      </c>
      <c r="BJ1065" s="322">
        <v>0</v>
      </c>
      <c r="BK1065" s="318">
        <f t="shared" si="722"/>
        <v>19.999999999998863</v>
      </c>
      <c r="BL1065" s="67"/>
      <c r="BM1065" s="68" t="str">
        <f t="shared" si="723"/>
        <v>Unloading no. 1033 Bill No 2026-27/271 ,Deduction For Oil Deduction= 34305.8791428571 ,Bardana= 0 ,F.M= 0 Brokerage/Rate Difference  ,Shortage = 78.51 ,Greenish= 0 ,Moisture= 0</v>
      </c>
      <c r="BN1065" s="69"/>
      <c r="BO1065" s="70" t="str">
        <f t="shared" si="724"/>
        <v xml:space="preserve"> Party Condition 42  ,F.M% 0.14 ,Greenish 3 ,Moisture 4.4 ,Shortage in KG= 1  ,Oil% 40.06</v>
      </c>
      <c r="BP1065" s="71">
        <f t="shared" si="725"/>
        <v>7503.3920641646491</v>
      </c>
      <c r="BQ1065" s="55"/>
      <c r="BR1065" s="55"/>
      <c r="BS1065" s="41"/>
      <c r="BT1065" s="41"/>
      <c r="BU1065" s="41"/>
      <c r="BV1065" s="41"/>
      <c r="BW1065" s="85"/>
      <c r="BX1065" s="30">
        <v>39.9</v>
      </c>
      <c r="BY1065" s="30">
        <v>39.61</v>
      </c>
    </row>
    <row r="1066" spans="1:83" ht="14.1" hidden="1" customHeight="1" x14ac:dyDescent="0.3">
      <c r="A1066" s="281" t="s">
        <v>2219</v>
      </c>
      <c r="B1066" s="146">
        <v>46203</v>
      </c>
      <c r="C1066" s="138">
        <v>1034</v>
      </c>
      <c r="D1066" s="138" t="s">
        <v>2269</v>
      </c>
      <c r="E1066" s="129">
        <v>46205</v>
      </c>
      <c r="F1066" s="128" t="s">
        <v>1144</v>
      </c>
      <c r="G1066" s="128" t="s">
        <v>1145</v>
      </c>
      <c r="H1066" s="128" t="s">
        <v>100</v>
      </c>
      <c r="I1066" s="136"/>
      <c r="J1066" s="347" t="s">
        <v>1455</v>
      </c>
      <c r="K1066" s="136"/>
      <c r="L1066" s="146">
        <v>46203</v>
      </c>
      <c r="M1066" s="136"/>
      <c r="N1066" s="128" t="s">
        <v>2312</v>
      </c>
      <c r="O1066" s="146">
        <v>46205</v>
      </c>
      <c r="P1066" s="138">
        <v>0</v>
      </c>
      <c r="Q1066" s="138">
        <v>150</v>
      </c>
      <c r="R1066" s="138">
        <v>10</v>
      </c>
      <c r="S1066" s="138">
        <v>160</v>
      </c>
      <c r="T1066" s="138">
        <v>160</v>
      </c>
      <c r="U1066" s="136"/>
      <c r="V1066" s="136"/>
      <c r="W1066" s="148">
        <v>92.8</v>
      </c>
      <c r="X1066" s="148">
        <v>92.6</v>
      </c>
      <c r="Y1066" s="148">
        <v>728572.8</v>
      </c>
      <c r="Z1066" s="372">
        <v>40.44</v>
      </c>
      <c r="AA1066" s="148">
        <v>18214.32</v>
      </c>
      <c r="AB1066" s="148">
        <v>18214.32</v>
      </c>
      <c r="AC1066" s="148">
        <v>765001.44</v>
      </c>
      <c r="AD1066" s="315">
        <f t="shared" si="727"/>
        <v>764236.43855999992</v>
      </c>
      <c r="AE1066" s="173">
        <v>40.44</v>
      </c>
      <c r="AF1066" s="147">
        <v>42</v>
      </c>
      <c r="AG1066" s="173">
        <v>40.44</v>
      </c>
      <c r="AH1066" s="287">
        <v>1.6000000000000001E-3</v>
      </c>
      <c r="AI1066" s="287">
        <v>3.5000000000000003E-2</v>
      </c>
      <c r="AJ1066" s="287">
        <v>4.9000000000000002E-2</v>
      </c>
      <c r="AK1066" s="318">
        <f t="shared" si="726"/>
        <v>27061.275428571473</v>
      </c>
      <c r="AL1066" s="193">
        <v>0</v>
      </c>
      <c r="AM1066" s="319">
        <v>0</v>
      </c>
      <c r="AN1066" s="319"/>
      <c r="AO1066" s="320">
        <f t="shared" si="710"/>
        <v>78.510000000000005</v>
      </c>
      <c r="AP1066" s="193">
        <v>0</v>
      </c>
      <c r="AQ1066" s="318">
        <v>0</v>
      </c>
      <c r="AR1066" s="318">
        <f t="shared" si="711"/>
        <v>27139.785428571471</v>
      </c>
      <c r="AS1066" s="318">
        <f t="shared" si="712"/>
        <v>28497</v>
      </c>
      <c r="AT1066" s="321">
        <v>1</v>
      </c>
      <c r="AU1066" s="157"/>
      <c r="AV1066" s="136"/>
      <c r="AW1066" s="318">
        <f t="shared" si="713"/>
        <v>9280</v>
      </c>
      <c r="AX1066" s="193"/>
      <c r="AY1066" s="318">
        <f t="shared" si="714"/>
        <v>9280</v>
      </c>
      <c r="AZ1066" s="318">
        <f t="shared" si="715"/>
        <v>9260</v>
      </c>
      <c r="BA1066" s="318">
        <f t="shared" si="716"/>
        <v>20</v>
      </c>
      <c r="BB1066" s="318">
        <f t="shared" si="717"/>
        <v>18.559999999999999</v>
      </c>
      <c r="BC1066" s="318">
        <v>0</v>
      </c>
      <c r="BD1066" s="431"/>
      <c r="BE1066" s="147">
        <v>92.8</v>
      </c>
      <c r="BF1066" s="375">
        <f t="shared" si="718"/>
        <v>0.13919999999999999</v>
      </c>
      <c r="BG1066" s="197">
        <f t="shared" si="719"/>
        <v>92.660799999999995</v>
      </c>
      <c r="BH1066" s="321">
        <f t="shared" si="720"/>
        <v>92.6</v>
      </c>
      <c r="BI1066" s="322">
        <f t="shared" si="721"/>
        <v>20.000000000000284</v>
      </c>
      <c r="BJ1066" s="322">
        <v>0</v>
      </c>
      <c r="BK1066" s="318">
        <f t="shared" si="722"/>
        <v>20.000000000000284</v>
      </c>
      <c r="BL1066" s="67"/>
      <c r="BM1066" s="68" t="str">
        <f t="shared" si="723"/>
        <v>Unloading no. 1034 Bill No 2026-27/273 ,Deduction For Oil Deduction= 27061.2754285715 ,Bardana= 0 ,F.M= 0 Brokerage/Rate Difference  ,Shortage = 78.51 ,Greenish= 0 ,Moisture= 0</v>
      </c>
      <c r="BN1066" s="69"/>
      <c r="BO1066" s="70" t="str">
        <f t="shared" si="724"/>
        <v xml:space="preserve"> Party Condition 42  ,F.M% 0.16 ,Greenish 3.5 ,Moisture 4.9 ,Shortage in KG= 1  ,Oil% 40.44</v>
      </c>
      <c r="BP1066" s="71">
        <f t="shared" si="725"/>
        <v>7574.8705677260104</v>
      </c>
      <c r="BQ1066" s="55"/>
      <c r="BR1066" s="55"/>
      <c r="BS1066" s="41"/>
      <c r="BT1066" s="41"/>
      <c r="BU1066" s="41"/>
      <c r="BV1066" s="41"/>
      <c r="BW1066" s="85"/>
      <c r="BX1066" s="30">
        <v>40.049999999999997</v>
      </c>
      <c r="BY1066" s="30">
        <v>40.11</v>
      </c>
    </row>
    <row r="1067" spans="1:83" ht="14.1" hidden="1" customHeight="1" x14ac:dyDescent="0.3">
      <c r="A1067" s="281" t="s">
        <v>2219</v>
      </c>
      <c r="B1067" s="146">
        <v>46203</v>
      </c>
      <c r="C1067" s="138">
        <v>1035</v>
      </c>
      <c r="D1067" s="138" t="s">
        <v>2270</v>
      </c>
      <c r="E1067" s="129">
        <v>46205</v>
      </c>
      <c r="F1067" s="128" t="s">
        <v>1144</v>
      </c>
      <c r="G1067" s="128" t="s">
        <v>1145</v>
      </c>
      <c r="H1067" s="128" t="s">
        <v>100</v>
      </c>
      <c r="I1067" s="136"/>
      <c r="J1067" s="347" t="s">
        <v>1455</v>
      </c>
      <c r="K1067" s="136"/>
      <c r="L1067" s="146">
        <v>46203</v>
      </c>
      <c r="M1067" s="136"/>
      <c r="N1067" s="128" t="s">
        <v>2313</v>
      </c>
      <c r="O1067" s="146">
        <v>46205</v>
      </c>
      <c r="P1067" s="138">
        <v>0</v>
      </c>
      <c r="Q1067" s="138">
        <v>150</v>
      </c>
      <c r="R1067" s="138">
        <v>7</v>
      </c>
      <c r="S1067" s="138">
        <v>157</v>
      </c>
      <c r="T1067" s="138">
        <v>157</v>
      </c>
      <c r="U1067" s="136"/>
      <c r="V1067" s="136"/>
      <c r="W1067" s="148">
        <v>94.1</v>
      </c>
      <c r="X1067" s="148">
        <v>93.8</v>
      </c>
      <c r="Y1067" s="148">
        <v>738779.1</v>
      </c>
      <c r="Z1067" s="372">
        <v>40.42</v>
      </c>
      <c r="AA1067" s="148">
        <v>18469.48</v>
      </c>
      <c r="AB1067" s="148">
        <v>18469.48</v>
      </c>
      <c r="AC1067" s="148">
        <v>775718.06</v>
      </c>
      <c r="AD1067" s="315">
        <f t="shared" si="727"/>
        <v>774942.34194000007</v>
      </c>
      <c r="AE1067" s="173">
        <v>40.42</v>
      </c>
      <c r="AF1067" s="147">
        <v>42</v>
      </c>
      <c r="AG1067" s="173">
        <v>40.42</v>
      </c>
      <c r="AH1067" s="287">
        <v>1.6999999999999999E-3</v>
      </c>
      <c r="AI1067" s="287">
        <v>2.5000000000000001E-2</v>
      </c>
      <c r="AJ1067" s="287">
        <v>4.4999999999999998E-2</v>
      </c>
      <c r="AK1067" s="318">
        <f t="shared" si="726"/>
        <v>27792.166142857113</v>
      </c>
      <c r="AL1067" s="193">
        <v>0</v>
      </c>
      <c r="AM1067" s="319">
        <v>0</v>
      </c>
      <c r="AN1067" s="319"/>
      <c r="AO1067" s="320">
        <f t="shared" si="710"/>
        <v>863.61</v>
      </c>
      <c r="AP1067" s="193">
        <v>0</v>
      </c>
      <c r="AQ1067" s="318">
        <v>0</v>
      </c>
      <c r="AR1067" s="318">
        <f t="shared" si="711"/>
        <v>28655.776142857114</v>
      </c>
      <c r="AS1067" s="318">
        <f t="shared" si="712"/>
        <v>30089</v>
      </c>
      <c r="AT1067" s="321">
        <v>11</v>
      </c>
      <c r="AU1067" s="157"/>
      <c r="AV1067" s="136"/>
      <c r="AW1067" s="318">
        <f t="shared" si="713"/>
        <v>9410</v>
      </c>
      <c r="AX1067" s="193"/>
      <c r="AY1067" s="318">
        <f t="shared" si="714"/>
        <v>9410</v>
      </c>
      <c r="AZ1067" s="318">
        <f t="shared" si="715"/>
        <v>9380</v>
      </c>
      <c r="BA1067" s="318">
        <f t="shared" si="716"/>
        <v>30</v>
      </c>
      <c r="BB1067" s="318">
        <f t="shared" si="717"/>
        <v>18.82</v>
      </c>
      <c r="BC1067" s="318">
        <v>0</v>
      </c>
      <c r="BD1067" s="431"/>
      <c r="BE1067" s="147">
        <v>94.1</v>
      </c>
      <c r="BF1067" s="375">
        <f t="shared" si="718"/>
        <v>0.14115</v>
      </c>
      <c r="BG1067" s="197">
        <f t="shared" si="719"/>
        <v>93.958849999999998</v>
      </c>
      <c r="BH1067" s="321">
        <f t="shared" si="720"/>
        <v>93.8</v>
      </c>
      <c r="BI1067" s="322">
        <f t="shared" si="721"/>
        <v>29.999999999999716</v>
      </c>
      <c r="BJ1067" s="322">
        <v>0</v>
      </c>
      <c r="BK1067" s="318">
        <f t="shared" si="722"/>
        <v>29.999999999999716</v>
      </c>
      <c r="BL1067" s="67"/>
      <c r="BM1067" s="68" t="str">
        <f t="shared" si="723"/>
        <v>Unloading no. 1035 Bill No 2026-27/274 ,Deduction For Oil Deduction= 27792.1661428571 ,Bardana= 0 ,F.M= 0 Brokerage/Rate Difference  ,Shortage = 863.61 ,Greenish= 0 ,Moisture= 0</v>
      </c>
      <c r="BN1067" s="69"/>
      <c r="BO1067" s="70" t="str">
        <f t="shared" si="724"/>
        <v xml:space="preserve"> Party Condition 42  ,F.M% 0.17 ,Greenish 2.5 ,Moisture 4.5 ,Shortage in KG= 11  ,Oil% 40.42</v>
      </c>
      <c r="BP1067" s="71">
        <f t="shared" si="725"/>
        <v>7570.6111285409688</v>
      </c>
      <c r="BQ1067" s="55"/>
      <c r="BR1067" s="55"/>
      <c r="BS1067" s="41"/>
      <c r="BT1067" s="41"/>
      <c r="BU1067" s="41"/>
      <c r="BV1067" s="41"/>
      <c r="BW1067" s="85"/>
      <c r="BX1067" s="30">
        <v>40.4</v>
      </c>
      <c r="BY1067" s="30">
        <v>40.11</v>
      </c>
    </row>
    <row r="1068" spans="1:83" ht="14.1" hidden="1" customHeight="1" x14ac:dyDescent="0.3">
      <c r="A1068" s="281" t="s">
        <v>2116</v>
      </c>
      <c r="B1068" s="146">
        <v>46192</v>
      </c>
      <c r="C1068" s="138">
        <v>1036</v>
      </c>
      <c r="D1068" s="138" t="s">
        <v>2271</v>
      </c>
      <c r="E1068" s="129">
        <v>46205</v>
      </c>
      <c r="F1068" s="128" t="s">
        <v>1805</v>
      </c>
      <c r="G1068" s="128" t="s">
        <v>1806</v>
      </c>
      <c r="H1068" s="128" t="s">
        <v>1511</v>
      </c>
      <c r="I1068" s="136"/>
      <c r="J1068" s="347" t="s">
        <v>1455</v>
      </c>
      <c r="K1068" s="136"/>
      <c r="L1068" s="146">
        <v>46192</v>
      </c>
      <c r="M1068" s="136"/>
      <c r="N1068" s="128" t="s">
        <v>2314</v>
      </c>
      <c r="O1068" s="146">
        <v>46205</v>
      </c>
      <c r="P1068" s="138">
        <v>0</v>
      </c>
      <c r="Q1068" s="138">
        <v>70</v>
      </c>
      <c r="R1068" s="138">
        <v>65</v>
      </c>
      <c r="S1068" s="138">
        <v>135</v>
      </c>
      <c r="T1068" s="138">
        <v>135</v>
      </c>
      <c r="U1068" s="136"/>
      <c r="V1068" s="136"/>
      <c r="W1068" s="148">
        <v>82.55</v>
      </c>
      <c r="X1068" s="148">
        <v>82.4</v>
      </c>
      <c r="Y1068" s="148">
        <v>643890</v>
      </c>
      <c r="Z1068" s="169"/>
      <c r="AA1068" s="148">
        <v>16097.25</v>
      </c>
      <c r="AB1068" s="148">
        <v>16097.25</v>
      </c>
      <c r="AC1068" s="148">
        <v>676084.5</v>
      </c>
      <c r="AD1068" s="315">
        <f t="shared" si="727"/>
        <v>675408.4155</v>
      </c>
      <c r="AE1068" s="173">
        <v>40</v>
      </c>
      <c r="AF1068" s="147">
        <v>42</v>
      </c>
      <c r="AG1068" s="173">
        <v>39.729999999999997</v>
      </c>
      <c r="AH1068" s="287">
        <v>2E-3</v>
      </c>
      <c r="AI1068" s="287">
        <v>0.04</v>
      </c>
      <c r="AJ1068" s="287">
        <v>4.8000000000000001E-2</v>
      </c>
      <c r="AK1068" s="318">
        <f t="shared" si="726"/>
        <v>34800.72142857148</v>
      </c>
      <c r="AL1068" s="193">
        <f>70*10+65*15</f>
        <v>1675</v>
      </c>
      <c r="AM1068" s="319">
        <f>Y1068*AH1068</f>
        <v>1287.78</v>
      </c>
      <c r="AN1068" s="319"/>
      <c r="AO1068" s="320">
        <f t="shared" si="710"/>
        <v>1170</v>
      </c>
      <c r="AP1068" s="193">
        <v>0</v>
      </c>
      <c r="AQ1068" s="318">
        <v>0</v>
      </c>
      <c r="AR1068" s="318">
        <f t="shared" si="711"/>
        <v>38933.501428571479</v>
      </c>
      <c r="AS1068" s="318">
        <f t="shared" si="712"/>
        <v>40880</v>
      </c>
      <c r="AT1068" s="321">
        <v>15</v>
      </c>
      <c r="AU1068" s="157"/>
      <c r="AV1068" s="136"/>
      <c r="AW1068" s="318">
        <f t="shared" si="713"/>
        <v>8255</v>
      </c>
      <c r="AX1068" s="193"/>
      <c r="AY1068" s="318">
        <f t="shared" si="714"/>
        <v>8255</v>
      </c>
      <c r="AZ1068" s="318">
        <f t="shared" si="715"/>
        <v>8240</v>
      </c>
      <c r="BA1068" s="318">
        <f t="shared" si="716"/>
        <v>15</v>
      </c>
      <c r="BB1068" s="318">
        <f t="shared" si="717"/>
        <v>16.510000000000002</v>
      </c>
      <c r="BC1068" s="318">
        <v>0</v>
      </c>
      <c r="BD1068" s="431"/>
      <c r="BE1068" s="147">
        <v>82.55</v>
      </c>
      <c r="BF1068" s="375">
        <f t="shared" si="718"/>
        <v>0.12382499999999999</v>
      </c>
      <c r="BG1068" s="197">
        <f t="shared" si="719"/>
        <v>82.426175000000001</v>
      </c>
      <c r="BH1068" s="321">
        <f t="shared" si="720"/>
        <v>82.4</v>
      </c>
      <c r="BI1068" s="322">
        <f t="shared" si="721"/>
        <v>14.999999999999147</v>
      </c>
      <c r="BJ1068" s="322">
        <v>0</v>
      </c>
      <c r="BK1068" s="318">
        <f t="shared" si="722"/>
        <v>14.999999999999147</v>
      </c>
      <c r="BL1068" s="67"/>
      <c r="BM1068" s="68" t="str">
        <f t="shared" si="723"/>
        <v>Unloading no. 1036 Bill No 14/2026-27 ,Deduction For Oil Deduction= 34800.7214285715 ,Bardana= 1675 ,F.M= 1287.78 Brokerage/Rate Difference  ,Shortage = 1170 ,Greenish= 0 ,Moisture= 0</v>
      </c>
      <c r="BN1068" s="69"/>
      <c r="BO1068" s="70" t="str">
        <f t="shared" si="724"/>
        <v xml:space="preserve"> Party Condition 42  ,F.M% 0.2 ,Greenish 4 ,Moisture 4.8 ,Shortage in KG= 15  ,Oil% 39.73</v>
      </c>
      <c r="BP1068" s="71">
        <f t="shared" si="725"/>
        <v>7341.7050797503452</v>
      </c>
      <c r="BQ1068" s="55"/>
      <c r="BR1068" s="55"/>
      <c r="BS1068" s="41"/>
      <c r="BT1068" s="41"/>
      <c r="BU1068" s="41"/>
      <c r="BV1068" s="41"/>
      <c r="BW1068" s="85"/>
      <c r="BX1068" s="30">
        <v>40</v>
      </c>
      <c r="BY1068" s="30">
        <v>39.729999999999997</v>
      </c>
    </row>
    <row r="1069" spans="1:83" ht="14.1" hidden="1" customHeight="1" x14ac:dyDescent="0.3">
      <c r="A1069" s="281" t="s">
        <v>2219</v>
      </c>
      <c r="B1069" s="146">
        <v>46203</v>
      </c>
      <c r="C1069" s="138">
        <v>1037</v>
      </c>
      <c r="D1069" s="138" t="s">
        <v>2272</v>
      </c>
      <c r="E1069" s="129">
        <v>46205</v>
      </c>
      <c r="F1069" s="128" t="s">
        <v>1144</v>
      </c>
      <c r="G1069" s="128" t="s">
        <v>1145</v>
      </c>
      <c r="H1069" s="128" t="s">
        <v>100</v>
      </c>
      <c r="I1069" s="136"/>
      <c r="J1069" s="347" t="s">
        <v>1455</v>
      </c>
      <c r="K1069" s="136"/>
      <c r="L1069" s="146">
        <v>46203</v>
      </c>
      <c r="M1069" s="136"/>
      <c r="N1069" s="128" t="s">
        <v>2315</v>
      </c>
      <c r="O1069" s="146">
        <v>46205</v>
      </c>
      <c r="P1069" s="138">
        <v>0</v>
      </c>
      <c r="Q1069" s="138">
        <v>150</v>
      </c>
      <c r="R1069" s="138">
        <v>10</v>
      </c>
      <c r="S1069" s="138">
        <v>160</v>
      </c>
      <c r="T1069" s="138">
        <v>160</v>
      </c>
      <c r="U1069" s="136"/>
      <c r="V1069" s="136"/>
      <c r="W1069" s="148">
        <v>93.4</v>
      </c>
      <c r="X1069" s="148">
        <v>93.3</v>
      </c>
      <c r="Y1069" s="148">
        <v>733283.4</v>
      </c>
      <c r="Z1069" s="372">
        <v>39.799999999999997</v>
      </c>
      <c r="AA1069" s="148">
        <v>18332.09</v>
      </c>
      <c r="AB1069" s="148">
        <v>18332.09</v>
      </c>
      <c r="AC1069" s="148">
        <v>769947.57</v>
      </c>
      <c r="AD1069" s="315">
        <f t="shared" si="727"/>
        <v>769177.62242999999</v>
      </c>
      <c r="AE1069" s="173">
        <v>39.799999999999997</v>
      </c>
      <c r="AF1069" s="147">
        <v>42</v>
      </c>
      <c r="AG1069" s="173">
        <v>39.799999999999997</v>
      </c>
      <c r="AH1069" s="287">
        <v>1.2999999999999999E-3</v>
      </c>
      <c r="AI1069" s="287">
        <v>2.2599999999999999E-2</v>
      </c>
      <c r="AJ1069" s="287">
        <v>4.3999999999999997E-2</v>
      </c>
      <c r="AK1069" s="318">
        <f t="shared" si="726"/>
        <v>38410.082857142908</v>
      </c>
      <c r="AL1069" s="193">
        <v>0</v>
      </c>
      <c r="AM1069" s="319">
        <v>0</v>
      </c>
      <c r="AN1069" s="319"/>
      <c r="AO1069" s="320">
        <f t="shared" si="710"/>
        <v>0</v>
      </c>
      <c r="AP1069" s="193">
        <v>0</v>
      </c>
      <c r="AQ1069" s="318">
        <v>0</v>
      </c>
      <c r="AR1069" s="318">
        <f t="shared" si="711"/>
        <v>38410.082857142908</v>
      </c>
      <c r="AS1069" s="318">
        <f t="shared" si="712"/>
        <v>40331</v>
      </c>
      <c r="AT1069" s="321">
        <v>0</v>
      </c>
      <c r="AU1069" s="157"/>
      <c r="AV1069" s="136"/>
      <c r="AW1069" s="318">
        <f t="shared" si="713"/>
        <v>9340</v>
      </c>
      <c r="AX1069" s="193"/>
      <c r="AY1069" s="318">
        <f t="shared" si="714"/>
        <v>9340</v>
      </c>
      <c r="AZ1069" s="318">
        <f t="shared" si="715"/>
        <v>9330</v>
      </c>
      <c r="BA1069" s="318">
        <f t="shared" si="716"/>
        <v>10</v>
      </c>
      <c r="BB1069" s="318">
        <f t="shared" si="717"/>
        <v>18.68</v>
      </c>
      <c r="BC1069" s="318">
        <v>0</v>
      </c>
      <c r="BD1069" s="431"/>
      <c r="BE1069" s="147">
        <v>93.4</v>
      </c>
      <c r="BF1069" s="375">
        <f t="shared" si="718"/>
        <v>0.1401</v>
      </c>
      <c r="BG1069" s="197">
        <f t="shared" si="719"/>
        <v>93.259900000000002</v>
      </c>
      <c r="BH1069" s="321">
        <f t="shared" si="720"/>
        <v>93.3</v>
      </c>
      <c r="BI1069" s="322">
        <f t="shared" si="721"/>
        <v>10.000000000000853</v>
      </c>
      <c r="BJ1069" s="322">
        <v>0</v>
      </c>
      <c r="BK1069" s="318">
        <f t="shared" si="722"/>
        <v>10.000000000000853</v>
      </c>
      <c r="BL1069" s="67"/>
      <c r="BM1069" s="68" t="str">
        <f t="shared" si="723"/>
        <v>Unloading no. 1037 Bill No 2026-27/276 ,Deduction For Oil Deduction= 38410.0828571429 ,Bardana= 0 ,F.M= 0 Brokerage/Rate Difference  ,Shortage = 0 ,Greenish= 0 ,Moisture= 0</v>
      </c>
      <c r="BN1069" s="69"/>
      <c r="BO1069" s="70" t="str">
        <f t="shared" si="724"/>
        <v xml:space="preserve"> Party Condition 42  ,F.M% 0.13 ,Greenish 2.26 ,Moisture 4.4 ,Shortage in KG= 0  ,Oil% 39.8</v>
      </c>
      <c r="BP1069" s="71">
        <f t="shared" si="725"/>
        <v>7447.7311590874288</v>
      </c>
      <c r="BQ1069" s="55"/>
      <c r="BR1069" s="55"/>
      <c r="BS1069" s="41"/>
      <c r="BT1069" s="41"/>
      <c r="BU1069" s="41"/>
      <c r="BV1069" s="41"/>
      <c r="BW1069" s="85"/>
      <c r="BX1069" s="30">
        <v>39.549999999999997</v>
      </c>
      <c r="BY1069" s="30">
        <v>39.43</v>
      </c>
    </row>
    <row r="1070" spans="1:83" ht="14.1" hidden="1" customHeight="1" x14ac:dyDescent="0.3">
      <c r="A1070" s="281" t="s">
        <v>2219</v>
      </c>
      <c r="B1070" s="146">
        <v>46203</v>
      </c>
      <c r="C1070" s="138">
        <v>1038</v>
      </c>
      <c r="D1070" s="138" t="s">
        <v>2273</v>
      </c>
      <c r="E1070" s="129">
        <v>46205</v>
      </c>
      <c r="F1070" s="128" t="s">
        <v>1144</v>
      </c>
      <c r="G1070" s="128" t="s">
        <v>1145</v>
      </c>
      <c r="H1070" s="128" t="s">
        <v>100</v>
      </c>
      <c r="I1070" s="136"/>
      <c r="J1070" s="347" t="s">
        <v>1455</v>
      </c>
      <c r="K1070" s="136"/>
      <c r="L1070" s="146">
        <v>46203</v>
      </c>
      <c r="M1070" s="136"/>
      <c r="N1070" s="128" t="s">
        <v>2316</v>
      </c>
      <c r="O1070" s="146">
        <v>46205</v>
      </c>
      <c r="P1070" s="138">
        <v>0</v>
      </c>
      <c r="Q1070" s="138">
        <v>150</v>
      </c>
      <c r="R1070" s="138">
        <v>7</v>
      </c>
      <c r="S1070" s="138">
        <v>157</v>
      </c>
      <c r="T1070" s="138">
        <v>157</v>
      </c>
      <c r="U1070" s="136"/>
      <c r="V1070" s="136"/>
      <c r="W1070" s="148">
        <v>93.4</v>
      </c>
      <c r="X1070" s="148">
        <v>93.3</v>
      </c>
      <c r="Y1070" s="148">
        <v>733283.4</v>
      </c>
      <c r="Z1070" s="372">
        <v>40.799999999999997</v>
      </c>
      <c r="AA1070" s="148">
        <v>18332.09</v>
      </c>
      <c r="AB1070" s="148">
        <v>18332.09</v>
      </c>
      <c r="AC1070" s="148">
        <v>769947.57</v>
      </c>
      <c r="AD1070" s="315">
        <f t="shared" si="727"/>
        <v>769177.62242999999</v>
      </c>
      <c r="AE1070" s="147">
        <v>40.799999999999997</v>
      </c>
      <c r="AF1070" s="147">
        <v>42</v>
      </c>
      <c r="AG1070" s="147">
        <v>40.799999999999997</v>
      </c>
      <c r="AH1070" s="287">
        <v>1.5E-3</v>
      </c>
      <c r="AI1070" s="287">
        <v>0.04</v>
      </c>
      <c r="AJ1070" s="287">
        <v>4.2999999999999997E-2</v>
      </c>
      <c r="AK1070" s="318">
        <f t="shared" si="726"/>
        <v>20950.954285714335</v>
      </c>
      <c r="AL1070" s="193">
        <v>0</v>
      </c>
      <c r="AM1070" s="319">
        <v>0</v>
      </c>
      <c r="AN1070" s="319"/>
      <c r="AO1070" s="320">
        <f t="shared" si="710"/>
        <v>0</v>
      </c>
      <c r="AP1070" s="193">
        <v>0</v>
      </c>
      <c r="AQ1070" s="318">
        <v>0</v>
      </c>
      <c r="AR1070" s="318">
        <f t="shared" si="711"/>
        <v>20950.954285714335</v>
      </c>
      <c r="AS1070" s="318">
        <f t="shared" si="712"/>
        <v>21999</v>
      </c>
      <c r="AT1070" s="321">
        <v>0</v>
      </c>
      <c r="AU1070" s="157"/>
      <c r="AV1070" s="136"/>
      <c r="AW1070" s="318">
        <f t="shared" si="713"/>
        <v>9340</v>
      </c>
      <c r="AX1070" s="193"/>
      <c r="AY1070" s="318">
        <f t="shared" si="714"/>
        <v>9340</v>
      </c>
      <c r="AZ1070" s="318">
        <f t="shared" si="715"/>
        <v>9330</v>
      </c>
      <c r="BA1070" s="318">
        <f t="shared" si="716"/>
        <v>10</v>
      </c>
      <c r="BB1070" s="318">
        <f t="shared" si="717"/>
        <v>18.68</v>
      </c>
      <c r="BC1070" s="318">
        <v>0</v>
      </c>
      <c r="BD1070" s="431"/>
      <c r="BE1070" s="147">
        <v>93.4</v>
      </c>
      <c r="BF1070" s="375">
        <f t="shared" si="718"/>
        <v>0.1401</v>
      </c>
      <c r="BG1070" s="197">
        <f t="shared" si="719"/>
        <v>93.259900000000002</v>
      </c>
      <c r="BH1070" s="321">
        <f t="shared" si="720"/>
        <v>93.3</v>
      </c>
      <c r="BI1070" s="322">
        <f t="shared" si="721"/>
        <v>10.000000000000853</v>
      </c>
      <c r="BJ1070" s="322">
        <v>0</v>
      </c>
      <c r="BK1070" s="318">
        <f t="shared" si="722"/>
        <v>10.000000000000853</v>
      </c>
      <c r="BL1070" s="67"/>
      <c r="BM1070" s="68" t="str">
        <f t="shared" si="723"/>
        <v>Unloading no. 1038 Bill No 2026-27/275 ,Deduction For Oil Deduction= 20950.9542857143 ,Bardana= 0 ,F.M= 0 Brokerage/Rate Difference  ,Shortage = 0 ,Greenish= 0 ,Moisture= 0</v>
      </c>
      <c r="BN1070" s="69"/>
      <c r="BO1070" s="70" t="str">
        <f t="shared" si="724"/>
        <v xml:space="preserve"> Party Condition 42  ,F.M% 0.15 ,Greenish 4 ,Moisture 4.3 ,Shortage in KG= 0  ,Oil% 40.8</v>
      </c>
      <c r="BP1070" s="71">
        <f t="shared" si="725"/>
        <v>7634.8600826825914</v>
      </c>
      <c r="BQ1070" s="55"/>
      <c r="BR1070" s="55"/>
      <c r="BS1070" s="41"/>
      <c r="BT1070" s="41"/>
      <c r="BU1070" s="41"/>
      <c r="BV1070" s="41"/>
      <c r="BW1070" s="85"/>
      <c r="BX1070" s="27">
        <v>40.78</v>
      </c>
      <c r="BY1070" s="27">
        <v>40.479999999999997</v>
      </c>
    </row>
    <row r="1071" spans="1:83" ht="14.1" hidden="1" customHeight="1" x14ac:dyDescent="0.3">
      <c r="A1071" s="281" t="s">
        <v>2219</v>
      </c>
      <c r="B1071" s="146">
        <v>46203</v>
      </c>
      <c r="C1071" s="138">
        <v>1039</v>
      </c>
      <c r="D1071" s="138" t="s">
        <v>2274</v>
      </c>
      <c r="E1071" s="129">
        <v>46205</v>
      </c>
      <c r="F1071" s="128" t="s">
        <v>1144</v>
      </c>
      <c r="G1071" s="128" t="s">
        <v>1145</v>
      </c>
      <c r="H1071" s="128" t="s">
        <v>100</v>
      </c>
      <c r="I1071" s="136"/>
      <c r="J1071" s="347" t="s">
        <v>1455</v>
      </c>
      <c r="K1071" s="136"/>
      <c r="L1071" s="146">
        <v>46203</v>
      </c>
      <c r="M1071" s="136"/>
      <c r="N1071" s="128" t="s">
        <v>2317</v>
      </c>
      <c r="O1071" s="146">
        <v>46205</v>
      </c>
      <c r="P1071" s="138">
        <v>0</v>
      </c>
      <c r="Q1071" s="138">
        <v>150</v>
      </c>
      <c r="R1071" s="138">
        <v>7</v>
      </c>
      <c r="S1071" s="138">
        <v>157</v>
      </c>
      <c r="T1071" s="138">
        <v>157</v>
      </c>
      <c r="U1071" s="136"/>
      <c r="V1071" s="136"/>
      <c r="W1071" s="148">
        <v>92.6</v>
      </c>
      <c r="X1071" s="148">
        <v>92.6</v>
      </c>
      <c r="Y1071" s="148">
        <v>727002.6</v>
      </c>
      <c r="Z1071" s="372">
        <v>40.53</v>
      </c>
      <c r="AA1071" s="148">
        <v>18175.07</v>
      </c>
      <c r="AB1071" s="148">
        <v>18175.07</v>
      </c>
      <c r="AC1071" s="148">
        <v>763352.73</v>
      </c>
      <c r="AD1071" s="315">
        <f t="shared" si="727"/>
        <v>762589.37726999994</v>
      </c>
      <c r="AE1071" s="173">
        <v>40.53</v>
      </c>
      <c r="AF1071" s="147">
        <v>42</v>
      </c>
      <c r="AG1071" s="173">
        <v>40.53</v>
      </c>
      <c r="AH1071" s="287">
        <v>1.4E-3</v>
      </c>
      <c r="AI1071" s="287">
        <v>3.5299999999999998E-2</v>
      </c>
      <c r="AJ1071" s="287">
        <v>4.3999999999999997E-2</v>
      </c>
      <c r="AK1071" s="318">
        <f t="shared" si="726"/>
        <v>25445.090999999982</v>
      </c>
      <c r="AL1071" s="193">
        <v>0</v>
      </c>
      <c r="AM1071" s="319">
        <v>0</v>
      </c>
      <c r="AN1071" s="319"/>
      <c r="AO1071" s="320">
        <f t="shared" si="710"/>
        <v>0</v>
      </c>
      <c r="AP1071" s="193">
        <v>0</v>
      </c>
      <c r="AQ1071" s="318">
        <v>0</v>
      </c>
      <c r="AR1071" s="318">
        <f t="shared" si="711"/>
        <v>25445.090999999982</v>
      </c>
      <c r="AS1071" s="318">
        <f t="shared" si="712"/>
        <v>26717</v>
      </c>
      <c r="AT1071" s="321">
        <v>0</v>
      </c>
      <c r="AU1071" s="157"/>
      <c r="AV1071" s="136"/>
      <c r="AW1071" s="318">
        <f t="shared" si="713"/>
        <v>9260</v>
      </c>
      <c r="AX1071" s="193"/>
      <c r="AY1071" s="318">
        <f t="shared" si="714"/>
        <v>9260</v>
      </c>
      <c r="AZ1071" s="318">
        <f t="shared" si="715"/>
        <v>9260</v>
      </c>
      <c r="BA1071" s="318">
        <f t="shared" si="716"/>
        <v>0</v>
      </c>
      <c r="BB1071" s="318">
        <f t="shared" si="717"/>
        <v>18.52</v>
      </c>
      <c r="BC1071" s="318">
        <v>0</v>
      </c>
      <c r="BD1071" s="431"/>
      <c r="BE1071" s="147">
        <v>92.6</v>
      </c>
      <c r="BF1071" s="375">
        <f t="shared" si="718"/>
        <v>0.1389</v>
      </c>
      <c r="BG1071" s="197">
        <f t="shared" si="719"/>
        <v>92.461099999999988</v>
      </c>
      <c r="BH1071" s="321">
        <f t="shared" si="720"/>
        <v>92.6</v>
      </c>
      <c r="BI1071" s="322">
        <f t="shared" si="721"/>
        <v>0</v>
      </c>
      <c r="BJ1071" s="322">
        <v>0</v>
      </c>
      <c r="BK1071" s="318">
        <f t="shared" si="722"/>
        <v>0</v>
      </c>
      <c r="BL1071" s="67"/>
      <c r="BM1071" s="68" t="str">
        <f t="shared" si="723"/>
        <v>Unloading no. 1039 Bill No 2026-27/277 ,Deduction For Oil Deduction= 25445.091 ,Bardana= 0 ,F.M= 0 Brokerage/Rate Difference  ,Shortage = 0 ,Greenish= 0 ,Moisture= 0</v>
      </c>
      <c r="BN1071" s="69"/>
      <c r="BO1071" s="70" t="str">
        <f t="shared" si="724"/>
        <v xml:space="preserve"> Party Condition 42  ,F.M% 0.14 ,Greenish 3.53 ,Moisture 4.4 ,Shortage in KG= 0  ,Oil% 40.53</v>
      </c>
      <c r="BP1071" s="71">
        <f t="shared" si="725"/>
        <v>7576.2150000000001</v>
      </c>
      <c r="BQ1071" s="55"/>
      <c r="BR1071" s="55"/>
      <c r="BS1071" s="41"/>
      <c r="BT1071" s="41"/>
      <c r="BU1071" s="41"/>
      <c r="BV1071" s="41"/>
      <c r="BW1071" s="85"/>
      <c r="BX1071" s="30">
        <v>40.619999999999997</v>
      </c>
      <c r="BY1071" s="30">
        <v>40.36</v>
      </c>
    </row>
    <row r="1072" spans="1:83" ht="14.1" hidden="1" customHeight="1" x14ac:dyDescent="0.3">
      <c r="A1072" s="281" t="s">
        <v>2249</v>
      </c>
      <c r="B1072" s="146">
        <v>46203</v>
      </c>
      <c r="C1072" s="138">
        <v>1040</v>
      </c>
      <c r="D1072" s="138" t="s">
        <v>2275</v>
      </c>
      <c r="E1072" s="129">
        <v>46206</v>
      </c>
      <c r="F1072" s="128" t="s">
        <v>1450</v>
      </c>
      <c r="G1072" s="160" t="s">
        <v>1451</v>
      </c>
      <c r="H1072" s="128" t="s">
        <v>199</v>
      </c>
      <c r="I1072" s="136"/>
      <c r="J1072" s="347" t="s">
        <v>1455</v>
      </c>
      <c r="K1072" s="136"/>
      <c r="L1072" s="146">
        <v>46203</v>
      </c>
      <c r="M1072" s="136"/>
      <c r="N1072" s="128" t="s">
        <v>2318</v>
      </c>
      <c r="O1072" s="146">
        <v>46204</v>
      </c>
      <c r="P1072" s="138">
        <v>0</v>
      </c>
      <c r="Q1072" s="138">
        <v>180</v>
      </c>
      <c r="R1072" s="138">
        <v>70</v>
      </c>
      <c r="S1072" s="138">
        <v>250</v>
      </c>
      <c r="T1072" s="138">
        <v>250</v>
      </c>
      <c r="U1072" s="136"/>
      <c r="V1072" s="136"/>
      <c r="W1072" s="148">
        <v>151.44999999999999</v>
      </c>
      <c r="X1072" s="148">
        <v>151.19999999999999</v>
      </c>
      <c r="Y1072" s="148">
        <v>1196455</v>
      </c>
      <c r="Z1072" s="169"/>
      <c r="AA1072" s="148">
        <v>29911.38</v>
      </c>
      <c r="AB1072" s="148">
        <v>29911.38</v>
      </c>
      <c r="AC1072" s="148">
        <v>1256277.75</v>
      </c>
      <c r="AD1072" s="315">
        <f t="shared" si="727"/>
        <v>1255021.4722500001</v>
      </c>
      <c r="AE1072" s="147">
        <v>39.19</v>
      </c>
      <c r="AF1072" s="147">
        <v>42</v>
      </c>
      <c r="AG1072" s="173">
        <v>39.119999999999997</v>
      </c>
      <c r="AH1072" s="287">
        <v>2.3999999999999998E-3</v>
      </c>
      <c r="AI1072" s="287">
        <v>3.2199999999999999E-2</v>
      </c>
      <c r="AJ1072" s="287">
        <v>4.8000000000000001E-2</v>
      </c>
      <c r="AK1072" s="318">
        <f>+IF(AF1072=42,IF(MIN(AE1072,AG1072)&lt;AF1072,Y1072*((AF1072-MIN(AE1072,AG1072))/AF1072)),IF(MIN(AE1072,AG1072)&lt;AF1072,Y1072*((AF1072-MIN(AE1072,AG1072))/AF1072),0))-33.19</f>
        <v>82009.438571428633</v>
      </c>
      <c r="AL1072" s="193">
        <f>180*10+70*15</f>
        <v>2850</v>
      </c>
      <c r="AM1072" s="319">
        <f>Y1072*AH1072</f>
        <v>2871.4919999999997</v>
      </c>
      <c r="AN1072" s="319"/>
      <c r="AO1072" s="320">
        <f t="shared" si="710"/>
        <v>1975.0000000000002</v>
      </c>
      <c r="AP1072" s="193">
        <v>0</v>
      </c>
      <c r="AQ1072" s="318">
        <v>0</v>
      </c>
      <c r="AR1072" s="318">
        <f t="shared" si="711"/>
        <v>89705.930571428631</v>
      </c>
      <c r="AS1072" s="318">
        <f t="shared" si="712"/>
        <v>94191</v>
      </c>
      <c r="AT1072" s="321">
        <v>25</v>
      </c>
      <c r="AU1072" s="157"/>
      <c r="AV1072" s="136"/>
      <c r="AW1072" s="318">
        <f t="shared" si="713"/>
        <v>15144.999999999998</v>
      </c>
      <c r="AX1072" s="193"/>
      <c r="AY1072" s="318">
        <f t="shared" si="714"/>
        <v>15144.999999999998</v>
      </c>
      <c r="AZ1072" s="318">
        <f t="shared" si="715"/>
        <v>15119.999999999998</v>
      </c>
      <c r="BA1072" s="318">
        <f t="shared" si="716"/>
        <v>25</v>
      </c>
      <c r="BB1072" s="318">
        <f t="shared" si="717"/>
        <v>30.289999999999996</v>
      </c>
      <c r="BC1072" s="318">
        <v>0</v>
      </c>
      <c r="BD1072" s="431"/>
      <c r="BE1072" s="147">
        <v>151.44999999999999</v>
      </c>
      <c r="BF1072" s="375">
        <f t="shared" si="718"/>
        <v>0.22717499999999999</v>
      </c>
      <c r="BG1072" s="197">
        <f t="shared" si="719"/>
        <v>151.222825</v>
      </c>
      <c r="BH1072" s="321">
        <f t="shared" si="720"/>
        <v>151.19999999999999</v>
      </c>
      <c r="BI1072" s="322">
        <f t="shared" si="721"/>
        <v>25</v>
      </c>
      <c r="BJ1072" s="322">
        <v>0</v>
      </c>
      <c r="BK1072" s="318">
        <f t="shared" si="722"/>
        <v>25</v>
      </c>
      <c r="BL1072" s="67"/>
      <c r="BM1072" s="68" t="str">
        <f t="shared" si="723"/>
        <v>Unloading no. 1040 Bill No ST-54 ,Deduction For Oil Deduction= 82009.4385714286 ,Bardana= 2850 ,F.M= 2871.492 Brokerage/Rate Difference  ,Shortage = 1975 ,Greenish= 0 ,Moisture= 0</v>
      </c>
      <c r="BN1072" s="69"/>
      <c r="BO1072" s="70" t="str">
        <f t="shared" si="724"/>
        <v xml:space="preserve"> Party Condition 42  ,F.M% 0.24 ,Greenish 3.22 ,Moisture 4.8 ,Shortage in KG= 25  ,Oil% 39.12</v>
      </c>
      <c r="BP1072" s="71">
        <f t="shared" si="725"/>
        <v>7319.7689777021915</v>
      </c>
      <c r="BQ1072" s="55"/>
      <c r="BR1072" s="55"/>
      <c r="BS1072" s="41"/>
      <c r="BT1072" s="41"/>
      <c r="BU1072" s="41"/>
      <c r="BV1072" s="41"/>
      <c r="BW1072" s="85"/>
      <c r="BX1072" s="27">
        <v>39.19</v>
      </c>
      <c r="BY1072" s="30">
        <v>39.119999999999997</v>
      </c>
      <c r="CA1072" s="56">
        <v>91992.26</v>
      </c>
      <c r="CC1072" s="84">
        <f>AS1072-CA1072</f>
        <v>2198.7400000000052</v>
      </c>
      <c r="CE1072" s="56">
        <f>CC1072/105%</f>
        <v>2094.0380952381001</v>
      </c>
    </row>
    <row r="1073" spans="1:83" ht="14.1" hidden="1" customHeight="1" x14ac:dyDescent="0.3">
      <c r="A1073" s="281" t="s">
        <v>2218</v>
      </c>
      <c r="B1073" s="146">
        <v>46203</v>
      </c>
      <c r="C1073" s="138">
        <v>1041</v>
      </c>
      <c r="D1073" s="138" t="s">
        <v>2276</v>
      </c>
      <c r="E1073" s="129">
        <v>46206</v>
      </c>
      <c r="F1073" s="128" t="s">
        <v>1142</v>
      </c>
      <c r="G1073" s="160" t="s">
        <v>1143</v>
      </c>
      <c r="H1073" s="128" t="s">
        <v>103</v>
      </c>
      <c r="I1073" s="136"/>
      <c r="J1073" s="347" t="s">
        <v>1455</v>
      </c>
      <c r="K1073" s="136"/>
      <c r="L1073" s="146">
        <v>46203</v>
      </c>
      <c r="M1073" s="136"/>
      <c r="N1073" s="128" t="s">
        <v>2319</v>
      </c>
      <c r="O1073" s="146">
        <v>46205</v>
      </c>
      <c r="P1073" s="138">
        <v>0</v>
      </c>
      <c r="Q1073" s="138">
        <v>410</v>
      </c>
      <c r="R1073" s="138">
        <v>76</v>
      </c>
      <c r="S1073" s="138">
        <v>486</v>
      </c>
      <c r="T1073" s="138">
        <v>486</v>
      </c>
      <c r="U1073" s="136"/>
      <c r="V1073" s="136"/>
      <c r="W1073" s="148">
        <v>295.05</v>
      </c>
      <c r="X1073" s="148">
        <v>295.10000000000002</v>
      </c>
      <c r="Y1073" s="148">
        <v>2330895</v>
      </c>
      <c r="Z1073" s="169"/>
      <c r="AA1073" s="148">
        <v>58272.38</v>
      </c>
      <c r="AB1073" s="148">
        <v>58272.38</v>
      </c>
      <c r="AC1073" s="148">
        <v>2447439.75</v>
      </c>
      <c r="AD1073" s="315">
        <f t="shared" si="727"/>
        <v>2444992.3102500001</v>
      </c>
      <c r="AE1073" s="147">
        <v>39.799999999999997</v>
      </c>
      <c r="AF1073" s="147">
        <v>42</v>
      </c>
      <c r="AG1073" s="173">
        <v>39.770000000000003</v>
      </c>
      <c r="AH1073" s="287">
        <v>2.8999999999999998E-3</v>
      </c>
      <c r="AI1073" s="287">
        <v>3.4500000000000003E-2</v>
      </c>
      <c r="AJ1073" s="287">
        <v>4.5999999999999999E-2</v>
      </c>
      <c r="AK1073" s="318">
        <f>+IF(AF1073=42,IF(MIN(AE1073,AG1073)&lt;AF1073,Y1073*((AF1073-MIN(AE1073,AG1073))/AF1073)),IF(MIN(AE1073,AG1073)&lt;AF1073,Y1073*((AF1073-MIN(AE1073,AG1073))/AF1073),0))-49.08</f>
        <v>123710.34499999983</v>
      </c>
      <c r="AL1073" s="193">
        <f>410*10+76*15</f>
        <v>5240</v>
      </c>
      <c r="AM1073" s="319">
        <f>Y1073*AH1073</f>
        <v>6759.5954999999994</v>
      </c>
      <c r="AN1073" s="319"/>
      <c r="AO1073" s="320">
        <f t="shared" si="710"/>
        <v>0</v>
      </c>
      <c r="AP1073" s="193">
        <v>0</v>
      </c>
      <c r="AQ1073" s="318">
        <v>0</v>
      </c>
      <c r="AR1073" s="318">
        <f t="shared" si="711"/>
        <v>135709.94049999982</v>
      </c>
      <c r="AS1073" s="318">
        <f t="shared" si="712"/>
        <v>142495</v>
      </c>
      <c r="AT1073" s="321">
        <v>0</v>
      </c>
      <c r="AU1073" s="206" t="s">
        <v>2208</v>
      </c>
      <c r="AV1073" s="136"/>
      <c r="AW1073" s="318">
        <f t="shared" si="713"/>
        <v>29505</v>
      </c>
      <c r="AX1073" s="193"/>
      <c r="AY1073" s="318">
        <f t="shared" si="714"/>
        <v>29505</v>
      </c>
      <c r="AZ1073" s="318">
        <f t="shared" si="715"/>
        <v>29510.000000000004</v>
      </c>
      <c r="BA1073" s="318">
        <f t="shared" si="716"/>
        <v>-5.000000000003638</v>
      </c>
      <c r="BB1073" s="318">
        <f t="shared" si="717"/>
        <v>59.01</v>
      </c>
      <c r="BC1073" s="318">
        <v>0</v>
      </c>
      <c r="BD1073" s="431"/>
      <c r="BE1073" s="147">
        <v>295.05</v>
      </c>
      <c r="BF1073" s="375">
        <f t="shared" si="718"/>
        <v>0.442575</v>
      </c>
      <c r="BG1073" s="197">
        <f t="shared" si="719"/>
        <v>294.60742500000003</v>
      </c>
      <c r="BH1073" s="321">
        <f t="shared" si="720"/>
        <v>295.10000000000002</v>
      </c>
      <c r="BI1073" s="322">
        <f t="shared" si="721"/>
        <v>-5.0000000000011369</v>
      </c>
      <c r="BJ1073" s="322">
        <v>0</v>
      </c>
      <c r="BK1073" s="318">
        <f t="shared" si="722"/>
        <v>-5.0000000000011369</v>
      </c>
      <c r="BL1073" s="67"/>
      <c r="BM1073" s="68" t="str">
        <f t="shared" si="723"/>
        <v>Unloading no. 1041 Bill No 2026-27/6955 ,Deduction For Oil Deduction= 123710.345 ,Bardana= 5240 ,F.M= 6759.5955 Brokerage/Rate Difference  ,Shortage = 0 ,Greenish= 0 ,Moisture= 0</v>
      </c>
      <c r="BN1073" s="69"/>
      <c r="BO1073" s="70" t="str">
        <f t="shared" si="724"/>
        <v xml:space="preserve"> Party Condition 42  ,F.M% 0.29 ,Greenish 3.45 ,Moisture 4.6 ,Shortage in KG= 0  ,Oil% 39.77</v>
      </c>
      <c r="BP1073" s="71">
        <f t="shared" si="725"/>
        <v>7438.7836648593693</v>
      </c>
      <c r="BQ1073" s="55"/>
      <c r="BR1073" s="55"/>
      <c r="BS1073" s="41"/>
      <c r="BT1073" s="41"/>
      <c r="BU1073" s="41"/>
      <c r="BV1073" s="41"/>
      <c r="BW1073" s="85"/>
      <c r="BX1073" s="27">
        <v>39.799999999999997</v>
      </c>
      <c r="BY1073" s="30">
        <v>39.770000000000003</v>
      </c>
      <c r="CA1073" s="56">
        <v>142495</v>
      </c>
      <c r="CC1073" s="84">
        <f t="shared" ref="CC1073" si="728">AS1073-CA1073</f>
        <v>0</v>
      </c>
      <c r="CE1073" s="56">
        <f t="shared" ref="CE1073" si="729">CC1073/105%</f>
        <v>0</v>
      </c>
    </row>
    <row r="1074" spans="1:83" ht="14.1" hidden="1" customHeight="1" x14ac:dyDescent="0.3">
      <c r="A1074" s="281" t="s">
        <v>2219</v>
      </c>
      <c r="B1074" s="146">
        <v>46203</v>
      </c>
      <c r="C1074" s="138">
        <v>1042</v>
      </c>
      <c r="D1074" s="138" t="s">
        <v>2277</v>
      </c>
      <c r="E1074" s="129">
        <v>46206</v>
      </c>
      <c r="F1074" s="128" t="s">
        <v>1144</v>
      </c>
      <c r="G1074" s="128" t="s">
        <v>1145</v>
      </c>
      <c r="H1074" s="128" t="s">
        <v>100</v>
      </c>
      <c r="I1074" s="136"/>
      <c r="J1074" s="138" t="s">
        <v>1146</v>
      </c>
      <c r="K1074" s="136"/>
      <c r="L1074" s="146">
        <v>46203</v>
      </c>
      <c r="M1074" s="136"/>
      <c r="N1074" s="128" t="s">
        <v>2320</v>
      </c>
      <c r="O1074" s="130">
        <v>46205</v>
      </c>
      <c r="P1074" s="138">
        <v>0</v>
      </c>
      <c r="Q1074" s="138">
        <v>120</v>
      </c>
      <c r="R1074" s="138">
        <v>37</v>
      </c>
      <c r="S1074" s="138">
        <v>157</v>
      </c>
      <c r="T1074" s="138">
        <v>157</v>
      </c>
      <c r="U1074" s="136"/>
      <c r="V1074" s="136"/>
      <c r="W1074" s="148">
        <v>94.6</v>
      </c>
      <c r="X1074" s="148">
        <v>94.4</v>
      </c>
      <c r="Y1074" s="148">
        <v>742704.6</v>
      </c>
      <c r="Z1074" s="372">
        <v>40.53</v>
      </c>
      <c r="AA1074" s="148">
        <v>18567.62</v>
      </c>
      <c r="AB1074" s="148">
        <v>18567.62</v>
      </c>
      <c r="AC1074" s="148">
        <v>779839.83</v>
      </c>
      <c r="AD1074" s="315">
        <f t="shared" si="727"/>
        <v>779059.99017</v>
      </c>
      <c r="AE1074" s="147">
        <v>40.53</v>
      </c>
      <c r="AF1074" s="147">
        <v>42</v>
      </c>
      <c r="AG1074" s="173">
        <v>40.53</v>
      </c>
      <c r="AH1074" s="287">
        <v>4.1000000000000003E-3</v>
      </c>
      <c r="AI1074" s="287">
        <v>2.7799999999999998E-2</v>
      </c>
      <c r="AJ1074" s="287">
        <v>4.7E-2</v>
      </c>
      <c r="AK1074" s="318">
        <f t="shared" si="726"/>
        <v>25994.660999999982</v>
      </c>
      <c r="AL1074" s="193">
        <v>0</v>
      </c>
      <c r="AM1074" s="319">
        <v>0</v>
      </c>
      <c r="AN1074" s="319"/>
      <c r="AO1074" s="320">
        <f t="shared" si="710"/>
        <v>78.509999999999991</v>
      </c>
      <c r="AP1074" s="193">
        <v>0</v>
      </c>
      <c r="AQ1074" s="318">
        <v>0</v>
      </c>
      <c r="AR1074" s="318">
        <f t="shared" si="711"/>
        <v>26073.17099999998</v>
      </c>
      <c r="AS1074" s="318">
        <f t="shared" si="712"/>
        <v>27377</v>
      </c>
      <c r="AT1074" s="321">
        <v>1</v>
      </c>
      <c r="AU1074" s="157"/>
      <c r="AV1074" s="136"/>
      <c r="AW1074" s="318">
        <f t="shared" si="713"/>
        <v>9460</v>
      </c>
      <c r="AX1074" s="193"/>
      <c r="AY1074" s="318">
        <f t="shared" si="714"/>
        <v>9460</v>
      </c>
      <c r="AZ1074" s="318">
        <f t="shared" si="715"/>
        <v>9440</v>
      </c>
      <c r="BA1074" s="318">
        <f t="shared" si="716"/>
        <v>20</v>
      </c>
      <c r="BB1074" s="318">
        <f t="shared" si="717"/>
        <v>18.920000000000002</v>
      </c>
      <c r="BC1074" s="318">
        <v>0</v>
      </c>
      <c r="BD1074" s="431"/>
      <c r="BE1074" s="147">
        <v>94.6</v>
      </c>
      <c r="BF1074" s="375">
        <f t="shared" si="718"/>
        <v>0.1419</v>
      </c>
      <c r="BG1074" s="197">
        <f t="shared" si="719"/>
        <v>94.458099999999988</v>
      </c>
      <c r="BH1074" s="321">
        <f t="shared" si="720"/>
        <v>94.4</v>
      </c>
      <c r="BI1074" s="322">
        <f t="shared" si="721"/>
        <v>19.999999999998863</v>
      </c>
      <c r="BJ1074" s="322">
        <v>0</v>
      </c>
      <c r="BK1074" s="318">
        <f t="shared" si="722"/>
        <v>19.999999999998863</v>
      </c>
      <c r="BL1074" s="67"/>
      <c r="BM1074" s="68" t="str">
        <f t="shared" si="723"/>
        <v>Unloading no. 1042 Bill No 2026-27/278 ,Deduction For Oil Deduction= 25994.661 ,Bardana= 0 ,F.M= 0 Brokerage/Rate Difference  ,Shortage = 78.51 ,Greenish= 0 ,Moisture= 0</v>
      </c>
      <c r="BN1074" s="69"/>
      <c r="BO1074" s="70" t="str">
        <f t="shared" si="724"/>
        <v xml:space="preserve"> Party Condition 42  ,F.M% 0.41 ,Greenish 2.78 ,Moisture 4.7 ,Shortage in KG= 1  ,Oil% 40.53</v>
      </c>
      <c r="BP1074" s="71">
        <f t="shared" si="725"/>
        <v>7591.4346292372875</v>
      </c>
      <c r="BQ1074" s="55"/>
      <c r="BR1074" s="55"/>
      <c r="BS1074" s="41"/>
      <c r="BT1074" s="41"/>
      <c r="BU1074" s="41"/>
      <c r="BV1074" s="41"/>
      <c r="BW1074" s="85"/>
      <c r="BX1074" s="27">
        <v>40.28</v>
      </c>
      <c r="BY1074" s="30">
        <v>40.159999999999997</v>
      </c>
    </row>
    <row r="1075" spans="1:83" ht="14.1" hidden="1" customHeight="1" x14ac:dyDescent="0.3">
      <c r="A1075" s="281" t="s">
        <v>2219</v>
      </c>
      <c r="B1075" s="146">
        <v>46203</v>
      </c>
      <c r="C1075" s="138">
        <v>1043</v>
      </c>
      <c r="D1075" s="138" t="s">
        <v>2278</v>
      </c>
      <c r="E1075" s="129">
        <v>46206</v>
      </c>
      <c r="F1075" s="128" t="s">
        <v>1144</v>
      </c>
      <c r="G1075" s="128" t="s">
        <v>1145</v>
      </c>
      <c r="H1075" s="128" t="s">
        <v>100</v>
      </c>
      <c r="I1075" s="136"/>
      <c r="J1075" s="138" t="s">
        <v>1146</v>
      </c>
      <c r="K1075" s="136"/>
      <c r="L1075" s="146">
        <v>46203</v>
      </c>
      <c r="M1075" s="136"/>
      <c r="N1075" s="128" t="s">
        <v>2321</v>
      </c>
      <c r="O1075" s="130">
        <v>46205</v>
      </c>
      <c r="P1075" s="138">
        <v>0</v>
      </c>
      <c r="Q1075" s="138">
        <v>130</v>
      </c>
      <c r="R1075" s="138">
        <v>27</v>
      </c>
      <c r="S1075" s="138">
        <v>157</v>
      </c>
      <c r="T1075" s="138">
        <v>157</v>
      </c>
      <c r="U1075" s="136"/>
      <c r="V1075" s="136"/>
      <c r="W1075" s="148">
        <v>94.5</v>
      </c>
      <c r="X1075" s="148">
        <v>94.5</v>
      </c>
      <c r="Y1075" s="148">
        <v>741919.5</v>
      </c>
      <c r="Z1075" s="372">
        <v>40.82</v>
      </c>
      <c r="AA1075" s="148">
        <v>18547.990000000002</v>
      </c>
      <c r="AB1075" s="148">
        <v>18547.990000000002</v>
      </c>
      <c r="AC1075" s="148">
        <v>779015.48</v>
      </c>
      <c r="AD1075" s="315">
        <f t="shared" si="727"/>
        <v>778236.46452000004</v>
      </c>
      <c r="AE1075" s="147">
        <v>40.82</v>
      </c>
      <c r="AF1075" s="147">
        <v>42</v>
      </c>
      <c r="AG1075" s="173">
        <v>40.82</v>
      </c>
      <c r="AH1075" s="287">
        <v>1.6999999999999999E-3</v>
      </c>
      <c r="AI1075" s="287">
        <v>3.1E-2</v>
      </c>
      <c r="AJ1075" s="287">
        <v>4.4999999999999998E-2</v>
      </c>
      <c r="AK1075" s="318">
        <f t="shared" si="726"/>
        <v>20844.404999999995</v>
      </c>
      <c r="AL1075" s="193">
        <v>0</v>
      </c>
      <c r="AM1075" s="319">
        <v>0</v>
      </c>
      <c r="AN1075" s="319"/>
      <c r="AO1075" s="320">
        <f t="shared" si="710"/>
        <v>0</v>
      </c>
      <c r="AP1075" s="193">
        <v>0</v>
      </c>
      <c r="AQ1075" s="318">
        <v>0</v>
      </c>
      <c r="AR1075" s="318">
        <f t="shared" si="711"/>
        <v>20844.404999999995</v>
      </c>
      <c r="AS1075" s="318">
        <f t="shared" si="712"/>
        <v>21887</v>
      </c>
      <c r="AT1075" s="321">
        <v>0</v>
      </c>
      <c r="AU1075" s="157"/>
      <c r="AV1075" s="136"/>
      <c r="AW1075" s="318">
        <f t="shared" si="713"/>
        <v>9450</v>
      </c>
      <c r="AX1075" s="193"/>
      <c r="AY1075" s="318">
        <f t="shared" si="714"/>
        <v>9450</v>
      </c>
      <c r="AZ1075" s="318">
        <f t="shared" si="715"/>
        <v>9450</v>
      </c>
      <c r="BA1075" s="318">
        <f t="shared" si="716"/>
        <v>0</v>
      </c>
      <c r="BB1075" s="318">
        <f t="shared" si="717"/>
        <v>18.899999999999999</v>
      </c>
      <c r="BC1075" s="318">
        <v>0</v>
      </c>
      <c r="BD1075" s="431"/>
      <c r="BE1075" s="147">
        <v>94.5</v>
      </c>
      <c r="BF1075" s="375">
        <f t="shared" si="718"/>
        <v>0.14174999999999999</v>
      </c>
      <c r="BG1075" s="197">
        <f t="shared" si="719"/>
        <v>94.358249999999998</v>
      </c>
      <c r="BH1075" s="321">
        <f t="shared" si="720"/>
        <v>94.5</v>
      </c>
      <c r="BI1075" s="322">
        <f t="shared" si="721"/>
        <v>0</v>
      </c>
      <c r="BJ1075" s="322">
        <v>0</v>
      </c>
      <c r="BK1075" s="318">
        <f t="shared" si="722"/>
        <v>0</v>
      </c>
      <c r="BL1075" s="67"/>
      <c r="BM1075" s="68" t="str">
        <f t="shared" si="723"/>
        <v>Unloading no. 1043 Bill No 2026-27/281 ,Deduction For Oil Deduction= 20844.405 ,Bardana= 0 ,F.M= 0 Brokerage/Rate Difference  ,Shortage = 0 ,Greenish= 0 ,Moisture= 0</v>
      </c>
      <c r="BN1075" s="69"/>
      <c r="BO1075" s="70" t="str">
        <f t="shared" si="724"/>
        <v xml:space="preserve"> Party Condition 42  ,F.M% 0.17 ,Greenish 3.1 ,Moisture 4.5 ,Shortage in KG= 0  ,Oil% 40.82</v>
      </c>
      <c r="BP1075" s="71">
        <f t="shared" si="725"/>
        <v>7630.4242857142854</v>
      </c>
      <c r="BQ1075" s="55"/>
      <c r="BR1075" s="55"/>
      <c r="BS1075" s="41"/>
      <c r="BT1075" s="41"/>
      <c r="BU1075" s="41"/>
      <c r="BV1075" s="41"/>
      <c r="BW1075" s="85"/>
      <c r="BX1075" s="27">
        <v>40.75</v>
      </c>
      <c r="BY1075" s="30">
        <v>40.520000000000003</v>
      </c>
    </row>
    <row r="1076" spans="1:83" ht="14.1" hidden="1" customHeight="1" x14ac:dyDescent="0.3">
      <c r="A1076" s="281" t="s">
        <v>2219</v>
      </c>
      <c r="B1076" s="146">
        <v>46203</v>
      </c>
      <c r="C1076" s="138">
        <v>1044</v>
      </c>
      <c r="D1076" s="138" t="s">
        <v>2279</v>
      </c>
      <c r="E1076" s="129">
        <v>46206</v>
      </c>
      <c r="F1076" s="128" t="s">
        <v>1144</v>
      </c>
      <c r="G1076" s="128" t="s">
        <v>1145</v>
      </c>
      <c r="H1076" s="128" t="s">
        <v>100</v>
      </c>
      <c r="I1076" s="136"/>
      <c r="J1076" s="138" t="s">
        <v>1146</v>
      </c>
      <c r="K1076" s="136"/>
      <c r="L1076" s="146">
        <v>46203</v>
      </c>
      <c r="M1076" s="136"/>
      <c r="N1076" s="128" t="s">
        <v>2322</v>
      </c>
      <c r="O1076" s="130">
        <v>46205</v>
      </c>
      <c r="P1076" s="138">
        <v>0</v>
      </c>
      <c r="Q1076" s="138">
        <v>130</v>
      </c>
      <c r="R1076" s="138">
        <v>30</v>
      </c>
      <c r="S1076" s="138">
        <v>160</v>
      </c>
      <c r="T1076" s="138">
        <v>160</v>
      </c>
      <c r="U1076" s="136"/>
      <c r="V1076" s="136"/>
      <c r="W1076" s="148">
        <v>94.3</v>
      </c>
      <c r="X1076" s="148">
        <v>94.2</v>
      </c>
      <c r="Y1076" s="148">
        <v>740349.3</v>
      </c>
      <c r="Z1076" s="372">
        <v>40.450000000000003</v>
      </c>
      <c r="AA1076" s="148">
        <v>18508.73</v>
      </c>
      <c r="AB1076" s="148">
        <v>18508.73</v>
      </c>
      <c r="AC1076" s="148">
        <v>777366.77</v>
      </c>
      <c r="AD1076" s="315">
        <f t="shared" si="727"/>
        <v>776589.40323000005</v>
      </c>
      <c r="AE1076" s="147">
        <v>40.450000000000003</v>
      </c>
      <c r="AF1076" s="147">
        <v>42</v>
      </c>
      <c r="AG1076" s="173">
        <v>40.450000000000003</v>
      </c>
      <c r="AH1076" s="287">
        <v>1.6000000000000001E-3</v>
      </c>
      <c r="AI1076" s="287">
        <v>2.41E-2</v>
      </c>
      <c r="AJ1076" s="287">
        <v>4.5999999999999999E-2</v>
      </c>
      <c r="AK1076" s="318">
        <f t="shared" si="726"/>
        <v>27322.414642857093</v>
      </c>
      <c r="AL1076" s="193">
        <v>0</v>
      </c>
      <c r="AM1076" s="319">
        <v>0</v>
      </c>
      <c r="AN1076" s="319"/>
      <c r="AO1076" s="320">
        <f t="shared" si="710"/>
        <v>0</v>
      </c>
      <c r="AP1076" s="193">
        <v>0</v>
      </c>
      <c r="AQ1076" s="318">
        <v>0</v>
      </c>
      <c r="AR1076" s="318">
        <f t="shared" si="711"/>
        <v>27322.414642857093</v>
      </c>
      <c r="AS1076" s="318">
        <f t="shared" si="712"/>
        <v>28689</v>
      </c>
      <c r="AT1076" s="321">
        <v>0</v>
      </c>
      <c r="AU1076" s="157"/>
      <c r="AV1076" s="136"/>
      <c r="AW1076" s="318">
        <f t="shared" si="713"/>
        <v>9430</v>
      </c>
      <c r="AX1076" s="193"/>
      <c r="AY1076" s="318">
        <f t="shared" si="714"/>
        <v>9430</v>
      </c>
      <c r="AZ1076" s="318">
        <f t="shared" si="715"/>
        <v>9420</v>
      </c>
      <c r="BA1076" s="318">
        <f t="shared" si="716"/>
        <v>10</v>
      </c>
      <c r="BB1076" s="318">
        <f t="shared" si="717"/>
        <v>18.86</v>
      </c>
      <c r="BC1076" s="318">
        <v>0</v>
      </c>
      <c r="BD1076" s="431"/>
      <c r="BE1076" s="147">
        <v>94.3</v>
      </c>
      <c r="BF1076" s="375">
        <f t="shared" si="718"/>
        <v>0.14144999999999999</v>
      </c>
      <c r="BG1076" s="197">
        <f t="shared" si="719"/>
        <v>94.158549999999991</v>
      </c>
      <c r="BH1076" s="321">
        <f t="shared" si="720"/>
        <v>94.2</v>
      </c>
      <c r="BI1076" s="322">
        <f t="shared" si="721"/>
        <v>9.9999999999994316</v>
      </c>
      <c r="BJ1076" s="322">
        <v>0</v>
      </c>
      <c r="BK1076" s="318">
        <f t="shared" si="722"/>
        <v>9.9999999999994316</v>
      </c>
      <c r="BL1076" s="67"/>
      <c r="BM1076" s="68" t="str">
        <f t="shared" si="723"/>
        <v>Unloading no. 1044 Bill No 2026-27/280 ,Deduction For Oil Deduction= 27322.4146428571 ,Bardana= 0 ,F.M= 0 Brokerage/Rate Difference  ,Shortage = 0 ,Greenish= 0 ,Moisture= 0</v>
      </c>
      <c r="BN1076" s="69"/>
      <c r="BO1076" s="70" t="str">
        <f t="shared" si="724"/>
        <v xml:space="preserve"> Party Condition 42  ,F.M% 0.16 ,Greenish 2.41 ,Moisture 4.6 ,Shortage in KG= 0  ,Oil% 40.45</v>
      </c>
      <c r="BP1076" s="71">
        <f t="shared" si="725"/>
        <v>7569.2875303306046</v>
      </c>
      <c r="BQ1076" s="55"/>
      <c r="BR1076" s="55"/>
      <c r="BS1076" s="41"/>
      <c r="BT1076" s="41"/>
      <c r="BU1076" s="41"/>
      <c r="BV1076" s="41"/>
      <c r="BW1076" s="85"/>
      <c r="BX1076" s="27">
        <v>40.35</v>
      </c>
      <c r="BY1076" s="30">
        <v>40.14</v>
      </c>
    </row>
    <row r="1077" spans="1:83" ht="14.1" hidden="1" customHeight="1" x14ac:dyDescent="0.3">
      <c r="A1077" s="281" t="s">
        <v>2219</v>
      </c>
      <c r="B1077" s="146">
        <v>46203</v>
      </c>
      <c r="C1077" s="138">
        <v>1045</v>
      </c>
      <c r="D1077" s="138" t="s">
        <v>2280</v>
      </c>
      <c r="E1077" s="129">
        <v>46206</v>
      </c>
      <c r="F1077" s="128" t="s">
        <v>1144</v>
      </c>
      <c r="G1077" s="128" t="s">
        <v>1145</v>
      </c>
      <c r="H1077" s="128" t="s">
        <v>100</v>
      </c>
      <c r="I1077" s="136"/>
      <c r="J1077" s="138" t="s">
        <v>1146</v>
      </c>
      <c r="K1077" s="136"/>
      <c r="L1077" s="146">
        <v>46203</v>
      </c>
      <c r="M1077" s="136"/>
      <c r="N1077" s="128" t="s">
        <v>2323</v>
      </c>
      <c r="O1077" s="130">
        <v>46205</v>
      </c>
      <c r="P1077" s="138">
        <v>0</v>
      </c>
      <c r="Q1077" s="138">
        <v>130</v>
      </c>
      <c r="R1077" s="138">
        <v>30</v>
      </c>
      <c r="S1077" s="138">
        <v>160</v>
      </c>
      <c r="T1077" s="138">
        <v>160</v>
      </c>
      <c r="U1077" s="136"/>
      <c r="V1077" s="136"/>
      <c r="W1077" s="148">
        <v>94.4</v>
      </c>
      <c r="X1077" s="148">
        <v>94.3</v>
      </c>
      <c r="Y1077" s="148">
        <v>741134.4</v>
      </c>
      <c r="Z1077" s="372">
        <v>40.47</v>
      </c>
      <c r="AA1077" s="148">
        <v>19454.78</v>
      </c>
      <c r="AB1077" s="148">
        <v>19454.78</v>
      </c>
      <c r="AC1077" s="148">
        <v>817100.55</v>
      </c>
      <c r="AD1077" s="315">
        <f t="shared" si="727"/>
        <v>816283.44945000007</v>
      </c>
      <c r="AE1077" s="147">
        <v>40.47</v>
      </c>
      <c r="AF1077" s="147">
        <v>42</v>
      </c>
      <c r="AG1077" s="173">
        <v>40.47</v>
      </c>
      <c r="AH1077" s="287">
        <v>1.1999999999999999E-3</v>
      </c>
      <c r="AI1077" s="287">
        <v>2.8000000000000001E-2</v>
      </c>
      <c r="AJ1077" s="287">
        <v>4.7E-2</v>
      </c>
      <c r="AK1077" s="318">
        <f t="shared" si="726"/>
        <v>26998.46742857145</v>
      </c>
      <c r="AL1077" s="193">
        <v>0</v>
      </c>
      <c r="AM1077" s="319">
        <v>0</v>
      </c>
      <c r="AN1077" s="319"/>
      <c r="AO1077" s="320">
        <f t="shared" si="710"/>
        <v>0</v>
      </c>
      <c r="AP1077" s="193">
        <v>0</v>
      </c>
      <c r="AQ1077" s="318">
        <v>0</v>
      </c>
      <c r="AR1077" s="318">
        <f t="shared" si="711"/>
        <v>26998.46742857145</v>
      </c>
      <c r="AS1077" s="318">
        <f t="shared" si="712"/>
        <v>28348</v>
      </c>
      <c r="AT1077" s="321">
        <v>0</v>
      </c>
      <c r="AU1077" s="157"/>
      <c r="AV1077" s="136"/>
      <c r="AW1077" s="318">
        <f t="shared" si="713"/>
        <v>9440</v>
      </c>
      <c r="AX1077" s="193"/>
      <c r="AY1077" s="318">
        <f t="shared" si="714"/>
        <v>9440</v>
      </c>
      <c r="AZ1077" s="318">
        <f t="shared" si="715"/>
        <v>9430</v>
      </c>
      <c r="BA1077" s="318">
        <f t="shared" si="716"/>
        <v>10</v>
      </c>
      <c r="BB1077" s="318">
        <f t="shared" si="717"/>
        <v>18.88</v>
      </c>
      <c r="BC1077" s="318">
        <v>0</v>
      </c>
      <c r="BD1077" s="431"/>
      <c r="BE1077" s="147">
        <v>94.4</v>
      </c>
      <c r="BF1077" s="375">
        <f t="shared" si="718"/>
        <v>0.1416</v>
      </c>
      <c r="BG1077" s="197">
        <f t="shared" si="719"/>
        <v>94.258400000000009</v>
      </c>
      <c r="BH1077" s="321">
        <f t="shared" si="720"/>
        <v>94.3</v>
      </c>
      <c r="BI1077" s="322">
        <f t="shared" si="721"/>
        <v>10.000000000000853</v>
      </c>
      <c r="BJ1077" s="322">
        <v>0</v>
      </c>
      <c r="BK1077" s="318">
        <f t="shared" si="722"/>
        <v>10.000000000000853</v>
      </c>
      <c r="BL1077" s="67"/>
      <c r="BM1077" s="68" t="str">
        <f t="shared" si="723"/>
        <v>Unloading no. 1045 Bill No 2026-27/282 ,Deduction For Oil Deduction= 26998.4674285715 ,Bardana= 0 ,F.M= 0 Brokerage/Rate Difference  ,Shortage = 0 ,Greenish= 0 ,Moisture= 0</v>
      </c>
      <c r="BN1077" s="69"/>
      <c r="BO1077" s="70" t="str">
        <f t="shared" si="724"/>
        <v xml:space="preserve"> Party Condition 42  ,F.M% 0.12 ,Greenish 2.8 ,Moisture 4.7 ,Shortage in KG= 0  ,Oil% 40.47</v>
      </c>
      <c r="BP1077" s="71">
        <f t="shared" si="725"/>
        <v>7573.0215543099539</v>
      </c>
      <c r="BQ1077" s="55"/>
      <c r="BR1077" s="55"/>
      <c r="BS1077" s="41"/>
      <c r="BT1077" s="41"/>
      <c r="BU1077" s="41"/>
      <c r="BV1077" s="41"/>
      <c r="BW1077" s="85"/>
      <c r="BX1077" s="27">
        <v>40.4</v>
      </c>
      <c r="BY1077" s="30">
        <v>40.26</v>
      </c>
    </row>
    <row r="1078" spans="1:83" ht="14.1" hidden="1" customHeight="1" x14ac:dyDescent="0.3">
      <c r="A1078" s="281" t="s">
        <v>2219</v>
      </c>
      <c r="B1078" s="146">
        <v>46203</v>
      </c>
      <c r="C1078" s="138">
        <v>1046</v>
      </c>
      <c r="D1078" s="138" t="s">
        <v>2281</v>
      </c>
      <c r="E1078" s="129">
        <v>46206</v>
      </c>
      <c r="F1078" s="128" t="s">
        <v>1144</v>
      </c>
      <c r="G1078" s="128" t="s">
        <v>1145</v>
      </c>
      <c r="H1078" s="128" t="s">
        <v>100</v>
      </c>
      <c r="I1078" s="136"/>
      <c r="J1078" s="138" t="s">
        <v>1146</v>
      </c>
      <c r="K1078" s="136"/>
      <c r="L1078" s="146">
        <v>46203</v>
      </c>
      <c r="M1078" s="136"/>
      <c r="N1078" s="128" t="s">
        <v>2324</v>
      </c>
      <c r="O1078" s="130">
        <v>46205</v>
      </c>
      <c r="P1078" s="138">
        <v>0</v>
      </c>
      <c r="Q1078" s="138">
        <v>130</v>
      </c>
      <c r="R1078" s="138">
        <v>15</v>
      </c>
      <c r="S1078" s="138">
        <v>145</v>
      </c>
      <c r="T1078" s="138">
        <v>145</v>
      </c>
      <c r="U1078" s="136"/>
      <c r="V1078" s="136"/>
      <c r="W1078" s="148">
        <v>87</v>
      </c>
      <c r="X1078" s="148">
        <v>87</v>
      </c>
      <c r="Y1078" s="148">
        <v>683037</v>
      </c>
      <c r="Z1078" s="372">
        <v>41.05</v>
      </c>
      <c r="AA1078" s="148">
        <v>17075.93</v>
      </c>
      <c r="AB1078" s="148">
        <v>17075.93</v>
      </c>
      <c r="AC1078" s="148">
        <v>717188.85</v>
      </c>
      <c r="AD1078" s="315">
        <f t="shared" si="727"/>
        <v>716471.66114999994</v>
      </c>
      <c r="AE1078" s="147">
        <v>41.05</v>
      </c>
      <c r="AF1078" s="147">
        <v>42</v>
      </c>
      <c r="AG1078" s="173">
        <v>41.05</v>
      </c>
      <c r="AH1078" s="287">
        <v>1.4E-3</v>
      </c>
      <c r="AI1078" s="287">
        <v>2.6100000000000002E-2</v>
      </c>
      <c r="AJ1078" s="287">
        <v>4.8000000000000001E-2</v>
      </c>
      <c r="AK1078" s="318">
        <f t="shared" si="726"/>
        <v>15449.646428571476</v>
      </c>
      <c r="AL1078" s="193">
        <v>0</v>
      </c>
      <c r="AM1078" s="319">
        <v>0</v>
      </c>
      <c r="AN1078" s="319"/>
      <c r="AO1078" s="320">
        <f t="shared" si="710"/>
        <v>0</v>
      </c>
      <c r="AP1078" s="193">
        <v>0</v>
      </c>
      <c r="AQ1078" s="318">
        <v>0</v>
      </c>
      <c r="AR1078" s="318">
        <f t="shared" si="711"/>
        <v>15449.646428571476</v>
      </c>
      <c r="AS1078" s="318">
        <f t="shared" si="712"/>
        <v>16222</v>
      </c>
      <c r="AT1078" s="321">
        <v>0</v>
      </c>
      <c r="AU1078" s="157"/>
      <c r="AV1078" s="136"/>
      <c r="AW1078" s="318">
        <f t="shared" si="713"/>
        <v>8700</v>
      </c>
      <c r="AX1078" s="193"/>
      <c r="AY1078" s="318">
        <f t="shared" si="714"/>
        <v>8700</v>
      </c>
      <c r="AZ1078" s="318">
        <f t="shared" si="715"/>
        <v>8700</v>
      </c>
      <c r="BA1078" s="318">
        <f t="shared" si="716"/>
        <v>0</v>
      </c>
      <c r="BB1078" s="318">
        <f t="shared" si="717"/>
        <v>17.399999999999999</v>
      </c>
      <c r="BC1078" s="318">
        <v>0</v>
      </c>
      <c r="BD1078" s="431"/>
      <c r="BE1078" s="147">
        <v>87</v>
      </c>
      <c r="BF1078" s="375">
        <f t="shared" si="718"/>
        <v>0.13049999999999998</v>
      </c>
      <c r="BG1078" s="197">
        <f t="shared" si="719"/>
        <v>86.869500000000002</v>
      </c>
      <c r="BH1078" s="321">
        <f t="shared" si="720"/>
        <v>87</v>
      </c>
      <c r="BI1078" s="322">
        <f t="shared" si="721"/>
        <v>0</v>
      </c>
      <c r="BJ1078" s="322">
        <v>0</v>
      </c>
      <c r="BK1078" s="318">
        <f t="shared" si="722"/>
        <v>0</v>
      </c>
      <c r="BL1078" s="67"/>
      <c r="BM1078" s="68" t="str">
        <f t="shared" si="723"/>
        <v>Unloading no. 1046 Bill No 2026-27/283 ,Deduction For Oil Deduction= 15449.6464285715 ,Bardana= 0 ,F.M= 0 Brokerage/Rate Difference  ,Shortage = 0 ,Greenish= 0 ,Moisture= 0</v>
      </c>
      <c r="BN1078" s="69"/>
      <c r="BO1078" s="70" t="str">
        <f t="shared" si="724"/>
        <v xml:space="preserve"> Party Condition 42  ,F.M% 0.14 ,Greenish 2.61 ,Moisture 4.8 ,Shortage in KG= 0  ,Oil% 41.05</v>
      </c>
      <c r="BP1078" s="71">
        <f t="shared" si="725"/>
        <v>7673.4178571428574</v>
      </c>
      <c r="BQ1078" s="55"/>
      <c r="BR1078" s="55"/>
      <c r="BS1078" s="41"/>
      <c r="BT1078" s="41"/>
      <c r="BU1078" s="41"/>
      <c r="BV1078" s="41"/>
      <c r="BW1078" s="85"/>
      <c r="BX1078" s="27">
        <v>41</v>
      </c>
      <c r="BY1078" s="30">
        <v>40.82</v>
      </c>
    </row>
    <row r="1079" spans="1:83" ht="14.1" hidden="1" customHeight="1" x14ac:dyDescent="0.3">
      <c r="A1079" s="281" t="s">
        <v>2249</v>
      </c>
      <c r="B1079" s="146">
        <v>46203</v>
      </c>
      <c r="C1079" s="138">
        <v>1047</v>
      </c>
      <c r="D1079" s="138" t="s">
        <v>2282</v>
      </c>
      <c r="E1079" s="129">
        <v>46206</v>
      </c>
      <c r="F1079" s="128" t="s">
        <v>1450</v>
      </c>
      <c r="G1079" s="160" t="s">
        <v>1451</v>
      </c>
      <c r="H1079" s="128" t="s">
        <v>199</v>
      </c>
      <c r="I1079" s="136"/>
      <c r="J1079" s="347" t="s">
        <v>1455</v>
      </c>
      <c r="K1079" s="136"/>
      <c r="L1079" s="146">
        <v>46203</v>
      </c>
      <c r="M1079" s="136"/>
      <c r="N1079" s="128" t="s">
        <v>2325</v>
      </c>
      <c r="O1079" s="130">
        <v>46205</v>
      </c>
      <c r="P1079" s="138">
        <v>0</v>
      </c>
      <c r="Q1079" s="138">
        <v>200</v>
      </c>
      <c r="R1079" s="138">
        <v>65</v>
      </c>
      <c r="S1079" s="138">
        <v>265</v>
      </c>
      <c r="T1079" s="138">
        <v>265</v>
      </c>
      <c r="U1079" s="136"/>
      <c r="V1079" s="136"/>
      <c r="W1079" s="148">
        <v>162.15</v>
      </c>
      <c r="X1079" s="148">
        <v>162.1</v>
      </c>
      <c r="Y1079" s="148">
        <v>1280985</v>
      </c>
      <c r="Z1079" s="169"/>
      <c r="AA1079" s="148">
        <v>32024.63</v>
      </c>
      <c r="AB1079" s="148">
        <v>32024.63</v>
      </c>
      <c r="AC1079" s="148">
        <v>1345034.25</v>
      </c>
      <c r="AD1079" s="315">
        <f t="shared" si="727"/>
        <v>1343689.21575</v>
      </c>
      <c r="AE1079" s="147">
        <v>39.04</v>
      </c>
      <c r="AF1079" s="147">
        <v>42</v>
      </c>
      <c r="AG1079" s="173">
        <v>38.85</v>
      </c>
      <c r="AH1079" s="287">
        <v>2.2000000000000001E-3</v>
      </c>
      <c r="AI1079" s="287">
        <v>3.32E-2</v>
      </c>
      <c r="AJ1079" s="287">
        <v>4.3999999999999997E-2</v>
      </c>
      <c r="AK1079" s="318">
        <f>+IF(AF1079=42,IF(MIN(AE1079,AG1079)&lt;AF1079,Y1079*((AF1079-MIN(AE1079,AG1079))/AF1079)),IF(MIN(AE1079,AG1079)&lt;AF1079,Y1079*((AF1079-MIN(AE1079,AG1079))/AF1079),0))-38.55</f>
        <v>96035.324999999953</v>
      </c>
      <c r="AL1079" s="193">
        <f>200*10+65*15</f>
        <v>2975</v>
      </c>
      <c r="AM1079" s="319">
        <f>Y1079*AH1079</f>
        <v>2818.1670000000004</v>
      </c>
      <c r="AN1079" s="319"/>
      <c r="AO1079" s="320">
        <f t="shared" si="710"/>
        <v>395</v>
      </c>
      <c r="AP1079" s="193">
        <v>0</v>
      </c>
      <c r="AQ1079" s="318">
        <v>0</v>
      </c>
      <c r="AR1079" s="318">
        <f t="shared" si="711"/>
        <v>102223.49199999995</v>
      </c>
      <c r="AS1079" s="318">
        <f t="shared" si="712"/>
        <v>107335</v>
      </c>
      <c r="AT1079" s="321">
        <v>5</v>
      </c>
      <c r="AU1079" s="157"/>
      <c r="AV1079" s="136"/>
      <c r="AW1079" s="318">
        <f t="shared" si="713"/>
        <v>16215</v>
      </c>
      <c r="AX1079" s="193"/>
      <c r="AY1079" s="318">
        <f t="shared" si="714"/>
        <v>16215</v>
      </c>
      <c r="AZ1079" s="318">
        <f t="shared" si="715"/>
        <v>16210</v>
      </c>
      <c r="BA1079" s="318">
        <f t="shared" si="716"/>
        <v>5</v>
      </c>
      <c r="BB1079" s="318">
        <f t="shared" si="717"/>
        <v>32.43</v>
      </c>
      <c r="BC1079" s="318">
        <v>0</v>
      </c>
      <c r="BD1079" s="431"/>
      <c r="BE1079" s="147">
        <v>162.15</v>
      </c>
      <c r="BF1079" s="375">
        <f t="shared" si="718"/>
        <v>0.24322500000000002</v>
      </c>
      <c r="BG1079" s="197">
        <f t="shared" si="719"/>
        <v>161.90677500000001</v>
      </c>
      <c r="BH1079" s="321">
        <f t="shared" si="720"/>
        <v>162.1</v>
      </c>
      <c r="BI1079" s="322">
        <f t="shared" si="721"/>
        <v>5.0000000000011369</v>
      </c>
      <c r="BJ1079" s="322">
        <v>0</v>
      </c>
      <c r="BK1079" s="318">
        <f t="shared" si="722"/>
        <v>5.0000000000011369</v>
      </c>
      <c r="BL1079" s="67"/>
      <c r="BM1079" s="68" t="str">
        <f t="shared" si="723"/>
        <v>Unloading no. 1047 Bill No ST-55 ,Deduction For Oil Deduction= 96035.325 ,Bardana= 2975 ,F.M= 2818.167 Brokerage/Rate Difference  ,Shortage = 395 ,Greenish= 0 ,Moisture= 0</v>
      </c>
      <c r="BN1079" s="69"/>
      <c r="BO1079" s="70" t="str">
        <f t="shared" si="724"/>
        <v xml:space="preserve"> Party Condition 42  ,F.M% 0.22 ,Greenish 3.32 ,Moisture 4.4 ,Shortage in KG= 5  ,Oil% 38.85</v>
      </c>
      <c r="BP1079" s="71">
        <f t="shared" si="725"/>
        <v>7271.8168291178299</v>
      </c>
      <c r="BQ1079" s="55"/>
      <c r="BR1079" s="55"/>
      <c r="BS1079" s="41"/>
      <c r="BT1079" s="41"/>
      <c r="BU1079" s="41"/>
      <c r="BV1079" s="41"/>
      <c r="BW1079" s="85"/>
      <c r="BX1079" s="27">
        <v>39.04</v>
      </c>
      <c r="BY1079" s="30">
        <v>38.85</v>
      </c>
      <c r="CA1079" s="56">
        <v>106785.56</v>
      </c>
      <c r="CC1079" s="84">
        <f t="shared" ref="CC1079:CC1083" si="730">AS1079-CA1079</f>
        <v>549.44000000000233</v>
      </c>
      <c r="CE1079" s="56">
        <f t="shared" ref="CE1079:CE1083" si="731">CC1079/105%</f>
        <v>523.27619047619271</v>
      </c>
    </row>
    <row r="1080" spans="1:83" ht="14.1" hidden="1" customHeight="1" x14ac:dyDescent="0.3">
      <c r="A1080" s="281" t="s">
        <v>2250</v>
      </c>
      <c r="B1080" s="146">
        <v>46203</v>
      </c>
      <c r="C1080" s="138">
        <v>1048</v>
      </c>
      <c r="D1080" s="138" t="s">
        <v>2283</v>
      </c>
      <c r="E1080" s="129">
        <v>46206</v>
      </c>
      <c r="F1080" s="128" t="s">
        <v>1807</v>
      </c>
      <c r="G1080" s="128" t="s">
        <v>1808</v>
      </c>
      <c r="H1080" s="128" t="s">
        <v>100</v>
      </c>
      <c r="I1080" s="136"/>
      <c r="J1080" s="347" t="s">
        <v>1455</v>
      </c>
      <c r="K1080" s="136"/>
      <c r="L1080" s="146">
        <v>46203</v>
      </c>
      <c r="M1080" s="136"/>
      <c r="N1080" s="128" t="s">
        <v>2326</v>
      </c>
      <c r="O1080" s="130">
        <v>46204</v>
      </c>
      <c r="P1080" s="138">
        <v>0</v>
      </c>
      <c r="Q1080" s="138">
        <v>270</v>
      </c>
      <c r="R1080" s="138">
        <v>110</v>
      </c>
      <c r="S1080" s="138">
        <v>380</v>
      </c>
      <c r="T1080" s="138">
        <v>380</v>
      </c>
      <c r="U1080" s="136"/>
      <c r="V1080" s="136"/>
      <c r="W1080" s="148">
        <v>259.25</v>
      </c>
      <c r="X1080" s="148">
        <v>257.10000000000002</v>
      </c>
      <c r="Y1080" s="296">
        <f>2048075-16985</f>
        <v>2031090</v>
      </c>
      <c r="Z1080" s="169"/>
      <c r="AA1080" s="148">
        <v>51201.88</v>
      </c>
      <c r="AB1080" s="148">
        <v>51201.88</v>
      </c>
      <c r="AC1080" s="148">
        <v>2150478.75</v>
      </c>
      <c r="AD1080" s="315">
        <f t="shared" si="727"/>
        <v>2148328.2712500002</v>
      </c>
      <c r="AE1080" s="147">
        <v>37.880000000000003</v>
      </c>
      <c r="AF1080" s="147">
        <v>42</v>
      </c>
      <c r="AG1080" s="173">
        <v>37.78</v>
      </c>
      <c r="AH1080" s="397">
        <v>7.0000000000000001E-3</v>
      </c>
      <c r="AI1080" s="287">
        <v>0.03</v>
      </c>
      <c r="AJ1080" s="418">
        <v>5.04E-2</v>
      </c>
      <c r="AK1080" s="318">
        <f t="shared" si="726"/>
        <v>204076.18571428568</v>
      </c>
      <c r="AL1080" s="193">
        <f>270*10+110*15</f>
        <v>4350</v>
      </c>
      <c r="AM1080" s="319">
        <f>Y1080*AH1080</f>
        <v>14217.630000000001</v>
      </c>
      <c r="AN1080" s="432">
        <f>X1080*15</f>
        <v>3856.5000000000005</v>
      </c>
      <c r="AO1080" s="320">
        <f t="shared" si="710"/>
        <v>0</v>
      </c>
      <c r="AP1080" s="193">
        <v>0</v>
      </c>
      <c r="AQ1080" s="318">
        <f>Y1080*0.04/100</f>
        <v>812.43600000000004</v>
      </c>
      <c r="AR1080" s="318">
        <f t="shared" si="711"/>
        <v>227312.75171428567</v>
      </c>
      <c r="AS1080" s="318">
        <f t="shared" si="712"/>
        <v>238678</v>
      </c>
      <c r="AT1080" s="321">
        <v>0</v>
      </c>
      <c r="AU1080" s="206" t="s">
        <v>2341</v>
      </c>
      <c r="AV1080" s="136"/>
      <c r="AW1080" s="318">
        <f t="shared" si="713"/>
        <v>25925</v>
      </c>
      <c r="AX1080" s="193"/>
      <c r="AY1080" s="318">
        <f t="shared" si="714"/>
        <v>25925</v>
      </c>
      <c r="AZ1080" s="318">
        <f t="shared" si="715"/>
        <v>25710.000000000004</v>
      </c>
      <c r="BA1080" s="318">
        <f t="shared" si="716"/>
        <v>214.99999999999636</v>
      </c>
      <c r="BB1080" s="318">
        <f t="shared" si="717"/>
        <v>51.85</v>
      </c>
      <c r="BC1080" s="318">
        <v>0</v>
      </c>
      <c r="BD1080" s="431"/>
      <c r="BE1080" s="147">
        <v>259.25</v>
      </c>
      <c r="BF1080" s="375">
        <f t="shared" ref="BF1080:BF1093" si="732">+BE1080*0.15/100</f>
        <v>0.38887499999999997</v>
      </c>
      <c r="BG1080" s="197">
        <f t="shared" ref="BG1080:BG1093" si="733">BE1080-BF1080</f>
        <v>258.86112500000002</v>
      </c>
      <c r="BH1080" s="321">
        <f t="shared" ref="BH1080:BH1093" si="734">X1080</f>
        <v>257.10000000000002</v>
      </c>
      <c r="BI1080" s="322">
        <f t="shared" ref="BI1080:BI1093" si="735">(BE1080-BH1080)*100</f>
        <v>214.99999999999773</v>
      </c>
      <c r="BJ1080" s="322">
        <v>0</v>
      </c>
      <c r="BK1080" s="318">
        <f t="shared" ref="BK1080:BK1093" si="736">BI1080</f>
        <v>214.99999999999773</v>
      </c>
      <c r="BL1080" s="67"/>
      <c r="BM1080" s="68" t="str">
        <f t="shared" ref="BM1080:BM1093" si="737">+$C$1&amp;" "&amp;C1080 &amp;" "&amp;$N$1&amp;" "&amp;N1080&amp;" "&amp;$BM$1&amp;" "&amp;$AK$1&amp;" "&amp;AK1080&amp;" "&amp;$AL$1&amp;" "&amp;AL1080&amp;" "&amp;$AM$1&amp;" "&amp;AM1080&amp;" "&amp;$AN$1&amp;" "&amp;AN1080&amp;" "&amp;$AO$1&amp;" "&amp;AO1080&amp;" "&amp;$AP$1&amp;" "&amp;AP1080&amp;" "&amp;$AQ$1&amp;" "&amp;AQ1080</f>
        <v>Unloading no. 1048 Bill No 2026-27/12 ,Deduction For Oil Deduction= 204076.185714286 ,Bardana= 4350 ,F.M= 14217.63 Brokerage/Rate Difference 3856.5 ,Shortage = 0 ,Greenish= 0 ,Moisture= 812.436</v>
      </c>
      <c r="BN1080" s="69"/>
      <c r="BO1080" s="70" t="str">
        <f t="shared" ref="BO1080:BO1093" si="738">+" "&amp;$AF$1&amp;" "&amp;AF1080&amp;" "&amp;" "&amp;$AH$1&amp;" "&amp;AH1080*100&amp;" "&amp;$AI$1&amp;" "&amp;AI1080*100&amp;" "&amp;$AJ$1&amp;" "&amp;AJ1080*100&amp;" ,"&amp;$AT$1&amp;" "&amp;AT1080&amp;" "&amp;IF(AE1080&gt;AG1080," ,Oil%"&amp;" "&amp;AG1080," ,Oil%"&amp;" "&amp;AE1080)</f>
        <v xml:space="preserve"> Party Condition 42  ,F.M% 0.7 ,Greenish 3 ,Moisture 5.04 ,Shortage in KG= 0  ,Oil% 37.78</v>
      </c>
      <c r="BP1080" s="71">
        <f t="shared" ref="BP1080:BP1093" si="739">(Y1080-AR1080)/X1080</f>
        <v>7015.8586086569976</v>
      </c>
      <c r="BQ1080" s="55"/>
      <c r="BR1080" s="55"/>
      <c r="BS1080" s="41"/>
      <c r="BT1080" s="41"/>
      <c r="BU1080" s="41"/>
      <c r="BV1080" s="41"/>
      <c r="BW1080" s="85"/>
      <c r="BX1080" s="27">
        <v>37.880000000000003</v>
      </c>
      <c r="BY1080" s="30">
        <v>37.78</v>
      </c>
      <c r="CC1080" s="84">
        <f t="shared" si="730"/>
        <v>238678</v>
      </c>
      <c r="CE1080" s="56">
        <f t="shared" si="731"/>
        <v>227312.38095238095</v>
      </c>
    </row>
    <row r="1081" spans="1:83" ht="14.1" hidden="1" customHeight="1" x14ac:dyDescent="0.3">
      <c r="A1081" s="281" t="s">
        <v>2251</v>
      </c>
      <c r="B1081" s="146">
        <v>46204</v>
      </c>
      <c r="C1081" s="190">
        <v>1049</v>
      </c>
      <c r="D1081" s="138" t="s">
        <v>2284</v>
      </c>
      <c r="E1081" s="129">
        <v>46206</v>
      </c>
      <c r="F1081" s="128" t="s">
        <v>1142</v>
      </c>
      <c r="G1081" s="159" t="s">
        <v>1143</v>
      </c>
      <c r="H1081" s="128" t="s">
        <v>103</v>
      </c>
      <c r="I1081" s="136"/>
      <c r="J1081" s="347" t="s">
        <v>1455</v>
      </c>
      <c r="K1081" s="136"/>
      <c r="L1081" s="146">
        <v>46204</v>
      </c>
      <c r="M1081" s="136"/>
      <c r="N1081" s="128" t="s">
        <v>2327</v>
      </c>
      <c r="O1081" s="130">
        <v>46205</v>
      </c>
      <c r="P1081" s="138">
        <v>0</v>
      </c>
      <c r="Q1081" s="138">
        <v>0</v>
      </c>
      <c r="R1081" s="138">
        <v>251</v>
      </c>
      <c r="S1081" s="138">
        <v>251</v>
      </c>
      <c r="T1081" s="138">
        <v>251</v>
      </c>
      <c r="U1081" s="136"/>
      <c r="V1081" s="136"/>
      <c r="W1081" s="148">
        <v>246.21</v>
      </c>
      <c r="X1081" s="148">
        <v>251</v>
      </c>
      <c r="Y1081" s="148">
        <v>1982900</v>
      </c>
      <c r="Z1081" s="169"/>
      <c r="AA1081" s="148">
        <v>49572.5</v>
      </c>
      <c r="AB1081" s="148">
        <v>49572.5</v>
      </c>
      <c r="AC1081" s="148">
        <v>2082045</v>
      </c>
      <c r="AD1081" s="315">
        <f t="shared" si="727"/>
        <v>2079962.9550000001</v>
      </c>
      <c r="AE1081" s="147">
        <v>39.19</v>
      </c>
      <c r="AF1081" s="147">
        <v>42</v>
      </c>
      <c r="AG1081" s="173">
        <v>39.159999999999997</v>
      </c>
      <c r="AH1081" s="287">
        <v>1.9E-3</v>
      </c>
      <c r="AI1081" s="287">
        <v>3.3799999999999997E-2</v>
      </c>
      <c r="AJ1081" s="418">
        <v>5.0200000000000002E-2</v>
      </c>
      <c r="AK1081" s="318">
        <f>+IF(AF1081=42,IF(MIN(AE1081,AG1081)&lt;AF1081,Y1081*((AF1081-MIN(AE1081,AG1081))/AF1081)),IF(MIN(AE1081,AG1081)&lt;AF1081,Y1081*((AF1081-MIN(AE1081,AG1081))/AF1081),0))-61.75</f>
        <v>134020.0595238097</v>
      </c>
      <c r="AL1081" s="193">
        <f>585*15</f>
        <v>8775</v>
      </c>
      <c r="AM1081" s="319">
        <f>Y1081*AH1081</f>
        <v>3767.51</v>
      </c>
      <c r="AN1081" s="319"/>
      <c r="AO1081" s="320">
        <v>4740</v>
      </c>
      <c r="AP1081" s="193">
        <v>0</v>
      </c>
      <c r="AQ1081" s="318">
        <f>Y1081*0.02/100</f>
        <v>396.58</v>
      </c>
      <c r="AR1081" s="318">
        <f t="shared" si="711"/>
        <v>151699.1495238097</v>
      </c>
      <c r="AS1081" s="318">
        <f t="shared" si="712"/>
        <v>159284</v>
      </c>
      <c r="AT1081" s="321">
        <v>60</v>
      </c>
      <c r="AU1081" s="157"/>
      <c r="AV1081" s="136"/>
      <c r="AW1081" s="318">
        <f t="shared" si="713"/>
        <v>24621</v>
      </c>
      <c r="AX1081" s="193"/>
      <c r="AY1081" s="318">
        <f t="shared" si="714"/>
        <v>24621</v>
      </c>
      <c r="AZ1081" s="318">
        <f t="shared" si="715"/>
        <v>25100</v>
      </c>
      <c r="BA1081" s="318">
        <f t="shared" si="716"/>
        <v>-479</v>
      </c>
      <c r="BB1081" s="318">
        <f t="shared" si="717"/>
        <v>49.241999999999997</v>
      </c>
      <c r="BC1081" s="318">
        <v>0</v>
      </c>
      <c r="BD1081" s="431"/>
      <c r="BE1081" s="147">
        <v>251</v>
      </c>
      <c r="BF1081" s="375">
        <f t="shared" si="732"/>
        <v>0.3765</v>
      </c>
      <c r="BG1081" s="197">
        <f t="shared" si="733"/>
        <v>250.62350000000001</v>
      </c>
      <c r="BH1081" s="321">
        <f t="shared" si="734"/>
        <v>251</v>
      </c>
      <c r="BI1081" s="322">
        <f t="shared" si="735"/>
        <v>0</v>
      </c>
      <c r="BJ1081" s="322">
        <v>0</v>
      </c>
      <c r="BK1081" s="318">
        <f t="shared" si="736"/>
        <v>0</v>
      </c>
      <c r="BL1081" s="67"/>
      <c r="BM1081" s="68" t="str">
        <f t="shared" si="737"/>
        <v>Unloading no. 1049 Bill No 2026-27/6956 ,Deduction For Oil Deduction= 134020.05952381 ,Bardana= 8775 ,F.M= 3767.51 Brokerage/Rate Difference  ,Shortage = 4740 ,Greenish= 0 ,Moisture= 396.58</v>
      </c>
      <c r="BN1081" s="69"/>
      <c r="BO1081" s="70" t="str">
        <f t="shared" si="738"/>
        <v xml:space="preserve"> Party Condition 42  ,F.M% 0.19 ,Greenish 3.38 ,Moisture 5.02 ,Shortage in KG= 60  ,Oil% 39.16</v>
      </c>
      <c r="BP1081" s="71">
        <f t="shared" si="739"/>
        <v>7295.6209182318335</v>
      </c>
      <c r="BQ1081" s="55"/>
      <c r="BR1081" s="55"/>
      <c r="BS1081" s="41"/>
      <c r="BT1081" s="41"/>
      <c r="BU1081" s="41"/>
      <c r="BV1081" s="41"/>
      <c r="BW1081" s="85"/>
      <c r="BX1081" s="27">
        <v>39.19</v>
      </c>
      <c r="BY1081" s="30">
        <v>39.159999999999997</v>
      </c>
      <c r="CA1081" s="56">
        <v>177198.05</v>
      </c>
      <c r="CC1081" s="84">
        <f t="shared" si="730"/>
        <v>-17914.049999999988</v>
      </c>
      <c r="CE1081" s="57">
        <f t="shared" si="731"/>
        <v>-17060.999999999989</v>
      </c>
    </row>
    <row r="1082" spans="1:83" ht="14.1" hidden="1" customHeight="1" x14ac:dyDescent="0.3">
      <c r="A1082" s="281" t="s">
        <v>2218</v>
      </c>
      <c r="B1082" s="146">
        <v>46203</v>
      </c>
      <c r="C1082" s="190">
        <v>1049</v>
      </c>
      <c r="D1082" s="138" t="s">
        <v>2284</v>
      </c>
      <c r="E1082" s="129">
        <v>46206</v>
      </c>
      <c r="F1082" s="128" t="s">
        <v>1142</v>
      </c>
      <c r="G1082" s="159" t="s">
        <v>1143</v>
      </c>
      <c r="H1082" s="128" t="s">
        <v>103</v>
      </c>
      <c r="I1082" s="136"/>
      <c r="J1082" s="347" t="s">
        <v>1455</v>
      </c>
      <c r="K1082" s="136"/>
      <c r="L1082" s="146">
        <v>46203</v>
      </c>
      <c r="M1082" s="136"/>
      <c r="N1082" s="128" t="s">
        <v>2327</v>
      </c>
      <c r="O1082" s="130">
        <v>46205</v>
      </c>
      <c r="P1082" s="138">
        <v>0</v>
      </c>
      <c r="Q1082" s="138">
        <v>0</v>
      </c>
      <c r="R1082" s="138">
        <v>40</v>
      </c>
      <c r="S1082" s="138">
        <v>40</v>
      </c>
      <c r="T1082" s="138">
        <v>40</v>
      </c>
      <c r="U1082" s="136"/>
      <c r="V1082" s="136"/>
      <c r="W1082" s="148">
        <v>38.43</v>
      </c>
      <c r="X1082" s="148">
        <v>40</v>
      </c>
      <c r="Y1082" s="148">
        <v>316000</v>
      </c>
      <c r="Z1082" s="169"/>
      <c r="AA1082" s="148">
        <v>7900</v>
      </c>
      <c r="AB1082" s="148">
        <v>7900</v>
      </c>
      <c r="AC1082" s="148">
        <v>331800</v>
      </c>
      <c r="AD1082" s="315">
        <f t="shared" si="727"/>
        <v>331468.2</v>
      </c>
      <c r="AE1082" s="147">
        <v>39.19</v>
      </c>
      <c r="AF1082" s="147">
        <v>42</v>
      </c>
      <c r="AG1082" s="173">
        <v>39.159999999999997</v>
      </c>
      <c r="AH1082" s="287">
        <v>1.9E-3</v>
      </c>
      <c r="AI1082" s="287">
        <v>3.3799999999999997E-2</v>
      </c>
      <c r="AJ1082" s="418">
        <v>5.0200000000000002E-2</v>
      </c>
      <c r="AK1082" s="318">
        <f t="shared" si="726"/>
        <v>21367.619047619075</v>
      </c>
      <c r="AL1082" s="193">
        <v>0</v>
      </c>
      <c r="AM1082" s="319">
        <f>Y1082*AH1082</f>
        <v>600.4</v>
      </c>
      <c r="AN1082" s="319"/>
      <c r="AO1082" s="320">
        <f t="shared" si="710"/>
        <v>0</v>
      </c>
      <c r="AP1082" s="193">
        <v>0</v>
      </c>
      <c r="AQ1082" s="318">
        <f>Y1082*0.02/100</f>
        <v>63.2</v>
      </c>
      <c r="AR1082" s="318">
        <f t="shared" si="711"/>
        <v>22031.219047619077</v>
      </c>
      <c r="AS1082" s="318">
        <f t="shared" si="712"/>
        <v>23133</v>
      </c>
      <c r="AT1082" s="321">
        <v>0</v>
      </c>
      <c r="AU1082" s="157"/>
      <c r="AV1082" s="136"/>
      <c r="AW1082" s="318">
        <f t="shared" si="713"/>
        <v>3843</v>
      </c>
      <c r="AX1082" s="193"/>
      <c r="AY1082" s="318">
        <f t="shared" si="714"/>
        <v>3843</v>
      </c>
      <c r="AZ1082" s="318">
        <f t="shared" si="715"/>
        <v>4000</v>
      </c>
      <c r="BA1082" s="318">
        <f t="shared" si="716"/>
        <v>-157</v>
      </c>
      <c r="BB1082" s="318">
        <f t="shared" si="717"/>
        <v>7.6859999999999999</v>
      </c>
      <c r="BC1082" s="318">
        <v>0</v>
      </c>
      <c r="BD1082" s="431"/>
      <c r="BE1082" s="147">
        <v>40</v>
      </c>
      <c r="BF1082" s="375">
        <f t="shared" si="732"/>
        <v>0.06</v>
      </c>
      <c r="BG1082" s="197">
        <f t="shared" si="733"/>
        <v>39.94</v>
      </c>
      <c r="BH1082" s="321">
        <f t="shared" si="734"/>
        <v>40</v>
      </c>
      <c r="BI1082" s="322">
        <f t="shared" si="735"/>
        <v>0</v>
      </c>
      <c r="BJ1082" s="322">
        <v>0</v>
      </c>
      <c r="BK1082" s="318">
        <f t="shared" si="736"/>
        <v>0</v>
      </c>
      <c r="BL1082" s="67"/>
      <c r="BM1082" s="68" t="str">
        <f t="shared" si="737"/>
        <v>Unloading no. 1049 Bill No 2026-27/6956 ,Deduction For Oil Deduction= 21367.6190476191 ,Bardana= 0 ,F.M= 600.4 Brokerage/Rate Difference  ,Shortage = 0 ,Greenish= 0 ,Moisture= 63.2</v>
      </c>
      <c r="BN1082" s="69"/>
      <c r="BO1082" s="70" t="str">
        <f t="shared" si="738"/>
        <v xml:space="preserve"> Party Condition 42  ,F.M% 0.19 ,Greenish 3.38 ,Moisture 5.02 ,Shortage in KG= 0  ,Oil% 39.16</v>
      </c>
      <c r="BP1082" s="71">
        <f t="shared" si="739"/>
        <v>7349.2195238095228</v>
      </c>
      <c r="BQ1082" s="55"/>
      <c r="BR1082" s="55"/>
      <c r="BS1082" s="41"/>
      <c r="BT1082" s="41"/>
      <c r="BU1082" s="41"/>
      <c r="BV1082" s="41"/>
      <c r="BW1082" s="85"/>
      <c r="BX1082" s="27">
        <v>39.19</v>
      </c>
      <c r="BY1082" s="30">
        <v>39.159999999999997</v>
      </c>
      <c r="CC1082" s="84">
        <f t="shared" si="730"/>
        <v>23133</v>
      </c>
      <c r="CE1082" s="57">
        <f t="shared" si="731"/>
        <v>22031.428571428569</v>
      </c>
    </row>
    <row r="1083" spans="1:83" ht="14.1" hidden="1" customHeight="1" x14ac:dyDescent="0.3">
      <c r="A1083" s="281" t="s">
        <v>2252</v>
      </c>
      <c r="B1083" s="146">
        <v>46203</v>
      </c>
      <c r="C1083" s="138">
        <v>1050</v>
      </c>
      <c r="D1083" s="138" t="s">
        <v>2285</v>
      </c>
      <c r="E1083" s="129">
        <v>46206</v>
      </c>
      <c r="F1083" s="128" t="s">
        <v>2296</v>
      </c>
      <c r="G1083" s="158" t="s">
        <v>2297</v>
      </c>
      <c r="H1083" s="128" t="s">
        <v>1511</v>
      </c>
      <c r="I1083" s="136"/>
      <c r="J1083" s="347" t="s">
        <v>1455</v>
      </c>
      <c r="K1083" s="136"/>
      <c r="L1083" s="146">
        <v>46203</v>
      </c>
      <c r="M1083" s="136"/>
      <c r="N1083" s="128" t="s">
        <v>2328</v>
      </c>
      <c r="O1083" s="130">
        <v>46205</v>
      </c>
      <c r="P1083" s="138">
        <v>0</v>
      </c>
      <c r="Q1083" s="138">
        <v>370</v>
      </c>
      <c r="R1083" s="138">
        <v>48</v>
      </c>
      <c r="S1083" s="138">
        <v>418</v>
      </c>
      <c r="T1083" s="138">
        <v>418</v>
      </c>
      <c r="U1083" s="136"/>
      <c r="V1083" s="136"/>
      <c r="W1083" s="148">
        <v>255</v>
      </c>
      <c r="X1083" s="148">
        <v>254.5</v>
      </c>
      <c r="Y1083" s="148">
        <v>2008125</v>
      </c>
      <c r="Z1083" s="169"/>
      <c r="AA1083" s="148">
        <v>50203.13</v>
      </c>
      <c r="AB1083" s="148">
        <v>50203.13</v>
      </c>
      <c r="AC1083" s="148">
        <v>2108531.25</v>
      </c>
      <c r="AD1083" s="315">
        <f t="shared" si="727"/>
        <v>2106422.71875</v>
      </c>
      <c r="AE1083" s="147">
        <v>39.25</v>
      </c>
      <c r="AF1083" s="147">
        <v>42</v>
      </c>
      <c r="AG1083" s="173">
        <v>39.25</v>
      </c>
      <c r="AH1083" s="287">
        <v>1.8E-3</v>
      </c>
      <c r="AI1083" s="287">
        <v>3.1699999999999999E-2</v>
      </c>
      <c r="AJ1083" s="287">
        <v>4.8000000000000001E-2</v>
      </c>
      <c r="AK1083" s="318">
        <f>+IF(AF1083=42,IF(MIN(AE1083,AG1083)&lt;AF1083,Y1083*((AF1083-MIN(AE1083,AG1083))/AF1083)),IF(MIN(AE1083,AG1083)&lt;AF1083,Y1083*((AF1083-MIN(AE1083,AG1083))/AF1083),0))-52.22</f>
        <v>131432.155</v>
      </c>
      <c r="AL1083" s="193">
        <f>370*10+48*15</f>
        <v>4420</v>
      </c>
      <c r="AM1083" s="319">
        <f>Y1083*AH1083</f>
        <v>3614.625</v>
      </c>
      <c r="AN1083" s="319"/>
      <c r="AO1083" s="320">
        <f t="shared" si="710"/>
        <v>3937.5</v>
      </c>
      <c r="AP1083" s="193">
        <v>0</v>
      </c>
      <c r="AQ1083" s="318">
        <v>0</v>
      </c>
      <c r="AR1083" s="318">
        <f t="shared" si="711"/>
        <v>143404.28</v>
      </c>
      <c r="AS1083" s="318">
        <f t="shared" si="712"/>
        <v>150574</v>
      </c>
      <c r="AT1083" s="321">
        <v>50</v>
      </c>
      <c r="AU1083" s="157"/>
      <c r="AV1083" s="136"/>
      <c r="AW1083" s="318">
        <f t="shared" si="713"/>
        <v>25500</v>
      </c>
      <c r="AX1083" s="193"/>
      <c r="AY1083" s="318">
        <f t="shared" si="714"/>
        <v>25500</v>
      </c>
      <c r="AZ1083" s="318">
        <f t="shared" si="715"/>
        <v>25450</v>
      </c>
      <c r="BA1083" s="318">
        <f t="shared" si="716"/>
        <v>50</v>
      </c>
      <c r="BB1083" s="318">
        <f t="shared" si="717"/>
        <v>51</v>
      </c>
      <c r="BC1083" s="318">
        <v>0</v>
      </c>
      <c r="BD1083" s="431"/>
      <c r="BE1083" s="147">
        <v>255</v>
      </c>
      <c r="BF1083" s="375">
        <f t="shared" si="732"/>
        <v>0.38250000000000001</v>
      </c>
      <c r="BG1083" s="197">
        <f t="shared" si="733"/>
        <v>254.61750000000001</v>
      </c>
      <c r="BH1083" s="321">
        <f t="shared" si="734"/>
        <v>254.5</v>
      </c>
      <c r="BI1083" s="322">
        <f t="shared" si="735"/>
        <v>50</v>
      </c>
      <c r="BJ1083" s="322">
        <v>0</v>
      </c>
      <c r="BK1083" s="318">
        <f t="shared" si="736"/>
        <v>50</v>
      </c>
      <c r="BL1083" s="67"/>
      <c r="BM1083" s="68" t="str">
        <f t="shared" si="737"/>
        <v>Unloading no. 1050 Bill No STTC/2026-27/20 ,Deduction For Oil Deduction= 131432.155 ,Bardana= 4420 ,F.M= 3614.625 Brokerage/Rate Difference  ,Shortage = 3937.5 ,Greenish= 0 ,Moisture= 0</v>
      </c>
      <c r="BN1083" s="69"/>
      <c r="BO1083" s="70" t="str">
        <f t="shared" si="738"/>
        <v xml:space="preserve"> Party Condition 42  ,F.M% 0.18 ,Greenish 3.17 ,Moisture 4.8 ,Shortage in KG= 50  ,Oil% 39.25</v>
      </c>
      <c r="BP1083" s="71">
        <f t="shared" si="739"/>
        <v>7326.9969351669943</v>
      </c>
      <c r="BQ1083" s="55"/>
      <c r="BR1083" s="55"/>
      <c r="BS1083" s="41"/>
      <c r="BT1083" s="41"/>
      <c r="BU1083" s="41"/>
      <c r="BV1083" s="41"/>
      <c r="BW1083" s="85"/>
      <c r="BX1083" s="27">
        <v>39.25</v>
      </c>
      <c r="BY1083" s="30">
        <v>39.25</v>
      </c>
      <c r="CA1083" s="56">
        <v>145174.59</v>
      </c>
      <c r="CC1083" s="84">
        <f t="shared" si="730"/>
        <v>5399.4100000000035</v>
      </c>
      <c r="CE1083" s="56">
        <f t="shared" si="731"/>
        <v>5142.2952380952411</v>
      </c>
    </row>
    <row r="1084" spans="1:83" ht="14.1" hidden="1" customHeight="1" x14ac:dyDescent="0.3">
      <c r="A1084" s="281" t="s">
        <v>2219</v>
      </c>
      <c r="B1084" s="146">
        <v>46203</v>
      </c>
      <c r="C1084" s="138">
        <v>1051</v>
      </c>
      <c r="D1084" s="138" t="s">
        <v>2286</v>
      </c>
      <c r="E1084" s="129">
        <v>46206</v>
      </c>
      <c r="F1084" s="128" t="s">
        <v>1144</v>
      </c>
      <c r="G1084" s="128" t="s">
        <v>1145</v>
      </c>
      <c r="H1084" s="128" t="s">
        <v>100</v>
      </c>
      <c r="I1084" s="136"/>
      <c r="J1084" s="138" t="s">
        <v>1146</v>
      </c>
      <c r="K1084" s="136"/>
      <c r="L1084" s="146">
        <v>46203</v>
      </c>
      <c r="M1084" s="136"/>
      <c r="N1084" s="128" t="s">
        <v>2329</v>
      </c>
      <c r="O1084" s="130">
        <v>46206</v>
      </c>
      <c r="P1084" s="138">
        <v>0</v>
      </c>
      <c r="Q1084" s="138">
        <v>123</v>
      </c>
      <c r="R1084" s="138">
        <v>40</v>
      </c>
      <c r="S1084" s="138">
        <v>163</v>
      </c>
      <c r="T1084" s="138">
        <v>163</v>
      </c>
      <c r="U1084" s="136"/>
      <c r="V1084" s="136"/>
      <c r="W1084" s="148">
        <v>97.2</v>
      </c>
      <c r="X1084" s="148">
        <v>97</v>
      </c>
      <c r="Y1084" s="148">
        <v>763117.2</v>
      </c>
      <c r="Z1084" s="372">
        <v>39.590000000000003</v>
      </c>
      <c r="AA1084" s="148">
        <v>19077.93</v>
      </c>
      <c r="AB1084" s="148">
        <v>19077.93</v>
      </c>
      <c r="AC1084" s="148">
        <v>801273.06</v>
      </c>
      <c r="AD1084" s="315">
        <f t="shared" si="727"/>
        <v>800471.78694000002</v>
      </c>
      <c r="AE1084" s="147">
        <v>39.590000000000003</v>
      </c>
      <c r="AF1084" s="147">
        <v>42</v>
      </c>
      <c r="AG1084" s="173">
        <v>39.590000000000003</v>
      </c>
      <c r="AH1084" s="287">
        <v>1.5E-3</v>
      </c>
      <c r="AI1084" s="287">
        <v>2.7799999999999998E-2</v>
      </c>
      <c r="AJ1084" s="287">
        <v>5.2999999999999999E-2</v>
      </c>
      <c r="AK1084" s="318">
        <f t="shared" si="726"/>
        <v>43788.391714285644</v>
      </c>
      <c r="AL1084" s="193">
        <v>0</v>
      </c>
      <c r="AM1084" s="319">
        <v>0</v>
      </c>
      <c r="AN1084" s="319"/>
      <c r="AO1084" s="320">
        <f t="shared" si="710"/>
        <v>78.509999999999991</v>
      </c>
      <c r="AP1084" s="193">
        <v>0</v>
      </c>
      <c r="AQ1084" s="318">
        <v>0</v>
      </c>
      <c r="AR1084" s="318">
        <f t="shared" si="711"/>
        <v>43866.901714285646</v>
      </c>
      <c r="AS1084" s="318">
        <f t="shared" si="712"/>
        <v>46060</v>
      </c>
      <c r="AT1084" s="321">
        <v>1</v>
      </c>
      <c r="AU1084" s="157"/>
      <c r="AV1084" s="136"/>
      <c r="AW1084" s="318">
        <f t="shared" si="713"/>
        <v>9720</v>
      </c>
      <c r="AX1084" s="193"/>
      <c r="AY1084" s="318">
        <f t="shared" si="714"/>
        <v>9720</v>
      </c>
      <c r="AZ1084" s="318">
        <f t="shared" si="715"/>
        <v>9700</v>
      </c>
      <c r="BA1084" s="318">
        <f t="shared" si="716"/>
        <v>20</v>
      </c>
      <c r="BB1084" s="318">
        <f t="shared" si="717"/>
        <v>19.440000000000001</v>
      </c>
      <c r="BC1084" s="318">
        <v>0</v>
      </c>
      <c r="BD1084" s="431"/>
      <c r="BE1084" s="147">
        <v>97.2</v>
      </c>
      <c r="BF1084" s="375">
        <f t="shared" si="732"/>
        <v>0.14580000000000001</v>
      </c>
      <c r="BG1084" s="197">
        <f t="shared" si="733"/>
        <v>97.054200000000009</v>
      </c>
      <c r="BH1084" s="321">
        <f t="shared" si="734"/>
        <v>97</v>
      </c>
      <c r="BI1084" s="322">
        <f t="shared" si="735"/>
        <v>20.000000000000284</v>
      </c>
      <c r="BJ1084" s="322">
        <v>0</v>
      </c>
      <c r="BK1084" s="318">
        <f t="shared" si="736"/>
        <v>20.000000000000284</v>
      </c>
      <c r="BL1084" s="67"/>
      <c r="BM1084" s="68" t="str">
        <f t="shared" si="737"/>
        <v>Unloading no. 1051 Bill No 2026-27/284 ,Deduction For Oil Deduction= 43788.3917142856 ,Bardana= 0 ,F.M= 0 Brokerage/Rate Difference  ,Shortage = 78.51 ,Greenish= 0 ,Moisture= 0</v>
      </c>
      <c r="BN1084" s="69"/>
      <c r="BO1084" s="70" t="str">
        <f t="shared" si="738"/>
        <v xml:space="preserve"> Party Condition 42  ,F.M% 0.15 ,Greenish 2.78 ,Moisture 5.3 ,Shortage in KG= 1  ,Oil% 39.59</v>
      </c>
      <c r="BP1084" s="71">
        <f t="shared" si="739"/>
        <v>7414.951528718705</v>
      </c>
      <c r="BQ1084" s="55"/>
      <c r="BR1084" s="55"/>
      <c r="BS1084" s="41"/>
      <c r="BT1084" s="41"/>
      <c r="BU1084" s="41"/>
      <c r="BV1084" s="41"/>
      <c r="BW1084" s="85"/>
      <c r="BX1084" s="27">
        <v>39.65</v>
      </c>
      <c r="BY1084" s="30">
        <v>39.46</v>
      </c>
    </row>
    <row r="1085" spans="1:83" ht="14.1" hidden="1" customHeight="1" x14ac:dyDescent="0.3">
      <c r="A1085" s="281" t="s">
        <v>2219</v>
      </c>
      <c r="B1085" s="146">
        <v>46203</v>
      </c>
      <c r="C1085" s="138">
        <v>1052</v>
      </c>
      <c r="D1085" s="138" t="s">
        <v>2287</v>
      </c>
      <c r="E1085" s="129">
        <v>46206</v>
      </c>
      <c r="F1085" s="128" t="s">
        <v>1144</v>
      </c>
      <c r="G1085" s="128" t="s">
        <v>1145</v>
      </c>
      <c r="H1085" s="128" t="s">
        <v>100</v>
      </c>
      <c r="I1085" s="136"/>
      <c r="J1085" s="138" t="s">
        <v>1146</v>
      </c>
      <c r="K1085" s="136"/>
      <c r="L1085" s="146">
        <v>46203</v>
      </c>
      <c r="M1085" s="136"/>
      <c r="N1085" s="128" t="s">
        <v>2330</v>
      </c>
      <c r="O1085" s="130">
        <v>46206</v>
      </c>
      <c r="P1085" s="138">
        <v>0</v>
      </c>
      <c r="Q1085" s="138">
        <v>150</v>
      </c>
      <c r="R1085" s="138">
        <v>13</v>
      </c>
      <c r="S1085" s="138">
        <v>163</v>
      </c>
      <c r="T1085" s="138">
        <v>163</v>
      </c>
      <c r="U1085" s="136"/>
      <c r="V1085" s="136"/>
      <c r="W1085" s="148">
        <v>97.2</v>
      </c>
      <c r="X1085" s="148">
        <v>97</v>
      </c>
      <c r="Y1085" s="148">
        <v>763117.2</v>
      </c>
      <c r="Z1085" s="372">
        <v>39.799999999999997</v>
      </c>
      <c r="AA1085" s="148">
        <v>19077.93</v>
      </c>
      <c r="AB1085" s="148">
        <v>19077.93</v>
      </c>
      <c r="AC1085" s="148">
        <v>801273.06</v>
      </c>
      <c r="AD1085" s="315">
        <f t="shared" si="727"/>
        <v>800471.78694000002</v>
      </c>
      <c r="AE1085" s="147">
        <v>39.799999999999997</v>
      </c>
      <c r="AF1085" s="147">
        <v>42</v>
      </c>
      <c r="AG1085" s="173">
        <v>39.799999999999997</v>
      </c>
      <c r="AH1085" s="287">
        <v>1.6000000000000001E-3</v>
      </c>
      <c r="AI1085" s="287">
        <v>2.3800000000000002E-2</v>
      </c>
      <c r="AJ1085" s="287">
        <v>0.05</v>
      </c>
      <c r="AK1085" s="318">
        <f t="shared" si="726"/>
        <v>39972.805714285765</v>
      </c>
      <c r="AL1085" s="193">
        <v>0</v>
      </c>
      <c r="AM1085" s="319">
        <v>0</v>
      </c>
      <c r="AN1085" s="319"/>
      <c r="AO1085" s="320">
        <f t="shared" si="710"/>
        <v>78.509999999999991</v>
      </c>
      <c r="AP1085" s="193">
        <v>0</v>
      </c>
      <c r="AQ1085" s="318">
        <v>0</v>
      </c>
      <c r="AR1085" s="318">
        <f t="shared" si="711"/>
        <v>40051.315714285767</v>
      </c>
      <c r="AS1085" s="318">
        <f t="shared" si="712"/>
        <v>42054</v>
      </c>
      <c r="AT1085" s="321">
        <v>1</v>
      </c>
      <c r="AU1085" s="157"/>
      <c r="AV1085" s="136"/>
      <c r="AW1085" s="318">
        <f t="shared" si="713"/>
        <v>9720</v>
      </c>
      <c r="AX1085" s="193"/>
      <c r="AY1085" s="318">
        <f t="shared" si="714"/>
        <v>9720</v>
      </c>
      <c r="AZ1085" s="318">
        <f t="shared" si="715"/>
        <v>9700</v>
      </c>
      <c r="BA1085" s="318">
        <f t="shared" si="716"/>
        <v>20</v>
      </c>
      <c r="BB1085" s="318">
        <f t="shared" si="717"/>
        <v>19.440000000000001</v>
      </c>
      <c r="BC1085" s="318">
        <v>0</v>
      </c>
      <c r="BD1085" s="431"/>
      <c r="BE1085" s="147">
        <v>97.2</v>
      </c>
      <c r="BF1085" s="375">
        <f t="shared" si="732"/>
        <v>0.14580000000000001</v>
      </c>
      <c r="BG1085" s="197">
        <f t="shared" si="733"/>
        <v>97.054200000000009</v>
      </c>
      <c r="BH1085" s="321">
        <f t="shared" si="734"/>
        <v>97</v>
      </c>
      <c r="BI1085" s="322">
        <f t="shared" si="735"/>
        <v>20.000000000000284</v>
      </c>
      <c r="BJ1085" s="322">
        <v>0</v>
      </c>
      <c r="BK1085" s="318">
        <f t="shared" si="736"/>
        <v>20.000000000000284</v>
      </c>
      <c r="BL1085" s="67"/>
      <c r="BM1085" s="68" t="str">
        <f t="shared" si="737"/>
        <v>Unloading no. 1052 Bill No 2026-27/285 ,Deduction For Oil Deduction= 39972.8057142858 ,Bardana= 0 ,F.M= 0 Brokerage/Rate Difference  ,Shortage = 78.51 ,Greenish= 0 ,Moisture= 0</v>
      </c>
      <c r="BN1085" s="69"/>
      <c r="BO1085" s="70" t="str">
        <f t="shared" si="738"/>
        <v xml:space="preserve"> Party Condition 42  ,F.M% 0.16 ,Greenish 2.38 ,Moisture 5 ,Shortage in KG= 1  ,Oil% 39.8</v>
      </c>
      <c r="BP1085" s="71">
        <f t="shared" si="739"/>
        <v>7454.2874668630338</v>
      </c>
      <c r="BQ1085" s="55"/>
      <c r="BR1085" s="55"/>
      <c r="BS1085" s="41"/>
      <c r="BT1085" s="41"/>
      <c r="BU1085" s="41"/>
      <c r="BV1085" s="41"/>
      <c r="BW1085" s="85"/>
      <c r="BX1085" s="27">
        <v>39.58</v>
      </c>
      <c r="BY1085" s="30">
        <v>39.4</v>
      </c>
    </row>
    <row r="1086" spans="1:83" ht="14.1" hidden="1" customHeight="1" x14ac:dyDescent="0.3">
      <c r="A1086" s="281" t="s">
        <v>2219</v>
      </c>
      <c r="B1086" s="146">
        <v>46203</v>
      </c>
      <c r="C1086" s="138">
        <v>1053</v>
      </c>
      <c r="D1086" s="138" t="s">
        <v>2288</v>
      </c>
      <c r="E1086" s="129">
        <v>46206</v>
      </c>
      <c r="F1086" s="128" t="s">
        <v>1144</v>
      </c>
      <c r="G1086" s="128" t="s">
        <v>1145</v>
      </c>
      <c r="H1086" s="128" t="s">
        <v>100</v>
      </c>
      <c r="I1086" s="136"/>
      <c r="J1086" s="138" t="s">
        <v>1146</v>
      </c>
      <c r="K1086" s="136"/>
      <c r="L1086" s="146">
        <v>46203</v>
      </c>
      <c r="M1086" s="136"/>
      <c r="N1086" s="128" t="s">
        <v>2331</v>
      </c>
      <c r="O1086" s="130">
        <v>46206</v>
      </c>
      <c r="P1086" s="138">
        <v>0</v>
      </c>
      <c r="Q1086" s="138">
        <v>120</v>
      </c>
      <c r="R1086" s="138">
        <v>43</v>
      </c>
      <c r="S1086" s="138">
        <v>163</v>
      </c>
      <c r="T1086" s="138">
        <v>163</v>
      </c>
      <c r="U1086" s="136"/>
      <c r="V1086" s="136"/>
      <c r="W1086" s="148">
        <v>96.5</v>
      </c>
      <c r="X1086" s="148">
        <v>96.4</v>
      </c>
      <c r="Y1086" s="148">
        <v>757621.5</v>
      </c>
      <c r="Z1086" s="372">
        <v>40.299999999999997</v>
      </c>
      <c r="AA1086" s="148">
        <v>18940.54</v>
      </c>
      <c r="AB1086" s="148">
        <v>18940.54</v>
      </c>
      <c r="AC1086" s="148">
        <v>795502.58</v>
      </c>
      <c r="AD1086" s="315">
        <f t="shared" si="727"/>
        <v>794707.07741999999</v>
      </c>
      <c r="AE1086" s="147">
        <v>40.299999999999997</v>
      </c>
      <c r="AF1086" s="147">
        <v>42</v>
      </c>
      <c r="AG1086" s="173">
        <v>40.299999999999997</v>
      </c>
      <c r="AH1086" s="287">
        <v>1.6999999999999999E-3</v>
      </c>
      <c r="AI1086" s="287">
        <v>0.03</v>
      </c>
      <c r="AJ1086" s="287">
        <v>5.6000000000000001E-2</v>
      </c>
      <c r="AK1086" s="318">
        <f t="shared" si="726"/>
        <v>30665.63214285719</v>
      </c>
      <c r="AL1086" s="193">
        <v>0</v>
      </c>
      <c r="AM1086" s="319">
        <v>0</v>
      </c>
      <c r="AN1086" s="319"/>
      <c r="AO1086" s="320">
        <f t="shared" si="710"/>
        <v>0</v>
      </c>
      <c r="AP1086" s="193">
        <v>0</v>
      </c>
      <c r="AQ1086" s="318">
        <v>0</v>
      </c>
      <c r="AR1086" s="318">
        <f t="shared" si="711"/>
        <v>30665.63214285719</v>
      </c>
      <c r="AS1086" s="318">
        <f t="shared" si="712"/>
        <v>32199</v>
      </c>
      <c r="AT1086" s="321">
        <v>0</v>
      </c>
      <c r="AU1086" s="157"/>
      <c r="AV1086" s="136"/>
      <c r="AW1086" s="318">
        <f t="shared" si="713"/>
        <v>9650</v>
      </c>
      <c r="AX1086" s="193"/>
      <c r="AY1086" s="318">
        <f t="shared" si="714"/>
        <v>9650</v>
      </c>
      <c r="AZ1086" s="318">
        <f t="shared" si="715"/>
        <v>9640</v>
      </c>
      <c r="BA1086" s="318">
        <f t="shared" si="716"/>
        <v>10</v>
      </c>
      <c r="BB1086" s="318">
        <f t="shared" si="717"/>
        <v>19.3</v>
      </c>
      <c r="BC1086" s="318">
        <v>0</v>
      </c>
      <c r="BD1086" s="431"/>
      <c r="BE1086" s="147">
        <v>96.5</v>
      </c>
      <c r="BF1086" s="375">
        <f t="shared" si="732"/>
        <v>0.14474999999999999</v>
      </c>
      <c r="BG1086" s="197">
        <f t="shared" si="733"/>
        <v>96.355249999999998</v>
      </c>
      <c r="BH1086" s="321">
        <f t="shared" si="734"/>
        <v>96.4</v>
      </c>
      <c r="BI1086" s="322">
        <f t="shared" si="735"/>
        <v>9.9999999999994316</v>
      </c>
      <c r="BJ1086" s="322">
        <v>0</v>
      </c>
      <c r="BK1086" s="318">
        <f t="shared" si="736"/>
        <v>9.9999999999994316</v>
      </c>
      <c r="BL1086" s="67"/>
      <c r="BM1086" s="68" t="str">
        <f t="shared" si="737"/>
        <v>Unloading no. 1053 Bill No 2026-27/286 ,Deduction For Oil Deduction= 30665.6321428572 ,Bardana= 0 ,F.M= 0 Brokerage/Rate Difference  ,Shortage = 0 ,Greenish= 0 ,Moisture= 0</v>
      </c>
      <c r="BN1086" s="69"/>
      <c r="BO1086" s="70" t="str">
        <f t="shared" si="738"/>
        <v xml:space="preserve"> Party Condition 42  ,F.M% 0.17 ,Greenish 3 ,Moisture 5.6 ,Shortage in KG= 0  ,Oil% 40.3</v>
      </c>
      <c r="BP1086" s="71">
        <f t="shared" si="739"/>
        <v>7541.0359736218134</v>
      </c>
      <c r="BQ1086" s="55"/>
      <c r="BR1086" s="55"/>
      <c r="BS1086" s="41"/>
      <c r="BT1086" s="41"/>
      <c r="BU1086" s="41"/>
      <c r="BV1086" s="41"/>
      <c r="BW1086" s="85"/>
      <c r="BX1086" s="27">
        <v>39.75</v>
      </c>
      <c r="BY1086" s="30">
        <v>39.72</v>
      </c>
    </row>
    <row r="1087" spans="1:83" ht="14.1" hidden="1" customHeight="1" x14ac:dyDescent="0.3">
      <c r="A1087" s="281" t="s">
        <v>2219</v>
      </c>
      <c r="B1087" s="146">
        <v>46203</v>
      </c>
      <c r="C1087" s="138">
        <v>1054</v>
      </c>
      <c r="D1087" s="138" t="s">
        <v>2289</v>
      </c>
      <c r="E1087" s="129">
        <v>46206</v>
      </c>
      <c r="F1087" s="128" t="s">
        <v>1144</v>
      </c>
      <c r="G1087" s="128" t="s">
        <v>1145</v>
      </c>
      <c r="H1087" s="128" t="s">
        <v>100</v>
      </c>
      <c r="I1087" s="136"/>
      <c r="J1087" s="138" t="s">
        <v>1146</v>
      </c>
      <c r="K1087" s="136"/>
      <c r="L1087" s="146">
        <v>46203</v>
      </c>
      <c r="M1087" s="136"/>
      <c r="N1087" s="128" t="s">
        <v>2332</v>
      </c>
      <c r="O1087" s="130">
        <v>46206</v>
      </c>
      <c r="P1087" s="138">
        <v>0</v>
      </c>
      <c r="Q1087" s="138">
        <v>150</v>
      </c>
      <c r="R1087" s="138">
        <v>13</v>
      </c>
      <c r="S1087" s="138">
        <v>163</v>
      </c>
      <c r="T1087" s="138">
        <v>163</v>
      </c>
      <c r="U1087" s="136"/>
      <c r="V1087" s="136"/>
      <c r="W1087" s="148">
        <v>95.9</v>
      </c>
      <c r="X1087" s="148">
        <v>95.9</v>
      </c>
      <c r="Y1087" s="148">
        <v>752910.9</v>
      </c>
      <c r="Z1087" s="372">
        <v>39.51</v>
      </c>
      <c r="AA1087" s="148">
        <v>18822.77</v>
      </c>
      <c r="AB1087" s="148">
        <v>18822.77</v>
      </c>
      <c r="AC1087" s="148">
        <v>790556.45</v>
      </c>
      <c r="AD1087" s="315">
        <f t="shared" si="727"/>
        <v>789765.89354999992</v>
      </c>
      <c r="AE1087" s="147">
        <v>39.51</v>
      </c>
      <c r="AF1087" s="147">
        <v>42</v>
      </c>
      <c r="AG1087" s="173">
        <v>39.51</v>
      </c>
      <c r="AH1087" s="287">
        <v>1.4E-3</v>
      </c>
      <c r="AI1087" s="287">
        <v>2.4E-2</v>
      </c>
      <c r="AJ1087" s="287">
        <v>5.2999999999999999E-2</v>
      </c>
      <c r="AK1087" s="318">
        <f t="shared" si="726"/>
        <v>44636.860500000032</v>
      </c>
      <c r="AL1087" s="193">
        <v>0</v>
      </c>
      <c r="AM1087" s="319">
        <v>0</v>
      </c>
      <c r="AN1087" s="319"/>
      <c r="AO1087" s="320">
        <f t="shared" si="710"/>
        <v>0</v>
      </c>
      <c r="AP1087" s="193">
        <v>0</v>
      </c>
      <c r="AQ1087" s="318">
        <v>0</v>
      </c>
      <c r="AR1087" s="318">
        <f t="shared" si="711"/>
        <v>44636.860500000032</v>
      </c>
      <c r="AS1087" s="318">
        <f t="shared" si="712"/>
        <v>46869</v>
      </c>
      <c r="AT1087" s="321">
        <v>0</v>
      </c>
      <c r="AU1087" s="157"/>
      <c r="AV1087" s="136"/>
      <c r="AW1087" s="318">
        <f t="shared" si="713"/>
        <v>9590</v>
      </c>
      <c r="AX1087" s="193"/>
      <c r="AY1087" s="318">
        <f t="shared" si="714"/>
        <v>9590</v>
      </c>
      <c r="AZ1087" s="318">
        <f t="shared" si="715"/>
        <v>9590</v>
      </c>
      <c r="BA1087" s="318">
        <f t="shared" si="716"/>
        <v>0</v>
      </c>
      <c r="BB1087" s="318">
        <f t="shared" si="717"/>
        <v>19.18</v>
      </c>
      <c r="BC1087" s="318">
        <v>0</v>
      </c>
      <c r="BD1087" s="431"/>
      <c r="BE1087" s="147">
        <v>95.9</v>
      </c>
      <c r="BF1087" s="375">
        <f t="shared" si="732"/>
        <v>0.14385000000000001</v>
      </c>
      <c r="BG1087" s="197">
        <f t="shared" si="733"/>
        <v>95.756150000000005</v>
      </c>
      <c r="BH1087" s="321">
        <f t="shared" si="734"/>
        <v>95.9</v>
      </c>
      <c r="BI1087" s="322">
        <f t="shared" si="735"/>
        <v>0</v>
      </c>
      <c r="BJ1087" s="322">
        <v>0</v>
      </c>
      <c r="BK1087" s="318">
        <f t="shared" si="736"/>
        <v>0</v>
      </c>
      <c r="BL1087" s="67"/>
      <c r="BM1087" s="68" t="str">
        <f t="shared" si="737"/>
        <v>Unloading no. 1054 Bill No 2026-27/287 ,Deduction For Oil Deduction= 44636.8605 ,Bardana= 0 ,F.M= 0 Brokerage/Rate Difference  ,Shortage = 0 ,Greenish= 0 ,Moisture= 0</v>
      </c>
      <c r="BN1087" s="69"/>
      <c r="BO1087" s="70" t="str">
        <f t="shared" si="738"/>
        <v xml:space="preserve"> Party Condition 42  ,F.M% 0.14 ,Greenish 2.4 ,Moisture 5.3 ,Shortage in KG= 0  ,Oil% 39.51</v>
      </c>
      <c r="BP1087" s="71">
        <f t="shared" si="739"/>
        <v>7385.5478571428566</v>
      </c>
      <c r="BQ1087" s="55"/>
      <c r="BR1087" s="55"/>
      <c r="BS1087" s="41"/>
      <c r="BT1087" s="41"/>
      <c r="BU1087" s="41"/>
      <c r="BV1087" s="41"/>
      <c r="BW1087" s="85"/>
      <c r="BX1087" s="27">
        <v>39.32</v>
      </c>
      <c r="BY1087" s="30">
        <v>39.299999999999997</v>
      </c>
    </row>
    <row r="1088" spans="1:83" ht="14.1" hidden="1" customHeight="1" x14ac:dyDescent="0.3">
      <c r="A1088" s="281" t="s">
        <v>2219</v>
      </c>
      <c r="B1088" s="146">
        <v>46203</v>
      </c>
      <c r="C1088" s="138">
        <v>1055</v>
      </c>
      <c r="D1088" s="138" t="s">
        <v>2290</v>
      </c>
      <c r="E1088" s="129">
        <v>46206</v>
      </c>
      <c r="F1088" s="128" t="s">
        <v>1144</v>
      </c>
      <c r="G1088" s="128" t="s">
        <v>1145</v>
      </c>
      <c r="H1088" s="128" t="s">
        <v>100</v>
      </c>
      <c r="I1088" s="136"/>
      <c r="J1088" s="138" t="s">
        <v>1146</v>
      </c>
      <c r="K1088" s="136"/>
      <c r="L1088" s="146">
        <v>46203</v>
      </c>
      <c r="M1088" s="136"/>
      <c r="N1088" s="128" t="s">
        <v>2333</v>
      </c>
      <c r="O1088" s="130">
        <v>46206</v>
      </c>
      <c r="P1088" s="138">
        <v>0</v>
      </c>
      <c r="Q1088" s="138">
        <v>150</v>
      </c>
      <c r="R1088" s="138">
        <v>13</v>
      </c>
      <c r="S1088" s="138">
        <v>163</v>
      </c>
      <c r="T1088" s="138">
        <v>163</v>
      </c>
      <c r="U1088" s="136"/>
      <c r="V1088" s="136"/>
      <c r="W1088" s="148">
        <v>97.1</v>
      </c>
      <c r="X1088" s="148">
        <v>97</v>
      </c>
      <c r="Y1088" s="148">
        <v>762332.1</v>
      </c>
      <c r="Z1088" s="372">
        <v>39.44</v>
      </c>
      <c r="AA1088" s="148">
        <v>19058.3</v>
      </c>
      <c r="AB1088" s="148">
        <v>19058.3</v>
      </c>
      <c r="AC1088" s="148">
        <v>800448.71</v>
      </c>
      <c r="AD1088" s="315">
        <f t="shared" si="727"/>
        <v>799648.26128999994</v>
      </c>
      <c r="AE1088" s="147">
        <v>39.44</v>
      </c>
      <c r="AF1088" s="147">
        <v>42</v>
      </c>
      <c r="AG1088" s="173">
        <v>39.44</v>
      </c>
      <c r="AH1088" s="287">
        <v>1.4E-3</v>
      </c>
      <c r="AI1088" s="287">
        <v>2.7400000000000001E-2</v>
      </c>
      <c r="AJ1088" s="287">
        <v>4.9000000000000002E-2</v>
      </c>
      <c r="AK1088" s="318">
        <f t="shared" si="726"/>
        <v>46465.956571428615</v>
      </c>
      <c r="AL1088" s="193">
        <v>0</v>
      </c>
      <c r="AM1088" s="319">
        <v>0</v>
      </c>
      <c r="AN1088" s="319"/>
      <c r="AO1088" s="320">
        <f t="shared" si="710"/>
        <v>0</v>
      </c>
      <c r="AP1088" s="193">
        <v>0</v>
      </c>
      <c r="AQ1088" s="318">
        <v>0</v>
      </c>
      <c r="AR1088" s="318">
        <f t="shared" si="711"/>
        <v>46465.956571428615</v>
      </c>
      <c r="AS1088" s="318">
        <f t="shared" si="712"/>
        <v>48789</v>
      </c>
      <c r="AT1088" s="321">
        <v>0</v>
      </c>
      <c r="AU1088" s="157"/>
      <c r="AV1088" s="136"/>
      <c r="AW1088" s="318">
        <f t="shared" si="713"/>
        <v>9710</v>
      </c>
      <c r="AX1088" s="193"/>
      <c r="AY1088" s="318">
        <f t="shared" si="714"/>
        <v>9710</v>
      </c>
      <c r="AZ1088" s="318">
        <f t="shared" si="715"/>
        <v>9700</v>
      </c>
      <c r="BA1088" s="318">
        <f t="shared" si="716"/>
        <v>10</v>
      </c>
      <c r="BB1088" s="318">
        <f t="shared" si="717"/>
        <v>19.420000000000002</v>
      </c>
      <c r="BC1088" s="318">
        <v>0</v>
      </c>
      <c r="BD1088" s="431"/>
      <c r="BE1088" s="147">
        <v>97.1</v>
      </c>
      <c r="BF1088" s="375">
        <f t="shared" si="732"/>
        <v>0.14564999999999997</v>
      </c>
      <c r="BG1088" s="197">
        <f t="shared" si="733"/>
        <v>96.954349999999991</v>
      </c>
      <c r="BH1088" s="321">
        <f t="shared" si="734"/>
        <v>97</v>
      </c>
      <c r="BI1088" s="322">
        <f t="shared" si="735"/>
        <v>9.9999999999994316</v>
      </c>
      <c r="BJ1088" s="322">
        <v>0</v>
      </c>
      <c r="BK1088" s="318">
        <f t="shared" si="736"/>
        <v>9.9999999999994316</v>
      </c>
      <c r="BL1088" s="67"/>
      <c r="BM1088" s="68" t="str">
        <f t="shared" si="737"/>
        <v>Unloading no. 1055 Bill No 2026-27/288 ,Deduction For Oil Deduction= 46465.9565714286 ,Bardana= 0 ,F.M= 0 Brokerage/Rate Difference  ,Shortage = 0 ,Greenish= 0 ,Moisture= 0</v>
      </c>
      <c r="BN1088" s="69"/>
      <c r="BO1088" s="70" t="str">
        <f t="shared" si="738"/>
        <v xml:space="preserve"> Party Condition 42  ,F.M% 0.14 ,Greenish 2.74 ,Moisture 4.9 ,Shortage in KG= 0  ,Oil% 39.44</v>
      </c>
      <c r="BP1088" s="71">
        <f t="shared" si="739"/>
        <v>7380.0633343151694</v>
      </c>
      <c r="BQ1088" s="55"/>
      <c r="BR1088" s="55"/>
      <c r="BS1088" s="41"/>
      <c r="BT1088" s="41"/>
      <c r="BU1088" s="41"/>
      <c r="BV1088" s="41"/>
      <c r="BW1088" s="85"/>
      <c r="BX1088" s="27">
        <v>38.85</v>
      </c>
      <c r="BY1088" s="30">
        <v>38.86</v>
      </c>
    </row>
    <row r="1089" spans="1:83" ht="14.1" hidden="1" customHeight="1" x14ac:dyDescent="0.3">
      <c r="A1089" s="281" t="s">
        <v>2219</v>
      </c>
      <c r="B1089" s="146">
        <v>46203</v>
      </c>
      <c r="C1089" s="138">
        <v>1056</v>
      </c>
      <c r="D1089" s="138" t="s">
        <v>2291</v>
      </c>
      <c r="E1089" s="129">
        <v>46206</v>
      </c>
      <c r="F1089" s="128" t="s">
        <v>1144</v>
      </c>
      <c r="G1089" s="128" t="s">
        <v>1145</v>
      </c>
      <c r="H1089" s="128" t="s">
        <v>100</v>
      </c>
      <c r="I1089" s="136"/>
      <c r="J1089" s="138" t="s">
        <v>1146</v>
      </c>
      <c r="K1089" s="136"/>
      <c r="L1089" s="146">
        <v>46203</v>
      </c>
      <c r="M1089" s="136"/>
      <c r="N1089" s="128" t="s">
        <v>2334</v>
      </c>
      <c r="O1089" s="130">
        <v>46206</v>
      </c>
      <c r="P1089" s="138">
        <v>0</v>
      </c>
      <c r="Q1089" s="138">
        <v>160</v>
      </c>
      <c r="R1089" s="138">
        <v>3</v>
      </c>
      <c r="S1089" s="138">
        <v>163</v>
      </c>
      <c r="T1089" s="138">
        <v>163</v>
      </c>
      <c r="U1089" s="136"/>
      <c r="V1089" s="136"/>
      <c r="W1089" s="148">
        <v>96.5</v>
      </c>
      <c r="X1089" s="148">
        <v>96.4</v>
      </c>
      <c r="Y1089" s="148">
        <v>757621.5</v>
      </c>
      <c r="Z1089" s="372">
        <v>39.950000000000003</v>
      </c>
      <c r="AA1089" s="148">
        <v>18940.54</v>
      </c>
      <c r="AB1089" s="148">
        <v>18940.54</v>
      </c>
      <c r="AC1089" s="148">
        <v>795502.58</v>
      </c>
      <c r="AD1089" s="315">
        <f t="shared" si="727"/>
        <v>794707.07741999999</v>
      </c>
      <c r="AE1089" s="147">
        <v>39.950000000000003</v>
      </c>
      <c r="AF1089" s="147">
        <v>42</v>
      </c>
      <c r="AG1089" s="173">
        <v>39.950000000000003</v>
      </c>
      <c r="AH1089" s="287">
        <v>1.1999999999999999E-3</v>
      </c>
      <c r="AI1089" s="287">
        <v>3.4500000000000003E-2</v>
      </c>
      <c r="AJ1089" s="287">
        <v>4.5999999999999999E-2</v>
      </c>
      <c r="AK1089" s="318">
        <f t="shared" si="726"/>
        <v>36979.144642857093</v>
      </c>
      <c r="AL1089" s="193">
        <v>0</v>
      </c>
      <c r="AM1089" s="319">
        <v>0</v>
      </c>
      <c r="AN1089" s="319"/>
      <c r="AO1089" s="320">
        <f t="shared" si="710"/>
        <v>0</v>
      </c>
      <c r="AP1089" s="193">
        <v>0</v>
      </c>
      <c r="AQ1089" s="318">
        <v>0</v>
      </c>
      <c r="AR1089" s="318">
        <f t="shared" si="711"/>
        <v>36979.144642857093</v>
      </c>
      <c r="AS1089" s="318">
        <f t="shared" si="712"/>
        <v>38828</v>
      </c>
      <c r="AT1089" s="321">
        <v>0</v>
      </c>
      <c r="AU1089" s="157"/>
      <c r="AV1089" s="136"/>
      <c r="AW1089" s="318">
        <f t="shared" si="713"/>
        <v>9650</v>
      </c>
      <c r="AX1089" s="193"/>
      <c r="AY1089" s="318">
        <f t="shared" si="714"/>
        <v>9650</v>
      </c>
      <c r="AZ1089" s="318">
        <f t="shared" si="715"/>
        <v>9640</v>
      </c>
      <c r="BA1089" s="318">
        <f t="shared" si="716"/>
        <v>10</v>
      </c>
      <c r="BB1089" s="318">
        <f t="shared" si="717"/>
        <v>19.3</v>
      </c>
      <c r="BC1089" s="318">
        <v>0</v>
      </c>
      <c r="BD1089" s="431"/>
      <c r="BE1089" s="147">
        <v>96.5</v>
      </c>
      <c r="BF1089" s="375">
        <f t="shared" si="732"/>
        <v>0.14474999999999999</v>
      </c>
      <c r="BG1089" s="197">
        <f t="shared" si="733"/>
        <v>96.355249999999998</v>
      </c>
      <c r="BH1089" s="321">
        <f t="shared" si="734"/>
        <v>96.4</v>
      </c>
      <c r="BI1089" s="322">
        <f t="shared" si="735"/>
        <v>9.9999999999994316</v>
      </c>
      <c r="BJ1089" s="322">
        <v>0</v>
      </c>
      <c r="BK1089" s="318">
        <f t="shared" si="736"/>
        <v>9.9999999999994316</v>
      </c>
      <c r="BL1089" s="67"/>
      <c r="BM1089" s="68" t="str">
        <f t="shared" si="737"/>
        <v>Unloading no. 1056 Bill No 2026-27/289 ,Deduction For Oil Deduction= 36979.1446428571 ,Bardana= 0 ,F.M= 0 Brokerage/Rate Difference  ,Shortage = 0 ,Greenish= 0 ,Moisture= 0</v>
      </c>
      <c r="BN1089" s="69"/>
      <c r="BO1089" s="70" t="str">
        <f t="shared" si="738"/>
        <v xml:space="preserve"> Party Condition 42  ,F.M% 0.12 ,Greenish 3.45 ,Moisture 4.6 ,Shortage in KG= 0  ,Oil% 39.95</v>
      </c>
      <c r="BP1089" s="71">
        <f t="shared" si="739"/>
        <v>7475.5431053645525</v>
      </c>
      <c r="BQ1089" s="55"/>
      <c r="BR1089" s="55"/>
      <c r="BS1089" s="41"/>
      <c r="BT1089" s="41"/>
      <c r="BU1089" s="41"/>
      <c r="BV1089" s="41"/>
      <c r="BW1089" s="85"/>
      <c r="BX1089" s="27">
        <v>39.86</v>
      </c>
      <c r="BY1089" s="30">
        <v>39.94</v>
      </c>
    </row>
    <row r="1090" spans="1:83" ht="14.1" hidden="1" customHeight="1" x14ac:dyDescent="0.3">
      <c r="A1090" s="281" t="s">
        <v>2219</v>
      </c>
      <c r="B1090" s="146">
        <v>46203</v>
      </c>
      <c r="C1090" s="138">
        <v>1057</v>
      </c>
      <c r="D1090" s="138" t="s">
        <v>2292</v>
      </c>
      <c r="E1090" s="129">
        <v>46206</v>
      </c>
      <c r="F1090" s="128" t="s">
        <v>1144</v>
      </c>
      <c r="G1090" s="128" t="s">
        <v>1145</v>
      </c>
      <c r="H1090" s="128" t="s">
        <v>100</v>
      </c>
      <c r="I1090" s="136"/>
      <c r="J1090" s="138" t="s">
        <v>1146</v>
      </c>
      <c r="K1090" s="136"/>
      <c r="L1090" s="146">
        <v>46203</v>
      </c>
      <c r="M1090" s="136"/>
      <c r="N1090" s="128" t="s">
        <v>2335</v>
      </c>
      <c r="O1090" s="130">
        <v>46206</v>
      </c>
      <c r="P1090" s="138">
        <v>0</v>
      </c>
      <c r="Q1090" s="138">
        <v>140</v>
      </c>
      <c r="R1090" s="138">
        <v>23</v>
      </c>
      <c r="S1090" s="138">
        <v>163</v>
      </c>
      <c r="T1090" s="138">
        <v>163</v>
      </c>
      <c r="U1090" s="136"/>
      <c r="V1090" s="136"/>
      <c r="W1090" s="148">
        <v>96.9</v>
      </c>
      <c r="X1090" s="148">
        <v>96.9</v>
      </c>
      <c r="Y1090" s="148">
        <v>760761.9</v>
      </c>
      <c r="Z1090" s="372">
        <v>39.619999999999997</v>
      </c>
      <c r="AA1090" s="148">
        <v>19019.05</v>
      </c>
      <c r="AB1090" s="148">
        <v>19019.05</v>
      </c>
      <c r="AC1090" s="148">
        <v>798800</v>
      </c>
      <c r="AD1090" s="315">
        <f t="shared" si="727"/>
        <v>798001.2</v>
      </c>
      <c r="AE1090" s="147">
        <v>39.619999999999997</v>
      </c>
      <c r="AF1090" s="147">
        <v>42</v>
      </c>
      <c r="AG1090" s="173">
        <v>39.619999999999997</v>
      </c>
      <c r="AH1090" s="287">
        <v>1.6000000000000001E-3</v>
      </c>
      <c r="AI1090" s="287">
        <v>2.4799999999999999E-2</v>
      </c>
      <c r="AJ1090" s="287">
        <v>5.1999999999999998E-2</v>
      </c>
      <c r="AK1090" s="318">
        <f t="shared" si="726"/>
        <v>43109.841000000044</v>
      </c>
      <c r="AL1090" s="193">
        <v>0</v>
      </c>
      <c r="AM1090" s="319">
        <v>0</v>
      </c>
      <c r="AN1090" s="319"/>
      <c r="AO1090" s="320">
        <f t="shared" si="710"/>
        <v>0</v>
      </c>
      <c r="AP1090" s="193">
        <v>0</v>
      </c>
      <c r="AQ1090" s="318">
        <v>0</v>
      </c>
      <c r="AR1090" s="318">
        <f t="shared" si="711"/>
        <v>43109.841000000044</v>
      </c>
      <c r="AS1090" s="318">
        <f t="shared" si="712"/>
        <v>45265</v>
      </c>
      <c r="AT1090" s="321">
        <v>0</v>
      </c>
      <c r="AU1090" s="157"/>
      <c r="AV1090" s="136"/>
      <c r="AW1090" s="318">
        <f t="shared" si="713"/>
        <v>9690</v>
      </c>
      <c r="AX1090" s="193"/>
      <c r="AY1090" s="318">
        <f t="shared" si="714"/>
        <v>9690</v>
      </c>
      <c r="AZ1090" s="318">
        <f t="shared" si="715"/>
        <v>9690</v>
      </c>
      <c r="BA1090" s="318">
        <f t="shared" si="716"/>
        <v>0</v>
      </c>
      <c r="BB1090" s="318">
        <f t="shared" si="717"/>
        <v>19.38</v>
      </c>
      <c r="BC1090" s="318">
        <v>0</v>
      </c>
      <c r="BD1090" s="431"/>
      <c r="BE1090" s="147">
        <v>96.9</v>
      </c>
      <c r="BF1090" s="375">
        <f t="shared" si="732"/>
        <v>0.14535000000000001</v>
      </c>
      <c r="BG1090" s="197">
        <f t="shared" si="733"/>
        <v>96.754650000000012</v>
      </c>
      <c r="BH1090" s="321">
        <f t="shared" si="734"/>
        <v>96.9</v>
      </c>
      <c r="BI1090" s="322">
        <f t="shared" si="735"/>
        <v>0</v>
      </c>
      <c r="BJ1090" s="322">
        <v>0</v>
      </c>
      <c r="BK1090" s="318">
        <f t="shared" si="736"/>
        <v>0</v>
      </c>
      <c r="BL1090" s="67"/>
      <c r="BM1090" s="68" t="str">
        <f t="shared" si="737"/>
        <v>Unloading no. 1057 Bill No 2026-27/290 ,Deduction For Oil Deduction= 43109.841 ,Bardana= 0 ,F.M= 0 Brokerage/Rate Difference  ,Shortage = 0 ,Greenish= 0 ,Moisture= 0</v>
      </c>
      <c r="BN1090" s="69"/>
      <c r="BO1090" s="70" t="str">
        <f t="shared" si="738"/>
        <v xml:space="preserve"> Party Condition 42  ,F.M% 0.16 ,Greenish 2.48 ,Moisture 5.2 ,Shortage in KG= 0  ,Oil% 39.62</v>
      </c>
      <c r="BP1090" s="71">
        <f t="shared" si="739"/>
        <v>7406.11</v>
      </c>
      <c r="BQ1090" s="55"/>
      <c r="BR1090" s="55"/>
      <c r="BS1090" s="41"/>
      <c r="BT1090" s="41"/>
      <c r="BU1090" s="41"/>
      <c r="BV1090" s="41"/>
      <c r="BW1090" s="85"/>
      <c r="BX1090" s="27">
        <v>39.43</v>
      </c>
      <c r="BY1090" s="30">
        <v>39.39</v>
      </c>
    </row>
    <row r="1091" spans="1:83" ht="14.1" hidden="1" customHeight="1" x14ac:dyDescent="0.3">
      <c r="A1091" s="281" t="s">
        <v>2219</v>
      </c>
      <c r="B1091" s="146">
        <v>46203</v>
      </c>
      <c r="C1091" s="138">
        <v>1058</v>
      </c>
      <c r="D1091" s="138" t="s">
        <v>2293</v>
      </c>
      <c r="E1091" s="129">
        <v>46206</v>
      </c>
      <c r="F1091" s="128" t="s">
        <v>1144</v>
      </c>
      <c r="G1091" s="128" t="s">
        <v>1145</v>
      </c>
      <c r="H1091" s="128" t="s">
        <v>100</v>
      </c>
      <c r="I1091" s="136"/>
      <c r="J1091" s="138" t="s">
        <v>1146</v>
      </c>
      <c r="K1091" s="136"/>
      <c r="L1091" s="146">
        <v>46203</v>
      </c>
      <c r="M1091" s="136"/>
      <c r="N1091" s="128" t="s">
        <v>2336</v>
      </c>
      <c r="O1091" s="130">
        <v>46206</v>
      </c>
      <c r="P1091" s="138">
        <v>0</v>
      </c>
      <c r="Q1091" s="138">
        <v>160</v>
      </c>
      <c r="R1091" s="138">
        <v>3</v>
      </c>
      <c r="S1091" s="138">
        <v>163</v>
      </c>
      <c r="T1091" s="138">
        <v>163</v>
      </c>
      <c r="U1091" s="136"/>
      <c r="V1091" s="136"/>
      <c r="W1091" s="148">
        <v>97</v>
      </c>
      <c r="X1091" s="148">
        <v>97.1</v>
      </c>
      <c r="Y1091" s="148">
        <v>761547</v>
      </c>
      <c r="Z1091" s="372">
        <v>40.07</v>
      </c>
      <c r="AA1091" s="148">
        <v>19038.68</v>
      </c>
      <c r="AB1091" s="148">
        <v>19038.68</v>
      </c>
      <c r="AC1091" s="148">
        <v>799624.35</v>
      </c>
      <c r="AD1091" s="315">
        <f t="shared" si="727"/>
        <v>798824.72564999992</v>
      </c>
      <c r="AE1091" s="147">
        <v>40.07</v>
      </c>
      <c r="AF1091" s="147">
        <v>42</v>
      </c>
      <c r="AG1091" s="173">
        <v>40.07</v>
      </c>
      <c r="AH1091" s="287">
        <v>1.6000000000000001E-3</v>
      </c>
      <c r="AI1091" s="287">
        <v>2.1999999999999999E-2</v>
      </c>
      <c r="AJ1091" s="287">
        <v>5.2999999999999999E-2</v>
      </c>
      <c r="AK1091" s="318">
        <f t="shared" si="726"/>
        <v>34994.897857142852</v>
      </c>
      <c r="AL1091" s="193">
        <v>0</v>
      </c>
      <c r="AM1091" s="319">
        <v>0</v>
      </c>
      <c r="AN1091" s="319"/>
      <c r="AO1091" s="320">
        <f t="shared" si="710"/>
        <v>0</v>
      </c>
      <c r="AP1091" s="193">
        <v>0</v>
      </c>
      <c r="AQ1091" s="318">
        <v>0</v>
      </c>
      <c r="AR1091" s="318">
        <f t="shared" si="711"/>
        <v>34994.897857142852</v>
      </c>
      <c r="AS1091" s="318">
        <f t="shared" si="712"/>
        <v>36745</v>
      </c>
      <c r="AT1091" s="321">
        <v>0</v>
      </c>
      <c r="AU1091" s="157"/>
      <c r="AV1091" s="136"/>
      <c r="AW1091" s="318">
        <f t="shared" si="713"/>
        <v>9700</v>
      </c>
      <c r="AX1091" s="193"/>
      <c r="AY1091" s="318">
        <f t="shared" si="714"/>
        <v>9700</v>
      </c>
      <c r="AZ1091" s="318">
        <f t="shared" si="715"/>
        <v>9710</v>
      </c>
      <c r="BA1091" s="318">
        <f t="shared" si="716"/>
        <v>-10</v>
      </c>
      <c r="BB1091" s="318">
        <f t="shared" si="717"/>
        <v>19.399999999999999</v>
      </c>
      <c r="BC1091" s="318">
        <v>0</v>
      </c>
      <c r="BD1091" s="431"/>
      <c r="BE1091" s="147">
        <v>97</v>
      </c>
      <c r="BF1091" s="375">
        <f t="shared" si="732"/>
        <v>0.14549999999999999</v>
      </c>
      <c r="BG1091" s="197">
        <f t="shared" si="733"/>
        <v>96.854500000000002</v>
      </c>
      <c r="BH1091" s="321">
        <f t="shared" si="734"/>
        <v>97.1</v>
      </c>
      <c r="BI1091" s="322">
        <f t="shared" si="735"/>
        <v>-9.9999999999994316</v>
      </c>
      <c r="BJ1091" s="322">
        <v>0</v>
      </c>
      <c r="BK1091" s="318">
        <f t="shared" si="736"/>
        <v>-9.9999999999994316</v>
      </c>
      <c r="BL1091" s="67"/>
      <c r="BM1091" s="68" t="str">
        <f t="shared" si="737"/>
        <v>Unloading no. 1058 Bill No 2026-27/291 ,Deduction For Oil Deduction= 34994.8978571429 ,Bardana= 0 ,F.M= 0 Brokerage/Rate Difference  ,Shortage = 0 ,Greenish= 0 ,Moisture= 0</v>
      </c>
      <c r="BN1091" s="69"/>
      <c r="BO1091" s="70" t="str">
        <f t="shared" si="738"/>
        <v xml:space="preserve"> Party Condition 42  ,F.M% 0.16 ,Greenish 2.2 ,Moisture 5.3 ,Shortage in KG= 0  ,Oil% 40.07</v>
      </c>
      <c r="BP1091" s="71">
        <f t="shared" si="739"/>
        <v>7482.5139252611452</v>
      </c>
      <c r="BQ1091" s="55"/>
      <c r="BR1091" s="55"/>
      <c r="BS1091" s="41"/>
      <c r="BT1091" s="41"/>
      <c r="BU1091" s="41"/>
      <c r="BV1091" s="41"/>
      <c r="BW1091" s="85"/>
      <c r="BX1091" s="27">
        <v>39.68</v>
      </c>
      <c r="BY1091" s="30">
        <v>39.619999999999997</v>
      </c>
    </row>
    <row r="1092" spans="1:83" ht="14.1" hidden="1" customHeight="1" x14ac:dyDescent="0.3">
      <c r="A1092" s="281" t="s">
        <v>2219</v>
      </c>
      <c r="B1092" s="146">
        <v>46203</v>
      </c>
      <c r="C1092" s="138">
        <v>1059</v>
      </c>
      <c r="D1092" s="138" t="s">
        <v>2294</v>
      </c>
      <c r="E1092" s="129">
        <v>46206</v>
      </c>
      <c r="F1092" s="128" t="s">
        <v>1144</v>
      </c>
      <c r="G1092" s="128" t="s">
        <v>1145</v>
      </c>
      <c r="H1092" s="128" t="s">
        <v>100</v>
      </c>
      <c r="I1092" s="136"/>
      <c r="J1092" s="138" t="s">
        <v>1146</v>
      </c>
      <c r="K1092" s="136"/>
      <c r="L1092" s="146">
        <v>46203</v>
      </c>
      <c r="M1092" s="136"/>
      <c r="N1092" s="128" t="s">
        <v>2337</v>
      </c>
      <c r="O1092" s="130">
        <v>46206</v>
      </c>
      <c r="P1092" s="138">
        <v>0</v>
      </c>
      <c r="Q1092" s="138">
        <v>160</v>
      </c>
      <c r="R1092" s="138">
        <v>3</v>
      </c>
      <c r="S1092" s="138">
        <v>163</v>
      </c>
      <c r="T1092" s="138">
        <v>163</v>
      </c>
      <c r="U1092" s="136"/>
      <c r="V1092" s="136"/>
      <c r="W1092" s="148">
        <v>97.5</v>
      </c>
      <c r="X1092" s="148">
        <v>97.5</v>
      </c>
      <c r="Y1092" s="148">
        <v>765472.5</v>
      </c>
      <c r="Z1092" s="372">
        <v>39.61</v>
      </c>
      <c r="AA1092" s="148">
        <v>19136.810000000001</v>
      </c>
      <c r="AB1092" s="148">
        <v>19136.810000000001</v>
      </c>
      <c r="AC1092" s="148">
        <v>803746.13</v>
      </c>
      <c r="AD1092" s="315">
        <f t="shared" si="727"/>
        <v>802942.38387000002</v>
      </c>
      <c r="AE1092" s="147">
        <v>39.61</v>
      </c>
      <c r="AF1092" s="147">
        <v>42</v>
      </c>
      <c r="AG1092" s="173">
        <v>39.61</v>
      </c>
      <c r="AH1092" s="287">
        <v>2E-3</v>
      </c>
      <c r="AI1092" s="287">
        <v>2.5999999999999999E-2</v>
      </c>
      <c r="AJ1092" s="287">
        <v>4.8000000000000001E-2</v>
      </c>
      <c r="AK1092" s="318">
        <f t="shared" si="726"/>
        <v>43559.030357142867</v>
      </c>
      <c r="AL1092" s="193">
        <v>0</v>
      </c>
      <c r="AM1092" s="319">
        <v>0</v>
      </c>
      <c r="AN1092" s="319"/>
      <c r="AO1092" s="320">
        <f t="shared" si="710"/>
        <v>0</v>
      </c>
      <c r="AP1092" s="193">
        <v>0</v>
      </c>
      <c r="AQ1092" s="318">
        <v>0</v>
      </c>
      <c r="AR1092" s="318">
        <f t="shared" si="711"/>
        <v>43559.030357142867</v>
      </c>
      <c r="AS1092" s="318">
        <f t="shared" si="712"/>
        <v>45737</v>
      </c>
      <c r="AT1092" s="321">
        <v>0</v>
      </c>
      <c r="AU1092" s="157"/>
      <c r="AV1092" s="136"/>
      <c r="AW1092" s="318">
        <f t="shared" si="713"/>
        <v>9750</v>
      </c>
      <c r="AX1092" s="193"/>
      <c r="AY1092" s="318">
        <f t="shared" si="714"/>
        <v>9750</v>
      </c>
      <c r="AZ1092" s="318">
        <f t="shared" si="715"/>
        <v>9750</v>
      </c>
      <c r="BA1092" s="318">
        <f t="shared" si="716"/>
        <v>0</v>
      </c>
      <c r="BB1092" s="318">
        <f t="shared" si="717"/>
        <v>19.5</v>
      </c>
      <c r="BC1092" s="318">
        <v>0</v>
      </c>
      <c r="BD1092" s="431"/>
      <c r="BE1092" s="147">
        <v>97.5</v>
      </c>
      <c r="BF1092" s="375">
        <f t="shared" si="732"/>
        <v>0.14624999999999999</v>
      </c>
      <c r="BG1092" s="197">
        <f t="shared" si="733"/>
        <v>97.353750000000005</v>
      </c>
      <c r="BH1092" s="321">
        <f t="shared" si="734"/>
        <v>97.5</v>
      </c>
      <c r="BI1092" s="322">
        <f t="shared" si="735"/>
        <v>0</v>
      </c>
      <c r="BJ1092" s="322">
        <v>0</v>
      </c>
      <c r="BK1092" s="318">
        <f t="shared" si="736"/>
        <v>0</v>
      </c>
      <c r="BL1092" s="67"/>
      <c r="BM1092" s="68" t="str">
        <f t="shared" si="737"/>
        <v>Unloading no. 1059 Bill No 2026-27/292 ,Deduction For Oil Deduction= 43559.0303571429 ,Bardana= 0 ,F.M= 0 Brokerage/Rate Difference  ,Shortage = 0 ,Greenish= 0 ,Moisture= 0</v>
      </c>
      <c r="BN1092" s="69"/>
      <c r="BO1092" s="70" t="str">
        <f t="shared" si="738"/>
        <v xml:space="preserve"> Party Condition 42  ,F.M% 0.2 ,Greenish 2.6 ,Moisture 4.8 ,Shortage in KG= 0  ,Oil% 39.61</v>
      </c>
      <c r="BP1092" s="71">
        <f t="shared" si="739"/>
        <v>7404.2407142857137</v>
      </c>
      <c r="BQ1092" s="55"/>
      <c r="BR1092" s="55"/>
      <c r="BS1092" s="41"/>
      <c r="BT1092" s="41"/>
      <c r="BU1092" s="41"/>
      <c r="BV1092" s="41"/>
      <c r="BW1092" s="85"/>
      <c r="BX1092" s="27">
        <v>39.299999999999997</v>
      </c>
      <c r="BY1092" s="30">
        <v>39.31</v>
      </c>
    </row>
    <row r="1093" spans="1:83" ht="14.1" hidden="1" customHeight="1" x14ac:dyDescent="0.3">
      <c r="A1093" s="284" t="s">
        <v>2219</v>
      </c>
      <c r="B1093" s="376">
        <v>46203</v>
      </c>
      <c r="C1093" s="275">
        <v>1060</v>
      </c>
      <c r="D1093" s="275" t="s">
        <v>2295</v>
      </c>
      <c r="E1093" s="231">
        <v>46206</v>
      </c>
      <c r="F1093" s="174" t="s">
        <v>1144</v>
      </c>
      <c r="G1093" s="174" t="s">
        <v>1145</v>
      </c>
      <c r="H1093" s="174" t="s">
        <v>100</v>
      </c>
      <c r="I1093" s="176"/>
      <c r="J1093" s="275" t="s">
        <v>1146</v>
      </c>
      <c r="K1093" s="176"/>
      <c r="L1093" s="376">
        <v>46203</v>
      </c>
      <c r="M1093" s="176"/>
      <c r="N1093" s="174" t="s">
        <v>2338</v>
      </c>
      <c r="O1093" s="175">
        <v>46206</v>
      </c>
      <c r="P1093" s="275">
        <v>0</v>
      </c>
      <c r="Q1093" s="275">
        <v>140</v>
      </c>
      <c r="R1093" s="275">
        <v>23</v>
      </c>
      <c r="S1093" s="275">
        <v>163</v>
      </c>
      <c r="T1093" s="275">
        <v>163</v>
      </c>
      <c r="U1093" s="176"/>
      <c r="V1093" s="176"/>
      <c r="W1093" s="305">
        <v>98.6</v>
      </c>
      <c r="X1093" s="305">
        <v>98.7</v>
      </c>
      <c r="Y1093" s="305">
        <v>774108</v>
      </c>
      <c r="Z1093" s="401">
        <v>40.020000000000003</v>
      </c>
      <c r="AA1093" s="305">
        <v>19352.7</v>
      </c>
      <c r="AB1093" s="305">
        <v>19352.7</v>
      </c>
      <c r="AC1093" s="305">
        <v>812813.4</v>
      </c>
      <c r="AD1093" s="339">
        <f t="shared" si="727"/>
        <v>812000.58660000004</v>
      </c>
      <c r="AE1093" s="178">
        <v>40.020000000000003</v>
      </c>
      <c r="AF1093" s="178">
        <v>42</v>
      </c>
      <c r="AG1093" s="178">
        <v>40.020000000000003</v>
      </c>
      <c r="AH1093" s="308">
        <v>1.6999999999999999E-3</v>
      </c>
      <c r="AI1093" s="308">
        <v>2.3400000000000001E-2</v>
      </c>
      <c r="AJ1093" s="308">
        <v>4.5999999999999999E-2</v>
      </c>
      <c r="AK1093" s="342">
        <f t="shared" si="726"/>
        <v>36493.662857142801</v>
      </c>
      <c r="AL1093" s="335">
        <v>0</v>
      </c>
      <c r="AM1093" s="343">
        <v>0</v>
      </c>
      <c r="AN1093" s="343"/>
      <c r="AO1093" s="344">
        <f t="shared" si="710"/>
        <v>0</v>
      </c>
      <c r="AP1093" s="335">
        <v>0</v>
      </c>
      <c r="AQ1093" s="342">
        <v>0</v>
      </c>
      <c r="AR1093" s="342">
        <f t="shared" si="711"/>
        <v>36493.662857142801</v>
      </c>
      <c r="AS1093" s="342">
        <f t="shared" si="712"/>
        <v>38318</v>
      </c>
      <c r="AT1093" s="345">
        <v>0</v>
      </c>
      <c r="AU1093" s="208"/>
      <c r="AV1093" s="176"/>
      <c r="AW1093" s="342">
        <f t="shared" si="713"/>
        <v>9860</v>
      </c>
      <c r="AX1093" s="335"/>
      <c r="AY1093" s="342">
        <f t="shared" si="714"/>
        <v>9860</v>
      </c>
      <c r="AZ1093" s="342">
        <f t="shared" si="715"/>
        <v>9870</v>
      </c>
      <c r="BA1093" s="342">
        <f t="shared" si="716"/>
        <v>-10</v>
      </c>
      <c r="BB1093" s="342">
        <f t="shared" si="717"/>
        <v>19.72</v>
      </c>
      <c r="BC1093" s="342">
        <v>0</v>
      </c>
      <c r="BD1093" s="433"/>
      <c r="BE1093" s="178">
        <v>98.6</v>
      </c>
      <c r="BF1093" s="382">
        <f t="shared" si="732"/>
        <v>0.1479</v>
      </c>
      <c r="BG1093" s="210">
        <f t="shared" si="733"/>
        <v>98.452099999999987</v>
      </c>
      <c r="BH1093" s="345">
        <f t="shared" si="734"/>
        <v>98.7</v>
      </c>
      <c r="BI1093" s="346">
        <f t="shared" si="735"/>
        <v>-10.000000000000853</v>
      </c>
      <c r="BJ1093" s="346">
        <v>0</v>
      </c>
      <c r="BK1093" s="342">
        <f t="shared" si="736"/>
        <v>-10.000000000000853</v>
      </c>
      <c r="BL1093" s="73"/>
      <c r="BM1093" s="74" t="str">
        <f t="shared" si="737"/>
        <v>Unloading no. 1060 Bill No 2026-27/293 ,Deduction For Oil Deduction= 36493.6628571428 ,Bardana= 0 ,F.M= 0 Brokerage/Rate Difference  ,Shortage = 0 ,Greenish= 0 ,Moisture= 0</v>
      </c>
      <c r="BN1093" s="72"/>
      <c r="BO1093" s="77" t="str">
        <f t="shared" si="738"/>
        <v xml:space="preserve"> Party Condition 42  ,F.M% 0.17 ,Greenish 2.34 ,Moisture 4.6 ,Shortage in KG= 0  ,Oil% 40.02</v>
      </c>
      <c r="BP1093" s="78">
        <f t="shared" si="739"/>
        <v>7473.296222318716</v>
      </c>
      <c r="BQ1093" s="60"/>
      <c r="BR1093" s="60"/>
      <c r="BS1093" s="52"/>
      <c r="BT1093" s="52"/>
      <c r="BU1093" s="52"/>
      <c r="BV1093" s="52"/>
      <c r="BW1093" s="86"/>
      <c r="BX1093" s="30">
        <v>39.799999999999997</v>
      </c>
      <c r="BY1093" s="30">
        <v>39.76</v>
      </c>
    </row>
    <row r="1094" spans="1:83" ht="14.1" hidden="1" customHeight="1" x14ac:dyDescent="0.3">
      <c r="A1094" s="333" t="s">
        <v>2435</v>
      </c>
      <c r="B1094" s="310">
        <v>46205</v>
      </c>
      <c r="C1094" s="309">
        <v>1061</v>
      </c>
      <c r="D1094" s="309" t="s">
        <v>2355</v>
      </c>
      <c r="E1094" s="311">
        <v>46207</v>
      </c>
      <c r="F1094" s="161" t="s">
        <v>98</v>
      </c>
      <c r="G1094" s="161" t="s">
        <v>99</v>
      </c>
      <c r="H1094" s="163" t="s">
        <v>100</v>
      </c>
      <c r="I1094" s="157"/>
      <c r="J1094" s="187" t="s">
        <v>113</v>
      </c>
      <c r="K1094" s="157"/>
      <c r="L1094" s="171">
        <v>46205</v>
      </c>
      <c r="M1094" s="157"/>
      <c r="N1094" s="163">
        <v>135</v>
      </c>
      <c r="O1094" s="166">
        <v>46205</v>
      </c>
      <c r="P1094" s="187">
        <v>0</v>
      </c>
      <c r="Q1094" s="187">
        <v>410</v>
      </c>
      <c r="R1094" s="187">
        <v>165</v>
      </c>
      <c r="S1094" s="187">
        <v>575</v>
      </c>
      <c r="T1094" s="187">
        <v>575</v>
      </c>
      <c r="U1094" s="157"/>
      <c r="V1094" s="157"/>
      <c r="W1094" s="290">
        <v>345</v>
      </c>
      <c r="X1094" s="290">
        <v>349.7</v>
      </c>
      <c r="Y1094" s="290">
        <v>2656726.5499999998</v>
      </c>
      <c r="Z1094" s="163"/>
      <c r="AA1094" s="290">
        <v>66418.16</v>
      </c>
      <c r="AB1094" s="290">
        <v>66418.16</v>
      </c>
      <c r="AC1094" s="290">
        <v>2789562.88</v>
      </c>
      <c r="AD1094" s="315">
        <f t="shared" si="727"/>
        <v>2786773.3171199998</v>
      </c>
      <c r="AE1094" s="238">
        <v>40.4</v>
      </c>
      <c r="AF1094" s="238">
        <v>40.49</v>
      </c>
      <c r="AG1094" s="238">
        <v>40.25</v>
      </c>
      <c r="AH1094" s="291">
        <v>1.6999999999999999E-3</v>
      </c>
      <c r="AI1094" s="291">
        <v>3.1E-2</v>
      </c>
      <c r="AJ1094" s="291">
        <v>5.45E-2</v>
      </c>
      <c r="AK1094" s="318">
        <v>0</v>
      </c>
      <c r="AL1094" s="193">
        <f>575*1</f>
        <v>575</v>
      </c>
      <c r="AM1094" s="319">
        <v>0</v>
      </c>
      <c r="AN1094" s="319"/>
      <c r="AO1094" s="320">
        <f t="shared" ref="AO1094" si="740">AT1094*Y1094/AW1094</f>
        <v>0</v>
      </c>
      <c r="AP1094" s="193">
        <v>0</v>
      </c>
      <c r="AQ1094" s="318">
        <v>0</v>
      </c>
      <c r="AR1094" s="318">
        <f t="shared" ref="AR1094" si="741">SUM(AK1094:AQ1094)</f>
        <v>575</v>
      </c>
      <c r="AS1094" s="318">
        <f t="shared" ref="AS1094" si="742">ROUND(AR1094*1.05,0)</f>
        <v>604</v>
      </c>
      <c r="AT1094" s="321">
        <v>0</v>
      </c>
      <c r="AU1094" s="157" t="s">
        <v>2340</v>
      </c>
      <c r="AV1094" s="136"/>
      <c r="AW1094" s="318">
        <f t="shared" ref="AW1094:AW1135" si="743">W1094*100</f>
        <v>34500</v>
      </c>
      <c r="AX1094" s="193"/>
      <c r="AY1094" s="318">
        <f t="shared" ref="AY1094:AY1135" si="744">+AW1094+AX1094</f>
        <v>34500</v>
      </c>
      <c r="AZ1094" s="318">
        <f t="shared" ref="AZ1094:AZ1135" si="745">X1094*100</f>
        <v>34970</v>
      </c>
      <c r="BA1094" s="318">
        <f t="shared" ref="BA1094:BA1135" si="746">AY1094-AZ1094</f>
        <v>-470</v>
      </c>
      <c r="BB1094" s="318">
        <f t="shared" ref="BB1094:BB1135" si="747">AW1094*2/1000</f>
        <v>69</v>
      </c>
      <c r="BC1094" s="318">
        <v>0</v>
      </c>
      <c r="BD1094" s="136"/>
      <c r="BE1094" s="138">
        <v>349.8</v>
      </c>
      <c r="BF1094" s="321">
        <f t="shared" ref="BF1094:BF1135" si="748">+BE1094*0.15/100</f>
        <v>0.52469999999999994</v>
      </c>
      <c r="BG1094" s="197">
        <f t="shared" ref="BG1094:BG1135" si="749">BE1094-BF1094</f>
        <v>349.27530000000002</v>
      </c>
      <c r="BH1094" s="321">
        <f t="shared" ref="BH1094:BH1135" si="750">X1094</f>
        <v>349.7</v>
      </c>
      <c r="BI1094" s="322">
        <f t="shared" ref="BI1094:BI1135" si="751">(BE1094-BH1094)*100</f>
        <v>10.000000000002274</v>
      </c>
      <c r="BJ1094" s="322">
        <v>0</v>
      </c>
      <c r="BK1094" s="318">
        <f t="shared" ref="BK1094:BK1135" si="752">BI1094</f>
        <v>10.000000000002274</v>
      </c>
      <c r="BL1094" s="67"/>
      <c r="BM1094" s="68" t="str">
        <f t="shared" ref="BM1094:BM1135" si="753">+$C$1&amp;" "&amp;C1094 &amp;" "&amp;$N$1&amp;" "&amp;N1094&amp;" "&amp;$BM$1&amp;" "&amp;$AK$1&amp;" "&amp;AK1094&amp;" "&amp;$AL$1&amp;" "&amp;AL1094&amp;" "&amp;$AM$1&amp;" "&amp;AM1094&amp;" "&amp;$AN$1&amp;" "&amp;AN1094&amp;" "&amp;$AO$1&amp;" "&amp;AO1094&amp;" "&amp;$AP$1&amp;" "&amp;AP1094&amp;" "&amp;$AQ$1&amp;" "&amp;AQ1094</f>
        <v>Unloading no. 1061 Bill No 135 ,Deduction For Oil Deduction= 0 ,Bardana= 575 ,F.M= 0 Brokerage/Rate Difference  ,Shortage = 0 ,Greenish= 0 ,Moisture= 0</v>
      </c>
      <c r="BN1094" s="69"/>
      <c r="BO1094" s="70" t="str">
        <f t="shared" ref="BO1094:BO1135" si="754">+" "&amp;$AF$1&amp;" "&amp;AF1094&amp;" "&amp;" "&amp;$AH$1&amp;" "&amp;AH1094*100&amp;" "&amp;$AI$1&amp;" "&amp;AI1094*100&amp;" "&amp;$AJ$1&amp;" "&amp;AJ1094*100&amp;" ,"&amp;$AT$1&amp;" "&amp;AT1094&amp;" "&amp;IF(AE1094&gt;AG1094," ,Oil%"&amp;" "&amp;AG1094," ,Oil%"&amp;" "&amp;AE1094)</f>
        <v xml:space="preserve"> Party Condition 40.49  ,F.M% 0.17 ,Greenish 3.1 ,Moisture 5.45 ,Shortage in KG= 0  ,Oil% 40.25</v>
      </c>
      <c r="BP1094" s="71">
        <f t="shared" ref="BP1094:BP1135" si="755">(Y1094-AR1094)/X1094</f>
        <v>7595.5148698884759</v>
      </c>
      <c r="BQ1094" s="55"/>
      <c r="BR1094" s="55"/>
      <c r="BS1094" s="41"/>
      <c r="BT1094" s="41"/>
      <c r="BU1094" s="41"/>
      <c r="BV1094" s="41"/>
      <c r="BW1094" s="85"/>
      <c r="BX1094" s="27">
        <v>40.4</v>
      </c>
      <c r="BY1094" s="27">
        <v>40.25</v>
      </c>
      <c r="CA1094" s="56">
        <v>0</v>
      </c>
      <c r="CC1094" s="84">
        <f t="shared" ref="CC1094:CC1101" si="756">AS1094-CA1094</f>
        <v>604</v>
      </c>
      <c r="CE1094" s="57">
        <f t="shared" ref="CE1094:CE1101" si="757">CC1094/105%</f>
        <v>575.23809523809518</v>
      </c>
    </row>
    <row r="1095" spans="1:83" ht="14.1" hidden="1" customHeight="1" x14ac:dyDescent="0.3">
      <c r="A1095" s="128" t="s">
        <v>2342</v>
      </c>
      <c r="B1095" s="146">
        <v>46205</v>
      </c>
      <c r="C1095" s="138">
        <v>1062</v>
      </c>
      <c r="D1095" s="138" t="s">
        <v>2356</v>
      </c>
      <c r="E1095" s="129">
        <v>46207</v>
      </c>
      <c r="F1095" s="128" t="s">
        <v>1450</v>
      </c>
      <c r="G1095" s="158" t="s">
        <v>1451</v>
      </c>
      <c r="H1095" s="128" t="s">
        <v>199</v>
      </c>
      <c r="I1095" s="136"/>
      <c r="J1095" s="347" t="s">
        <v>1455</v>
      </c>
      <c r="K1095" s="136"/>
      <c r="L1095" s="146">
        <v>46205</v>
      </c>
      <c r="M1095" s="136"/>
      <c r="N1095" s="128" t="s">
        <v>2400</v>
      </c>
      <c r="O1095" s="130">
        <v>46205</v>
      </c>
      <c r="P1095" s="138">
        <v>0</v>
      </c>
      <c r="Q1095" s="138">
        <v>300</v>
      </c>
      <c r="R1095" s="138">
        <v>115</v>
      </c>
      <c r="S1095" s="138">
        <v>415</v>
      </c>
      <c r="T1095" s="138">
        <v>415</v>
      </c>
      <c r="U1095" s="136"/>
      <c r="V1095" s="136"/>
      <c r="W1095" s="148">
        <v>251.8</v>
      </c>
      <c r="X1095" s="148">
        <v>251.2</v>
      </c>
      <c r="Y1095" s="148">
        <v>1982925</v>
      </c>
      <c r="Z1095" s="128"/>
      <c r="AA1095" s="148">
        <v>49573.13</v>
      </c>
      <c r="AB1095" s="148">
        <v>49573.13</v>
      </c>
      <c r="AC1095" s="148">
        <v>2082071.25</v>
      </c>
      <c r="AD1095" s="315">
        <f t="shared" si="727"/>
        <v>2079989.17875</v>
      </c>
      <c r="AE1095" s="147">
        <v>39.79</v>
      </c>
      <c r="AF1095" s="147">
        <v>42</v>
      </c>
      <c r="AG1095" s="147">
        <v>39.78</v>
      </c>
      <c r="AH1095" s="287">
        <v>2E-3</v>
      </c>
      <c r="AI1095" s="287">
        <v>3.4000000000000002E-2</v>
      </c>
      <c r="AJ1095" s="418">
        <v>5.2299999999999999E-2</v>
      </c>
      <c r="AK1095" s="318">
        <f>+IF(AF1095=42,IF(MIN(AE1095,AG1095)&lt;AF1095,Y1095*((AF1095-MIN(AE1095,AG1095))/AF1095)),IF(MIN(AE1095,AG1095)&lt;AF1095,Y1095*((AF1095-MIN(AE1095,AG1095))/AF1095),0))-42.17</f>
        <v>104769.57999999996</v>
      </c>
      <c r="AL1095" s="193">
        <f>300*10+115*15</f>
        <v>4725</v>
      </c>
      <c r="AM1095" s="319">
        <f t="shared" ref="AM1095:AM1101" si="758">Y1095*AH1095</f>
        <v>3965.85</v>
      </c>
      <c r="AN1095" s="319"/>
      <c r="AO1095" s="320">
        <f t="shared" ref="AO1095:AO1135" si="759">AT1095*Y1095/AW1095</f>
        <v>4725</v>
      </c>
      <c r="AP1095" s="193">
        <v>0</v>
      </c>
      <c r="AQ1095" s="318">
        <f>Y1095*0.23/100</f>
        <v>4560.7275</v>
      </c>
      <c r="AR1095" s="318">
        <f t="shared" ref="AR1095:AR1135" si="760">SUM(AK1095:AQ1095)</f>
        <v>122746.15749999996</v>
      </c>
      <c r="AS1095" s="318">
        <f t="shared" ref="AS1095:AS1135" si="761">ROUND(AR1095*1.05,0)</f>
        <v>128883</v>
      </c>
      <c r="AT1095" s="321">
        <v>60</v>
      </c>
      <c r="AU1095" s="157"/>
      <c r="AV1095" s="136"/>
      <c r="AW1095" s="318">
        <f t="shared" si="743"/>
        <v>25180</v>
      </c>
      <c r="AX1095" s="193"/>
      <c r="AY1095" s="318">
        <f t="shared" si="744"/>
        <v>25180</v>
      </c>
      <c r="AZ1095" s="318">
        <f t="shared" si="745"/>
        <v>25120</v>
      </c>
      <c r="BA1095" s="318">
        <f t="shared" si="746"/>
        <v>60</v>
      </c>
      <c r="BB1095" s="318">
        <f t="shared" si="747"/>
        <v>50.36</v>
      </c>
      <c r="BC1095" s="318">
        <v>0</v>
      </c>
      <c r="BD1095" s="136"/>
      <c r="BE1095" s="138">
        <v>251.8</v>
      </c>
      <c r="BF1095" s="321">
        <f t="shared" si="748"/>
        <v>0.37770000000000004</v>
      </c>
      <c r="BG1095" s="197">
        <f t="shared" si="749"/>
        <v>251.42230000000001</v>
      </c>
      <c r="BH1095" s="321">
        <f t="shared" si="750"/>
        <v>251.2</v>
      </c>
      <c r="BI1095" s="322">
        <f t="shared" si="751"/>
        <v>60.000000000002274</v>
      </c>
      <c r="BJ1095" s="322">
        <v>0</v>
      </c>
      <c r="BK1095" s="318">
        <f t="shared" si="752"/>
        <v>60.000000000002274</v>
      </c>
      <c r="BL1095" s="67"/>
      <c r="BM1095" s="68" t="str">
        <f t="shared" si="753"/>
        <v>Unloading no. 1062 Bill No ST-57 ,Deduction For Oil Deduction= 104769.58 ,Bardana= 4725 ,F.M= 3965.85 Brokerage/Rate Difference  ,Shortage = 4725 ,Greenish= 0 ,Moisture= 4560.7275</v>
      </c>
      <c r="BN1095" s="69"/>
      <c r="BO1095" s="70" t="str">
        <f t="shared" si="754"/>
        <v xml:space="preserve"> Party Condition 42  ,F.M% 0.2 ,Greenish 3.4 ,Moisture 5.23 ,Shortage in KG= 60  ,Oil% 39.78</v>
      </c>
      <c r="BP1095" s="71">
        <f t="shared" si="755"/>
        <v>7405.1705513535035</v>
      </c>
      <c r="BQ1095" s="55"/>
      <c r="BR1095" s="55"/>
      <c r="BS1095" s="41"/>
      <c r="BT1095" s="41"/>
      <c r="BU1095" s="41"/>
      <c r="BV1095" s="41"/>
      <c r="BW1095" s="85"/>
      <c r="BX1095" s="27">
        <v>39.79</v>
      </c>
      <c r="BY1095" s="27">
        <v>39.78</v>
      </c>
      <c r="CA1095" s="56">
        <v>123922.51</v>
      </c>
      <c r="CC1095" s="84">
        <f t="shared" si="756"/>
        <v>4960.4900000000052</v>
      </c>
      <c r="CE1095" s="57">
        <f t="shared" si="757"/>
        <v>4724.2761904761956</v>
      </c>
    </row>
    <row r="1096" spans="1:83" ht="14.1" hidden="1" customHeight="1" x14ac:dyDescent="0.3">
      <c r="A1096" s="128" t="s">
        <v>2343</v>
      </c>
      <c r="B1096" s="146">
        <v>46203</v>
      </c>
      <c r="C1096" s="138">
        <v>1063</v>
      </c>
      <c r="D1096" s="138" t="s">
        <v>2357</v>
      </c>
      <c r="E1096" s="129">
        <v>46207</v>
      </c>
      <c r="F1096" s="128" t="s">
        <v>1689</v>
      </c>
      <c r="G1096" s="158" t="s">
        <v>1690</v>
      </c>
      <c r="H1096" s="128" t="s">
        <v>1511</v>
      </c>
      <c r="I1096" s="136"/>
      <c r="J1096" s="347" t="s">
        <v>1455</v>
      </c>
      <c r="K1096" s="136"/>
      <c r="L1096" s="146">
        <v>46203</v>
      </c>
      <c r="M1096" s="136"/>
      <c r="N1096" s="128" t="s">
        <v>2401</v>
      </c>
      <c r="O1096" s="130">
        <v>46205</v>
      </c>
      <c r="P1096" s="138">
        <v>0</v>
      </c>
      <c r="Q1096" s="138">
        <v>350</v>
      </c>
      <c r="R1096" s="138">
        <v>75</v>
      </c>
      <c r="S1096" s="138">
        <v>425</v>
      </c>
      <c r="T1096" s="138">
        <v>425</v>
      </c>
      <c r="U1096" s="136"/>
      <c r="V1096" s="136"/>
      <c r="W1096" s="148">
        <v>259</v>
      </c>
      <c r="X1096" s="148">
        <v>259.3</v>
      </c>
      <c r="Y1096" s="148">
        <v>2046100</v>
      </c>
      <c r="Z1096" s="128"/>
      <c r="AA1096" s="148">
        <v>51152.5</v>
      </c>
      <c r="AB1096" s="148">
        <v>51152.5</v>
      </c>
      <c r="AC1096" s="148">
        <v>2148405</v>
      </c>
      <c r="AD1096" s="315">
        <f t="shared" si="727"/>
        <v>2146256.5950000002</v>
      </c>
      <c r="AE1096" s="147">
        <v>39.74</v>
      </c>
      <c r="AF1096" s="147">
        <v>42</v>
      </c>
      <c r="AG1096" s="147">
        <v>39.590000000000003</v>
      </c>
      <c r="AH1096" s="287">
        <v>3.0999999999999999E-3</v>
      </c>
      <c r="AI1096" s="287">
        <v>3.2599999999999997E-2</v>
      </c>
      <c r="AJ1096" s="434">
        <v>5.8000000000000003E-2</v>
      </c>
      <c r="AK1096" s="318">
        <f>+IF(AF1096=42,IF(MIN(AE1096,AG1096)&lt;AF1096,Y1096*((AF1096-MIN(AE1096,AG1096))/AF1096)),IF(MIN(AE1096,AG1096)&lt;AF1096,Y1096*((AF1096-MIN(AE1096,AG1096))/AF1096),0))-46.8</f>
        <v>117360.36666666649</v>
      </c>
      <c r="AL1096" s="193">
        <f>350*10+75*15</f>
        <v>4625</v>
      </c>
      <c r="AM1096" s="319">
        <f t="shared" si="758"/>
        <v>6342.91</v>
      </c>
      <c r="AN1096" s="319"/>
      <c r="AO1096" s="320">
        <f t="shared" si="759"/>
        <v>0</v>
      </c>
      <c r="AP1096" s="193">
        <v>0</v>
      </c>
      <c r="AQ1096" s="318">
        <f>Y1096*0.8/100</f>
        <v>16368.8</v>
      </c>
      <c r="AR1096" s="318">
        <f t="shared" si="760"/>
        <v>144697.07666666649</v>
      </c>
      <c r="AS1096" s="318">
        <f t="shared" si="761"/>
        <v>151932</v>
      </c>
      <c r="AT1096" s="321">
        <v>0</v>
      </c>
      <c r="AU1096" s="206" t="s">
        <v>2208</v>
      </c>
      <c r="AV1096" s="136"/>
      <c r="AW1096" s="318">
        <f t="shared" si="743"/>
        <v>25900</v>
      </c>
      <c r="AX1096" s="193"/>
      <c r="AY1096" s="318">
        <f t="shared" si="744"/>
        <v>25900</v>
      </c>
      <c r="AZ1096" s="318">
        <f t="shared" si="745"/>
        <v>25930</v>
      </c>
      <c r="BA1096" s="318">
        <f t="shared" si="746"/>
        <v>-30</v>
      </c>
      <c r="BB1096" s="318">
        <f t="shared" si="747"/>
        <v>51.8</v>
      </c>
      <c r="BC1096" s="318">
        <v>0</v>
      </c>
      <c r="BD1096" s="136"/>
      <c r="BE1096" s="138">
        <v>259</v>
      </c>
      <c r="BF1096" s="321">
        <f t="shared" si="748"/>
        <v>0.38850000000000001</v>
      </c>
      <c r="BG1096" s="197">
        <f t="shared" si="749"/>
        <v>258.61149999999998</v>
      </c>
      <c r="BH1096" s="321">
        <f t="shared" si="750"/>
        <v>259.3</v>
      </c>
      <c r="BI1096" s="322">
        <f t="shared" si="751"/>
        <v>-30.000000000001137</v>
      </c>
      <c r="BJ1096" s="322">
        <v>0</v>
      </c>
      <c r="BK1096" s="318">
        <f t="shared" si="752"/>
        <v>-30.000000000001137</v>
      </c>
      <c r="BL1096" s="67"/>
      <c r="BM1096" s="68" t="str">
        <f t="shared" si="753"/>
        <v>Unloading no. 1063 Bill No GST39 ,Deduction For Oil Deduction= 117360.366666666 ,Bardana= 4625 ,F.M= 6342.91 Brokerage/Rate Difference  ,Shortage = 0 ,Greenish= 0 ,Moisture= 16368.8</v>
      </c>
      <c r="BN1096" s="69"/>
      <c r="BO1096" s="70" t="str">
        <f t="shared" si="754"/>
        <v xml:space="preserve"> Party Condition 42  ,F.M% 0.31 ,Greenish 3.26 ,Moisture 5.8 ,Shortage in KG= 0  ,Oil% 39.59</v>
      </c>
      <c r="BP1096" s="71">
        <f t="shared" si="755"/>
        <v>7332.8304023653436</v>
      </c>
      <c r="BQ1096" s="55"/>
      <c r="BR1096" s="55"/>
      <c r="BS1096" s="41"/>
      <c r="BT1096" s="41"/>
      <c r="BU1096" s="41"/>
      <c r="BV1096" s="41"/>
      <c r="BW1096" s="85"/>
      <c r="BX1096" s="27">
        <v>39.74</v>
      </c>
      <c r="BY1096" s="27">
        <v>39.590000000000003</v>
      </c>
      <c r="CA1096" s="56">
        <v>140330.39000000001</v>
      </c>
      <c r="CC1096" s="84">
        <f t="shared" si="756"/>
        <v>11601.609999999986</v>
      </c>
      <c r="CE1096" s="57">
        <f t="shared" si="757"/>
        <v>11049.152380952368</v>
      </c>
    </row>
    <row r="1097" spans="1:83" ht="14.1" hidden="1" customHeight="1" x14ac:dyDescent="0.3">
      <c r="A1097" s="128" t="s">
        <v>2344</v>
      </c>
      <c r="B1097" s="146">
        <v>46204</v>
      </c>
      <c r="C1097" s="138">
        <v>1064</v>
      </c>
      <c r="D1097" s="138" t="s">
        <v>2358</v>
      </c>
      <c r="E1097" s="129">
        <v>46207</v>
      </c>
      <c r="F1097" s="128" t="s">
        <v>1450</v>
      </c>
      <c r="G1097" s="158" t="s">
        <v>1451</v>
      </c>
      <c r="H1097" s="128" t="s">
        <v>199</v>
      </c>
      <c r="I1097" s="136"/>
      <c r="J1097" s="347" t="s">
        <v>1455</v>
      </c>
      <c r="K1097" s="136"/>
      <c r="L1097" s="146">
        <v>46204</v>
      </c>
      <c r="M1097" s="136"/>
      <c r="N1097" s="128" t="s">
        <v>2402</v>
      </c>
      <c r="O1097" s="130">
        <v>46205</v>
      </c>
      <c r="P1097" s="138">
        <v>0</v>
      </c>
      <c r="Q1097" s="138">
        <v>200</v>
      </c>
      <c r="R1097" s="138">
        <v>66</v>
      </c>
      <c r="S1097" s="138">
        <v>266</v>
      </c>
      <c r="T1097" s="138">
        <v>266</v>
      </c>
      <c r="U1097" s="136"/>
      <c r="V1097" s="136"/>
      <c r="W1097" s="148">
        <v>162.5</v>
      </c>
      <c r="X1097" s="148">
        <v>162.4</v>
      </c>
      <c r="Y1097" s="148">
        <v>1279687.5</v>
      </c>
      <c r="Z1097" s="128"/>
      <c r="AA1097" s="148">
        <v>31992.19</v>
      </c>
      <c r="AB1097" s="148">
        <v>31992.19</v>
      </c>
      <c r="AC1097" s="148">
        <v>1343671.88</v>
      </c>
      <c r="AD1097" s="315">
        <f t="shared" si="727"/>
        <v>1342328.2081199999</v>
      </c>
      <c r="AE1097" s="147">
        <v>40.39</v>
      </c>
      <c r="AF1097" s="147">
        <v>42</v>
      </c>
      <c r="AG1097" s="147">
        <v>40.25</v>
      </c>
      <c r="AH1097" s="287">
        <v>1.9E-3</v>
      </c>
      <c r="AI1097" s="287">
        <v>3.32E-2</v>
      </c>
      <c r="AJ1097" s="287">
        <v>4.5999999999999999E-2</v>
      </c>
      <c r="AK1097" s="318">
        <f>+IF(AF1097=42,IF(MIN(AE1097,AG1097)&lt;AF1097,Y1097*((AF1097-MIN(AE1097,AG1097))/AF1097)),IF(MIN(AE1097,AG1097)&lt;AF1097,Y1097*((AF1097-MIN(AE1097,AG1097))/AF1097),0))-21.02</f>
        <v>53299.292500000003</v>
      </c>
      <c r="AL1097" s="193">
        <f>200*10+66*15</f>
        <v>2990</v>
      </c>
      <c r="AM1097" s="319">
        <f t="shared" si="758"/>
        <v>2431.40625</v>
      </c>
      <c r="AN1097" s="319"/>
      <c r="AO1097" s="320">
        <f t="shared" si="759"/>
        <v>787.5</v>
      </c>
      <c r="AP1097" s="193">
        <v>0</v>
      </c>
      <c r="AQ1097" s="318">
        <v>0</v>
      </c>
      <c r="AR1097" s="318">
        <f t="shared" si="760"/>
        <v>59508.198750000003</v>
      </c>
      <c r="AS1097" s="318">
        <f t="shared" si="761"/>
        <v>62484</v>
      </c>
      <c r="AT1097" s="321">
        <v>10</v>
      </c>
      <c r="AU1097" s="157"/>
      <c r="AV1097" s="136"/>
      <c r="AW1097" s="318">
        <f t="shared" si="743"/>
        <v>16250</v>
      </c>
      <c r="AX1097" s="193"/>
      <c r="AY1097" s="318">
        <f t="shared" si="744"/>
        <v>16250</v>
      </c>
      <c r="AZ1097" s="318">
        <f t="shared" si="745"/>
        <v>16240</v>
      </c>
      <c r="BA1097" s="318">
        <f t="shared" si="746"/>
        <v>10</v>
      </c>
      <c r="BB1097" s="318">
        <f t="shared" si="747"/>
        <v>32.5</v>
      </c>
      <c r="BC1097" s="318">
        <v>0</v>
      </c>
      <c r="BD1097" s="136"/>
      <c r="BE1097" s="138">
        <v>162.5</v>
      </c>
      <c r="BF1097" s="321">
        <f t="shared" si="748"/>
        <v>0.24374999999999999</v>
      </c>
      <c r="BG1097" s="197">
        <f t="shared" si="749"/>
        <v>162.25624999999999</v>
      </c>
      <c r="BH1097" s="321">
        <f t="shared" si="750"/>
        <v>162.4</v>
      </c>
      <c r="BI1097" s="322">
        <f t="shared" si="751"/>
        <v>9.9999999999994316</v>
      </c>
      <c r="BJ1097" s="322">
        <v>0</v>
      </c>
      <c r="BK1097" s="318">
        <f t="shared" si="752"/>
        <v>9.9999999999994316</v>
      </c>
      <c r="BL1097" s="67"/>
      <c r="BM1097" s="68" t="str">
        <f t="shared" si="753"/>
        <v>Unloading no. 1064 Bill No ST-56 ,Deduction For Oil Deduction= 53299.2925 ,Bardana= 2990 ,F.M= 2431.40625 Brokerage/Rate Difference  ,Shortage = 787.5 ,Greenish= 0 ,Moisture= 0</v>
      </c>
      <c r="BN1097" s="69"/>
      <c r="BO1097" s="70" t="str">
        <f t="shared" si="754"/>
        <v xml:space="preserve"> Party Condition 42  ,F.M% 0.19 ,Greenish 3.32 ,Moisture 4.6 ,Shortage in KG= 10  ,Oil% 40.25</v>
      </c>
      <c r="BP1097" s="71">
        <f t="shared" si="755"/>
        <v>7513.4193426724132</v>
      </c>
      <c r="BQ1097" s="55"/>
      <c r="BR1097" s="55"/>
      <c r="BS1097" s="41"/>
      <c r="BT1097" s="41"/>
      <c r="BU1097" s="41"/>
      <c r="BV1097" s="41"/>
      <c r="BW1097" s="85"/>
      <c r="BX1097" s="27">
        <v>40.39</v>
      </c>
      <c r="BY1097" s="27">
        <v>40.25</v>
      </c>
      <c r="CA1097" s="56">
        <v>60984.56</v>
      </c>
      <c r="CC1097" s="84">
        <f t="shared" si="756"/>
        <v>1499.4400000000023</v>
      </c>
      <c r="CE1097" s="57">
        <f t="shared" si="757"/>
        <v>1428.0380952380974</v>
      </c>
    </row>
    <row r="1098" spans="1:83" ht="14.1" hidden="1" customHeight="1" x14ac:dyDescent="0.3">
      <c r="A1098" s="128" t="s">
        <v>2218</v>
      </c>
      <c r="B1098" s="146">
        <v>46203</v>
      </c>
      <c r="C1098" s="138">
        <v>1065</v>
      </c>
      <c r="D1098" s="138" t="s">
        <v>2359</v>
      </c>
      <c r="E1098" s="129">
        <v>46207</v>
      </c>
      <c r="F1098" s="128" t="s">
        <v>1142</v>
      </c>
      <c r="G1098" s="158" t="s">
        <v>1143</v>
      </c>
      <c r="H1098" s="128" t="s">
        <v>103</v>
      </c>
      <c r="I1098" s="136"/>
      <c r="J1098" s="347" t="s">
        <v>1455</v>
      </c>
      <c r="K1098" s="136"/>
      <c r="L1098" s="146">
        <v>46203</v>
      </c>
      <c r="M1098" s="136"/>
      <c r="N1098" s="128" t="s">
        <v>2403</v>
      </c>
      <c r="O1098" s="130">
        <v>46206</v>
      </c>
      <c r="P1098" s="138">
        <v>0</v>
      </c>
      <c r="Q1098" s="138">
        <v>200</v>
      </c>
      <c r="R1098" s="138">
        <v>400</v>
      </c>
      <c r="S1098" s="138">
        <v>600</v>
      </c>
      <c r="T1098" s="138">
        <v>600</v>
      </c>
      <c r="U1098" s="136"/>
      <c r="V1098" s="136"/>
      <c r="W1098" s="148">
        <v>297.60000000000002</v>
      </c>
      <c r="X1098" s="148">
        <v>297.10000000000002</v>
      </c>
      <c r="Y1098" s="148">
        <v>2351040</v>
      </c>
      <c r="Z1098" s="128"/>
      <c r="AA1098" s="148">
        <v>58776</v>
      </c>
      <c r="AB1098" s="148">
        <v>58776</v>
      </c>
      <c r="AC1098" s="148">
        <v>2468592</v>
      </c>
      <c r="AD1098" s="315">
        <f t="shared" si="727"/>
        <v>2466123.4079999998</v>
      </c>
      <c r="AE1098" s="147">
        <v>39.85</v>
      </c>
      <c r="AF1098" s="147">
        <v>42</v>
      </c>
      <c r="AG1098" s="147">
        <v>39.840000000000003</v>
      </c>
      <c r="AH1098" s="287">
        <v>2.0999999999999999E-3</v>
      </c>
      <c r="AI1098" s="287">
        <v>4.2000000000000003E-2</v>
      </c>
      <c r="AJ1098" s="287">
        <v>4.2999999999999997E-2</v>
      </c>
      <c r="AK1098" s="318">
        <f>+IF(AF1098=42,IF(MIN(AE1098,AG1098)&lt;AF1098,Y1098*((AF1098-MIN(AE1098,AG1098))/AF1098)),IF(MIN(AE1098,AG1098)&lt;AF1098,Y1098*((AF1098-MIN(AE1098,AG1098))/AF1098),0))-48.74</f>
        <v>120861.88857142837</v>
      </c>
      <c r="AL1098" s="193">
        <f>200*10+400*15</f>
        <v>8000</v>
      </c>
      <c r="AM1098" s="319">
        <f t="shared" si="758"/>
        <v>4937.1839999999993</v>
      </c>
      <c r="AN1098" s="319"/>
      <c r="AO1098" s="320">
        <f t="shared" si="759"/>
        <v>3949.9999999999995</v>
      </c>
      <c r="AP1098" s="193">
        <v>0</v>
      </c>
      <c r="AQ1098" s="318">
        <v>0</v>
      </c>
      <c r="AR1098" s="318">
        <f t="shared" si="760"/>
        <v>137749.07257142838</v>
      </c>
      <c r="AS1098" s="318">
        <f t="shared" si="761"/>
        <v>144637</v>
      </c>
      <c r="AT1098" s="321">
        <v>50</v>
      </c>
      <c r="AU1098" s="157"/>
      <c r="AV1098" s="136"/>
      <c r="AW1098" s="318">
        <f t="shared" si="743"/>
        <v>29760.000000000004</v>
      </c>
      <c r="AX1098" s="193"/>
      <c r="AY1098" s="318">
        <f t="shared" si="744"/>
        <v>29760.000000000004</v>
      </c>
      <c r="AZ1098" s="318">
        <f t="shared" si="745"/>
        <v>29710.000000000004</v>
      </c>
      <c r="BA1098" s="318">
        <f t="shared" si="746"/>
        <v>50</v>
      </c>
      <c r="BB1098" s="318">
        <f t="shared" si="747"/>
        <v>59.52000000000001</v>
      </c>
      <c r="BC1098" s="318">
        <v>0</v>
      </c>
      <c r="BD1098" s="136"/>
      <c r="BE1098" s="138">
        <v>297.60000000000002</v>
      </c>
      <c r="BF1098" s="321">
        <f t="shared" si="748"/>
        <v>0.44640000000000002</v>
      </c>
      <c r="BG1098" s="197">
        <f t="shared" si="749"/>
        <v>297.15360000000004</v>
      </c>
      <c r="BH1098" s="321">
        <f t="shared" si="750"/>
        <v>297.10000000000002</v>
      </c>
      <c r="BI1098" s="322">
        <f t="shared" si="751"/>
        <v>50</v>
      </c>
      <c r="BJ1098" s="322">
        <v>0</v>
      </c>
      <c r="BK1098" s="318">
        <f t="shared" si="752"/>
        <v>50</v>
      </c>
      <c r="BL1098" s="67"/>
      <c r="BM1098" s="68" t="str">
        <f t="shared" si="753"/>
        <v>Unloading no. 1065 Bill No 2026-27/6958 ,Deduction For Oil Deduction= 120861.888571428 ,Bardana= 8000 ,F.M= 4937.184 Brokerage/Rate Difference  ,Shortage = 3950 ,Greenish= 0 ,Moisture= 0</v>
      </c>
      <c r="BN1098" s="69"/>
      <c r="BO1098" s="70" t="str">
        <f t="shared" si="754"/>
        <v xml:space="preserve"> Party Condition 42  ,F.M% 0.21 ,Greenish 4.2 ,Moisture 4.3 ,Shortage in KG= 50  ,Oil% 39.84</v>
      </c>
      <c r="BP1098" s="71">
        <f t="shared" si="755"/>
        <v>7449.649705245949</v>
      </c>
      <c r="BQ1098" s="55"/>
      <c r="BR1098" s="55"/>
      <c r="BS1098" s="41"/>
      <c r="BT1098" s="41"/>
      <c r="BU1098" s="41"/>
      <c r="BV1098" s="41"/>
      <c r="BW1098" s="85"/>
      <c r="BX1098" s="27">
        <v>39.85</v>
      </c>
      <c r="BY1098" s="27">
        <v>39.840000000000003</v>
      </c>
      <c r="CA1098" s="56">
        <v>139501.99</v>
      </c>
      <c r="CC1098" s="56">
        <f t="shared" si="756"/>
        <v>5135.0100000000093</v>
      </c>
      <c r="CE1098" s="57">
        <f t="shared" si="757"/>
        <v>4890.4857142857227</v>
      </c>
    </row>
    <row r="1099" spans="1:83" ht="14.1" hidden="1" customHeight="1" x14ac:dyDescent="0.3">
      <c r="A1099" s="128" t="s">
        <v>2345</v>
      </c>
      <c r="B1099" s="146">
        <v>46205</v>
      </c>
      <c r="C1099" s="138">
        <v>1066</v>
      </c>
      <c r="D1099" s="138" t="s">
        <v>2360</v>
      </c>
      <c r="E1099" s="129">
        <v>46207</v>
      </c>
      <c r="F1099" s="128" t="s">
        <v>98</v>
      </c>
      <c r="G1099" s="158" t="s">
        <v>99</v>
      </c>
      <c r="H1099" s="128" t="s">
        <v>199</v>
      </c>
      <c r="I1099" s="136"/>
      <c r="J1099" s="347" t="s">
        <v>1455</v>
      </c>
      <c r="K1099" s="136"/>
      <c r="L1099" s="146">
        <v>46205</v>
      </c>
      <c r="M1099" s="136"/>
      <c r="N1099" s="128">
        <v>136</v>
      </c>
      <c r="O1099" s="130">
        <v>46206</v>
      </c>
      <c r="P1099" s="138">
        <v>0</v>
      </c>
      <c r="Q1099" s="138">
        <v>400</v>
      </c>
      <c r="R1099" s="138">
        <v>100</v>
      </c>
      <c r="S1099" s="138">
        <v>500</v>
      </c>
      <c r="T1099" s="138">
        <v>500</v>
      </c>
      <c r="U1099" s="136"/>
      <c r="V1099" s="136"/>
      <c r="W1099" s="148">
        <v>304.39999999999998</v>
      </c>
      <c r="X1099" s="148">
        <v>304.2</v>
      </c>
      <c r="Y1099" s="148">
        <v>2404760</v>
      </c>
      <c r="Z1099" s="128"/>
      <c r="AA1099" s="148">
        <v>60119</v>
      </c>
      <c r="AB1099" s="148">
        <v>60119</v>
      </c>
      <c r="AC1099" s="148">
        <v>2524998</v>
      </c>
      <c r="AD1099" s="315">
        <f t="shared" si="727"/>
        <v>2522473.0019999999</v>
      </c>
      <c r="AE1099" s="147">
        <v>40.78</v>
      </c>
      <c r="AF1099" s="147">
        <v>42</v>
      </c>
      <c r="AG1099" s="147">
        <v>40.5</v>
      </c>
      <c r="AH1099" s="418">
        <v>2.5999999999999999E-3</v>
      </c>
      <c r="AI1099" s="287">
        <v>3.2899999999999999E-2</v>
      </c>
      <c r="AJ1099" s="287">
        <v>4.7E-2</v>
      </c>
      <c r="AK1099" s="318">
        <f>+IF(AF1099=42,IF(MIN(AE1099,AG1099)&lt;AF1099,Y1099*((AF1099-MIN(AE1099,AG1099))/AF1099)),IF(MIN(AE1099,AG1099)&lt;AF1099,Y1099*((AF1099-MIN(AE1099,AG1099))/AF1099),0))-34.07</f>
        <v>85850.215714285703</v>
      </c>
      <c r="AL1099" s="193">
        <f>400*10+100*15</f>
        <v>5500</v>
      </c>
      <c r="AM1099" s="319">
        <f t="shared" si="758"/>
        <v>6252.3759999999993</v>
      </c>
      <c r="AN1099" s="319"/>
      <c r="AO1099" s="320">
        <f t="shared" si="759"/>
        <v>1580.0000000000002</v>
      </c>
      <c r="AP1099" s="193">
        <v>0</v>
      </c>
      <c r="AQ1099" s="318">
        <v>0</v>
      </c>
      <c r="AR1099" s="318">
        <f t="shared" si="760"/>
        <v>99182.591714285707</v>
      </c>
      <c r="AS1099" s="318">
        <f t="shared" si="761"/>
        <v>104142</v>
      </c>
      <c r="AT1099" s="321">
        <v>20</v>
      </c>
      <c r="AU1099" s="157"/>
      <c r="AV1099" s="136"/>
      <c r="AW1099" s="318">
        <f t="shared" si="743"/>
        <v>30439.999999999996</v>
      </c>
      <c r="AX1099" s="193"/>
      <c r="AY1099" s="318">
        <f t="shared" si="744"/>
        <v>30439.999999999996</v>
      </c>
      <c r="AZ1099" s="318">
        <f t="shared" si="745"/>
        <v>30420</v>
      </c>
      <c r="BA1099" s="318">
        <f t="shared" si="746"/>
        <v>19.999999999996362</v>
      </c>
      <c r="BB1099" s="318">
        <f t="shared" si="747"/>
        <v>60.879999999999995</v>
      </c>
      <c r="BC1099" s="318">
        <v>0</v>
      </c>
      <c r="BD1099" s="136"/>
      <c r="BE1099" s="138">
        <v>304.39999999999998</v>
      </c>
      <c r="BF1099" s="321">
        <f t="shared" si="748"/>
        <v>0.45659999999999995</v>
      </c>
      <c r="BG1099" s="197">
        <f t="shared" si="749"/>
        <v>303.9434</v>
      </c>
      <c r="BH1099" s="321">
        <f t="shared" si="750"/>
        <v>304.2</v>
      </c>
      <c r="BI1099" s="322">
        <f t="shared" si="751"/>
        <v>19.999999999998863</v>
      </c>
      <c r="BJ1099" s="322">
        <v>0</v>
      </c>
      <c r="BK1099" s="318">
        <f t="shared" si="752"/>
        <v>19.999999999998863</v>
      </c>
      <c r="BL1099" s="67"/>
      <c r="BM1099" s="68" t="str">
        <f t="shared" si="753"/>
        <v>Unloading no. 1066 Bill No 136 ,Deduction For Oil Deduction= 85850.2157142857 ,Bardana= 5500 ,F.M= 6252.376 Brokerage/Rate Difference  ,Shortage = 1580 ,Greenish= 0 ,Moisture= 0</v>
      </c>
      <c r="BN1099" s="69"/>
      <c r="BO1099" s="70" t="str">
        <f t="shared" si="754"/>
        <v xml:space="preserve"> Party Condition 42  ,F.M% 0.26 ,Greenish 3.29 ,Moisture 4.7 ,Shortage in KG= 20  ,Oil% 40.5</v>
      </c>
      <c r="BP1099" s="71">
        <f t="shared" si="755"/>
        <v>7579.1499286183898</v>
      </c>
      <c r="BQ1099" s="55"/>
      <c r="BR1099" s="55"/>
      <c r="BS1099" s="41"/>
      <c r="BT1099" s="41"/>
      <c r="BU1099" s="41"/>
      <c r="BV1099" s="41"/>
      <c r="BW1099" s="85"/>
      <c r="BX1099" s="27">
        <v>40.78</v>
      </c>
      <c r="BY1099" s="27">
        <v>40.5</v>
      </c>
      <c r="CA1099" s="56">
        <v>102482.43</v>
      </c>
      <c r="CC1099" s="56">
        <f t="shared" si="756"/>
        <v>1659.570000000007</v>
      </c>
      <c r="CE1099" s="57">
        <f t="shared" si="757"/>
        <v>1580.5428571428638</v>
      </c>
    </row>
    <row r="1100" spans="1:83" ht="14.1" hidden="1" customHeight="1" x14ac:dyDescent="0.3">
      <c r="A1100" s="128" t="s">
        <v>2345</v>
      </c>
      <c r="B1100" s="146">
        <v>46205</v>
      </c>
      <c r="C1100" s="138">
        <v>1067</v>
      </c>
      <c r="D1100" s="138" t="s">
        <v>2361</v>
      </c>
      <c r="E1100" s="129">
        <v>46207</v>
      </c>
      <c r="F1100" s="128" t="s">
        <v>98</v>
      </c>
      <c r="G1100" s="158" t="s">
        <v>99</v>
      </c>
      <c r="H1100" s="128" t="s">
        <v>199</v>
      </c>
      <c r="I1100" s="136"/>
      <c r="J1100" s="347" t="s">
        <v>1455</v>
      </c>
      <c r="K1100" s="136"/>
      <c r="L1100" s="146">
        <v>46205</v>
      </c>
      <c r="M1100" s="136"/>
      <c r="N1100" s="128">
        <v>137</v>
      </c>
      <c r="O1100" s="130">
        <v>46206</v>
      </c>
      <c r="P1100" s="138">
        <v>0</v>
      </c>
      <c r="Q1100" s="138">
        <v>300</v>
      </c>
      <c r="R1100" s="138">
        <v>140</v>
      </c>
      <c r="S1100" s="138">
        <v>440</v>
      </c>
      <c r="T1100" s="138">
        <v>440</v>
      </c>
      <c r="U1100" s="136"/>
      <c r="V1100" s="136"/>
      <c r="W1100" s="148">
        <v>268.39999999999998</v>
      </c>
      <c r="X1100" s="148">
        <v>268.10000000000002</v>
      </c>
      <c r="Y1100" s="148">
        <v>2120360</v>
      </c>
      <c r="Z1100" s="128"/>
      <c r="AA1100" s="148">
        <v>53009</v>
      </c>
      <c r="AB1100" s="148">
        <v>53009</v>
      </c>
      <c r="AC1100" s="148">
        <v>2226378</v>
      </c>
      <c r="AD1100" s="315">
        <f t="shared" si="727"/>
        <v>2224151.622</v>
      </c>
      <c r="AE1100" s="147">
        <v>40.32</v>
      </c>
      <c r="AF1100" s="147">
        <v>42</v>
      </c>
      <c r="AG1100" s="147">
        <v>40.049999999999997</v>
      </c>
      <c r="AH1100" s="287">
        <v>2E-3</v>
      </c>
      <c r="AI1100" s="287">
        <v>3.1699999999999999E-2</v>
      </c>
      <c r="AJ1100" s="418">
        <v>5.2600000000000001E-2</v>
      </c>
      <c r="AK1100" s="318">
        <f>+IF(AF1100=42,IF(MIN(AE1100,AG1100)&lt;AF1100,Y1100*((AF1100-MIN(AE1100,AG1100))/AF1100)),IF(MIN(AE1100,AG1100)&lt;AF1100,Y1100*((AF1100-MIN(AE1100,AG1100))/AF1100),0))-39.09</f>
        <v>98406.195714285874</v>
      </c>
      <c r="AL1100" s="193">
        <f>300*10+140*15</f>
        <v>5100</v>
      </c>
      <c r="AM1100" s="319">
        <f t="shared" si="758"/>
        <v>4240.72</v>
      </c>
      <c r="AN1100" s="319"/>
      <c r="AO1100" s="320">
        <f t="shared" si="759"/>
        <v>2370.0000000000005</v>
      </c>
      <c r="AP1100" s="193">
        <v>0</v>
      </c>
      <c r="AQ1100" s="318">
        <f>Y1100*0.26/100</f>
        <v>5512.9359999999997</v>
      </c>
      <c r="AR1100" s="318">
        <f t="shared" si="760"/>
        <v>115629.85171428588</v>
      </c>
      <c r="AS1100" s="318">
        <f t="shared" si="761"/>
        <v>121411</v>
      </c>
      <c r="AT1100" s="321">
        <v>30</v>
      </c>
      <c r="AU1100" s="157"/>
      <c r="AV1100" s="136"/>
      <c r="AW1100" s="318">
        <f t="shared" si="743"/>
        <v>26839.999999999996</v>
      </c>
      <c r="AX1100" s="193"/>
      <c r="AY1100" s="318">
        <f t="shared" si="744"/>
        <v>26839.999999999996</v>
      </c>
      <c r="AZ1100" s="318">
        <f t="shared" si="745"/>
        <v>26810.000000000004</v>
      </c>
      <c r="BA1100" s="318">
        <f t="shared" si="746"/>
        <v>29.999999999992724</v>
      </c>
      <c r="BB1100" s="318">
        <f t="shared" si="747"/>
        <v>53.679999999999993</v>
      </c>
      <c r="BC1100" s="318">
        <v>0</v>
      </c>
      <c r="BD1100" s="136"/>
      <c r="BE1100" s="138">
        <v>268.39999999999998</v>
      </c>
      <c r="BF1100" s="321">
        <f t="shared" si="748"/>
        <v>0.40259999999999996</v>
      </c>
      <c r="BG1100" s="197">
        <f t="shared" si="749"/>
        <v>267.99739999999997</v>
      </c>
      <c r="BH1100" s="321">
        <f t="shared" si="750"/>
        <v>268.10000000000002</v>
      </c>
      <c r="BI1100" s="322">
        <f t="shared" si="751"/>
        <v>29.999999999995453</v>
      </c>
      <c r="BJ1100" s="322">
        <v>0</v>
      </c>
      <c r="BK1100" s="318">
        <f t="shared" si="752"/>
        <v>29.999999999995453</v>
      </c>
      <c r="BL1100" s="67"/>
      <c r="BM1100" s="68" t="str">
        <f t="shared" si="753"/>
        <v>Unloading no. 1067 Bill No 137 ,Deduction For Oil Deduction= 98406.1957142859 ,Bardana= 5100 ,F.M= 4240.72 Brokerage/Rate Difference  ,Shortage = 2370 ,Greenish= 0 ,Moisture= 5512.936</v>
      </c>
      <c r="BN1100" s="69"/>
      <c r="BO1100" s="70" t="str">
        <f t="shared" si="754"/>
        <v xml:space="preserve"> Party Condition 42  ,F.M% 0.2 ,Greenish 3.17 ,Moisture 5.26 ,Shortage in KG= 30  ,Oil% 40.05</v>
      </c>
      <c r="BP1100" s="71">
        <f t="shared" si="755"/>
        <v>7477.5462450045279</v>
      </c>
      <c r="BQ1100" s="55"/>
      <c r="BR1100" s="55"/>
      <c r="BS1100" s="41"/>
      <c r="BT1100" s="41"/>
      <c r="BU1100" s="41"/>
      <c r="BV1100" s="41"/>
      <c r="BW1100" s="85"/>
      <c r="BX1100" s="27">
        <v>40.32</v>
      </c>
      <c r="BY1100" s="27">
        <v>40.049999999999997</v>
      </c>
      <c r="CA1100" s="56">
        <v>118254.64</v>
      </c>
      <c r="CC1100" s="56">
        <f t="shared" si="756"/>
        <v>3156.3600000000006</v>
      </c>
      <c r="CE1100" s="57">
        <f t="shared" si="757"/>
        <v>3006.0571428571434</v>
      </c>
    </row>
    <row r="1101" spans="1:83" ht="14.1" hidden="1" customHeight="1" x14ac:dyDescent="0.3">
      <c r="A1101" s="128" t="s">
        <v>2346</v>
      </c>
      <c r="B1101" s="146">
        <v>46206</v>
      </c>
      <c r="C1101" s="138">
        <v>1068</v>
      </c>
      <c r="D1101" s="138" t="s">
        <v>2362</v>
      </c>
      <c r="E1101" s="129">
        <v>46207</v>
      </c>
      <c r="F1101" s="128" t="s">
        <v>1450</v>
      </c>
      <c r="G1101" s="158" t="s">
        <v>1451</v>
      </c>
      <c r="H1101" s="128" t="s">
        <v>199</v>
      </c>
      <c r="I1101" s="136"/>
      <c r="J1101" s="347" t="s">
        <v>1455</v>
      </c>
      <c r="K1101" s="136"/>
      <c r="L1101" s="146">
        <v>46206</v>
      </c>
      <c r="M1101" s="136"/>
      <c r="N1101" s="128" t="s">
        <v>2404</v>
      </c>
      <c r="O1101" s="130">
        <v>46206</v>
      </c>
      <c r="P1101" s="138">
        <v>0</v>
      </c>
      <c r="Q1101" s="138">
        <v>375</v>
      </c>
      <c r="R1101" s="138">
        <v>40</v>
      </c>
      <c r="S1101" s="138">
        <v>415</v>
      </c>
      <c r="T1101" s="138">
        <v>415</v>
      </c>
      <c r="U1101" s="136"/>
      <c r="V1101" s="136"/>
      <c r="W1101" s="148">
        <v>251.7</v>
      </c>
      <c r="X1101" s="148">
        <v>251.4</v>
      </c>
      <c r="Y1101" s="148">
        <v>1982137.5</v>
      </c>
      <c r="Z1101" s="128"/>
      <c r="AA1101" s="148">
        <v>49553.440000000002</v>
      </c>
      <c r="AB1101" s="148">
        <v>49553.440000000002</v>
      </c>
      <c r="AC1101" s="148">
        <v>2081244.38</v>
      </c>
      <c r="AD1101" s="315">
        <f t="shared" si="727"/>
        <v>2079163.1356199998</v>
      </c>
      <c r="AE1101" s="147">
        <v>40.35</v>
      </c>
      <c r="AF1101" s="147">
        <v>42</v>
      </c>
      <c r="AG1101" s="147">
        <v>40.159999999999997</v>
      </c>
      <c r="AH1101" s="287">
        <v>2E-3</v>
      </c>
      <c r="AI1101" s="287">
        <v>3.32E-2</v>
      </c>
      <c r="AJ1101" s="418">
        <v>5.1999999999999998E-2</v>
      </c>
      <c r="AK1101" s="318">
        <f>+IF(AF1101=42,IF(MIN(AE1101,AG1101)&lt;AF1101,Y1101*((AF1101-MIN(AE1101,AG1101))/AF1101)),IF(MIN(AE1101,AG1101)&lt;AF1101,Y1101*((AF1101-MIN(AE1101,AG1101))/AF1101),0))-35.23</f>
        <v>86801.270000000164</v>
      </c>
      <c r="AL1101" s="193">
        <f>375*10+40*15</f>
        <v>4350</v>
      </c>
      <c r="AM1101" s="319">
        <f t="shared" si="758"/>
        <v>3964.2750000000001</v>
      </c>
      <c r="AN1101" s="319"/>
      <c r="AO1101" s="320">
        <f t="shared" si="759"/>
        <v>2362.5</v>
      </c>
      <c r="AP1101" s="193">
        <v>0</v>
      </c>
      <c r="AQ1101" s="318">
        <f>Y1101*0.2/100</f>
        <v>3964.2750000000001</v>
      </c>
      <c r="AR1101" s="318">
        <f t="shared" si="760"/>
        <v>101442.32000000015</v>
      </c>
      <c r="AS1101" s="318">
        <f t="shared" si="761"/>
        <v>106514</v>
      </c>
      <c r="AT1101" s="321">
        <v>30</v>
      </c>
      <c r="AU1101" s="157"/>
      <c r="AV1101" s="136"/>
      <c r="AW1101" s="318">
        <f t="shared" si="743"/>
        <v>25170</v>
      </c>
      <c r="AX1101" s="193"/>
      <c r="AY1101" s="318">
        <f t="shared" si="744"/>
        <v>25170</v>
      </c>
      <c r="AZ1101" s="318">
        <f t="shared" si="745"/>
        <v>25140</v>
      </c>
      <c r="BA1101" s="318">
        <f t="shared" si="746"/>
        <v>30</v>
      </c>
      <c r="BB1101" s="318">
        <f t="shared" si="747"/>
        <v>50.34</v>
      </c>
      <c r="BC1101" s="318">
        <v>0</v>
      </c>
      <c r="BD1101" s="136"/>
      <c r="BE1101" s="138">
        <v>251.7</v>
      </c>
      <c r="BF1101" s="321">
        <f t="shared" si="748"/>
        <v>0.37754999999999994</v>
      </c>
      <c r="BG1101" s="197">
        <f t="shared" si="749"/>
        <v>251.32244999999998</v>
      </c>
      <c r="BH1101" s="321">
        <f t="shared" si="750"/>
        <v>251.4</v>
      </c>
      <c r="BI1101" s="322">
        <f t="shared" si="751"/>
        <v>29.999999999998295</v>
      </c>
      <c r="BJ1101" s="322">
        <v>0</v>
      </c>
      <c r="BK1101" s="318">
        <f t="shared" si="752"/>
        <v>29.999999999998295</v>
      </c>
      <c r="BL1101" s="67"/>
      <c r="BM1101" s="68" t="str">
        <f t="shared" si="753"/>
        <v>Unloading no. 1068 Bill No ST-58 ,Deduction For Oil Deduction= 86801.2700000002 ,Bardana= 4350 ,F.M= 3964.275 Brokerage/Rate Difference  ,Shortage = 2362.5 ,Greenish= 0 ,Moisture= 3964.275</v>
      </c>
      <c r="BN1101" s="69"/>
      <c r="BO1101" s="70" t="str">
        <f t="shared" si="754"/>
        <v xml:space="preserve"> Party Condition 42  ,F.M% 0.2 ,Greenish 3.32 ,Moisture 5.2 ,Shortage in KG= 30  ,Oil% 40.16</v>
      </c>
      <c r="BP1101" s="71">
        <f t="shared" si="755"/>
        <v>7480.8877486077963</v>
      </c>
      <c r="BQ1101" s="55"/>
      <c r="BR1101" s="55"/>
      <c r="BS1101" s="41"/>
      <c r="BT1101" s="41"/>
      <c r="BU1101" s="41"/>
      <c r="BV1101" s="41"/>
      <c r="BW1101" s="85"/>
      <c r="BX1101" s="27">
        <v>40.35</v>
      </c>
      <c r="BY1101" s="27">
        <v>40.159999999999997</v>
      </c>
      <c r="CA1101" s="56">
        <v>103618.1</v>
      </c>
      <c r="CC1101" s="56">
        <f t="shared" si="756"/>
        <v>2895.8999999999942</v>
      </c>
      <c r="CE1101" s="57">
        <f t="shared" si="757"/>
        <v>2757.9999999999945</v>
      </c>
    </row>
    <row r="1102" spans="1:83" ht="14.1" hidden="1" customHeight="1" x14ac:dyDescent="0.3">
      <c r="A1102" s="159" t="s">
        <v>2347</v>
      </c>
      <c r="B1102" s="146">
        <v>46204</v>
      </c>
      <c r="C1102" s="138">
        <v>1069</v>
      </c>
      <c r="D1102" s="138" t="s">
        <v>2363</v>
      </c>
      <c r="E1102" s="129">
        <v>46207</v>
      </c>
      <c r="F1102" s="128" t="s">
        <v>1144</v>
      </c>
      <c r="G1102" s="128" t="s">
        <v>1145</v>
      </c>
      <c r="H1102" s="128" t="s">
        <v>100</v>
      </c>
      <c r="I1102" s="136"/>
      <c r="J1102" s="138" t="s">
        <v>1146</v>
      </c>
      <c r="K1102" s="136"/>
      <c r="L1102" s="146">
        <v>46204</v>
      </c>
      <c r="M1102" s="136"/>
      <c r="N1102" s="128" t="s">
        <v>2405</v>
      </c>
      <c r="O1102" s="130">
        <v>46207</v>
      </c>
      <c r="P1102" s="138">
        <v>0</v>
      </c>
      <c r="Q1102" s="138">
        <v>600</v>
      </c>
      <c r="R1102" s="138">
        <v>261</v>
      </c>
      <c r="S1102" s="138">
        <v>861</v>
      </c>
      <c r="T1102" s="138">
        <v>861</v>
      </c>
      <c r="U1102" s="136"/>
      <c r="V1102" s="136"/>
      <c r="W1102" s="148">
        <v>430.3</v>
      </c>
      <c r="X1102" s="148">
        <v>429.9</v>
      </c>
      <c r="Y1102" s="148">
        <v>3367097.5</v>
      </c>
      <c r="Z1102" s="276">
        <v>40.99</v>
      </c>
      <c r="AA1102" s="148">
        <v>84177.44</v>
      </c>
      <c r="AB1102" s="148">
        <v>84177.44</v>
      </c>
      <c r="AC1102" s="148">
        <v>3535452.38</v>
      </c>
      <c r="AD1102" s="315">
        <f t="shared" si="727"/>
        <v>3531916.9276199997</v>
      </c>
      <c r="AE1102" s="147">
        <v>40.99</v>
      </c>
      <c r="AF1102" s="147">
        <v>42</v>
      </c>
      <c r="AG1102" s="147">
        <v>40.99</v>
      </c>
      <c r="AH1102" s="287">
        <v>4.4999999999999997E-3</v>
      </c>
      <c r="AI1102" s="287">
        <v>5.2400000000000002E-2</v>
      </c>
      <c r="AJ1102" s="287">
        <v>4.8000000000000001E-2</v>
      </c>
      <c r="AK1102" s="318">
        <f t="shared" ref="AK1102:AK1133" si="762">+IF(AF1102=42,IF(MIN(AE1102,AG1102)&lt;AF1102,Y1102*((AF1102-MIN(AE1102,AG1102))/AF1102)),IF(MIN(AE1102,AG1102)&lt;AF1102,Y1102*((AF1102-MIN(AE1102,AG1102))/AF1102),0))</f>
        <v>80970.677976190316</v>
      </c>
      <c r="AL1102" s="193">
        <v>0</v>
      </c>
      <c r="AM1102" s="319">
        <v>0</v>
      </c>
      <c r="AN1102" s="319"/>
      <c r="AO1102" s="320">
        <f t="shared" si="759"/>
        <v>0</v>
      </c>
      <c r="AP1102" s="193">
        <v>0</v>
      </c>
      <c r="AQ1102" s="318">
        <v>0</v>
      </c>
      <c r="AR1102" s="318">
        <f t="shared" si="760"/>
        <v>80970.677976190316</v>
      </c>
      <c r="AS1102" s="318">
        <f t="shared" si="761"/>
        <v>85019</v>
      </c>
      <c r="AT1102" s="321">
        <v>0</v>
      </c>
      <c r="AU1102" s="157" t="s">
        <v>2208</v>
      </c>
      <c r="AV1102" s="136"/>
      <c r="AW1102" s="318">
        <f t="shared" si="743"/>
        <v>43030</v>
      </c>
      <c r="AX1102" s="193"/>
      <c r="AY1102" s="318">
        <f t="shared" si="744"/>
        <v>43030</v>
      </c>
      <c r="AZ1102" s="318">
        <f t="shared" si="745"/>
        <v>42990</v>
      </c>
      <c r="BA1102" s="318">
        <f t="shared" si="746"/>
        <v>40</v>
      </c>
      <c r="BB1102" s="318">
        <f t="shared" si="747"/>
        <v>86.06</v>
      </c>
      <c r="BC1102" s="318">
        <v>0</v>
      </c>
      <c r="BD1102" s="136"/>
      <c r="BE1102" s="138">
        <v>430.3</v>
      </c>
      <c r="BF1102" s="321">
        <f t="shared" si="748"/>
        <v>0.64544999999999997</v>
      </c>
      <c r="BG1102" s="197">
        <f t="shared" si="749"/>
        <v>429.65455000000003</v>
      </c>
      <c r="BH1102" s="321">
        <f t="shared" si="750"/>
        <v>429.9</v>
      </c>
      <c r="BI1102" s="322">
        <f t="shared" si="751"/>
        <v>40.000000000003411</v>
      </c>
      <c r="BJ1102" s="322">
        <v>0</v>
      </c>
      <c r="BK1102" s="318">
        <f t="shared" si="752"/>
        <v>40.000000000003411</v>
      </c>
      <c r="BL1102" s="67"/>
      <c r="BM1102" s="68" t="str">
        <f t="shared" si="753"/>
        <v>Unloading no. 1069 Bill No 2026-27/294 ,Deduction For Oil Deduction= 80970.6779761903 ,Bardana= 0 ,F.M= 0 Brokerage/Rate Difference  ,Shortage = 0 ,Greenish= 0 ,Moisture= 0</v>
      </c>
      <c r="BN1102" s="69"/>
      <c r="BO1102" s="70" t="str">
        <f t="shared" si="754"/>
        <v xml:space="preserve"> Party Condition 42  ,F.M% 0.45 ,Greenish 5.24 ,Moisture 4.8 ,Shortage in KG= 0  ,Oil% 40.99</v>
      </c>
      <c r="BP1102" s="71">
        <f t="shared" si="755"/>
        <v>7643.9330589062811</v>
      </c>
      <c r="BQ1102" s="55"/>
      <c r="BR1102" s="55"/>
      <c r="BS1102" s="41"/>
      <c r="BT1102" s="41"/>
      <c r="BU1102" s="41"/>
      <c r="BV1102" s="41"/>
      <c r="BW1102" s="85"/>
      <c r="BX1102" s="27">
        <v>40.950000000000003</v>
      </c>
      <c r="BY1102" s="27">
        <v>40.729999999999997</v>
      </c>
    </row>
    <row r="1103" spans="1:83" ht="14.1" hidden="1" customHeight="1" x14ac:dyDescent="0.3">
      <c r="A1103" s="128" t="s">
        <v>2219</v>
      </c>
      <c r="B1103" s="146">
        <v>46203</v>
      </c>
      <c r="C1103" s="138">
        <v>1070</v>
      </c>
      <c r="D1103" s="138" t="s">
        <v>2364</v>
      </c>
      <c r="E1103" s="129">
        <v>46207</v>
      </c>
      <c r="F1103" s="128" t="s">
        <v>1144</v>
      </c>
      <c r="G1103" s="128" t="s">
        <v>1145</v>
      </c>
      <c r="H1103" s="128" t="s">
        <v>100</v>
      </c>
      <c r="I1103" s="136"/>
      <c r="J1103" s="138" t="s">
        <v>1146</v>
      </c>
      <c r="K1103" s="136"/>
      <c r="L1103" s="146">
        <v>46203</v>
      </c>
      <c r="M1103" s="136"/>
      <c r="N1103" s="128" t="s">
        <v>2406</v>
      </c>
      <c r="O1103" s="130">
        <v>46207</v>
      </c>
      <c r="P1103" s="138">
        <v>0</v>
      </c>
      <c r="Q1103" s="138">
        <v>150</v>
      </c>
      <c r="R1103" s="138">
        <v>28</v>
      </c>
      <c r="S1103" s="138">
        <v>178</v>
      </c>
      <c r="T1103" s="138">
        <v>178</v>
      </c>
      <c r="U1103" s="136"/>
      <c r="V1103" s="136"/>
      <c r="W1103" s="148">
        <v>90.5</v>
      </c>
      <c r="X1103" s="148">
        <v>90.4</v>
      </c>
      <c r="Y1103" s="148">
        <v>710515.5</v>
      </c>
      <c r="Z1103" s="236">
        <v>40.6</v>
      </c>
      <c r="AA1103" s="148">
        <v>17762.89</v>
      </c>
      <c r="AB1103" s="148">
        <v>17762.89</v>
      </c>
      <c r="AC1103" s="148">
        <v>746041.28</v>
      </c>
      <c r="AD1103" s="315">
        <f t="shared" si="727"/>
        <v>745295.23872000002</v>
      </c>
      <c r="AE1103" s="147">
        <v>40.6</v>
      </c>
      <c r="AF1103" s="147">
        <v>42</v>
      </c>
      <c r="AG1103" s="147">
        <v>40.6</v>
      </c>
      <c r="AH1103" s="287">
        <v>1.8E-3</v>
      </c>
      <c r="AI1103" s="287">
        <v>3.4000000000000002E-2</v>
      </c>
      <c r="AJ1103" s="287">
        <v>4.1000000000000002E-2</v>
      </c>
      <c r="AK1103" s="318">
        <f t="shared" si="762"/>
        <v>23683.849999999977</v>
      </c>
      <c r="AL1103" s="193">
        <v>0</v>
      </c>
      <c r="AM1103" s="319">
        <v>0</v>
      </c>
      <c r="AN1103" s="319"/>
      <c r="AO1103" s="320">
        <f t="shared" si="759"/>
        <v>0</v>
      </c>
      <c r="AP1103" s="193">
        <v>0</v>
      </c>
      <c r="AQ1103" s="318">
        <v>0</v>
      </c>
      <c r="AR1103" s="318">
        <f t="shared" si="760"/>
        <v>23683.849999999977</v>
      </c>
      <c r="AS1103" s="318">
        <f t="shared" si="761"/>
        <v>24868</v>
      </c>
      <c r="AT1103" s="321">
        <v>0</v>
      </c>
      <c r="AU1103" s="157"/>
      <c r="AV1103" s="136"/>
      <c r="AW1103" s="318">
        <f t="shared" si="743"/>
        <v>9050</v>
      </c>
      <c r="AX1103" s="193"/>
      <c r="AY1103" s="318">
        <f t="shared" si="744"/>
        <v>9050</v>
      </c>
      <c r="AZ1103" s="318">
        <f t="shared" si="745"/>
        <v>9040</v>
      </c>
      <c r="BA1103" s="318">
        <f t="shared" si="746"/>
        <v>10</v>
      </c>
      <c r="BB1103" s="318">
        <f t="shared" si="747"/>
        <v>18.100000000000001</v>
      </c>
      <c r="BC1103" s="318">
        <v>0</v>
      </c>
      <c r="BD1103" s="136"/>
      <c r="BE1103" s="138">
        <v>90.5</v>
      </c>
      <c r="BF1103" s="321">
        <f t="shared" si="748"/>
        <v>0.13574999999999998</v>
      </c>
      <c r="BG1103" s="197">
        <f t="shared" si="749"/>
        <v>90.364249999999998</v>
      </c>
      <c r="BH1103" s="321">
        <f t="shared" si="750"/>
        <v>90.4</v>
      </c>
      <c r="BI1103" s="322">
        <f t="shared" si="751"/>
        <v>9.9999999999994316</v>
      </c>
      <c r="BJ1103" s="322">
        <v>0</v>
      </c>
      <c r="BK1103" s="318">
        <f t="shared" si="752"/>
        <v>9.9999999999994316</v>
      </c>
      <c r="BL1103" s="67"/>
      <c r="BM1103" s="68" t="str">
        <f t="shared" si="753"/>
        <v>Unloading no. 1070 Bill No 2026-27/300 ,Deduction For Oil Deduction= 23683.85 ,Bardana= 0 ,F.M= 0 Brokerage/Rate Difference  ,Shortage = 0 ,Greenish= 0 ,Moisture= 0</v>
      </c>
      <c r="BN1103" s="69"/>
      <c r="BO1103" s="70" t="str">
        <f t="shared" si="754"/>
        <v xml:space="preserve"> Party Condition 42  ,F.M% 0.18 ,Greenish 3.4 ,Moisture 4.1 ,Shortage in KG= 0  ,Oil% 40.6</v>
      </c>
      <c r="BP1103" s="71">
        <f t="shared" si="755"/>
        <v>7597.6952433628312</v>
      </c>
      <c r="BQ1103" s="55"/>
      <c r="BR1103" s="55"/>
      <c r="BS1103" s="41"/>
      <c r="BT1103" s="41"/>
      <c r="BU1103" s="41"/>
      <c r="BV1103" s="41"/>
      <c r="BW1103" s="85"/>
      <c r="BX1103" s="27">
        <v>40.32</v>
      </c>
      <c r="BY1103" s="27">
        <v>40.020000000000003</v>
      </c>
    </row>
    <row r="1104" spans="1:83" ht="14.1" hidden="1" customHeight="1" x14ac:dyDescent="0.3">
      <c r="A1104" s="128" t="s">
        <v>2219</v>
      </c>
      <c r="B1104" s="146">
        <v>46203</v>
      </c>
      <c r="C1104" s="138">
        <v>1071</v>
      </c>
      <c r="D1104" s="138" t="s">
        <v>2365</v>
      </c>
      <c r="E1104" s="129">
        <v>46207</v>
      </c>
      <c r="F1104" s="128" t="s">
        <v>1144</v>
      </c>
      <c r="G1104" s="128" t="s">
        <v>1145</v>
      </c>
      <c r="H1104" s="128" t="s">
        <v>100</v>
      </c>
      <c r="I1104" s="136"/>
      <c r="J1104" s="138" t="s">
        <v>1146</v>
      </c>
      <c r="K1104" s="136"/>
      <c r="L1104" s="146">
        <v>46203</v>
      </c>
      <c r="M1104" s="136"/>
      <c r="N1104" s="128" t="s">
        <v>2407</v>
      </c>
      <c r="O1104" s="130">
        <v>46207</v>
      </c>
      <c r="P1104" s="138">
        <v>0</v>
      </c>
      <c r="Q1104" s="138">
        <v>160</v>
      </c>
      <c r="R1104" s="138">
        <v>18</v>
      </c>
      <c r="S1104" s="138">
        <v>178</v>
      </c>
      <c r="T1104" s="138">
        <v>178</v>
      </c>
      <c r="U1104" s="136"/>
      <c r="V1104" s="136"/>
      <c r="W1104" s="148">
        <v>90.2</v>
      </c>
      <c r="X1104" s="148">
        <v>90.2</v>
      </c>
      <c r="Y1104" s="148">
        <v>708160.2</v>
      </c>
      <c r="Z1104" s="236">
        <v>39.99</v>
      </c>
      <c r="AA1104" s="148">
        <v>17704.009999999998</v>
      </c>
      <c r="AB1104" s="148">
        <v>17704.009999999998</v>
      </c>
      <c r="AC1104" s="148">
        <v>743568.21</v>
      </c>
      <c r="AD1104" s="315">
        <f t="shared" si="727"/>
        <v>742824.64178999991</v>
      </c>
      <c r="AE1104" s="147">
        <v>39.99</v>
      </c>
      <c r="AF1104" s="147">
        <v>42</v>
      </c>
      <c r="AG1104" s="147">
        <v>39.99</v>
      </c>
      <c r="AH1104" s="287">
        <v>2E-3</v>
      </c>
      <c r="AI1104" s="287">
        <v>3.27E-2</v>
      </c>
      <c r="AJ1104" s="287">
        <v>4.4999999999999998E-2</v>
      </c>
      <c r="AK1104" s="318">
        <f t="shared" si="762"/>
        <v>33890.52385714282</v>
      </c>
      <c r="AL1104" s="193">
        <v>0</v>
      </c>
      <c r="AM1104" s="319">
        <v>0</v>
      </c>
      <c r="AN1104" s="319"/>
      <c r="AO1104" s="320">
        <f t="shared" si="759"/>
        <v>0</v>
      </c>
      <c r="AP1104" s="193">
        <v>0</v>
      </c>
      <c r="AQ1104" s="318">
        <v>0</v>
      </c>
      <c r="AR1104" s="318">
        <f t="shared" si="760"/>
        <v>33890.52385714282</v>
      </c>
      <c r="AS1104" s="318">
        <f t="shared" si="761"/>
        <v>35585</v>
      </c>
      <c r="AT1104" s="321">
        <v>0</v>
      </c>
      <c r="AU1104" s="157"/>
      <c r="AV1104" s="136"/>
      <c r="AW1104" s="318">
        <f t="shared" si="743"/>
        <v>9020</v>
      </c>
      <c r="AX1104" s="193"/>
      <c r="AY1104" s="318">
        <f t="shared" si="744"/>
        <v>9020</v>
      </c>
      <c r="AZ1104" s="318">
        <f t="shared" si="745"/>
        <v>9020</v>
      </c>
      <c r="BA1104" s="318">
        <f t="shared" si="746"/>
        <v>0</v>
      </c>
      <c r="BB1104" s="318">
        <f t="shared" si="747"/>
        <v>18.04</v>
      </c>
      <c r="BC1104" s="318">
        <v>0</v>
      </c>
      <c r="BD1104" s="136"/>
      <c r="BE1104" s="138">
        <v>90.2</v>
      </c>
      <c r="BF1104" s="321">
        <f t="shared" si="748"/>
        <v>0.1353</v>
      </c>
      <c r="BG1104" s="197">
        <f t="shared" si="749"/>
        <v>90.064700000000002</v>
      </c>
      <c r="BH1104" s="321">
        <f t="shared" si="750"/>
        <v>90.2</v>
      </c>
      <c r="BI1104" s="322">
        <f t="shared" si="751"/>
        <v>0</v>
      </c>
      <c r="BJ1104" s="322">
        <v>0</v>
      </c>
      <c r="BK1104" s="318">
        <f t="shared" si="752"/>
        <v>0</v>
      </c>
      <c r="BL1104" s="67"/>
      <c r="BM1104" s="68" t="str">
        <f t="shared" si="753"/>
        <v>Unloading no. 1071 Bill No 2026-27/301 ,Deduction For Oil Deduction= 33890.5238571428 ,Bardana= 0 ,F.M= 0 Brokerage/Rate Difference  ,Shortage = 0 ,Greenish= 0 ,Moisture= 0</v>
      </c>
      <c r="BN1104" s="69"/>
      <c r="BO1104" s="70" t="str">
        <f t="shared" si="754"/>
        <v xml:space="preserve"> Party Condition 42  ,F.M% 0.2 ,Greenish 3.27 ,Moisture 4.5 ,Shortage in KG= 0  ,Oil% 39.99</v>
      </c>
      <c r="BP1104" s="71">
        <f t="shared" si="755"/>
        <v>7475.2735714285718</v>
      </c>
      <c r="BQ1104" s="55"/>
      <c r="BR1104" s="55"/>
      <c r="BS1104" s="41"/>
      <c r="BT1104" s="41"/>
      <c r="BU1104" s="41"/>
      <c r="BV1104" s="41"/>
      <c r="BW1104" s="85"/>
      <c r="BX1104" s="27">
        <v>39.92</v>
      </c>
      <c r="BY1104" s="27">
        <v>39.700000000000003</v>
      </c>
    </row>
    <row r="1105" spans="1:83" ht="14.1" hidden="1" customHeight="1" x14ac:dyDescent="0.3">
      <c r="A1105" s="128" t="s">
        <v>2219</v>
      </c>
      <c r="B1105" s="146">
        <v>46203</v>
      </c>
      <c r="C1105" s="138">
        <v>1072</v>
      </c>
      <c r="D1105" s="138" t="s">
        <v>2366</v>
      </c>
      <c r="E1105" s="129">
        <v>46207</v>
      </c>
      <c r="F1105" s="128" t="s">
        <v>1144</v>
      </c>
      <c r="G1105" s="128" t="s">
        <v>1145</v>
      </c>
      <c r="H1105" s="128" t="s">
        <v>100</v>
      </c>
      <c r="I1105" s="136"/>
      <c r="J1105" s="138" t="s">
        <v>1146</v>
      </c>
      <c r="K1105" s="136"/>
      <c r="L1105" s="146">
        <v>46203</v>
      </c>
      <c r="M1105" s="136"/>
      <c r="N1105" s="128" t="s">
        <v>2408</v>
      </c>
      <c r="O1105" s="130">
        <v>46207</v>
      </c>
      <c r="P1105" s="138">
        <v>0</v>
      </c>
      <c r="Q1105" s="138">
        <v>160</v>
      </c>
      <c r="R1105" s="138">
        <v>3</v>
      </c>
      <c r="S1105" s="138">
        <v>163</v>
      </c>
      <c r="T1105" s="138">
        <v>163</v>
      </c>
      <c r="U1105" s="136"/>
      <c r="V1105" s="136"/>
      <c r="W1105" s="148">
        <v>98.4</v>
      </c>
      <c r="X1105" s="148">
        <v>98.3</v>
      </c>
      <c r="Y1105" s="148">
        <v>772538.4</v>
      </c>
      <c r="Z1105" s="236">
        <v>40.21</v>
      </c>
      <c r="AA1105" s="148">
        <v>19313.46</v>
      </c>
      <c r="AB1105" s="148">
        <v>19313.46</v>
      </c>
      <c r="AC1105" s="148">
        <v>811165.32</v>
      </c>
      <c r="AD1105" s="315">
        <f t="shared" si="727"/>
        <v>810354.15467999992</v>
      </c>
      <c r="AE1105" s="147">
        <v>40.21</v>
      </c>
      <c r="AF1105" s="147">
        <v>42</v>
      </c>
      <c r="AG1105" s="147">
        <v>40.21</v>
      </c>
      <c r="AH1105" s="287">
        <v>2.0999999999999999E-3</v>
      </c>
      <c r="AI1105" s="287">
        <v>3.1E-2</v>
      </c>
      <c r="AJ1105" s="287">
        <v>4.5999999999999999E-2</v>
      </c>
      <c r="AK1105" s="318">
        <f t="shared" si="762"/>
        <v>32924.850857142839</v>
      </c>
      <c r="AL1105" s="193">
        <v>0</v>
      </c>
      <c r="AM1105" s="319">
        <v>0</v>
      </c>
      <c r="AN1105" s="319"/>
      <c r="AO1105" s="320">
        <f t="shared" si="759"/>
        <v>0</v>
      </c>
      <c r="AP1105" s="193">
        <v>0</v>
      </c>
      <c r="AQ1105" s="318">
        <v>0</v>
      </c>
      <c r="AR1105" s="318">
        <f t="shared" si="760"/>
        <v>32924.850857142839</v>
      </c>
      <c r="AS1105" s="318">
        <f t="shared" si="761"/>
        <v>34571</v>
      </c>
      <c r="AT1105" s="321">
        <v>0</v>
      </c>
      <c r="AU1105" s="157"/>
      <c r="AV1105" s="136"/>
      <c r="AW1105" s="318">
        <f t="shared" si="743"/>
        <v>9840</v>
      </c>
      <c r="AX1105" s="193"/>
      <c r="AY1105" s="318">
        <f t="shared" si="744"/>
        <v>9840</v>
      </c>
      <c r="AZ1105" s="318">
        <f t="shared" si="745"/>
        <v>9830</v>
      </c>
      <c r="BA1105" s="318">
        <f t="shared" si="746"/>
        <v>10</v>
      </c>
      <c r="BB1105" s="318">
        <f t="shared" si="747"/>
        <v>19.68</v>
      </c>
      <c r="BC1105" s="318">
        <v>0</v>
      </c>
      <c r="BD1105" s="136"/>
      <c r="BE1105" s="138">
        <v>98.4</v>
      </c>
      <c r="BF1105" s="321">
        <f t="shared" si="748"/>
        <v>0.14760000000000001</v>
      </c>
      <c r="BG1105" s="197">
        <f t="shared" si="749"/>
        <v>98.252400000000009</v>
      </c>
      <c r="BH1105" s="321">
        <f t="shared" si="750"/>
        <v>98.3</v>
      </c>
      <c r="BI1105" s="322">
        <f t="shared" si="751"/>
        <v>10.000000000000853</v>
      </c>
      <c r="BJ1105" s="322">
        <v>0</v>
      </c>
      <c r="BK1105" s="318">
        <f t="shared" si="752"/>
        <v>10.000000000000853</v>
      </c>
      <c r="BL1105" s="67"/>
      <c r="BM1105" s="68" t="str">
        <f t="shared" si="753"/>
        <v>Unloading no. 1072 Bill No 2026-27/302 ,Deduction For Oil Deduction= 32924.8508571428 ,Bardana= 0 ,F.M= 0 Brokerage/Rate Difference  ,Shortage = 0 ,Greenish= 0 ,Moisture= 0</v>
      </c>
      <c r="BN1105" s="69"/>
      <c r="BO1105" s="70" t="str">
        <f t="shared" si="754"/>
        <v xml:space="preserve"> Party Condition 42  ,F.M% 0.21 ,Greenish 3.1 ,Moisture 4.6 ,Shortage in KG= 0  ,Oil% 40.21</v>
      </c>
      <c r="BP1105" s="71">
        <f t="shared" si="755"/>
        <v>7524.0442435692494</v>
      </c>
      <c r="BQ1105" s="55"/>
      <c r="BR1105" s="55"/>
      <c r="BS1105" s="41"/>
      <c r="BT1105" s="41"/>
      <c r="BU1105" s="41"/>
      <c r="BV1105" s="41"/>
      <c r="BW1105" s="85"/>
      <c r="BX1105" s="27">
        <v>40.01</v>
      </c>
      <c r="BY1105" s="27">
        <v>39.880000000000003</v>
      </c>
    </row>
    <row r="1106" spans="1:83" ht="14.1" hidden="1" customHeight="1" x14ac:dyDescent="0.3">
      <c r="A1106" s="128" t="s">
        <v>2219</v>
      </c>
      <c r="B1106" s="146">
        <v>46203</v>
      </c>
      <c r="C1106" s="138">
        <v>1073</v>
      </c>
      <c r="D1106" s="138" t="s">
        <v>2367</v>
      </c>
      <c r="E1106" s="129">
        <v>46207</v>
      </c>
      <c r="F1106" s="128" t="s">
        <v>1144</v>
      </c>
      <c r="G1106" s="128" t="s">
        <v>1145</v>
      </c>
      <c r="H1106" s="128" t="s">
        <v>100</v>
      </c>
      <c r="I1106" s="136"/>
      <c r="J1106" s="138" t="s">
        <v>1146</v>
      </c>
      <c r="K1106" s="136"/>
      <c r="L1106" s="146">
        <v>46203</v>
      </c>
      <c r="M1106" s="136"/>
      <c r="N1106" s="128" t="s">
        <v>2409</v>
      </c>
      <c r="O1106" s="130">
        <v>46207</v>
      </c>
      <c r="P1106" s="138">
        <v>0</v>
      </c>
      <c r="Q1106" s="138">
        <v>150</v>
      </c>
      <c r="R1106" s="138">
        <v>13</v>
      </c>
      <c r="S1106" s="138">
        <v>163</v>
      </c>
      <c r="T1106" s="138">
        <v>163</v>
      </c>
      <c r="U1106" s="136"/>
      <c r="V1106" s="136"/>
      <c r="W1106" s="148">
        <v>99.2</v>
      </c>
      <c r="X1106" s="148">
        <v>99.2</v>
      </c>
      <c r="Y1106" s="148">
        <v>778819.2</v>
      </c>
      <c r="Z1106" s="236">
        <v>40.1</v>
      </c>
      <c r="AA1106" s="148">
        <v>19470.48</v>
      </c>
      <c r="AB1106" s="148">
        <v>19470.48</v>
      </c>
      <c r="AC1106" s="148">
        <v>817760.16</v>
      </c>
      <c r="AD1106" s="315">
        <f t="shared" si="727"/>
        <v>816942.39984000009</v>
      </c>
      <c r="AE1106" s="147">
        <v>40.1</v>
      </c>
      <c r="AF1106" s="147">
        <v>42</v>
      </c>
      <c r="AG1106" s="147">
        <v>40.1</v>
      </c>
      <c r="AH1106" s="287">
        <v>2.2000000000000001E-3</v>
      </c>
      <c r="AI1106" s="287">
        <v>3.2500000000000001E-2</v>
      </c>
      <c r="AJ1106" s="287">
        <v>0.05</v>
      </c>
      <c r="AK1106" s="318">
        <f t="shared" si="762"/>
        <v>35232.297142857111</v>
      </c>
      <c r="AL1106" s="193">
        <v>0</v>
      </c>
      <c r="AM1106" s="319">
        <v>0</v>
      </c>
      <c r="AN1106" s="319"/>
      <c r="AO1106" s="320">
        <f t="shared" si="759"/>
        <v>0</v>
      </c>
      <c r="AP1106" s="193">
        <v>0</v>
      </c>
      <c r="AQ1106" s="318">
        <v>0</v>
      </c>
      <c r="AR1106" s="318">
        <f t="shared" si="760"/>
        <v>35232.297142857111</v>
      </c>
      <c r="AS1106" s="318">
        <f t="shared" si="761"/>
        <v>36994</v>
      </c>
      <c r="AT1106" s="321">
        <v>0</v>
      </c>
      <c r="AU1106" s="157"/>
      <c r="AV1106" s="136"/>
      <c r="AW1106" s="318">
        <f t="shared" si="743"/>
        <v>9920</v>
      </c>
      <c r="AX1106" s="193"/>
      <c r="AY1106" s="318">
        <f t="shared" si="744"/>
        <v>9920</v>
      </c>
      <c r="AZ1106" s="318">
        <f t="shared" si="745"/>
        <v>9920</v>
      </c>
      <c r="BA1106" s="318">
        <f t="shared" si="746"/>
        <v>0</v>
      </c>
      <c r="BB1106" s="318">
        <f t="shared" si="747"/>
        <v>19.84</v>
      </c>
      <c r="BC1106" s="318">
        <v>0</v>
      </c>
      <c r="BD1106" s="136"/>
      <c r="BE1106" s="138">
        <v>99.2</v>
      </c>
      <c r="BF1106" s="321">
        <f t="shared" si="748"/>
        <v>0.14879999999999999</v>
      </c>
      <c r="BG1106" s="197">
        <f t="shared" si="749"/>
        <v>99.051200000000009</v>
      </c>
      <c r="BH1106" s="321">
        <f t="shared" si="750"/>
        <v>99.2</v>
      </c>
      <c r="BI1106" s="322">
        <f t="shared" si="751"/>
        <v>0</v>
      </c>
      <c r="BJ1106" s="322">
        <v>0</v>
      </c>
      <c r="BK1106" s="318">
        <f t="shared" si="752"/>
        <v>0</v>
      </c>
      <c r="BL1106" s="67"/>
      <c r="BM1106" s="68" t="str">
        <f t="shared" si="753"/>
        <v>Unloading no. 1073 Bill No 2026-27/304 ,Deduction For Oil Deduction= 35232.2971428571 ,Bardana= 0 ,F.M= 0 Brokerage/Rate Difference  ,Shortage = 0 ,Greenish= 0 ,Moisture= 0</v>
      </c>
      <c r="BN1106" s="69"/>
      <c r="BO1106" s="70" t="str">
        <f t="shared" si="754"/>
        <v xml:space="preserve"> Party Condition 42  ,F.M% 0.22 ,Greenish 3.25 ,Moisture 5 ,Shortage in KG= 0  ,Oil% 40.1</v>
      </c>
      <c r="BP1106" s="71">
        <f t="shared" si="755"/>
        <v>7495.8357142857139</v>
      </c>
      <c r="BQ1106" s="55"/>
      <c r="BR1106" s="55"/>
      <c r="BS1106" s="41"/>
      <c r="BT1106" s="41"/>
      <c r="BU1106" s="41"/>
      <c r="BV1106" s="41"/>
      <c r="BW1106" s="85"/>
      <c r="BX1106" s="27">
        <v>40</v>
      </c>
      <c r="BY1106" s="27">
        <v>39.79</v>
      </c>
    </row>
    <row r="1107" spans="1:83" ht="14.1" hidden="1" customHeight="1" x14ac:dyDescent="0.3">
      <c r="A1107" s="128" t="s">
        <v>2219</v>
      </c>
      <c r="B1107" s="146">
        <v>46203</v>
      </c>
      <c r="C1107" s="138">
        <v>1074</v>
      </c>
      <c r="D1107" s="138" t="s">
        <v>2368</v>
      </c>
      <c r="E1107" s="129">
        <v>46207</v>
      </c>
      <c r="F1107" s="128" t="s">
        <v>1144</v>
      </c>
      <c r="G1107" s="128" t="s">
        <v>1145</v>
      </c>
      <c r="H1107" s="128" t="s">
        <v>100</v>
      </c>
      <c r="I1107" s="136"/>
      <c r="J1107" s="138" t="s">
        <v>1146</v>
      </c>
      <c r="K1107" s="136"/>
      <c r="L1107" s="146">
        <v>46203</v>
      </c>
      <c r="M1107" s="136"/>
      <c r="N1107" s="128" t="s">
        <v>2410</v>
      </c>
      <c r="O1107" s="130">
        <v>46207</v>
      </c>
      <c r="P1107" s="138">
        <v>0</v>
      </c>
      <c r="Q1107" s="138">
        <v>155</v>
      </c>
      <c r="R1107" s="138">
        <v>23</v>
      </c>
      <c r="S1107" s="138">
        <v>178</v>
      </c>
      <c r="T1107" s="138">
        <v>178</v>
      </c>
      <c r="U1107" s="136"/>
      <c r="V1107" s="136"/>
      <c r="W1107" s="148">
        <v>90.4</v>
      </c>
      <c r="X1107" s="148">
        <v>90.3</v>
      </c>
      <c r="Y1107" s="148">
        <v>709730.4</v>
      </c>
      <c r="Z1107" s="236">
        <v>40.61</v>
      </c>
      <c r="AA1107" s="148">
        <v>17743.259999999998</v>
      </c>
      <c r="AB1107" s="148">
        <v>17743.259999999998</v>
      </c>
      <c r="AC1107" s="148">
        <v>745216.92</v>
      </c>
      <c r="AD1107" s="315">
        <f t="shared" si="727"/>
        <v>744471.70308000001</v>
      </c>
      <c r="AE1107" s="147">
        <v>40.61</v>
      </c>
      <c r="AF1107" s="147">
        <v>42</v>
      </c>
      <c r="AG1107" s="147">
        <v>40.61</v>
      </c>
      <c r="AH1107" s="287">
        <v>2.0999999999999999E-3</v>
      </c>
      <c r="AI1107" s="287">
        <v>0.03</v>
      </c>
      <c r="AJ1107" s="287">
        <v>4.1000000000000002E-2</v>
      </c>
      <c r="AK1107" s="318">
        <f t="shared" si="762"/>
        <v>23488.69657142858</v>
      </c>
      <c r="AL1107" s="193">
        <v>0</v>
      </c>
      <c r="AM1107" s="319">
        <v>0</v>
      </c>
      <c r="AN1107" s="319"/>
      <c r="AO1107" s="320">
        <f t="shared" si="759"/>
        <v>0</v>
      </c>
      <c r="AP1107" s="193">
        <v>0</v>
      </c>
      <c r="AQ1107" s="318">
        <v>0</v>
      </c>
      <c r="AR1107" s="318">
        <f t="shared" si="760"/>
        <v>23488.69657142858</v>
      </c>
      <c r="AS1107" s="318">
        <f t="shared" si="761"/>
        <v>24663</v>
      </c>
      <c r="AT1107" s="321">
        <v>0</v>
      </c>
      <c r="AU1107" s="157"/>
      <c r="AV1107" s="136"/>
      <c r="AW1107" s="318">
        <f t="shared" si="743"/>
        <v>9040</v>
      </c>
      <c r="AX1107" s="193"/>
      <c r="AY1107" s="318">
        <f t="shared" si="744"/>
        <v>9040</v>
      </c>
      <c r="AZ1107" s="318">
        <f t="shared" si="745"/>
        <v>9030</v>
      </c>
      <c r="BA1107" s="318">
        <f t="shared" si="746"/>
        <v>10</v>
      </c>
      <c r="BB1107" s="318">
        <f t="shared" si="747"/>
        <v>18.079999999999998</v>
      </c>
      <c r="BC1107" s="318">
        <v>0</v>
      </c>
      <c r="BD1107" s="136"/>
      <c r="BE1107" s="138">
        <v>90.4</v>
      </c>
      <c r="BF1107" s="321">
        <f t="shared" si="748"/>
        <v>0.1356</v>
      </c>
      <c r="BG1107" s="197">
        <f t="shared" si="749"/>
        <v>90.264400000000009</v>
      </c>
      <c r="BH1107" s="321">
        <f t="shared" si="750"/>
        <v>90.3</v>
      </c>
      <c r="BI1107" s="322">
        <f t="shared" si="751"/>
        <v>10.000000000000853</v>
      </c>
      <c r="BJ1107" s="322">
        <v>0</v>
      </c>
      <c r="BK1107" s="318">
        <f t="shared" si="752"/>
        <v>10.000000000000853</v>
      </c>
      <c r="BL1107" s="67"/>
      <c r="BM1107" s="68" t="str">
        <f t="shared" si="753"/>
        <v>Unloading no. 1074 Bill No 2026-27/303 ,Deduction For Oil Deduction= 23488.6965714286 ,Bardana= 0 ,F.M= 0 Brokerage/Rate Difference  ,Shortage = 0 ,Greenish= 0 ,Moisture= 0</v>
      </c>
      <c r="BN1107" s="69"/>
      <c r="BO1107" s="70" t="str">
        <f t="shared" si="754"/>
        <v xml:space="preserve"> Party Condition 42  ,F.M% 0.21 ,Greenish 3 ,Moisture 4.1 ,Shortage in KG= 0  ,Oil% 40.61</v>
      </c>
      <c r="BP1107" s="71">
        <f t="shared" si="755"/>
        <v>7599.5758962189529</v>
      </c>
      <c r="BQ1107" s="55"/>
      <c r="BR1107" s="55"/>
      <c r="BS1107" s="41"/>
      <c r="BT1107" s="41"/>
      <c r="BU1107" s="41"/>
      <c r="BV1107" s="41"/>
      <c r="BW1107" s="85"/>
      <c r="BX1107" s="27">
        <v>40.270000000000003</v>
      </c>
      <c r="BY1107" s="27">
        <v>40.090000000000003</v>
      </c>
    </row>
    <row r="1108" spans="1:83" ht="14.1" hidden="1" customHeight="1" x14ac:dyDescent="0.3">
      <c r="A1108" s="128" t="s">
        <v>2219</v>
      </c>
      <c r="B1108" s="146">
        <v>46203</v>
      </c>
      <c r="C1108" s="138">
        <v>1075</v>
      </c>
      <c r="D1108" s="138" t="s">
        <v>2369</v>
      </c>
      <c r="E1108" s="129">
        <v>46207</v>
      </c>
      <c r="F1108" s="128" t="s">
        <v>1144</v>
      </c>
      <c r="G1108" s="128" t="s">
        <v>1145</v>
      </c>
      <c r="H1108" s="128" t="s">
        <v>100</v>
      </c>
      <c r="I1108" s="136"/>
      <c r="J1108" s="138" t="s">
        <v>1146</v>
      </c>
      <c r="K1108" s="136"/>
      <c r="L1108" s="146">
        <v>46203</v>
      </c>
      <c r="M1108" s="136"/>
      <c r="N1108" s="128" t="s">
        <v>2411</v>
      </c>
      <c r="O1108" s="130">
        <v>46207</v>
      </c>
      <c r="P1108" s="138">
        <v>0</v>
      </c>
      <c r="Q1108" s="138">
        <v>150</v>
      </c>
      <c r="R1108" s="138">
        <v>13</v>
      </c>
      <c r="S1108" s="138">
        <v>163</v>
      </c>
      <c r="T1108" s="138">
        <v>163</v>
      </c>
      <c r="U1108" s="136"/>
      <c r="V1108" s="136"/>
      <c r="W1108" s="148">
        <v>95.8</v>
      </c>
      <c r="X1108" s="148">
        <v>95.7</v>
      </c>
      <c r="Y1108" s="148">
        <v>752125.8</v>
      </c>
      <c r="Z1108" s="236">
        <v>39.31</v>
      </c>
      <c r="AA1108" s="148">
        <v>18803.150000000001</v>
      </c>
      <c r="AB1108" s="148">
        <v>18803.150000000001</v>
      </c>
      <c r="AC1108" s="148">
        <v>789732.09</v>
      </c>
      <c r="AD1108" s="315">
        <f t="shared" si="727"/>
        <v>788942.35791000002</v>
      </c>
      <c r="AE1108" s="147">
        <v>39.31</v>
      </c>
      <c r="AF1108" s="147">
        <v>42</v>
      </c>
      <c r="AG1108" s="147">
        <v>39.31</v>
      </c>
      <c r="AH1108" s="287">
        <v>1.5E-3</v>
      </c>
      <c r="AI1108" s="287">
        <v>2.2800000000000001E-2</v>
      </c>
      <c r="AJ1108" s="287">
        <v>4.9000000000000002E-2</v>
      </c>
      <c r="AK1108" s="318">
        <f t="shared" si="762"/>
        <v>48171.866714285672</v>
      </c>
      <c r="AL1108" s="193">
        <v>0</v>
      </c>
      <c r="AM1108" s="319">
        <v>0</v>
      </c>
      <c r="AN1108" s="319"/>
      <c r="AO1108" s="320">
        <f t="shared" si="759"/>
        <v>0</v>
      </c>
      <c r="AP1108" s="193">
        <v>0</v>
      </c>
      <c r="AQ1108" s="318">
        <v>0</v>
      </c>
      <c r="AR1108" s="318">
        <f t="shared" si="760"/>
        <v>48171.866714285672</v>
      </c>
      <c r="AS1108" s="318">
        <f t="shared" si="761"/>
        <v>50580</v>
      </c>
      <c r="AT1108" s="321">
        <v>0</v>
      </c>
      <c r="AU1108" s="157"/>
      <c r="AV1108" s="136"/>
      <c r="AW1108" s="318">
        <f t="shared" si="743"/>
        <v>9580</v>
      </c>
      <c r="AX1108" s="193"/>
      <c r="AY1108" s="318">
        <f t="shared" si="744"/>
        <v>9580</v>
      </c>
      <c r="AZ1108" s="318">
        <f t="shared" si="745"/>
        <v>9570</v>
      </c>
      <c r="BA1108" s="318">
        <f t="shared" si="746"/>
        <v>10</v>
      </c>
      <c r="BB1108" s="318">
        <f t="shared" si="747"/>
        <v>19.16</v>
      </c>
      <c r="BC1108" s="318">
        <v>0</v>
      </c>
      <c r="BD1108" s="136"/>
      <c r="BE1108" s="138">
        <v>95.8</v>
      </c>
      <c r="BF1108" s="321">
        <f t="shared" si="748"/>
        <v>0.14369999999999999</v>
      </c>
      <c r="BG1108" s="197">
        <f t="shared" si="749"/>
        <v>95.656300000000002</v>
      </c>
      <c r="BH1108" s="321">
        <f t="shared" si="750"/>
        <v>95.7</v>
      </c>
      <c r="BI1108" s="322">
        <f t="shared" si="751"/>
        <v>9.9999999999994316</v>
      </c>
      <c r="BJ1108" s="322">
        <v>0</v>
      </c>
      <c r="BK1108" s="318">
        <f t="shared" si="752"/>
        <v>9.9999999999994316</v>
      </c>
      <c r="BL1108" s="67"/>
      <c r="BM1108" s="68" t="str">
        <f t="shared" si="753"/>
        <v>Unloading no. 1075 Bill No 2026-27/306 ,Deduction For Oil Deduction= 48171.8667142857 ,Bardana= 0 ,F.M= 0 Brokerage/Rate Difference  ,Shortage = 0 ,Greenish= 0 ,Moisture= 0</v>
      </c>
      <c r="BN1108" s="69"/>
      <c r="BO1108" s="70" t="str">
        <f t="shared" si="754"/>
        <v xml:space="preserve"> Party Condition 42  ,F.M% 0.15 ,Greenish 2.28 ,Moisture 4.9 ,Shortage in KG= 0  ,Oil% 39.31</v>
      </c>
      <c r="BP1108" s="71">
        <f t="shared" si="755"/>
        <v>7355.8404732049567</v>
      </c>
      <c r="BQ1108" s="55"/>
      <c r="BR1108" s="55"/>
      <c r="BS1108" s="41"/>
      <c r="BT1108" s="41"/>
      <c r="BU1108" s="41"/>
      <c r="BV1108" s="41"/>
      <c r="BW1108" s="85"/>
      <c r="BX1108" s="27">
        <v>39.15</v>
      </c>
      <c r="BY1108" s="27">
        <v>38.96</v>
      </c>
    </row>
    <row r="1109" spans="1:83" ht="14.1" hidden="1" customHeight="1" x14ac:dyDescent="0.3">
      <c r="A1109" s="128" t="s">
        <v>2219</v>
      </c>
      <c r="B1109" s="146">
        <v>46203</v>
      </c>
      <c r="C1109" s="138">
        <v>1076</v>
      </c>
      <c r="D1109" s="138" t="s">
        <v>2370</v>
      </c>
      <c r="E1109" s="129">
        <v>46207</v>
      </c>
      <c r="F1109" s="128" t="s">
        <v>1144</v>
      </c>
      <c r="G1109" s="128" t="s">
        <v>1145</v>
      </c>
      <c r="H1109" s="128" t="s">
        <v>100</v>
      </c>
      <c r="I1109" s="136"/>
      <c r="J1109" s="138" t="s">
        <v>1146</v>
      </c>
      <c r="K1109" s="136"/>
      <c r="L1109" s="146">
        <v>46203</v>
      </c>
      <c r="M1109" s="136"/>
      <c r="N1109" s="128" t="s">
        <v>2412</v>
      </c>
      <c r="O1109" s="130">
        <v>46207</v>
      </c>
      <c r="P1109" s="138">
        <v>0</v>
      </c>
      <c r="Q1109" s="138">
        <v>160</v>
      </c>
      <c r="R1109" s="138">
        <v>18</v>
      </c>
      <c r="S1109" s="138">
        <v>178</v>
      </c>
      <c r="T1109" s="138">
        <v>178</v>
      </c>
      <c r="U1109" s="136"/>
      <c r="V1109" s="136"/>
      <c r="W1109" s="148">
        <v>89.7</v>
      </c>
      <c r="X1109" s="148">
        <v>89.6</v>
      </c>
      <c r="Y1109" s="148">
        <v>704234.7</v>
      </c>
      <c r="Z1109" s="236">
        <v>40.18</v>
      </c>
      <c r="AA1109" s="148">
        <v>17605.87</v>
      </c>
      <c r="AB1109" s="148">
        <v>17605.87</v>
      </c>
      <c r="AC1109" s="148">
        <v>739446.44</v>
      </c>
      <c r="AD1109" s="315">
        <f t="shared" si="727"/>
        <v>738706.99355999997</v>
      </c>
      <c r="AE1109" s="147">
        <v>40.18</v>
      </c>
      <c r="AF1109" s="147">
        <v>42</v>
      </c>
      <c r="AG1109" s="147">
        <v>40.18</v>
      </c>
      <c r="AH1109" s="287">
        <v>1.4E-3</v>
      </c>
      <c r="AI1109" s="287">
        <v>2.5499999999999998E-2</v>
      </c>
      <c r="AJ1109" s="287">
        <v>4.8000000000000001E-2</v>
      </c>
      <c r="AK1109" s="318">
        <f t="shared" si="762"/>
        <v>30516.837000000003</v>
      </c>
      <c r="AL1109" s="193">
        <v>0</v>
      </c>
      <c r="AM1109" s="319">
        <v>0</v>
      </c>
      <c r="AN1109" s="319"/>
      <c r="AO1109" s="320">
        <f t="shared" si="759"/>
        <v>0</v>
      </c>
      <c r="AP1109" s="193">
        <v>0</v>
      </c>
      <c r="AQ1109" s="318">
        <v>0</v>
      </c>
      <c r="AR1109" s="318">
        <f t="shared" si="760"/>
        <v>30516.837000000003</v>
      </c>
      <c r="AS1109" s="318">
        <f t="shared" si="761"/>
        <v>32043</v>
      </c>
      <c r="AT1109" s="321">
        <v>0</v>
      </c>
      <c r="AU1109" s="157"/>
      <c r="AV1109" s="136"/>
      <c r="AW1109" s="318">
        <f t="shared" si="743"/>
        <v>8970</v>
      </c>
      <c r="AX1109" s="193"/>
      <c r="AY1109" s="318">
        <f t="shared" si="744"/>
        <v>8970</v>
      </c>
      <c r="AZ1109" s="318">
        <f t="shared" si="745"/>
        <v>8960</v>
      </c>
      <c r="BA1109" s="318">
        <f t="shared" si="746"/>
        <v>10</v>
      </c>
      <c r="BB1109" s="318">
        <f t="shared" si="747"/>
        <v>17.940000000000001</v>
      </c>
      <c r="BC1109" s="318">
        <v>0</v>
      </c>
      <c r="BD1109" s="136"/>
      <c r="BE1109" s="138">
        <v>89.7</v>
      </c>
      <c r="BF1109" s="321">
        <f t="shared" si="748"/>
        <v>0.13455</v>
      </c>
      <c r="BG1109" s="197">
        <f t="shared" si="749"/>
        <v>89.565449999999998</v>
      </c>
      <c r="BH1109" s="321">
        <f t="shared" si="750"/>
        <v>89.6</v>
      </c>
      <c r="BI1109" s="322">
        <f t="shared" si="751"/>
        <v>10.000000000000853</v>
      </c>
      <c r="BJ1109" s="322">
        <v>0</v>
      </c>
      <c r="BK1109" s="318">
        <f t="shared" si="752"/>
        <v>10.000000000000853</v>
      </c>
      <c r="BL1109" s="67"/>
      <c r="BM1109" s="68" t="str">
        <f t="shared" si="753"/>
        <v>Unloading no. 1076 Bill No 2026-27/307 ,Deduction For Oil Deduction= 30516.837 ,Bardana= 0 ,F.M= 0 Brokerage/Rate Difference  ,Shortage = 0 ,Greenish= 0 ,Moisture= 0</v>
      </c>
      <c r="BN1109" s="69"/>
      <c r="BO1109" s="70" t="str">
        <f t="shared" si="754"/>
        <v xml:space="preserve"> Party Condition 42  ,F.M% 0.14 ,Greenish 2.55 ,Moisture 4.8 ,Shortage in KG= 0  ,Oil% 40.18</v>
      </c>
      <c r="BP1109" s="71">
        <f t="shared" si="755"/>
        <v>7519.1725781249997</v>
      </c>
      <c r="BQ1109" s="55"/>
      <c r="BR1109" s="55"/>
      <c r="BS1109" s="41"/>
      <c r="BT1109" s="41"/>
      <c r="BU1109" s="41"/>
      <c r="BV1109" s="41"/>
      <c r="BW1109" s="85"/>
      <c r="BX1109" s="27">
        <v>40.200000000000003</v>
      </c>
      <c r="BY1109" s="27">
        <v>39.950000000000003</v>
      </c>
    </row>
    <row r="1110" spans="1:83" ht="14.1" hidden="1" customHeight="1" x14ac:dyDescent="0.3">
      <c r="A1110" s="128" t="s">
        <v>2219</v>
      </c>
      <c r="B1110" s="146">
        <v>46203</v>
      </c>
      <c r="C1110" s="138">
        <v>1077</v>
      </c>
      <c r="D1110" s="138" t="s">
        <v>2371</v>
      </c>
      <c r="E1110" s="129">
        <v>46207</v>
      </c>
      <c r="F1110" s="128" t="s">
        <v>1144</v>
      </c>
      <c r="G1110" s="128" t="s">
        <v>1145</v>
      </c>
      <c r="H1110" s="128" t="s">
        <v>100</v>
      </c>
      <c r="I1110" s="136"/>
      <c r="J1110" s="138" t="s">
        <v>1146</v>
      </c>
      <c r="K1110" s="136"/>
      <c r="L1110" s="146">
        <v>46203</v>
      </c>
      <c r="M1110" s="136"/>
      <c r="N1110" s="128" t="s">
        <v>2413</v>
      </c>
      <c r="O1110" s="130">
        <v>46207</v>
      </c>
      <c r="P1110" s="138">
        <v>0</v>
      </c>
      <c r="Q1110" s="138">
        <v>160</v>
      </c>
      <c r="R1110" s="138">
        <v>18</v>
      </c>
      <c r="S1110" s="138">
        <v>178</v>
      </c>
      <c r="T1110" s="138">
        <v>178</v>
      </c>
      <c r="U1110" s="136"/>
      <c r="V1110" s="136"/>
      <c r="W1110" s="148">
        <v>90.1</v>
      </c>
      <c r="X1110" s="148">
        <v>89.9</v>
      </c>
      <c r="Y1110" s="148">
        <v>707375.1</v>
      </c>
      <c r="Z1110" s="236">
        <v>40.479999999999997</v>
      </c>
      <c r="AA1110" s="148">
        <v>17684.38</v>
      </c>
      <c r="AB1110" s="148">
        <v>17684.38</v>
      </c>
      <c r="AC1110" s="148">
        <v>742743.86</v>
      </c>
      <c r="AD1110" s="315">
        <f t="shared" si="727"/>
        <v>742001.11613999994</v>
      </c>
      <c r="AE1110" s="147">
        <v>40.479999999999997</v>
      </c>
      <c r="AF1110" s="147">
        <v>42</v>
      </c>
      <c r="AG1110" s="147">
        <v>40.479999999999997</v>
      </c>
      <c r="AH1110" s="287">
        <v>1.1999999999999999E-3</v>
      </c>
      <c r="AI1110" s="287">
        <v>0.03</v>
      </c>
      <c r="AJ1110" s="287">
        <v>4.8000000000000001E-2</v>
      </c>
      <c r="AK1110" s="318">
        <f t="shared" si="762"/>
        <v>25600.241714285767</v>
      </c>
      <c r="AL1110" s="193">
        <v>0</v>
      </c>
      <c r="AM1110" s="319">
        <v>0</v>
      </c>
      <c r="AN1110" s="319"/>
      <c r="AO1110" s="320">
        <f t="shared" si="759"/>
        <v>157.01999999999998</v>
      </c>
      <c r="AP1110" s="193">
        <v>0</v>
      </c>
      <c r="AQ1110" s="318">
        <v>0</v>
      </c>
      <c r="AR1110" s="318">
        <f t="shared" si="760"/>
        <v>25757.261714285767</v>
      </c>
      <c r="AS1110" s="318">
        <f t="shared" si="761"/>
        <v>27045</v>
      </c>
      <c r="AT1110" s="321">
        <v>2</v>
      </c>
      <c r="AU1110" s="157"/>
      <c r="AV1110" s="136"/>
      <c r="AW1110" s="318">
        <f t="shared" si="743"/>
        <v>9010</v>
      </c>
      <c r="AX1110" s="193"/>
      <c r="AY1110" s="318">
        <f t="shared" si="744"/>
        <v>9010</v>
      </c>
      <c r="AZ1110" s="318">
        <f t="shared" si="745"/>
        <v>8990</v>
      </c>
      <c r="BA1110" s="318">
        <f t="shared" si="746"/>
        <v>20</v>
      </c>
      <c r="BB1110" s="318">
        <f t="shared" si="747"/>
        <v>18.02</v>
      </c>
      <c r="BC1110" s="318">
        <v>0</v>
      </c>
      <c r="BD1110" s="136"/>
      <c r="BE1110" s="138">
        <v>90.1</v>
      </c>
      <c r="BF1110" s="321">
        <f t="shared" si="748"/>
        <v>0.13514999999999999</v>
      </c>
      <c r="BG1110" s="197">
        <f t="shared" si="749"/>
        <v>89.964849999999998</v>
      </c>
      <c r="BH1110" s="321">
        <f t="shared" si="750"/>
        <v>89.9</v>
      </c>
      <c r="BI1110" s="322">
        <f t="shared" si="751"/>
        <v>19.999999999998863</v>
      </c>
      <c r="BJ1110" s="322">
        <v>0</v>
      </c>
      <c r="BK1110" s="318">
        <f t="shared" si="752"/>
        <v>19.999999999998863</v>
      </c>
      <c r="BL1110" s="67"/>
      <c r="BM1110" s="68" t="str">
        <f t="shared" si="753"/>
        <v>Unloading no. 1077 Bill No 2026-27/305 ,Deduction For Oil Deduction= 25600.2417142858 ,Bardana= 0 ,F.M= 0 Brokerage/Rate Difference  ,Shortage = 157.02 ,Greenish= 0 ,Moisture= 0</v>
      </c>
      <c r="BN1110" s="69"/>
      <c r="BO1110" s="70" t="str">
        <f t="shared" si="754"/>
        <v xml:space="preserve"> Party Condition 42  ,F.M% 0.12 ,Greenish 3 ,Moisture 4.8 ,Shortage in KG= 2  ,Oil% 40.48</v>
      </c>
      <c r="BP1110" s="71">
        <f t="shared" si="755"/>
        <v>7581.9559319879208</v>
      </c>
      <c r="BQ1110" s="55"/>
      <c r="BR1110" s="55"/>
      <c r="BS1110" s="41"/>
      <c r="BT1110" s="41"/>
      <c r="BU1110" s="41"/>
      <c r="BV1110" s="41"/>
      <c r="BW1110" s="85"/>
      <c r="BX1110" s="27">
        <v>40.35</v>
      </c>
      <c r="BY1110" s="27">
        <v>40.25</v>
      </c>
    </row>
    <row r="1111" spans="1:83" ht="14.1" hidden="1" customHeight="1" x14ac:dyDescent="0.3">
      <c r="A1111" s="128" t="s">
        <v>2219</v>
      </c>
      <c r="B1111" s="146">
        <v>46203</v>
      </c>
      <c r="C1111" s="138">
        <v>1078</v>
      </c>
      <c r="D1111" s="138" t="s">
        <v>2372</v>
      </c>
      <c r="E1111" s="129">
        <v>46207</v>
      </c>
      <c r="F1111" s="128" t="s">
        <v>1144</v>
      </c>
      <c r="G1111" s="128" t="s">
        <v>1145</v>
      </c>
      <c r="H1111" s="128" t="s">
        <v>100</v>
      </c>
      <c r="I1111" s="136"/>
      <c r="J1111" s="138" t="s">
        <v>1146</v>
      </c>
      <c r="K1111" s="136"/>
      <c r="L1111" s="146">
        <v>46203</v>
      </c>
      <c r="M1111" s="136"/>
      <c r="N1111" s="128" t="s">
        <v>2414</v>
      </c>
      <c r="O1111" s="130">
        <v>46207</v>
      </c>
      <c r="P1111" s="138">
        <v>0</v>
      </c>
      <c r="Q1111" s="138">
        <v>160</v>
      </c>
      <c r="R1111" s="138">
        <v>3</v>
      </c>
      <c r="S1111" s="138">
        <v>163</v>
      </c>
      <c r="T1111" s="138">
        <v>163</v>
      </c>
      <c r="U1111" s="136"/>
      <c r="V1111" s="136"/>
      <c r="W1111" s="148">
        <v>95.9</v>
      </c>
      <c r="X1111" s="148">
        <v>95.7</v>
      </c>
      <c r="Y1111" s="148">
        <v>752910.9</v>
      </c>
      <c r="Z1111" s="236">
        <v>39.840000000000003</v>
      </c>
      <c r="AA1111" s="148">
        <v>18822.77</v>
      </c>
      <c r="AB1111" s="148">
        <v>18822.77</v>
      </c>
      <c r="AC1111" s="148">
        <v>790556.45</v>
      </c>
      <c r="AD1111" s="315">
        <f t="shared" si="727"/>
        <v>789765.89354999992</v>
      </c>
      <c r="AE1111" s="147">
        <v>39.840000000000003</v>
      </c>
      <c r="AF1111" s="147">
        <v>42</v>
      </c>
      <c r="AG1111" s="147">
        <v>39.840000000000003</v>
      </c>
      <c r="AH1111" s="287">
        <v>1.6000000000000001E-3</v>
      </c>
      <c r="AI1111" s="287">
        <v>2.35E-2</v>
      </c>
      <c r="AJ1111" s="287">
        <v>5.3999999999999999E-2</v>
      </c>
      <c r="AK1111" s="318">
        <f t="shared" si="762"/>
        <v>38721.13199999994</v>
      </c>
      <c r="AL1111" s="193">
        <v>0</v>
      </c>
      <c r="AM1111" s="319">
        <v>0</v>
      </c>
      <c r="AN1111" s="319"/>
      <c r="AO1111" s="320">
        <f t="shared" si="759"/>
        <v>78.510000000000005</v>
      </c>
      <c r="AP1111" s="193">
        <v>0</v>
      </c>
      <c r="AQ1111" s="318">
        <v>0</v>
      </c>
      <c r="AR1111" s="318">
        <f t="shared" si="760"/>
        <v>38799.641999999942</v>
      </c>
      <c r="AS1111" s="318">
        <f t="shared" si="761"/>
        <v>40740</v>
      </c>
      <c r="AT1111" s="321">
        <v>1</v>
      </c>
      <c r="AU1111" s="157"/>
      <c r="AV1111" s="136"/>
      <c r="AW1111" s="318">
        <f t="shared" si="743"/>
        <v>9590</v>
      </c>
      <c r="AX1111" s="193"/>
      <c r="AY1111" s="318">
        <f t="shared" si="744"/>
        <v>9590</v>
      </c>
      <c r="AZ1111" s="318">
        <f t="shared" si="745"/>
        <v>9570</v>
      </c>
      <c r="BA1111" s="318">
        <f t="shared" si="746"/>
        <v>20</v>
      </c>
      <c r="BB1111" s="318">
        <f t="shared" si="747"/>
        <v>19.18</v>
      </c>
      <c r="BC1111" s="318">
        <v>0</v>
      </c>
      <c r="BD1111" s="136"/>
      <c r="BE1111" s="138">
        <v>95.9</v>
      </c>
      <c r="BF1111" s="321">
        <f t="shared" si="748"/>
        <v>0.14385000000000001</v>
      </c>
      <c r="BG1111" s="197">
        <f t="shared" si="749"/>
        <v>95.756150000000005</v>
      </c>
      <c r="BH1111" s="321">
        <f t="shared" si="750"/>
        <v>95.7</v>
      </c>
      <c r="BI1111" s="322">
        <f t="shared" si="751"/>
        <v>20.000000000000284</v>
      </c>
      <c r="BJ1111" s="322">
        <v>0</v>
      </c>
      <c r="BK1111" s="318">
        <f t="shared" si="752"/>
        <v>20.000000000000284</v>
      </c>
      <c r="BL1111" s="67"/>
      <c r="BM1111" s="68" t="str">
        <f t="shared" si="753"/>
        <v>Unloading no. 1078 Bill No 2026-27/308 ,Deduction For Oil Deduction= 38721.1319999999 ,Bardana= 0 ,F.M= 0 Brokerage/Rate Difference  ,Shortage = 78.51 ,Greenish= 0 ,Moisture= 0</v>
      </c>
      <c r="BN1111" s="69"/>
      <c r="BO1111" s="70" t="str">
        <f t="shared" si="754"/>
        <v xml:space="preserve"> Party Condition 42  ,F.M% 0.16 ,Greenish 2.35 ,Moisture 5.4 ,Shortage in KG= 1  ,Oil% 39.84</v>
      </c>
      <c r="BP1111" s="71">
        <f t="shared" si="755"/>
        <v>7461.9776175548586</v>
      </c>
      <c r="BQ1111" s="55"/>
      <c r="BR1111" s="55"/>
      <c r="BS1111" s="41"/>
      <c r="BT1111" s="41"/>
      <c r="BU1111" s="41"/>
      <c r="BV1111" s="41"/>
      <c r="BW1111" s="85"/>
      <c r="BX1111" s="27">
        <v>39.35</v>
      </c>
      <c r="BY1111" s="27">
        <v>39.33</v>
      </c>
    </row>
    <row r="1112" spans="1:83" ht="14.1" hidden="1" customHeight="1" x14ac:dyDescent="0.3">
      <c r="A1112" s="159" t="s">
        <v>2347</v>
      </c>
      <c r="B1112" s="146">
        <v>46204</v>
      </c>
      <c r="C1112" s="138">
        <v>1079</v>
      </c>
      <c r="D1112" s="138" t="s">
        <v>2373</v>
      </c>
      <c r="E1112" s="129">
        <v>46207</v>
      </c>
      <c r="F1112" s="128" t="s">
        <v>1144</v>
      </c>
      <c r="G1112" s="128" t="s">
        <v>1145</v>
      </c>
      <c r="H1112" s="128" t="s">
        <v>100</v>
      </c>
      <c r="I1112" s="136"/>
      <c r="J1112" s="138" t="s">
        <v>1146</v>
      </c>
      <c r="K1112" s="136"/>
      <c r="L1112" s="146">
        <v>46204</v>
      </c>
      <c r="M1112" s="136"/>
      <c r="N1112" s="128" t="s">
        <v>2415</v>
      </c>
      <c r="O1112" s="130">
        <v>46207</v>
      </c>
      <c r="P1112" s="138">
        <v>0</v>
      </c>
      <c r="Q1112" s="138">
        <v>630</v>
      </c>
      <c r="R1112" s="138">
        <v>60</v>
      </c>
      <c r="S1112" s="138">
        <v>690</v>
      </c>
      <c r="T1112" s="138">
        <v>690</v>
      </c>
      <c r="U1112" s="136"/>
      <c r="V1112" s="136"/>
      <c r="W1112" s="148">
        <v>345</v>
      </c>
      <c r="X1112" s="148">
        <v>344.2</v>
      </c>
      <c r="Y1112" s="148">
        <v>2699625</v>
      </c>
      <c r="Z1112" s="236">
        <v>41.16</v>
      </c>
      <c r="AA1112" s="148">
        <v>67490.63</v>
      </c>
      <c r="AB1112" s="148">
        <v>67490.63</v>
      </c>
      <c r="AC1112" s="148">
        <v>2834606.25</v>
      </c>
      <c r="AD1112" s="315">
        <f t="shared" si="727"/>
        <v>2831771.6437499998</v>
      </c>
      <c r="AE1112" s="147">
        <v>41.16</v>
      </c>
      <c r="AF1112" s="147">
        <v>42</v>
      </c>
      <c r="AG1112" s="147">
        <v>41.16</v>
      </c>
      <c r="AH1112" s="287">
        <v>3.5000000000000001E-3</v>
      </c>
      <c r="AI1112" s="287">
        <v>5.8099999999999999E-2</v>
      </c>
      <c r="AJ1112" s="287">
        <v>0.05</v>
      </c>
      <c r="AK1112" s="318">
        <f t="shared" si="762"/>
        <v>53992.500000000218</v>
      </c>
      <c r="AL1112" s="193">
        <v>0</v>
      </c>
      <c r="AM1112" s="319">
        <v>0</v>
      </c>
      <c r="AN1112" s="319"/>
      <c r="AO1112" s="320">
        <f t="shared" si="759"/>
        <v>860.75</v>
      </c>
      <c r="AP1112" s="193">
        <v>0</v>
      </c>
      <c r="AQ1112" s="318">
        <v>0</v>
      </c>
      <c r="AR1112" s="318">
        <f t="shared" si="760"/>
        <v>54853.250000000218</v>
      </c>
      <c r="AS1112" s="318">
        <f t="shared" si="761"/>
        <v>57596</v>
      </c>
      <c r="AT1112" s="321">
        <v>11</v>
      </c>
      <c r="AU1112" s="157"/>
      <c r="AV1112" s="136"/>
      <c r="AW1112" s="318">
        <f t="shared" si="743"/>
        <v>34500</v>
      </c>
      <c r="AX1112" s="193"/>
      <c r="AY1112" s="318">
        <f t="shared" si="744"/>
        <v>34500</v>
      </c>
      <c r="AZ1112" s="318">
        <f t="shared" si="745"/>
        <v>34420</v>
      </c>
      <c r="BA1112" s="318">
        <f t="shared" si="746"/>
        <v>80</v>
      </c>
      <c r="BB1112" s="318">
        <f t="shared" si="747"/>
        <v>69</v>
      </c>
      <c r="BC1112" s="318">
        <v>0</v>
      </c>
      <c r="BD1112" s="136"/>
      <c r="BE1112" s="138">
        <v>345</v>
      </c>
      <c r="BF1112" s="321">
        <f t="shared" si="748"/>
        <v>0.51749999999999996</v>
      </c>
      <c r="BG1112" s="197">
        <f t="shared" si="749"/>
        <v>344.48250000000002</v>
      </c>
      <c r="BH1112" s="321">
        <f t="shared" si="750"/>
        <v>344.2</v>
      </c>
      <c r="BI1112" s="322">
        <f t="shared" si="751"/>
        <v>80.000000000001137</v>
      </c>
      <c r="BJ1112" s="322">
        <v>0</v>
      </c>
      <c r="BK1112" s="318">
        <f t="shared" si="752"/>
        <v>80.000000000001137</v>
      </c>
      <c r="BL1112" s="67"/>
      <c r="BM1112" s="68" t="str">
        <f t="shared" si="753"/>
        <v>Unloading no. 1079 Bill No 2026-27/299 ,Deduction For Oil Deduction= 53992.5000000002 ,Bardana= 0 ,F.M= 0 Brokerage/Rate Difference  ,Shortage = 860.75 ,Greenish= 0 ,Moisture= 0</v>
      </c>
      <c r="BN1112" s="69"/>
      <c r="BO1112" s="70" t="str">
        <f t="shared" si="754"/>
        <v xml:space="preserve"> Party Condition 42  ,F.M% 0.35 ,Greenish 5.81 ,Moisture 5 ,Shortage in KG= 11  ,Oil% 41.16</v>
      </c>
      <c r="BP1112" s="71">
        <f t="shared" si="755"/>
        <v>7683.8226321905868</v>
      </c>
      <c r="BQ1112" s="55"/>
      <c r="BR1112" s="55"/>
      <c r="BS1112" s="41"/>
      <c r="BT1112" s="41"/>
      <c r="BU1112" s="41"/>
      <c r="BV1112" s="41"/>
      <c r="BW1112" s="85"/>
      <c r="BX1112" s="27">
        <v>40.869999999999997</v>
      </c>
      <c r="BY1112" s="27">
        <v>40.56</v>
      </c>
    </row>
    <row r="1113" spans="1:83" ht="14.1" hidden="1" customHeight="1" x14ac:dyDescent="0.3">
      <c r="A1113" s="128" t="s">
        <v>2219</v>
      </c>
      <c r="B1113" s="146">
        <v>46203</v>
      </c>
      <c r="C1113" s="138">
        <v>1080</v>
      </c>
      <c r="D1113" s="138" t="s">
        <v>2374</v>
      </c>
      <c r="E1113" s="129">
        <v>46207</v>
      </c>
      <c r="F1113" s="128" t="s">
        <v>1144</v>
      </c>
      <c r="G1113" s="128" t="s">
        <v>1145</v>
      </c>
      <c r="H1113" s="128" t="s">
        <v>100</v>
      </c>
      <c r="I1113" s="136"/>
      <c r="J1113" s="138" t="s">
        <v>1146</v>
      </c>
      <c r="K1113" s="136"/>
      <c r="L1113" s="146">
        <v>46203</v>
      </c>
      <c r="M1113" s="136"/>
      <c r="N1113" s="128" t="s">
        <v>2416</v>
      </c>
      <c r="O1113" s="130">
        <v>46207</v>
      </c>
      <c r="P1113" s="138">
        <v>0</v>
      </c>
      <c r="Q1113" s="138">
        <v>160</v>
      </c>
      <c r="R1113" s="138">
        <v>18</v>
      </c>
      <c r="S1113" s="138">
        <v>178</v>
      </c>
      <c r="T1113" s="138">
        <v>178</v>
      </c>
      <c r="U1113" s="136"/>
      <c r="V1113" s="136"/>
      <c r="W1113" s="148">
        <v>89.8</v>
      </c>
      <c r="X1113" s="148">
        <v>89.7</v>
      </c>
      <c r="Y1113" s="148">
        <v>705019.8</v>
      </c>
      <c r="Z1113" s="236">
        <v>40.119999999999997</v>
      </c>
      <c r="AA1113" s="148">
        <v>17625.5</v>
      </c>
      <c r="AB1113" s="148">
        <v>17625.5</v>
      </c>
      <c r="AC1113" s="148">
        <v>740270.79</v>
      </c>
      <c r="AD1113" s="315">
        <f t="shared" si="727"/>
        <v>739530.51921000006</v>
      </c>
      <c r="AE1113" s="147">
        <v>40.119999999999997</v>
      </c>
      <c r="AF1113" s="147">
        <v>42</v>
      </c>
      <c r="AG1113" s="147">
        <v>40.119999999999997</v>
      </c>
      <c r="AH1113" s="287">
        <v>1.2999999999999999E-3</v>
      </c>
      <c r="AI1113" s="287">
        <v>2.86E-2</v>
      </c>
      <c r="AJ1113" s="287">
        <v>4.7E-2</v>
      </c>
      <c r="AK1113" s="318">
        <f t="shared" si="762"/>
        <v>31558.029142857187</v>
      </c>
      <c r="AL1113" s="193">
        <v>0</v>
      </c>
      <c r="AM1113" s="319">
        <v>0</v>
      </c>
      <c r="AN1113" s="319"/>
      <c r="AO1113" s="320">
        <f t="shared" si="759"/>
        <v>0</v>
      </c>
      <c r="AP1113" s="193">
        <v>0</v>
      </c>
      <c r="AQ1113" s="318">
        <v>0</v>
      </c>
      <c r="AR1113" s="318">
        <f t="shared" si="760"/>
        <v>31558.029142857187</v>
      </c>
      <c r="AS1113" s="318">
        <f t="shared" si="761"/>
        <v>33136</v>
      </c>
      <c r="AT1113" s="321">
        <v>0</v>
      </c>
      <c r="AU1113" s="157"/>
      <c r="AV1113" s="136"/>
      <c r="AW1113" s="318">
        <f t="shared" si="743"/>
        <v>8980</v>
      </c>
      <c r="AX1113" s="193"/>
      <c r="AY1113" s="318">
        <f t="shared" si="744"/>
        <v>8980</v>
      </c>
      <c r="AZ1113" s="318">
        <f t="shared" si="745"/>
        <v>8970</v>
      </c>
      <c r="BA1113" s="318">
        <f t="shared" si="746"/>
        <v>10</v>
      </c>
      <c r="BB1113" s="318">
        <f t="shared" si="747"/>
        <v>17.96</v>
      </c>
      <c r="BC1113" s="318">
        <v>0</v>
      </c>
      <c r="BD1113" s="136"/>
      <c r="BE1113" s="138">
        <v>89.8</v>
      </c>
      <c r="BF1113" s="321">
        <f t="shared" si="748"/>
        <v>0.13469999999999999</v>
      </c>
      <c r="BG1113" s="197">
        <f t="shared" si="749"/>
        <v>89.665300000000002</v>
      </c>
      <c r="BH1113" s="321">
        <f t="shared" si="750"/>
        <v>89.7</v>
      </c>
      <c r="BI1113" s="322">
        <f t="shared" si="751"/>
        <v>9.9999999999994316</v>
      </c>
      <c r="BJ1113" s="322">
        <v>0</v>
      </c>
      <c r="BK1113" s="318">
        <f t="shared" si="752"/>
        <v>9.9999999999994316</v>
      </c>
      <c r="BL1113" s="67"/>
      <c r="BM1113" s="68" t="str">
        <f t="shared" si="753"/>
        <v>Unloading no. 1080 Bill No 2026-27/309 ,Deduction For Oil Deduction= 31558.0291428572 ,Bardana= 0 ,F.M= 0 Brokerage/Rate Difference  ,Shortage = 0 ,Greenish= 0 ,Moisture= 0</v>
      </c>
      <c r="BN1113" s="69"/>
      <c r="BO1113" s="70" t="str">
        <f t="shared" si="754"/>
        <v xml:space="preserve"> Party Condition 42  ,F.M% 0.13 ,Greenish 2.86 ,Moisture 4.7 ,Shortage in KG= 0  ,Oil% 40.12</v>
      </c>
      <c r="BP1113" s="71">
        <f t="shared" si="755"/>
        <v>7507.9350151297976</v>
      </c>
      <c r="BQ1113" s="55"/>
      <c r="BR1113" s="55"/>
      <c r="BS1113" s="41"/>
      <c r="BT1113" s="41"/>
      <c r="BU1113" s="41"/>
      <c r="BV1113" s="41"/>
      <c r="BW1113" s="85"/>
      <c r="BX1113" s="27">
        <v>39.89</v>
      </c>
      <c r="BY1113" s="27">
        <v>39.81</v>
      </c>
    </row>
    <row r="1114" spans="1:83" ht="14.1" hidden="1" customHeight="1" x14ac:dyDescent="0.3">
      <c r="A1114" s="159" t="s">
        <v>2347</v>
      </c>
      <c r="B1114" s="146">
        <v>46204</v>
      </c>
      <c r="C1114" s="138">
        <v>1081</v>
      </c>
      <c r="D1114" s="138" t="s">
        <v>2375</v>
      </c>
      <c r="E1114" s="129">
        <v>46207</v>
      </c>
      <c r="F1114" s="128" t="s">
        <v>1144</v>
      </c>
      <c r="G1114" s="128" t="s">
        <v>1145</v>
      </c>
      <c r="H1114" s="128" t="s">
        <v>100</v>
      </c>
      <c r="I1114" s="136"/>
      <c r="J1114" s="138" t="s">
        <v>1146</v>
      </c>
      <c r="K1114" s="136"/>
      <c r="L1114" s="146">
        <v>46204</v>
      </c>
      <c r="M1114" s="136"/>
      <c r="N1114" s="128" t="s">
        <v>2417</v>
      </c>
      <c r="O1114" s="130">
        <v>46207</v>
      </c>
      <c r="P1114" s="138">
        <v>0</v>
      </c>
      <c r="Q1114" s="138">
        <v>450</v>
      </c>
      <c r="R1114" s="138">
        <v>150</v>
      </c>
      <c r="S1114" s="138">
        <v>600</v>
      </c>
      <c r="T1114" s="138">
        <v>600</v>
      </c>
      <c r="U1114" s="136"/>
      <c r="V1114" s="136"/>
      <c r="W1114" s="148">
        <v>301.60000000000002</v>
      </c>
      <c r="X1114" s="148">
        <v>301</v>
      </c>
      <c r="Y1114" s="148">
        <v>2360020</v>
      </c>
      <c r="Z1114" s="236">
        <v>40.96</v>
      </c>
      <c r="AA1114" s="148">
        <v>59000.5</v>
      </c>
      <c r="AB1114" s="148">
        <v>59000.5</v>
      </c>
      <c r="AC1114" s="148">
        <v>2478021</v>
      </c>
      <c r="AD1114" s="315">
        <f t="shared" si="727"/>
        <v>2475542.9789999998</v>
      </c>
      <c r="AE1114" s="147">
        <v>40.96</v>
      </c>
      <c r="AF1114" s="147">
        <v>42</v>
      </c>
      <c r="AG1114" s="147">
        <v>40.96</v>
      </c>
      <c r="AH1114" s="287">
        <v>2.3999999999999998E-3</v>
      </c>
      <c r="AI1114" s="287">
        <v>4.7E-2</v>
      </c>
      <c r="AJ1114" s="287">
        <v>4.9000000000000002E-2</v>
      </c>
      <c r="AK1114" s="318">
        <f t="shared" si="762"/>
        <v>58438.590476190431</v>
      </c>
      <c r="AL1114" s="193">
        <v>0</v>
      </c>
      <c r="AM1114" s="319">
        <v>0</v>
      </c>
      <c r="AN1114" s="319"/>
      <c r="AO1114" s="320">
        <f t="shared" si="759"/>
        <v>0</v>
      </c>
      <c r="AP1114" s="193">
        <v>0</v>
      </c>
      <c r="AQ1114" s="318">
        <v>0</v>
      </c>
      <c r="AR1114" s="318">
        <f t="shared" si="760"/>
        <v>58438.590476190431</v>
      </c>
      <c r="AS1114" s="318">
        <f t="shared" si="761"/>
        <v>61361</v>
      </c>
      <c r="AT1114" s="321">
        <v>0</v>
      </c>
      <c r="AU1114" s="157"/>
      <c r="AV1114" s="136"/>
      <c r="AW1114" s="318">
        <f t="shared" si="743"/>
        <v>30160.000000000004</v>
      </c>
      <c r="AX1114" s="193"/>
      <c r="AY1114" s="318">
        <f t="shared" si="744"/>
        <v>30160.000000000004</v>
      </c>
      <c r="AZ1114" s="318">
        <f t="shared" si="745"/>
        <v>30100</v>
      </c>
      <c r="BA1114" s="318">
        <f t="shared" si="746"/>
        <v>60.000000000003638</v>
      </c>
      <c r="BB1114" s="318">
        <f t="shared" si="747"/>
        <v>60.320000000000007</v>
      </c>
      <c r="BC1114" s="318">
        <v>0</v>
      </c>
      <c r="BD1114" s="136"/>
      <c r="BE1114" s="138">
        <v>301.60000000000002</v>
      </c>
      <c r="BF1114" s="321">
        <f t="shared" si="748"/>
        <v>0.45240000000000002</v>
      </c>
      <c r="BG1114" s="197">
        <f t="shared" si="749"/>
        <v>301.14760000000001</v>
      </c>
      <c r="BH1114" s="321">
        <f t="shared" si="750"/>
        <v>301</v>
      </c>
      <c r="BI1114" s="322">
        <f t="shared" si="751"/>
        <v>60.000000000002274</v>
      </c>
      <c r="BJ1114" s="322">
        <v>0</v>
      </c>
      <c r="BK1114" s="318">
        <f t="shared" si="752"/>
        <v>60.000000000002274</v>
      </c>
      <c r="BL1114" s="67"/>
      <c r="BM1114" s="68" t="str">
        <f t="shared" si="753"/>
        <v>Unloading no. 1081 Bill No 2026-27/298 ,Deduction For Oil Deduction= 58438.5904761904 ,Bardana= 0 ,F.M= 0 Brokerage/Rate Difference  ,Shortage = 0 ,Greenish= 0 ,Moisture= 0</v>
      </c>
      <c r="BN1114" s="69"/>
      <c r="BO1114" s="70" t="str">
        <f t="shared" si="754"/>
        <v xml:space="preserve"> Party Condition 42  ,F.M% 0.24 ,Greenish 4.7 ,Moisture 4.9 ,Shortage in KG= 0  ,Oil% 40.96</v>
      </c>
      <c r="BP1114" s="71">
        <f t="shared" si="755"/>
        <v>7646.4498655276075</v>
      </c>
      <c r="BQ1114" s="55"/>
      <c r="BR1114" s="55"/>
      <c r="BS1114" s="41"/>
      <c r="BT1114" s="41"/>
      <c r="BU1114" s="41"/>
      <c r="BV1114" s="41"/>
      <c r="BW1114" s="85"/>
      <c r="BX1114" s="27">
        <v>41.08</v>
      </c>
      <c r="BY1114" s="27">
        <v>40.92</v>
      </c>
    </row>
    <row r="1115" spans="1:83" ht="14.1" hidden="1" customHeight="1" x14ac:dyDescent="0.3">
      <c r="A1115" s="128" t="s">
        <v>2219</v>
      </c>
      <c r="B1115" s="146">
        <v>46203</v>
      </c>
      <c r="C1115" s="138">
        <v>1082</v>
      </c>
      <c r="D1115" s="138" t="s">
        <v>2376</v>
      </c>
      <c r="E1115" s="129">
        <v>46207</v>
      </c>
      <c r="F1115" s="128" t="s">
        <v>1144</v>
      </c>
      <c r="G1115" s="128" t="s">
        <v>1145</v>
      </c>
      <c r="H1115" s="128" t="s">
        <v>100</v>
      </c>
      <c r="I1115" s="136"/>
      <c r="J1115" s="138" t="s">
        <v>1146</v>
      </c>
      <c r="K1115" s="136"/>
      <c r="L1115" s="146">
        <v>46203</v>
      </c>
      <c r="M1115" s="136"/>
      <c r="N1115" s="128" t="s">
        <v>2418</v>
      </c>
      <c r="O1115" s="130">
        <v>46207</v>
      </c>
      <c r="P1115" s="138">
        <v>0</v>
      </c>
      <c r="Q1115" s="138">
        <v>160</v>
      </c>
      <c r="R1115" s="138">
        <v>18</v>
      </c>
      <c r="S1115" s="138">
        <v>178</v>
      </c>
      <c r="T1115" s="138">
        <v>178</v>
      </c>
      <c r="U1115" s="136"/>
      <c r="V1115" s="136"/>
      <c r="W1115" s="148">
        <v>89.7</v>
      </c>
      <c r="X1115" s="148">
        <v>89.7</v>
      </c>
      <c r="Y1115" s="148">
        <v>704234.7</v>
      </c>
      <c r="Z1115" s="236">
        <v>40.090000000000003</v>
      </c>
      <c r="AA1115" s="148">
        <v>17605.87</v>
      </c>
      <c r="AB1115" s="148">
        <v>17605.87</v>
      </c>
      <c r="AC1115" s="148">
        <v>739446.44</v>
      </c>
      <c r="AD1115" s="315">
        <f t="shared" si="727"/>
        <v>738706.99355999997</v>
      </c>
      <c r="AE1115" s="147">
        <v>40.090000000000003</v>
      </c>
      <c r="AF1115" s="147">
        <v>42</v>
      </c>
      <c r="AG1115" s="147">
        <v>40.090000000000003</v>
      </c>
      <c r="AH1115" s="287">
        <v>1.5E-3</v>
      </c>
      <c r="AI1115" s="287">
        <v>2.5999999999999999E-2</v>
      </c>
      <c r="AJ1115" s="287">
        <v>0.05</v>
      </c>
      <c r="AK1115" s="318">
        <f t="shared" si="762"/>
        <v>32025.911357142795</v>
      </c>
      <c r="AL1115" s="193">
        <v>0</v>
      </c>
      <c r="AM1115" s="319">
        <v>0</v>
      </c>
      <c r="AN1115" s="319"/>
      <c r="AO1115" s="320">
        <f t="shared" si="759"/>
        <v>0</v>
      </c>
      <c r="AP1115" s="193">
        <v>0</v>
      </c>
      <c r="AQ1115" s="318">
        <v>0</v>
      </c>
      <c r="AR1115" s="318">
        <f t="shared" si="760"/>
        <v>32025.911357142795</v>
      </c>
      <c r="AS1115" s="318">
        <f t="shared" si="761"/>
        <v>33627</v>
      </c>
      <c r="AT1115" s="321">
        <v>0</v>
      </c>
      <c r="AU1115" s="157"/>
      <c r="AV1115" s="136"/>
      <c r="AW1115" s="318">
        <f t="shared" si="743"/>
        <v>8970</v>
      </c>
      <c r="AX1115" s="193"/>
      <c r="AY1115" s="318">
        <f t="shared" si="744"/>
        <v>8970</v>
      </c>
      <c r="AZ1115" s="318">
        <f t="shared" si="745"/>
        <v>8970</v>
      </c>
      <c r="BA1115" s="318">
        <f t="shared" si="746"/>
        <v>0</v>
      </c>
      <c r="BB1115" s="318">
        <f t="shared" si="747"/>
        <v>17.940000000000001</v>
      </c>
      <c r="BC1115" s="318">
        <v>0</v>
      </c>
      <c r="BD1115" s="136"/>
      <c r="BE1115" s="138">
        <v>89.7</v>
      </c>
      <c r="BF1115" s="321">
        <f t="shared" si="748"/>
        <v>0.13455</v>
      </c>
      <c r="BG1115" s="197">
        <f t="shared" si="749"/>
        <v>89.565449999999998</v>
      </c>
      <c r="BH1115" s="321">
        <f t="shared" si="750"/>
        <v>89.7</v>
      </c>
      <c r="BI1115" s="322">
        <f t="shared" si="751"/>
        <v>0</v>
      </c>
      <c r="BJ1115" s="322">
        <v>0</v>
      </c>
      <c r="BK1115" s="318">
        <f t="shared" si="752"/>
        <v>0</v>
      </c>
      <c r="BL1115" s="67"/>
      <c r="BM1115" s="68" t="str">
        <f t="shared" si="753"/>
        <v>Unloading no. 1082 Bill No 2026-27/310 ,Deduction For Oil Deduction= 32025.9113571428 ,Bardana= 0 ,F.M= 0 Brokerage/Rate Difference  ,Shortage = 0 ,Greenish= 0 ,Moisture= 0</v>
      </c>
      <c r="BN1115" s="69"/>
      <c r="BO1115" s="70" t="str">
        <f t="shared" si="754"/>
        <v xml:space="preserve"> Party Condition 42  ,F.M% 0.15 ,Greenish 2.6 ,Moisture 5 ,Shortage in KG= 0  ,Oil% 40.09</v>
      </c>
      <c r="BP1115" s="71">
        <f t="shared" si="755"/>
        <v>7493.966428571428</v>
      </c>
      <c r="BQ1115" s="55"/>
      <c r="BR1115" s="55"/>
      <c r="BS1115" s="41"/>
      <c r="BT1115" s="41"/>
      <c r="BU1115" s="41"/>
      <c r="BV1115" s="41"/>
      <c r="BW1115" s="85"/>
      <c r="BX1115" s="27">
        <v>39.97</v>
      </c>
      <c r="BY1115" s="27">
        <v>39.89</v>
      </c>
    </row>
    <row r="1116" spans="1:83" ht="14.1" hidden="1" customHeight="1" x14ac:dyDescent="0.3">
      <c r="A1116" s="128" t="s">
        <v>2219</v>
      </c>
      <c r="B1116" s="146">
        <v>46203</v>
      </c>
      <c r="C1116" s="138">
        <v>1083</v>
      </c>
      <c r="D1116" s="138" t="s">
        <v>2377</v>
      </c>
      <c r="E1116" s="129">
        <v>46207</v>
      </c>
      <c r="F1116" s="128" t="s">
        <v>1144</v>
      </c>
      <c r="G1116" s="128" t="s">
        <v>1145</v>
      </c>
      <c r="H1116" s="128" t="s">
        <v>100</v>
      </c>
      <c r="I1116" s="136"/>
      <c r="J1116" s="138" t="s">
        <v>1146</v>
      </c>
      <c r="K1116" s="136"/>
      <c r="L1116" s="146">
        <v>46203</v>
      </c>
      <c r="M1116" s="136"/>
      <c r="N1116" s="128" t="s">
        <v>2419</v>
      </c>
      <c r="O1116" s="130">
        <v>46207</v>
      </c>
      <c r="P1116" s="138">
        <v>0</v>
      </c>
      <c r="Q1116" s="138">
        <v>150</v>
      </c>
      <c r="R1116" s="138">
        <v>28</v>
      </c>
      <c r="S1116" s="138">
        <v>178</v>
      </c>
      <c r="T1116" s="138">
        <v>178</v>
      </c>
      <c r="U1116" s="136"/>
      <c r="V1116" s="136"/>
      <c r="W1116" s="148">
        <v>90.6</v>
      </c>
      <c r="X1116" s="148">
        <v>90.6</v>
      </c>
      <c r="Y1116" s="148">
        <v>711300.6</v>
      </c>
      <c r="Z1116" s="236">
        <v>40.08</v>
      </c>
      <c r="AA1116" s="148">
        <v>17782.52</v>
      </c>
      <c r="AB1116" s="148">
        <v>17782.52</v>
      </c>
      <c r="AC1116" s="148">
        <v>746865.63</v>
      </c>
      <c r="AD1116" s="315">
        <f t="shared" si="727"/>
        <v>746118.76436999999</v>
      </c>
      <c r="AE1116" s="147">
        <v>40.08</v>
      </c>
      <c r="AF1116" s="147">
        <v>42</v>
      </c>
      <c r="AG1116" s="147">
        <v>40.08</v>
      </c>
      <c r="AH1116" s="287">
        <v>1.6999999999999999E-3</v>
      </c>
      <c r="AI1116" s="287">
        <v>2.7699999999999999E-2</v>
      </c>
      <c r="AJ1116" s="287">
        <v>5.0999999999999997E-2</v>
      </c>
      <c r="AK1116" s="318">
        <f t="shared" si="762"/>
        <v>32516.598857142886</v>
      </c>
      <c r="AL1116" s="193">
        <v>0</v>
      </c>
      <c r="AM1116" s="319">
        <v>0</v>
      </c>
      <c r="AN1116" s="319"/>
      <c r="AO1116" s="320">
        <f t="shared" si="759"/>
        <v>0</v>
      </c>
      <c r="AP1116" s="193">
        <v>0</v>
      </c>
      <c r="AQ1116" s="318">
        <v>0</v>
      </c>
      <c r="AR1116" s="318">
        <f t="shared" si="760"/>
        <v>32516.598857142886</v>
      </c>
      <c r="AS1116" s="318">
        <f t="shared" si="761"/>
        <v>34142</v>
      </c>
      <c r="AT1116" s="321">
        <v>0</v>
      </c>
      <c r="AU1116" s="157"/>
      <c r="AV1116" s="136"/>
      <c r="AW1116" s="318">
        <f t="shared" si="743"/>
        <v>9060</v>
      </c>
      <c r="AX1116" s="193"/>
      <c r="AY1116" s="318">
        <f t="shared" si="744"/>
        <v>9060</v>
      </c>
      <c r="AZ1116" s="318">
        <f t="shared" si="745"/>
        <v>9060</v>
      </c>
      <c r="BA1116" s="318">
        <f t="shared" si="746"/>
        <v>0</v>
      </c>
      <c r="BB1116" s="318">
        <f t="shared" si="747"/>
        <v>18.12</v>
      </c>
      <c r="BC1116" s="318">
        <v>0</v>
      </c>
      <c r="BD1116" s="136"/>
      <c r="BE1116" s="138">
        <v>90.6</v>
      </c>
      <c r="BF1116" s="321">
        <f t="shared" si="748"/>
        <v>0.13589999999999999</v>
      </c>
      <c r="BG1116" s="197">
        <f t="shared" si="749"/>
        <v>90.464099999999988</v>
      </c>
      <c r="BH1116" s="321">
        <f t="shared" si="750"/>
        <v>90.6</v>
      </c>
      <c r="BI1116" s="322">
        <f t="shared" si="751"/>
        <v>0</v>
      </c>
      <c r="BJ1116" s="322">
        <v>0</v>
      </c>
      <c r="BK1116" s="318">
        <f t="shared" si="752"/>
        <v>0</v>
      </c>
      <c r="BL1116" s="67"/>
      <c r="BM1116" s="68" t="str">
        <f t="shared" si="753"/>
        <v>Unloading no. 1083 Bill No 2026-27/312 ,Deduction For Oil Deduction= 32516.5988571429 ,Bardana= 0 ,F.M= 0 Brokerage/Rate Difference  ,Shortage = 0 ,Greenish= 0 ,Moisture= 0</v>
      </c>
      <c r="BN1116" s="69"/>
      <c r="BO1116" s="70" t="str">
        <f t="shared" si="754"/>
        <v xml:space="preserve"> Party Condition 42  ,F.M% 0.17 ,Greenish 2.77 ,Moisture 5.1 ,Shortage in KG= 0  ,Oil% 40.08</v>
      </c>
      <c r="BP1116" s="71">
        <f t="shared" si="755"/>
        <v>7492.0971428571429</v>
      </c>
      <c r="BQ1116" s="55"/>
      <c r="BR1116" s="55"/>
      <c r="BS1116" s="41"/>
      <c r="BT1116" s="41"/>
      <c r="BU1116" s="41"/>
      <c r="BV1116" s="41"/>
      <c r="BW1116" s="85"/>
      <c r="BX1116" s="27">
        <v>39.799999999999997</v>
      </c>
      <c r="BY1116" s="27">
        <v>39.520000000000003</v>
      </c>
    </row>
    <row r="1117" spans="1:83" ht="14.1" hidden="1" customHeight="1" x14ac:dyDescent="0.3">
      <c r="A1117" s="128" t="s">
        <v>2219</v>
      </c>
      <c r="B1117" s="146">
        <v>46203</v>
      </c>
      <c r="C1117" s="138">
        <v>1084</v>
      </c>
      <c r="D1117" s="138" t="s">
        <v>2378</v>
      </c>
      <c r="E1117" s="129">
        <v>46207</v>
      </c>
      <c r="F1117" s="128" t="s">
        <v>1144</v>
      </c>
      <c r="G1117" s="128" t="s">
        <v>1145</v>
      </c>
      <c r="H1117" s="128" t="s">
        <v>100</v>
      </c>
      <c r="I1117" s="136"/>
      <c r="J1117" s="138" t="s">
        <v>1146</v>
      </c>
      <c r="K1117" s="136"/>
      <c r="L1117" s="146">
        <v>46203</v>
      </c>
      <c r="M1117" s="136"/>
      <c r="N1117" s="128" t="s">
        <v>2420</v>
      </c>
      <c r="O1117" s="130">
        <v>46207</v>
      </c>
      <c r="P1117" s="138">
        <v>0</v>
      </c>
      <c r="Q1117" s="138">
        <v>150</v>
      </c>
      <c r="R1117" s="138">
        <v>28</v>
      </c>
      <c r="S1117" s="138">
        <v>178</v>
      </c>
      <c r="T1117" s="138">
        <v>178</v>
      </c>
      <c r="U1117" s="136"/>
      <c r="V1117" s="136"/>
      <c r="W1117" s="148">
        <v>100.7</v>
      </c>
      <c r="X1117" s="148">
        <v>100.6</v>
      </c>
      <c r="Y1117" s="148">
        <v>790595.7</v>
      </c>
      <c r="Z1117" s="236">
        <v>39.72</v>
      </c>
      <c r="AA1117" s="148">
        <v>19764.89</v>
      </c>
      <c r="AB1117" s="148">
        <v>19764.89</v>
      </c>
      <c r="AC1117" s="148">
        <v>830125</v>
      </c>
      <c r="AD1117" s="315">
        <f t="shared" si="727"/>
        <v>829294.875</v>
      </c>
      <c r="AE1117" s="147">
        <v>39.72</v>
      </c>
      <c r="AF1117" s="147">
        <v>42</v>
      </c>
      <c r="AG1117" s="147">
        <v>39.72</v>
      </c>
      <c r="AH1117" s="287">
        <v>1.5E-3</v>
      </c>
      <c r="AI1117" s="287">
        <v>2.9399999999999999E-2</v>
      </c>
      <c r="AJ1117" s="287">
        <v>4.5999999999999999E-2</v>
      </c>
      <c r="AK1117" s="318">
        <f t="shared" si="762"/>
        <v>42918.052285714301</v>
      </c>
      <c r="AL1117" s="193">
        <v>0</v>
      </c>
      <c r="AM1117" s="319">
        <v>0</v>
      </c>
      <c r="AN1117" s="319"/>
      <c r="AO1117" s="320">
        <f t="shared" si="759"/>
        <v>0</v>
      </c>
      <c r="AP1117" s="193">
        <v>0</v>
      </c>
      <c r="AQ1117" s="318">
        <v>0</v>
      </c>
      <c r="AR1117" s="318">
        <f t="shared" si="760"/>
        <v>42918.052285714301</v>
      </c>
      <c r="AS1117" s="318">
        <f t="shared" si="761"/>
        <v>45064</v>
      </c>
      <c r="AT1117" s="321">
        <v>0</v>
      </c>
      <c r="AU1117" s="157"/>
      <c r="AV1117" s="136"/>
      <c r="AW1117" s="318">
        <f t="shared" si="743"/>
        <v>10070</v>
      </c>
      <c r="AX1117" s="193"/>
      <c r="AY1117" s="318">
        <f t="shared" si="744"/>
        <v>10070</v>
      </c>
      <c r="AZ1117" s="318">
        <f t="shared" si="745"/>
        <v>10060</v>
      </c>
      <c r="BA1117" s="318">
        <f t="shared" si="746"/>
        <v>10</v>
      </c>
      <c r="BB1117" s="318">
        <f t="shared" si="747"/>
        <v>20.14</v>
      </c>
      <c r="BC1117" s="318">
        <v>0</v>
      </c>
      <c r="BD1117" s="136"/>
      <c r="BE1117" s="138">
        <v>90.4</v>
      </c>
      <c r="BF1117" s="321">
        <f t="shared" si="748"/>
        <v>0.1356</v>
      </c>
      <c r="BG1117" s="197">
        <f t="shared" si="749"/>
        <v>90.264400000000009</v>
      </c>
      <c r="BH1117" s="321">
        <f t="shared" si="750"/>
        <v>100.6</v>
      </c>
      <c r="BI1117" s="322">
        <f t="shared" si="751"/>
        <v>-1019.9999999999989</v>
      </c>
      <c r="BJ1117" s="322">
        <v>0</v>
      </c>
      <c r="BK1117" s="318">
        <f t="shared" si="752"/>
        <v>-1019.9999999999989</v>
      </c>
      <c r="BL1117" s="67"/>
      <c r="BM1117" s="68" t="str">
        <f t="shared" si="753"/>
        <v>Unloading no. 1084 Bill No 2026-27/311 ,Deduction For Oil Deduction= 42918.0522857143 ,Bardana= 0 ,F.M= 0 Brokerage/Rate Difference  ,Shortage = 0 ,Greenish= 0 ,Moisture= 0</v>
      </c>
      <c r="BN1117" s="69"/>
      <c r="BO1117" s="70" t="str">
        <f t="shared" si="754"/>
        <v xml:space="preserve"> Party Condition 42  ,F.M% 0.15 ,Greenish 2.94 ,Moisture 4.6 ,Shortage in KG= 0  ,Oil% 39.72</v>
      </c>
      <c r="BP1117" s="71">
        <f t="shared" si="755"/>
        <v>7432.1833768815677</v>
      </c>
      <c r="BQ1117" s="55"/>
      <c r="BR1117" s="55"/>
      <c r="BS1117" s="41"/>
      <c r="BT1117" s="41"/>
      <c r="BU1117" s="41"/>
      <c r="BV1117" s="41"/>
      <c r="BW1117" s="85"/>
      <c r="BX1117" s="27">
        <v>40.25</v>
      </c>
      <c r="BY1117" s="27">
        <v>40.18</v>
      </c>
    </row>
    <row r="1118" spans="1:83" ht="14.1" hidden="1" customHeight="1" x14ac:dyDescent="0.3">
      <c r="A1118" s="128" t="s">
        <v>2219</v>
      </c>
      <c r="B1118" s="146">
        <v>46203</v>
      </c>
      <c r="C1118" s="138">
        <v>1085</v>
      </c>
      <c r="D1118" s="138" t="s">
        <v>2379</v>
      </c>
      <c r="E1118" s="129">
        <v>46207</v>
      </c>
      <c r="F1118" s="128" t="s">
        <v>1144</v>
      </c>
      <c r="G1118" s="128" t="s">
        <v>1145</v>
      </c>
      <c r="H1118" s="128" t="s">
        <v>100</v>
      </c>
      <c r="I1118" s="136"/>
      <c r="J1118" s="138" t="s">
        <v>1146</v>
      </c>
      <c r="K1118" s="136"/>
      <c r="L1118" s="146">
        <v>46203</v>
      </c>
      <c r="M1118" s="136"/>
      <c r="N1118" s="128" t="s">
        <v>2421</v>
      </c>
      <c r="O1118" s="130">
        <v>46207</v>
      </c>
      <c r="P1118" s="138">
        <v>0</v>
      </c>
      <c r="Q1118" s="138">
        <v>100</v>
      </c>
      <c r="R1118" s="138">
        <v>70</v>
      </c>
      <c r="S1118" s="138">
        <v>170</v>
      </c>
      <c r="T1118" s="138">
        <v>170</v>
      </c>
      <c r="U1118" s="136"/>
      <c r="V1118" s="136"/>
      <c r="W1118" s="148">
        <v>90.4</v>
      </c>
      <c r="X1118" s="148">
        <v>90.2</v>
      </c>
      <c r="Y1118" s="148">
        <v>709730.4</v>
      </c>
      <c r="Z1118" s="236">
        <v>40.31</v>
      </c>
      <c r="AA1118" s="148">
        <v>17743.259999999998</v>
      </c>
      <c r="AB1118" s="148">
        <v>17743.259999999998</v>
      </c>
      <c r="AC1118" s="148">
        <v>745217</v>
      </c>
      <c r="AD1118" s="315">
        <f t="shared" si="727"/>
        <v>744471.78300000005</v>
      </c>
      <c r="AE1118" s="147">
        <v>40.31</v>
      </c>
      <c r="AF1118" s="147">
        <v>42</v>
      </c>
      <c r="AG1118" s="147">
        <v>40.31</v>
      </c>
      <c r="AH1118" s="287">
        <v>1.5E-3</v>
      </c>
      <c r="AI1118" s="287">
        <v>2.9000000000000001E-2</v>
      </c>
      <c r="AJ1118" s="287">
        <v>5.1999999999999998E-2</v>
      </c>
      <c r="AK1118" s="318">
        <f t="shared" si="762"/>
        <v>28558.199428571392</v>
      </c>
      <c r="AL1118" s="193">
        <v>0</v>
      </c>
      <c r="AM1118" s="319">
        <v>0</v>
      </c>
      <c r="AN1118" s="319"/>
      <c r="AO1118" s="320">
        <f t="shared" si="759"/>
        <v>157.02000000000001</v>
      </c>
      <c r="AP1118" s="193">
        <v>0</v>
      </c>
      <c r="AQ1118" s="318">
        <v>0</v>
      </c>
      <c r="AR1118" s="318">
        <f t="shared" si="760"/>
        <v>28715.219428571392</v>
      </c>
      <c r="AS1118" s="318">
        <f t="shared" si="761"/>
        <v>30151</v>
      </c>
      <c r="AT1118" s="321">
        <v>2</v>
      </c>
      <c r="AU1118" s="157"/>
      <c r="AV1118" s="136"/>
      <c r="AW1118" s="318">
        <f t="shared" si="743"/>
        <v>9040</v>
      </c>
      <c r="AX1118" s="193"/>
      <c r="AY1118" s="318">
        <f t="shared" si="744"/>
        <v>9040</v>
      </c>
      <c r="AZ1118" s="318">
        <f t="shared" si="745"/>
        <v>9020</v>
      </c>
      <c r="BA1118" s="318">
        <f t="shared" si="746"/>
        <v>20</v>
      </c>
      <c r="BB1118" s="318">
        <f t="shared" si="747"/>
        <v>18.079999999999998</v>
      </c>
      <c r="BC1118" s="318">
        <v>0</v>
      </c>
      <c r="BD1118" s="136"/>
      <c r="BE1118" s="138">
        <v>100.7</v>
      </c>
      <c r="BF1118" s="321">
        <f t="shared" si="748"/>
        <v>0.15105000000000002</v>
      </c>
      <c r="BG1118" s="197">
        <f t="shared" si="749"/>
        <v>100.54895</v>
      </c>
      <c r="BH1118" s="321">
        <f t="shared" si="750"/>
        <v>90.2</v>
      </c>
      <c r="BI1118" s="322">
        <f t="shared" si="751"/>
        <v>1050</v>
      </c>
      <c r="BJ1118" s="322">
        <v>0</v>
      </c>
      <c r="BK1118" s="318">
        <f t="shared" si="752"/>
        <v>1050</v>
      </c>
      <c r="BL1118" s="67"/>
      <c r="BM1118" s="68" t="str">
        <f t="shared" si="753"/>
        <v>Unloading no. 1085 Bill No 2026-27/313 ,Deduction For Oil Deduction= 28558.1994285714 ,Bardana= 0 ,F.M= 0 Brokerage/Rate Difference  ,Shortage = 157.02 ,Greenish= 0 ,Moisture= 0</v>
      </c>
      <c r="BN1118" s="69"/>
      <c r="BO1118" s="70" t="str">
        <f t="shared" si="754"/>
        <v xml:space="preserve"> Party Condition 42  ,F.M% 0.15 ,Greenish 2.9 ,Moisture 5.2 ,Shortage in KG= 2  ,Oil% 40.31</v>
      </c>
      <c r="BP1118" s="71">
        <f t="shared" si="755"/>
        <v>7550.0574342730442</v>
      </c>
      <c r="BQ1118" s="55"/>
      <c r="BR1118" s="55"/>
      <c r="BS1118" s="41"/>
      <c r="BT1118" s="41"/>
      <c r="BU1118" s="41"/>
      <c r="BV1118" s="41"/>
      <c r="BW1118" s="85"/>
      <c r="BX1118" s="27">
        <v>39.549999999999997</v>
      </c>
      <c r="BY1118" s="27">
        <v>39.51</v>
      </c>
    </row>
    <row r="1119" spans="1:83" ht="14.1" hidden="1" customHeight="1" x14ac:dyDescent="0.3">
      <c r="A1119" s="128" t="s">
        <v>2348</v>
      </c>
      <c r="B1119" s="146">
        <v>46206</v>
      </c>
      <c r="C1119" s="138">
        <v>1086</v>
      </c>
      <c r="D1119" s="138" t="s">
        <v>2380</v>
      </c>
      <c r="E1119" s="129">
        <v>46208</v>
      </c>
      <c r="F1119" s="128" t="s">
        <v>1686</v>
      </c>
      <c r="G1119" s="128" t="s">
        <v>1687</v>
      </c>
      <c r="H1119" s="128" t="s">
        <v>1688</v>
      </c>
      <c r="I1119" s="136"/>
      <c r="J1119" s="347" t="s">
        <v>1455</v>
      </c>
      <c r="K1119" s="136"/>
      <c r="L1119" s="146">
        <v>46206</v>
      </c>
      <c r="M1119" s="136"/>
      <c r="N1119" s="128" t="s">
        <v>2422</v>
      </c>
      <c r="O1119" s="130">
        <v>46206</v>
      </c>
      <c r="P1119" s="138">
        <v>0</v>
      </c>
      <c r="Q1119" s="138">
        <v>210</v>
      </c>
      <c r="R1119" s="138">
        <v>40</v>
      </c>
      <c r="S1119" s="138">
        <v>250</v>
      </c>
      <c r="T1119" s="138">
        <v>250</v>
      </c>
      <c r="U1119" s="136"/>
      <c r="V1119" s="136"/>
      <c r="W1119" s="148">
        <v>150.9</v>
      </c>
      <c r="X1119" s="148">
        <v>150.9</v>
      </c>
      <c r="Y1119" s="148">
        <v>1192110</v>
      </c>
      <c r="Z1119" s="169"/>
      <c r="AA1119" s="148">
        <v>29802.75</v>
      </c>
      <c r="AB1119" s="148">
        <v>29802.75</v>
      </c>
      <c r="AC1119" s="148">
        <v>1251715.5</v>
      </c>
      <c r="AD1119" s="315">
        <f t="shared" si="727"/>
        <v>1250463.7845000001</v>
      </c>
      <c r="AE1119" s="147">
        <v>41.02</v>
      </c>
      <c r="AF1119" s="147">
        <v>42</v>
      </c>
      <c r="AG1119" s="147">
        <v>40.79</v>
      </c>
      <c r="AH1119" s="418">
        <v>1.9E-3</v>
      </c>
      <c r="AI1119" s="287">
        <v>3.15E-2</v>
      </c>
      <c r="AJ1119" s="429">
        <v>5.0799999999999998E-2</v>
      </c>
      <c r="AK1119" s="318">
        <f t="shared" si="762"/>
        <v>34344.121428571452</v>
      </c>
      <c r="AL1119" s="193">
        <f>210*10+40*15</f>
        <v>2700</v>
      </c>
      <c r="AM1119" s="319">
        <f>Y1119*AH1119</f>
        <v>2265.009</v>
      </c>
      <c r="AN1119" s="319"/>
      <c r="AO1119" s="320">
        <f t="shared" si="759"/>
        <v>0</v>
      </c>
      <c r="AP1119" s="193">
        <v>0</v>
      </c>
      <c r="AQ1119" s="430">
        <f>Y1119*0.08/100</f>
        <v>953.68799999999999</v>
      </c>
      <c r="AR1119" s="318">
        <f t="shared" si="760"/>
        <v>40262.818428571452</v>
      </c>
      <c r="AS1119" s="318">
        <f t="shared" si="761"/>
        <v>42276</v>
      </c>
      <c r="AT1119" s="321">
        <v>0</v>
      </c>
      <c r="AU1119" s="206" t="s">
        <v>2208</v>
      </c>
      <c r="AV1119" s="136"/>
      <c r="AW1119" s="318">
        <f t="shared" si="743"/>
        <v>15090</v>
      </c>
      <c r="AX1119" s="193"/>
      <c r="AY1119" s="318">
        <f t="shared" si="744"/>
        <v>15090</v>
      </c>
      <c r="AZ1119" s="318">
        <f t="shared" si="745"/>
        <v>15090</v>
      </c>
      <c r="BA1119" s="318">
        <f t="shared" si="746"/>
        <v>0</v>
      </c>
      <c r="BB1119" s="318">
        <f t="shared" si="747"/>
        <v>30.18</v>
      </c>
      <c r="BC1119" s="318">
        <v>0</v>
      </c>
      <c r="BD1119" s="136"/>
      <c r="BE1119" s="138">
        <v>150.9</v>
      </c>
      <c r="BF1119" s="321">
        <f t="shared" si="748"/>
        <v>0.22635000000000002</v>
      </c>
      <c r="BG1119" s="197">
        <f t="shared" si="749"/>
        <v>150.67365000000001</v>
      </c>
      <c r="BH1119" s="321">
        <f t="shared" si="750"/>
        <v>150.9</v>
      </c>
      <c r="BI1119" s="322">
        <f t="shared" si="751"/>
        <v>0</v>
      </c>
      <c r="BJ1119" s="322">
        <v>0</v>
      </c>
      <c r="BK1119" s="318">
        <f t="shared" si="752"/>
        <v>0</v>
      </c>
      <c r="BL1119" s="67"/>
      <c r="BM1119" s="68" t="str">
        <f t="shared" si="753"/>
        <v>Unloading no. 1086 Bill No KAI/2026-27/138 ,Deduction For Oil Deduction= 34344.1214285715 ,Bardana= 2700 ,F.M= 2265.009 Brokerage/Rate Difference  ,Shortage = 0 ,Greenish= 0 ,Moisture= 953.688</v>
      </c>
      <c r="BN1119" s="69"/>
      <c r="BO1119" s="70" t="str">
        <f t="shared" si="754"/>
        <v xml:space="preserve"> Party Condition 42  ,F.M% 0.19 ,Greenish 3.15 ,Moisture 5.08 ,Shortage in KG= 0  ,Oil% 40.79</v>
      </c>
      <c r="BP1119" s="71">
        <f t="shared" si="755"/>
        <v>7633.1821177695738</v>
      </c>
      <c r="BQ1119" s="55"/>
      <c r="BR1119" s="55"/>
      <c r="BS1119" s="41"/>
      <c r="BT1119" s="41"/>
      <c r="BU1119" s="41"/>
      <c r="BV1119" s="41"/>
      <c r="BW1119" s="85"/>
      <c r="BX1119" s="27">
        <v>41.02</v>
      </c>
      <c r="BY1119" s="27">
        <v>40.79</v>
      </c>
      <c r="CA1119" s="56">
        <v>42275.96</v>
      </c>
      <c r="CC1119" s="87">
        <f t="shared" ref="CC1119" si="763">AS1119-CA1119</f>
        <v>4.0000000000873115E-2</v>
      </c>
      <c r="CE1119" s="87">
        <f t="shared" ref="CE1119" si="764">CC1119/105%</f>
        <v>3.8095238096069635E-2</v>
      </c>
    </row>
    <row r="1120" spans="1:83" ht="14.1" hidden="1" customHeight="1" x14ac:dyDescent="0.3">
      <c r="A1120" s="128" t="s">
        <v>2348</v>
      </c>
      <c r="B1120" s="146">
        <v>46206</v>
      </c>
      <c r="C1120" s="138">
        <v>1087</v>
      </c>
      <c r="D1120" s="138" t="s">
        <v>2381</v>
      </c>
      <c r="E1120" s="129">
        <v>46208</v>
      </c>
      <c r="F1120" s="128" t="s">
        <v>1686</v>
      </c>
      <c r="G1120" s="128" t="s">
        <v>1687</v>
      </c>
      <c r="H1120" s="128" t="s">
        <v>1688</v>
      </c>
      <c r="I1120" s="136"/>
      <c r="J1120" s="347" t="s">
        <v>1455</v>
      </c>
      <c r="K1120" s="136"/>
      <c r="L1120" s="146">
        <v>46206</v>
      </c>
      <c r="M1120" s="136"/>
      <c r="N1120" s="128" t="s">
        <v>2423</v>
      </c>
      <c r="O1120" s="130">
        <v>46206</v>
      </c>
      <c r="P1120" s="138">
        <v>0</v>
      </c>
      <c r="Q1120" s="138">
        <v>150</v>
      </c>
      <c r="R1120" s="138">
        <v>115</v>
      </c>
      <c r="S1120" s="138">
        <v>265</v>
      </c>
      <c r="T1120" s="138">
        <v>265</v>
      </c>
      <c r="U1120" s="136"/>
      <c r="V1120" s="136"/>
      <c r="W1120" s="148">
        <v>161.1</v>
      </c>
      <c r="X1120" s="148">
        <v>160.80000000000001</v>
      </c>
      <c r="Y1120" s="148">
        <v>1272690</v>
      </c>
      <c r="Z1120" s="169"/>
      <c r="AA1120" s="148">
        <v>31817.25</v>
      </c>
      <c r="AB1120" s="148">
        <v>31817.25</v>
      </c>
      <c r="AC1120" s="148">
        <v>1336324.5</v>
      </c>
      <c r="AD1120" s="315">
        <f t="shared" si="727"/>
        <v>1334988.1754999999</v>
      </c>
      <c r="AE1120" s="147">
        <v>39.75</v>
      </c>
      <c r="AF1120" s="147">
        <v>42</v>
      </c>
      <c r="AG1120" s="147">
        <v>39.590000000000003</v>
      </c>
      <c r="AH1120" s="287">
        <v>1.8E-3</v>
      </c>
      <c r="AI1120" s="287">
        <v>3.2000000000000001E-2</v>
      </c>
      <c r="AJ1120" s="429">
        <v>5.3400000000000003E-2</v>
      </c>
      <c r="AK1120" s="318">
        <f>+IF(AF1120=42,IF(MIN(AE1120,AG1120)&lt;AF1120,Y1120*((AF1120-MIN(AE1120,AG1120))/AF1120)),IF(MIN(AE1120,AG1120)&lt;AF1120,Y1120*((AF1120-MIN(AE1120,AG1120))/AF1120),0))-29.05</f>
        <v>72999.114285714182</v>
      </c>
      <c r="AL1120" s="193">
        <f>150*10+115*15</f>
        <v>3225</v>
      </c>
      <c r="AM1120" s="319">
        <f>Y1120*AH1120</f>
        <v>2290.8420000000001</v>
      </c>
      <c r="AN1120" s="319"/>
      <c r="AO1120" s="435">
        <f t="shared" si="759"/>
        <v>2370</v>
      </c>
      <c r="AP1120" s="193">
        <v>0</v>
      </c>
      <c r="AQ1120" s="430">
        <f>Y1120*0.34/100</f>
        <v>4327.1460000000006</v>
      </c>
      <c r="AR1120" s="318">
        <f t="shared" si="760"/>
        <v>85212.10228571418</v>
      </c>
      <c r="AS1120" s="318">
        <f t="shared" si="761"/>
        <v>89473</v>
      </c>
      <c r="AT1120" s="321">
        <v>30</v>
      </c>
      <c r="AU1120" s="157"/>
      <c r="AV1120" s="136"/>
      <c r="AW1120" s="318">
        <f t="shared" si="743"/>
        <v>16110</v>
      </c>
      <c r="AX1120" s="193"/>
      <c r="AY1120" s="318">
        <f t="shared" si="744"/>
        <v>16110</v>
      </c>
      <c r="AZ1120" s="318">
        <f t="shared" si="745"/>
        <v>16080.000000000002</v>
      </c>
      <c r="BA1120" s="318">
        <f t="shared" si="746"/>
        <v>29.999999999998181</v>
      </c>
      <c r="BB1120" s="318">
        <f t="shared" si="747"/>
        <v>32.22</v>
      </c>
      <c r="BC1120" s="318">
        <v>0</v>
      </c>
      <c r="BD1120" s="136"/>
      <c r="BE1120" s="138">
        <v>161.1</v>
      </c>
      <c r="BF1120" s="321">
        <f t="shared" si="748"/>
        <v>0.24165</v>
      </c>
      <c r="BG1120" s="197">
        <f t="shared" si="749"/>
        <v>160.85835</v>
      </c>
      <c r="BH1120" s="321">
        <f t="shared" si="750"/>
        <v>160.80000000000001</v>
      </c>
      <c r="BI1120" s="322">
        <f t="shared" si="751"/>
        <v>29.999999999998295</v>
      </c>
      <c r="BJ1120" s="322">
        <v>0</v>
      </c>
      <c r="BK1120" s="318">
        <f t="shared" si="752"/>
        <v>29.999999999998295</v>
      </c>
      <c r="BL1120" s="67"/>
      <c r="BM1120" s="68" t="str">
        <f t="shared" si="753"/>
        <v>Unloading no. 1087 Bill No KAI/2026-27/137 ,Deduction For Oil Deduction= 72999.1142857142 ,Bardana= 3225 ,F.M= 2290.842 Brokerage/Rate Difference  ,Shortage = 2370 ,Greenish= 0 ,Moisture= 4327.146</v>
      </c>
      <c r="BN1120" s="69"/>
      <c r="BO1120" s="70" t="str">
        <f t="shared" si="754"/>
        <v xml:space="preserve"> Party Condition 42  ,F.M% 0.18 ,Greenish 3.2 ,Moisture 5.34 ,Shortage in KG= 30  ,Oil% 39.59</v>
      </c>
      <c r="BP1120" s="71">
        <f t="shared" si="755"/>
        <v>7384.8127967306327</v>
      </c>
      <c r="BQ1120" s="55"/>
      <c r="BR1120" s="55"/>
      <c r="BS1120" s="41"/>
      <c r="BT1120" s="41"/>
      <c r="BU1120" s="41"/>
      <c r="BV1120" s="41"/>
      <c r="BW1120" s="85"/>
      <c r="BX1120" s="27">
        <v>39.75</v>
      </c>
      <c r="BY1120" s="27">
        <v>39.590000000000003</v>
      </c>
      <c r="CA1120" s="56">
        <v>86984.04</v>
      </c>
      <c r="CC1120" s="57">
        <f t="shared" ref="CC1120" si="765">AS1120-CA1120</f>
        <v>2488.9600000000064</v>
      </c>
      <c r="CE1120" s="57">
        <f t="shared" ref="CE1120" si="766">CC1120/105%</f>
        <v>2370.4380952381011</v>
      </c>
    </row>
    <row r="1121" spans="1:83" ht="14.1" hidden="1" customHeight="1" x14ac:dyDescent="0.3">
      <c r="A1121" s="128" t="s">
        <v>2219</v>
      </c>
      <c r="B1121" s="146">
        <v>46203</v>
      </c>
      <c r="C1121" s="138">
        <v>1088</v>
      </c>
      <c r="D1121" s="138" t="s">
        <v>2382</v>
      </c>
      <c r="E1121" s="129">
        <v>46208</v>
      </c>
      <c r="F1121" s="128" t="s">
        <v>1144</v>
      </c>
      <c r="G1121" s="128" t="s">
        <v>1145</v>
      </c>
      <c r="H1121" s="128" t="s">
        <v>100</v>
      </c>
      <c r="I1121" s="136"/>
      <c r="J1121" s="347" t="s">
        <v>1146</v>
      </c>
      <c r="K1121" s="136"/>
      <c r="L1121" s="146">
        <v>46203</v>
      </c>
      <c r="M1121" s="136"/>
      <c r="N1121" s="128" t="s">
        <v>2424</v>
      </c>
      <c r="O1121" s="130">
        <v>46207</v>
      </c>
      <c r="P1121" s="138">
        <v>0</v>
      </c>
      <c r="Q1121" s="138">
        <v>150</v>
      </c>
      <c r="R1121" s="138">
        <v>28</v>
      </c>
      <c r="S1121" s="138">
        <v>178</v>
      </c>
      <c r="T1121" s="138">
        <v>178</v>
      </c>
      <c r="U1121" s="136"/>
      <c r="V1121" s="136"/>
      <c r="W1121" s="148">
        <v>90.7</v>
      </c>
      <c r="X1121" s="148">
        <v>90.7</v>
      </c>
      <c r="Y1121" s="148">
        <v>712085.7</v>
      </c>
      <c r="Z1121" s="236">
        <v>40.799999999999997</v>
      </c>
      <c r="AA1121" s="148">
        <v>17802.14</v>
      </c>
      <c r="AB1121" s="148">
        <v>17802.14</v>
      </c>
      <c r="AC1121" s="148">
        <v>747689.99</v>
      </c>
      <c r="AD1121" s="315">
        <f t="shared" si="727"/>
        <v>746942.30001000001</v>
      </c>
      <c r="AE1121" s="147">
        <v>40.799999999999997</v>
      </c>
      <c r="AF1121" s="147">
        <v>42</v>
      </c>
      <c r="AG1121" s="147">
        <v>40.799999999999997</v>
      </c>
      <c r="AH1121" s="287">
        <v>1.6000000000000001E-3</v>
      </c>
      <c r="AI1121" s="287">
        <v>2.3300000000000001E-2</v>
      </c>
      <c r="AJ1121" s="434">
        <v>5.7000000000000002E-2</v>
      </c>
      <c r="AK1121" s="318">
        <f t="shared" si="762"/>
        <v>20345.305714285761</v>
      </c>
      <c r="AL1121" s="193">
        <v>0</v>
      </c>
      <c r="AM1121" s="319">
        <v>0</v>
      </c>
      <c r="AN1121" s="319"/>
      <c r="AO1121" s="320">
        <f t="shared" si="759"/>
        <v>0</v>
      </c>
      <c r="AP1121" s="193">
        <v>0</v>
      </c>
      <c r="AQ1121" s="318">
        <v>0</v>
      </c>
      <c r="AR1121" s="318">
        <f t="shared" si="760"/>
        <v>20345.305714285761</v>
      </c>
      <c r="AS1121" s="318">
        <f t="shared" si="761"/>
        <v>21363</v>
      </c>
      <c r="AT1121" s="321">
        <v>0</v>
      </c>
      <c r="AU1121" s="157"/>
      <c r="AV1121" s="136"/>
      <c r="AW1121" s="318">
        <f t="shared" si="743"/>
        <v>9070</v>
      </c>
      <c r="AX1121" s="193"/>
      <c r="AY1121" s="318">
        <f t="shared" si="744"/>
        <v>9070</v>
      </c>
      <c r="AZ1121" s="318">
        <f t="shared" si="745"/>
        <v>9070</v>
      </c>
      <c r="BA1121" s="318">
        <f t="shared" si="746"/>
        <v>0</v>
      </c>
      <c r="BB1121" s="318">
        <f t="shared" si="747"/>
        <v>18.14</v>
      </c>
      <c r="BC1121" s="318">
        <v>0</v>
      </c>
      <c r="BD1121" s="136"/>
      <c r="BE1121" s="138">
        <v>90.7</v>
      </c>
      <c r="BF1121" s="321">
        <f t="shared" si="748"/>
        <v>0.13605</v>
      </c>
      <c r="BG1121" s="197">
        <f t="shared" si="749"/>
        <v>90.563950000000006</v>
      </c>
      <c r="BH1121" s="321">
        <f t="shared" si="750"/>
        <v>90.7</v>
      </c>
      <c r="BI1121" s="322">
        <f t="shared" si="751"/>
        <v>0</v>
      </c>
      <c r="BJ1121" s="322">
        <v>0</v>
      </c>
      <c r="BK1121" s="318">
        <f t="shared" si="752"/>
        <v>0</v>
      </c>
      <c r="BL1121" s="67"/>
      <c r="BM1121" s="68" t="str">
        <f t="shared" si="753"/>
        <v>Unloading no. 1088 Bill No 2026-27/318 ,Deduction For Oil Deduction= 20345.3057142858 ,Bardana= 0 ,F.M= 0 Brokerage/Rate Difference  ,Shortage = 0 ,Greenish= 0 ,Moisture= 0</v>
      </c>
      <c r="BN1121" s="69"/>
      <c r="BO1121" s="70" t="str">
        <f t="shared" si="754"/>
        <v xml:space="preserve"> Party Condition 42  ,F.M% 0.16 ,Greenish 2.33 ,Moisture 5.7 ,Shortage in KG= 0  ,Oil% 40.8</v>
      </c>
      <c r="BP1121" s="71">
        <f t="shared" si="755"/>
        <v>7626.6857142857125</v>
      </c>
      <c r="BQ1121" s="55"/>
      <c r="BR1121" s="55"/>
      <c r="BS1121" s="41"/>
      <c r="BT1121" s="41"/>
      <c r="BU1121" s="41"/>
      <c r="BV1121" s="41"/>
      <c r="BW1121" s="85"/>
      <c r="BX1121" s="27">
        <v>40.700000000000003</v>
      </c>
      <c r="BY1121" s="27">
        <v>40.43</v>
      </c>
    </row>
    <row r="1122" spans="1:83" ht="14.1" hidden="1" customHeight="1" x14ac:dyDescent="0.3">
      <c r="A1122" s="128" t="s">
        <v>2219</v>
      </c>
      <c r="B1122" s="146">
        <v>46203</v>
      </c>
      <c r="C1122" s="138">
        <v>1089</v>
      </c>
      <c r="D1122" s="138" t="s">
        <v>2383</v>
      </c>
      <c r="E1122" s="129">
        <v>46208</v>
      </c>
      <c r="F1122" s="128" t="s">
        <v>1144</v>
      </c>
      <c r="G1122" s="128" t="s">
        <v>1145</v>
      </c>
      <c r="H1122" s="128" t="s">
        <v>100</v>
      </c>
      <c r="I1122" s="136"/>
      <c r="J1122" s="347" t="s">
        <v>1146</v>
      </c>
      <c r="K1122" s="136"/>
      <c r="L1122" s="146">
        <v>46203</v>
      </c>
      <c r="M1122" s="136"/>
      <c r="N1122" s="128" t="s">
        <v>2425</v>
      </c>
      <c r="O1122" s="130">
        <v>46207</v>
      </c>
      <c r="P1122" s="138">
        <v>0</v>
      </c>
      <c r="Q1122" s="138">
        <v>140</v>
      </c>
      <c r="R1122" s="138">
        <v>30</v>
      </c>
      <c r="S1122" s="138">
        <v>170</v>
      </c>
      <c r="T1122" s="138">
        <v>170</v>
      </c>
      <c r="U1122" s="136"/>
      <c r="V1122" s="136"/>
      <c r="W1122" s="148">
        <v>85.9</v>
      </c>
      <c r="X1122" s="148">
        <v>85.8</v>
      </c>
      <c r="Y1122" s="148">
        <v>674400.9</v>
      </c>
      <c r="Z1122" s="236">
        <v>40.82</v>
      </c>
      <c r="AA1122" s="148">
        <v>16860.02</v>
      </c>
      <c r="AB1122" s="148">
        <v>16860.02</v>
      </c>
      <c r="AC1122" s="148">
        <v>708120.95</v>
      </c>
      <c r="AD1122" s="315">
        <f t="shared" si="727"/>
        <v>707412.82904999994</v>
      </c>
      <c r="AE1122" s="147">
        <v>40.82</v>
      </c>
      <c r="AF1122" s="147">
        <v>42</v>
      </c>
      <c r="AG1122" s="147">
        <v>40.82</v>
      </c>
      <c r="AH1122" s="287">
        <v>1.4E-3</v>
      </c>
      <c r="AI1122" s="287">
        <v>2.5000000000000001E-2</v>
      </c>
      <c r="AJ1122" s="287">
        <v>5.1999999999999998E-2</v>
      </c>
      <c r="AK1122" s="318">
        <f t="shared" si="762"/>
        <v>18947.453857142853</v>
      </c>
      <c r="AL1122" s="193">
        <v>0</v>
      </c>
      <c r="AM1122" s="319">
        <v>0</v>
      </c>
      <c r="AN1122" s="319"/>
      <c r="AO1122" s="320">
        <f t="shared" si="759"/>
        <v>0</v>
      </c>
      <c r="AP1122" s="193">
        <v>0</v>
      </c>
      <c r="AQ1122" s="318">
        <v>0</v>
      </c>
      <c r="AR1122" s="318">
        <f t="shared" si="760"/>
        <v>18947.453857142853</v>
      </c>
      <c r="AS1122" s="318">
        <f t="shared" si="761"/>
        <v>19895</v>
      </c>
      <c r="AT1122" s="321">
        <v>0</v>
      </c>
      <c r="AU1122" s="157"/>
      <c r="AV1122" s="136"/>
      <c r="AW1122" s="318">
        <f t="shared" si="743"/>
        <v>8590</v>
      </c>
      <c r="AX1122" s="193"/>
      <c r="AY1122" s="318">
        <f t="shared" si="744"/>
        <v>8590</v>
      </c>
      <c r="AZ1122" s="318">
        <f t="shared" si="745"/>
        <v>8580</v>
      </c>
      <c r="BA1122" s="318">
        <f t="shared" si="746"/>
        <v>10</v>
      </c>
      <c r="BB1122" s="318">
        <f t="shared" si="747"/>
        <v>17.18</v>
      </c>
      <c r="BC1122" s="318">
        <v>0</v>
      </c>
      <c r="BD1122" s="136"/>
      <c r="BE1122" s="138">
        <v>85.9</v>
      </c>
      <c r="BF1122" s="321">
        <f t="shared" si="748"/>
        <v>0.12884999999999999</v>
      </c>
      <c r="BG1122" s="197">
        <f t="shared" si="749"/>
        <v>85.771150000000006</v>
      </c>
      <c r="BH1122" s="321">
        <f t="shared" si="750"/>
        <v>85.8</v>
      </c>
      <c r="BI1122" s="322">
        <f t="shared" si="751"/>
        <v>10.000000000000853</v>
      </c>
      <c r="BJ1122" s="322">
        <v>0</v>
      </c>
      <c r="BK1122" s="318">
        <f t="shared" si="752"/>
        <v>10.000000000000853</v>
      </c>
      <c r="BL1122" s="67"/>
      <c r="BM1122" s="68" t="str">
        <f t="shared" si="753"/>
        <v>Unloading no. 1089 Bill No 2026-27/319 ,Deduction For Oil Deduction= 18947.4538571429 ,Bardana= 0 ,F.M= 0 Brokerage/Rate Difference  ,Shortage = 0 ,Greenish= 0 ,Moisture= 0</v>
      </c>
      <c r="BN1122" s="69"/>
      <c r="BO1122" s="70" t="str">
        <f t="shared" si="754"/>
        <v xml:space="preserve"> Party Condition 42  ,F.M% 0.14 ,Greenish 2.5 ,Moisture 5.2 ,Shortage in KG= 0  ,Oil% 40.82</v>
      </c>
      <c r="BP1122" s="71">
        <f t="shared" si="755"/>
        <v>7639.3175541125547</v>
      </c>
      <c r="BQ1122" s="55"/>
      <c r="BR1122" s="55"/>
      <c r="BS1122" s="41"/>
      <c r="BT1122" s="41"/>
      <c r="BU1122" s="41"/>
      <c r="BV1122" s="41"/>
      <c r="BW1122" s="85"/>
      <c r="BX1122" s="27">
        <v>40.880000000000003</v>
      </c>
      <c r="BY1122" s="27">
        <v>40.5</v>
      </c>
    </row>
    <row r="1123" spans="1:83" ht="14.1" hidden="1" customHeight="1" x14ac:dyDescent="0.3">
      <c r="A1123" s="128" t="s">
        <v>2347</v>
      </c>
      <c r="B1123" s="146">
        <v>46204</v>
      </c>
      <c r="C1123" s="138">
        <v>1090</v>
      </c>
      <c r="D1123" s="138" t="s">
        <v>2384</v>
      </c>
      <c r="E1123" s="129">
        <v>46208</v>
      </c>
      <c r="F1123" s="128" t="s">
        <v>1144</v>
      </c>
      <c r="G1123" s="128" t="s">
        <v>1145</v>
      </c>
      <c r="H1123" s="128" t="s">
        <v>100</v>
      </c>
      <c r="I1123" s="136"/>
      <c r="J1123" s="347" t="s">
        <v>1146</v>
      </c>
      <c r="K1123" s="136"/>
      <c r="L1123" s="146">
        <v>46204</v>
      </c>
      <c r="M1123" s="136"/>
      <c r="N1123" s="128" t="s">
        <v>2426</v>
      </c>
      <c r="O1123" s="130">
        <v>46207</v>
      </c>
      <c r="P1123" s="138">
        <v>0</v>
      </c>
      <c r="Q1123" s="138">
        <v>610</v>
      </c>
      <c r="R1123" s="138">
        <v>100</v>
      </c>
      <c r="S1123" s="138">
        <v>710</v>
      </c>
      <c r="T1123" s="138">
        <v>710</v>
      </c>
      <c r="U1123" s="136"/>
      <c r="V1123" s="136"/>
      <c r="W1123" s="148">
        <v>355.3</v>
      </c>
      <c r="X1123" s="148">
        <v>354.7</v>
      </c>
      <c r="Y1123" s="148">
        <v>2780222.5</v>
      </c>
      <c r="Z1123" s="276">
        <v>41.03</v>
      </c>
      <c r="AA1123" s="148">
        <v>69505.56</v>
      </c>
      <c r="AB1123" s="148">
        <v>69505.56</v>
      </c>
      <c r="AC1123" s="148">
        <v>2919233.63</v>
      </c>
      <c r="AD1123" s="315">
        <f t="shared" si="727"/>
        <v>2916314.3963699997</v>
      </c>
      <c r="AE1123" s="147">
        <v>41.03</v>
      </c>
      <c r="AF1123" s="147">
        <v>42</v>
      </c>
      <c r="AG1123" s="147">
        <v>41.03</v>
      </c>
      <c r="AH1123" s="287">
        <v>3.0000000000000001E-3</v>
      </c>
      <c r="AI1123" s="287">
        <v>4.2000000000000003E-2</v>
      </c>
      <c r="AJ1123" s="287">
        <v>4.5999999999999999E-2</v>
      </c>
      <c r="AK1123" s="318">
        <f t="shared" si="762"/>
        <v>64209.900595238018</v>
      </c>
      <c r="AL1123" s="193">
        <v>0</v>
      </c>
      <c r="AM1123" s="319">
        <v>0</v>
      </c>
      <c r="AN1123" s="319"/>
      <c r="AO1123" s="320">
        <f t="shared" si="759"/>
        <v>0</v>
      </c>
      <c r="AP1123" s="193">
        <v>0</v>
      </c>
      <c r="AQ1123" s="318">
        <v>0</v>
      </c>
      <c r="AR1123" s="318">
        <f t="shared" si="760"/>
        <v>64209.900595238018</v>
      </c>
      <c r="AS1123" s="318">
        <f t="shared" si="761"/>
        <v>67420</v>
      </c>
      <c r="AT1123" s="321">
        <v>0</v>
      </c>
      <c r="AU1123" s="157"/>
      <c r="AV1123" s="136"/>
      <c r="AW1123" s="318">
        <f t="shared" si="743"/>
        <v>35530</v>
      </c>
      <c r="AX1123" s="193"/>
      <c r="AY1123" s="318">
        <f t="shared" si="744"/>
        <v>35530</v>
      </c>
      <c r="AZ1123" s="318">
        <f t="shared" si="745"/>
        <v>35470</v>
      </c>
      <c r="BA1123" s="318">
        <f t="shared" si="746"/>
        <v>60</v>
      </c>
      <c r="BB1123" s="318">
        <f t="shared" si="747"/>
        <v>71.06</v>
      </c>
      <c r="BC1123" s="318">
        <v>0</v>
      </c>
      <c r="BD1123" s="136"/>
      <c r="BE1123" s="138">
        <v>355.3</v>
      </c>
      <c r="BF1123" s="321">
        <f t="shared" si="748"/>
        <v>0.53295000000000003</v>
      </c>
      <c r="BG1123" s="197">
        <f t="shared" si="749"/>
        <v>354.76704999999998</v>
      </c>
      <c r="BH1123" s="321">
        <f t="shared" si="750"/>
        <v>354.7</v>
      </c>
      <c r="BI1123" s="322">
        <f t="shared" si="751"/>
        <v>60.000000000002274</v>
      </c>
      <c r="BJ1123" s="322">
        <v>0</v>
      </c>
      <c r="BK1123" s="318">
        <f t="shared" si="752"/>
        <v>60.000000000002274</v>
      </c>
      <c r="BL1123" s="67"/>
      <c r="BM1123" s="68" t="str">
        <f t="shared" si="753"/>
        <v>Unloading no. 1090 Bill No 2026-27/296 ,Deduction For Oil Deduction= 64209.900595238 ,Bardana= 0 ,F.M= 0 Brokerage/Rate Difference  ,Shortage = 0 ,Greenish= 0 ,Moisture= 0</v>
      </c>
      <c r="BN1123" s="69"/>
      <c r="BO1123" s="70" t="str">
        <f t="shared" si="754"/>
        <v xml:space="preserve"> Party Condition 42  ,F.M% 0.3 ,Greenish 4.2 ,Moisture 4.6 ,Shortage in KG= 0  ,Oil% 41.03</v>
      </c>
      <c r="BP1123" s="71">
        <f t="shared" si="755"/>
        <v>7657.210598829327</v>
      </c>
      <c r="BQ1123" s="55"/>
      <c r="BR1123" s="55"/>
      <c r="BS1123" s="41"/>
      <c r="BT1123" s="41"/>
      <c r="BU1123" s="41"/>
      <c r="BV1123" s="41"/>
      <c r="BW1123" s="85"/>
      <c r="BX1123" s="27">
        <v>41.07</v>
      </c>
      <c r="BY1123" s="27">
        <v>40.97</v>
      </c>
    </row>
    <row r="1124" spans="1:83" ht="14.1" hidden="1" customHeight="1" x14ac:dyDescent="0.3">
      <c r="A1124" s="128" t="s">
        <v>2347</v>
      </c>
      <c r="B1124" s="146">
        <v>46204</v>
      </c>
      <c r="C1124" s="138">
        <v>1091</v>
      </c>
      <c r="D1124" s="138" t="s">
        <v>2385</v>
      </c>
      <c r="E1124" s="129">
        <v>46208</v>
      </c>
      <c r="F1124" s="128" t="s">
        <v>1144</v>
      </c>
      <c r="G1124" s="128" t="s">
        <v>1145</v>
      </c>
      <c r="H1124" s="128" t="s">
        <v>100</v>
      </c>
      <c r="I1124" s="136"/>
      <c r="J1124" s="347" t="s">
        <v>1146</v>
      </c>
      <c r="K1124" s="136"/>
      <c r="L1124" s="146">
        <v>46204</v>
      </c>
      <c r="M1124" s="136"/>
      <c r="N1124" s="128" t="s">
        <v>2427</v>
      </c>
      <c r="O1124" s="130">
        <v>46207</v>
      </c>
      <c r="P1124" s="138">
        <v>0</v>
      </c>
      <c r="Q1124" s="138">
        <v>650</v>
      </c>
      <c r="R1124" s="138">
        <v>162</v>
      </c>
      <c r="S1124" s="138">
        <v>812</v>
      </c>
      <c r="T1124" s="138">
        <v>812</v>
      </c>
      <c r="U1124" s="136"/>
      <c r="V1124" s="136"/>
      <c r="W1124" s="148">
        <v>407.7</v>
      </c>
      <c r="X1124" s="148">
        <v>407.4</v>
      </c>
      <c r="Y1124" s="148">
        <v>3190252.5</v>
      </c>
      <c r="Z1124" s="276">
        <v>40.96</v>
      </c>
      <c r="AA1124" s="148">
        <v>79756.31</v>
      </c>
      <c r="AB1124" s="148">
        <v>79756.31</v>
      </c>
      <c r="AC1124" s="148">
        <v>3349765.13</v>
      </c>
      <c r="AD1124" s="315">
        <f t="shared" si="727"/>
        <v>3346415.3648699997</v>
      </c>
      <c r="AE1124" s="147">
        <v>40.96</v>
      </c>
      <c r="AF1124" s="147">
        <v>42</v>
      </c>
      <c r="AG1124" s="147">
        <v>40.96</v>
      </c>
      <c r="AH1124" s="287">
        <v>4.0000000000000001E-3</v>
      </c>
      <c r="AI1124" s="287">
        <v>0.06</v>
      </c>
      <c r="AJ1124" s="287">
        <v>4.3999999999999997E-2</v>
      </c>
      <c r="AK1124" s="318">
        <f t="shared" si="762"/>
        <v>78996.72857142851</v>
      </c>
      <c r="AL1124" s="193">
        <v>0</v>
      </c>
      <c r="AM1124" s="319">
        <v>0</v>
      </c>
      <c r="AN1124" s="319"/>
      <c r="AO1124" s="320">
        <f t="shared" si="759"/>
        <v>0</v>
      </c>
      <c r="AP1124" s="193">
        <v>0</v>
      </c>
      <c r="AQ1124" s="318">
        <v>0</v>
      </c>
      <c r="AR1124" s="318">
        <f t="shared" si="760"/>
        <v>78996.72857142851</v>
      </c>
      <c r="AS1124" s="318">
        <f t="shared" si="761"/>
        <v>82947</v>
      </c>
      <c r="AT1124" s="321">
        <v>0</v>
      </c>
      <c r="AU1124" s="157"/>
      <c r="AV1124" s="136"/>
      <c r="AW1124" s="318">
        <f t="shared" si="743"/>
        <v>40770</v>
      </c>
      <c r="AX1124" s="193"/>
      <c r="AY1124" s="318">
        <f t="shared" si="744"/>
        <v>40770</v>
      </c>
      <c r="AZ1124" s="318">
        <f t="shared" si="745"/>
        <v>40740</v>
      </c>
      <c r="BA1124" s="318">
        <f t="shared" si="746"/>
        <v>30</v>
      </c>
      <c r="BB1124" s="318">
        <f t="shared" si="747"/>
        <v>81.540000000000006</v>
      </c>
      <c r="BC1124" s="318">
        <v>0</v>
      </c>
      <c r="BD1124" s="136"/>
      <c r="BE1124" s="138">
        <v>407.7</v>
      </c>
      <c r="BF1124" s="321">
        <f t="shared" si="748"/>
        <v>0.61154999999999993</v>
      </c>
      <c r="BG1124" s="197">
        <f t="shared" si="749"/>
        <v>407.08844999999997</v>
      </c>
      <c r="BH1124" s="321">
        <f t="shared" si="750"/>
        <v>407.4</v>
      </c>
      <c r="BI1124" s="322">
        <f t="shared" si="751"/>
        <v>30.000000000001137</v>
      </c>
      <c r="BJ1124" s="322">
        <v>0</v>
      </c>
      <c r="BK1124" s="318">
        <f t="shared" si="752"/>
        <v>30.000000000001137</v>
      </c>
      <c r="BL1124" s="67"/>
      <c r="BM1124" s="68" t="str">
        <f t="shared" si="753"/>
        <v>Unloading no. 1091 Bill No 2026-27/295 ,Deduction For Oil Deduction= 78996.7285714285 ,Bardana= 0 ,F.M= 0 Brokerage/Rate Difference  ,Shortage = 0 ,Greenish= 0 ,Moisture= 0</v>
      </c>
      <c r="BN1124" s="69"/>
      <c r="BO1124" s="70" t="str">
        <f t="shared" si="754"/>
        <v xml:space="preserve"> Party Condition 42  ,F.M% 0.4 ,Greenish 6 ,Moisture 4.4 ,Shortage in KG= 0  ,Oil% 40.96</v>
      </c>
      <c r="BP1124" s="71">
        <f t="shared" si="755"/>
        <v>7636.8575636440146</v>
      </c>
      <c r="BQ1124" s="55"/>
      <c r="BR1124" s="55"/>
      <c r="BS1124" s="41"/>
      <c r="BT1124" s="41"/>
      <c r="BU1124" s="41"/>
      <c r="BV1124" s="41"/>
      <c r="BW1124" s="85"/>
      <c r="BX1124" s="27">
        <v>41.12</v>
      </c>
      <c r="BY1124" s="27">
        <v>40.92</v>
      </c>
    </row>
    <row r="1125" spans="1:83" ht="14.1" hidden="1" customHeight="1" x14ac:dyDescent="0.3">
      <c r="A1125" s="128" t="s">
        <v>2347</v>
      </c>
      <c r="B1125" s="146">
        <v>46204</v>
      </c>
      <c r="C1125" s="138">
        <v>1092</v>
      </c>
      <c r="D1125" s="138" t="s">
        <v>2386</v>
      </c>
      <c r="E1125" s="129">
        <v>46208</v>
      </c>
      <c r="F1125" s="128" t="s">
        <v>1144</v>
      </c>
      <c r="G1125" s="128" t="s">
        <v>1145</v>
      </c>
      <c r="H1125" s="128" t="s">
        <v>100</v>
      </c>
      <c r="I1125" s="136"/>
      <c r="J1125" s="347" t="s">
        <v>1146</v>
      </c>
      <c r="K1125" s="136"/>
      <c r="L1125" s="146">
        <v>46204</v>
      </c>
      <c r="M1125" s="136"/>
      <c r="N1125" s="128" t="s">
        <v>2428</v>
      </c>
      <c r="O1125" s="130">
        <v>46207</v>
      </c>
      <c r="P1125" s="138">
        <v>0</v>
      </c>
      <c r="Q1125" s="138">
        <v>576</v>
      </c>
      <c r="R1125" s="138">
        <v>17</v>
      </c>
      <c r="S1125" s="138">
        <v>593</v>
      </c>
      <c r="T1125" s="138">
        <v>593</v>
      </c>
      <c r="U1125" s="136"/>
      <c r="V1125" s="136"/>
      <c r="W1125" s="148">
        <v>298</v>
      </c>
      <c r="X1125" s="148">
        <v>297.8</v>
      </c>
      <c r="Y1125" s="148">
        <v>2331850</v>
      </c>
      <c r="Z1125" s="276">
        <v>40.81</v>
      </c>
      <c r="AA1125" s="148">
        <v>58296.25</v>
      </c>
      <c r="AB1125" s="148">
        <v>58296.25</v>
      </c>
      <c r="AC1125" s="148">
        <v>2448442.5</v>
      </c>
      <c r="AD1125" s="315">
        <f t="shared" si="727"/>
        <v>2445994.0575000001</v>
      </c>
      <c r="AE1125" s="147">
        <v>40.81</v>
      </c>
      <c r="AF1125" s="147">
        <v>42</v>
      </c>
      <c r="AG1125" s="147">
        <v>40.81</v>
      </c>
      <c r="AH1125" s="287">
        <v>4.0000000000000001E-3</v>
      </c>
      <c r="AI1125" s="287">
        <v>4.5999999999999999E-2</v>
      </c>
      <c r="AJ1125" s="287">
        <v>4.5999999999999999E-2</v>
      </c>
      <c r="AK1125" s="318">
        <f t="shared" si="762"/>
        <v>66069.083333333212</v>
      </c>
      <c r="AL1125" s="193">
        <v>0</v>
      </c>
      <c r="AM1125" s="319">
        <v>0</v>
      </c>
      <c r="AN1125" s="319"/>
      <c r="AO1125" s="320">
        <f t="shared" si="759"/>
        <v>0</v>
      </c>
      <c r="AP1125" s="193">
        <v>0</v>
      </c>
      <c r="AQ1125" s="318">
        <v>0</v>
      </c>
      <c r="AR1125" s="318">
        <f t="shared" si="760"/>
        <v>66069.083333333212</v>
      </c>
      <c r="AS1125" s="318">
        <f t="shared" si="761"/>
        <v>69373</v>
      </c>
      <c r="AT1125" s="321">
        <v>0</v>
      </c>
      <c r="AU1125" s="157"/>
      <c r="AV1125" s="136"/>
      <c r="AW1125" s="318">
        <f t="shared" si="743"/>
        <v>29800</v>
      </c>
      <c r="AX1125" s="193"/>
      <c r="AY1125" s="318">
        <f t="shared" si="744"/>
        <v>29800</v>
      </c>
      <c r="AZ1125" s="318">
        <f t="shared" si="745"/>
        <v>29780</v>
      </c>
      <c r="BA1125" s="318">
        <f t="shared" si="746"/>
        <v>20</v>
      </c>
      <c r="BB1125" s="318">
        <f t="shared" si="747"/>
        <v>59.6</v>
      </c>
      <c r="BC1125" s="318">
        <v>0</v>
      </c>
      <c r="BD1125" s="136"/>
      <c r="BE1125" s="138">
        <v>298</v>
      </c>
      <c r="BF1125" s="321">
        <f t="shared" si="748"/>
        <v>0.44699999999999995</v>
      </c>
      <c r="BG1125" s="197">
        <f t="shared" si="749"/>
        <v>297.553</v>
      </c>
      <c r="BH1125" s="321">
        <f t="shared" si="750"/>
        <v>297.8</v>
      </c>
      <c r="BI1125" s="322">
        <f t="shared" si="751"/>
        <v>19.999999999998863</v>
      </c>
      <c r="BJ1125" s="322">
        <v>0</v>
      </c>
      <c r="BK1125" s="318">
        <f t="shared" si="752"/>
        <v>19.999999999998863</v>
      </c>
      <c r="BL1125" s="67"/>
      <c r="BM1125" s="68" t="str">
        <f t="shared" si="753"/>
        <v>Unloading no. 1092 Bill No 2026-27/297 ,Deduction For Oil Deduction= 66069.0833333332 ,Bardana= 0 ,F.M= 0 Brokerage/Rate Difference  ,Shortage = 0 ,Greenish= 0 ,Moisture= 0</v>
      </c>
      <c r="BN1125" s="69"/>
      <c r="BO1125" s="70" t="str">
        <f t="shared" si="754"/>
        <v xml:space="preserve"> Party Condition 42  ,F.M% 0.4 ,Greenish 4.6 ,Moisture 4.6 ,Shortage in KG= 0  ,Oil% 40.81</v>
      </c>
      <c r="BP1125" s="71">
        <f t="shared" si="755"/>
        <v>7608.3979740317891</v>
      </c>
      <c r="BQ1125" s="55"/>
      <c r="BR1125" s="55"/>
      <c r="BS1125" s="41"/>
      <c r="BT1125" s="41"/>
      <c r="BU1125" s="41"/>
      <c r="BV1125" s="41"/>
      <c r="BW1125" s="85"/>
      <c r="BX1125" s="27">
        <v>40.78</v>
      </c>
      <c r="BY1125" s="27">
        <v>40.630000000000003</v>
      </c>
    </row>
    <row r="1126" spans="1:83" ht="14.1" hidden="1" customHeight="1" x14ac:dyDescent="0.3">
      <c r="A1126" s="128" t="s">
        <v>2349</v>
      </c>
      <c r="B1126" s="146">
        <v>46205</v>
      </c>
      <c r="C1126" s="138">
        <v>1093</v>
      </c>
      <c r="D1126" s="138" t="s">
        <v>2387</v>
      </c>
      <c r="E1126" s="129">
        <v>46208</v>
      </c>
      <c r="F1126" s="128" t="s">
        <v>2397</v>
      </c>
      <c r="G1126" s="128" t="s">
        <v>2398</v>
      </c>
      <c r="H1126" s="128" t="s">
        <v>2399</v>
      </c>
      <c r="I1126" s="136"/>
      <c r="J1126" s="347" t="s">
        <v>1455</v>
      </c>
      <c r="K1126" s="136"/>
      <c r="L1126" s="146">
        <v>46205</v>
      </c>
      <c r="M1126" s="136"/>
      <c r="N1126" s="128" t="s">
        <v>2429</v>
      </c>
      <c r="O1126" s="130">
        <v>46206</v>
      </c>
      <c r="P1126" s="138">
        <v>0</v>
      </c>
      <c r="Q1126" s="138">
        <v>90</v>
      </c>
      <c r="R1126" s="138">
        <v>410</v>
      </c>
      <c r="S1126" s="138">
        <v>500</v>
      </c>
      <c r="T1126" s="138">
        <v>500</v>
      </c>
      <c r="U1126" s="136"/>
      <c r="V1126" s="136"/>
      <c r="W1126" s="148">
        <v>303.25</v>
      </c>
      <c r="X1126" s="148">
        <v>303.60000000000002</v>
      </c>
      <c r="Y1126" s="148">
        <v>2395675</v>
      </c>
      <c r="Z1126" s="138"/>
      <c r="AA1126" s="148">
        <v>59891.88</v>
      </c>
      <c r="AB1126" s="148">
        <v>59891.88</v>
      </c>
      <c r="AC1126" s="148">
        <v>2515458.75</v>
      </c>
      <c r="AD1126" s="315">
        <f t="shared" si="727"/>
        <v>2512943.2912499998</v>
      </c>
      <c r="AE1126" s="147">
        <v>40.159999999999997</v>
      </c>
      <c r="AF1126" s="147">
        <v>42</v>
      </c>
      <c r="AG1126" s="147">
        <v>40.11</v>
      </c>
      <c r="AH1126" s="418">
        <v>2.5000000000000001E-3</v>
      </c>
      <c r="AI1126" s="287">
        <v>4.9500000000000002E-2</v>
      </c>
      <c r="AJ1126" s="287">
        <v>4.4999999999999998E-2</v>
      </c>
      <c r="AK1126" s="318">
        <f>+IF(AF1126=42,IF(MIN(AE1126,AG1126)&lt;AF1126,Y1126*((AF1126-MIN(AE1126,AG1126))/AF1126)),IF(MIN(AE1126,AG1126)&lt;AF1126,Y1126*((AF1126-MIN(AE1126,AG1126))/AF1126),0))-42.75</f>
        <v>107762.62500000003</v>
      </c>
      <c r="AL1126" s="193">
        <f>90*10+410*15</f>
        <v>7050</v>
      </c>
      <c r="AM1126" s="319">
        <f>Y1126*AH1126</f>
        <v>5989.1875</v>
      </c>
      <c r="AN1126" s="319"/>
      <c r="AO1126" s="320">
        <f t="shared" si="759"/>
        <v>0</v>
      </c>
      <c r="AP1126" s="193">
        <v>0</v>
      </c>
      <c r="AQ1126" s="318">
        <v>0</v>
      </c>
      <c r="AR1126" s="318">
        <f t="shared" si="760"/>
        <v>120801.81250000003</v>
      </c>
      <c r="AS1126" s="318">
        <f t="shared" si="761"/>
        <v>126842</v>
      </c>
      <c r="AT1126" s="321">
        <v>0</v>
      </c>
      <c r="AU1126" s="206" t="s">
        <v>2208</v>
      </c>
      <c r="AV1126" s="136"/>
      <c r="AW1126" s="318">
        <f t="shared" si="743"/>
        <v>30325</v>
      </c>
      <c r="AX1126" s="193"/>
      <c r="AY1126" s="318">
        <f t="shared" si="744"/>
        <v>30325</v>
      </c>
      <c r="AZ1126" s="318">
        <f t="shared" si="745"/>
        <v>30360.000000000004</v>
      </c>
      <c r="BA1126" s="318">
        <f t="shared" si="746"/>
        <v>-35.000000000003638</v>
      </c>
      <c r="BB1126" s="318">
        <f t="shared" si="747"/>
        <v>60.65</v>
      </c>
      <c r="BC1126" s="318">
        <v>0</v>
      </c>
      <c r="BD1126" s="136"/>
      <c r="BE1126" s="138">
        <v>303.25</v>
      </c>
      <c r="BF1126" s="321">
        <f t="shared" si="748"/>
        <v>0.45487499999999997</v>
      </c>
      <c r="BG1126" s="197">
        <f t="shared" si="749"/>
        <v>302.79512499999998</v>
      </c>
      <c r="BH1126" s="321">
        <f t="shared" si="750"/>
        <v>303.60000000000002</v>
      </c>
      <c r="BI1126" s="322">
        <f t="shared" si="751"/>
        <v>-35.000000000002274</v>
      </c>
      <c r="BJ1126" s="322">
        <v>0</v>
      </c>
      <c r="BK1126" s="318">
        <f t="shared" si="752"/>
        <v>-35.000000000002274</v>
      </c>
      <c r="BL1126" s="67"/>
      <c r="BM1126" s="68" t="str">
        <f t="shared" si="753"/>
        <v>Unloading no. 1093 Bill No 2026-27/0268 ,Deduction For Oil Deduction= 107762.625 ,Bardana= 7050 ,F.M= 5989.1875 Brokerage/Rate Difference  ,Shortage = 0 ,Greenish= 0 ,Moisture= 0</v>
      </c>
      <c r="BN1126" s="69"/>
      <c r="BO1126" s="70" t="str">
        <f t="shared" si="754"/>
        <v xml:space="preserve"> Party Condition 42  ,F.M% 0.25 ,Greenish 4.95 ,Moisture 4.5 ,Shortage in KG= 0  ,Oil% 40.11</v>
      </c>
      <c r="BP1126" s="71">
        <f t="shared" si="755"/>
        <v>7492.9946887351771</v>
      </c>
      <c r="BQ1126" s="55"/>
      <c r="BR1126" s="55"/>
      <c r="BS1126" s="41"/>
      <c r="BT1126" s="41"/>
      <c r="BU1126" s="41"/>
      <c r="BV1126" s="41"/>
      <c r="BW1126" s="85"/>
      <c r="BX1126" s="27">
        <v>40.159999999999997</v>
      </c>
      <c r="BY1126" s="27">
        <v>40.11</v>
      </c>
      <c r="CA1126" s="56">
        <v>126841.52</v>
      </c>
      <c r="CC1126" s="87">
        <f t="shared" ref="CC1126:CC1128" si="767">AS1126-CA1126</f>
        <v>0.47999999999592546</v>
      </c>
      <c r="CE1126" s="87">
        <f t="shared" ref="CE1126:CE1128" si="768">CC1126/105%</f>
        <v>0.45714285713897662</v>
      </c>
    </row>
    <row r="1127" spans="1:83" ht="14.1" hidden="1" customHeight="1" x14ac:dyDescent="0.3">
      <c r="A1127" s="128" t="s">
        <v>2350</v>
      </c>
      <c r="B1127" s="146">
        <v>46206</v>
      </c>
      <c r="C1127" s="138">
        <v>1094</v>
      </c>
      <c r="D1127" s="138" t="s">
        <v>2388</v>
      </c>
      <c r="E1127" s="129">
        <v>46208</v>
      </c>
      <c r="F1127" s="128" t="s">
        <v>1382</v>
      </c>
      <c r="G1127" s="128" t="s">
        <v>1383</v>
      </c>
      <c r="H1127" s="128" t="s">
        <v>1384</v>
      </c>
      <c r="I1127" s="136"/>
      <c r="J1127" s="347" t="s">
        <v>1455</v>
      </c>
      <c r="K1127" s="136"/>
      <c r="L1127" s="146">
        <v>46206</v>
      </c>
      <c r="M1127" s="136"/>
      <c r="N1127" s="128">
        <v>25</v>
      </c>
      <c r="O1127" s="130">
        <v>46206</v>
      </c>
      <c r="P1127" s="138">
        <v>0</v>
      </c>
      <c r="Q1127" s="138">
        <v>0</v>
      </c>
      <c r="R1127" s="138">
        <v>506</v>
      </c>
      <c r="S1127" s="138">
        <v>506</v>
      </c>
      <c r="T1127" s="138">
        <v>506</v>
      </c>
      <c r="U1127" s="136"/>
      <c r="V1127" s="136"/>
      <c r="W1127" s="148">
        <v>303.85000000000002</v>
      </c>
      <c r="X1127" s="148">
        <v>303.2</v>
      </c>
      <c r="Y1127" s="148">
        <v>2400415</v>
      </c>
      <c r="Z1127" s="138"/>
      <c r="AA1127" s="148">
        <v>60010.38</v>
      </c>
      <c r="AB1127" s="148">
        <v>60010.38</v>
      </c>
      <c r="AC1127" s="148">
        <v>2520435.75</v>
      </c>
      <c r="AD1127" s="315">
        <f t="shared" si="727"/>
        <v>2517915.3142499998</v>
      </c>
      <c r="AE1127" s="147">
        <v>39.659999999999997</v>
      </c>
      <c r="AF1127" s="147">
        <v>42</v>
      </c>
      <c r="AG1127" s="147">
        <v>39.54</v>
      </c>
      <c r="AH1127" s="418">
        <v>2.3999999999999998E-3</v>
      </c>
      <c r="AI1127" s="287">
        <v>3.3599999999999998E-2</v>
      </c>
      <c r="AJ1127" s="287">
        <v>4.3999999999999997E-2</v>
      </c>
      <c r="AK1127" s="318">
        <f>+IF(AF1127=42,IF(MIN(AE1127,AG1127)&lt;AF1127,Y1127*((AF1127-MIN(AE1127,AG1127))/AF1127)),IF(MIN(AE1127,AG1127)&lt;AF1127,Y1127*((AF1127-MIN(AE1127,AG1127))/AF1127),0))-56.5</f>
        <v>140539.23571428578</v>
      </c>
      <c r="AL1127" s="193">
        <f>506*15</f>
        <v>7590</v>
      </c>
      <c r="AM1127" s="319">
        <f>Y1127*AH1127</f>
        <v>5760.9959999999992</v>
      </c>
      <c r="AN1127" s="319"/>
      <c r="AO1127" s="435">
        <f t="shared" si="759"/>
        <v>5134.9999999999991</v>
      </c>
      <c r="AP1127" s="193">
        <v>0</v>
      </c>
      <c r="AQ1127" s="318">
        <v>0</v>
      </c>
      <c r="AR1127" s="318">
        <f t="shared" si="760"/>
        <v>159025.23171428579</v>
      </c>
      <c r="AS1127" s="318">
        <f t="shared" si="761"/>
        <v>166976</v>
      </c>
      <c r="AT1127" s="321">
        <v>65</v>
      </c>
      <c r="AU1127" s="206" t="s">
        <v>2436</v>
      </c>
      <c r="AV1127" s="136"/>
      <c r="AW1127" s="318">
        <f t="shared" si="743"/>
        <v>30385.000000000004</v>
      </c>
      <c r="AX1127" s="193"/>
      <c r="AY1127" s="318">
        <f t="shared" si="744"/>
        <v>30385.000000000004</v>
      </c>
      <c r="AZ1127" s="318">
        <f t="shared" si="745"/>
        <v>30320</v>
      </c>
      <c r="BA1127" s="318">
        <f t="shared" si="746"/>
        <v>65.000000000003638</v>
      </c>
      <c r="BB1127" s="318">
        <f t="shared" si="747"/>
        <v>60.77000000000001</v>
      </c>
      <c r="BC1127" s="318">
        <v>0</v>
      </c>
      <c r="BD1127" s="136"/>
      <c r="BE1127" s="138">
        <v>303.85000000000002</v>
      </c>
      <c r="BF1127" s="321">
        <f t="shared" si="748"/>
        <v>0.45577499999999999</v>
      </c>
      <c r="BG1127" s="197">
        <f t="shared" si="749"/>
        <v>303.39422500000001</v>
      </c>
      <c r="BH1127" s="321">
        <f t="shared" si="750"/>
        <v>303.2</v>
      </c>
      <c r="BI1127" s="322">
        <f t="shared" si="751"/>
        <v>65.000000000003411</v>
      </c>
      <c r="BJ1127" s="322">
        <v>0</v>
      </c>
      <c r="BK1127" s="318">
        <f t="shared" si="752"/>
        <v>65.000000000003411</v>
      </c>
      <c r="BL1127" s="67"/>
      <c r="BM1127" s="68" t="str">
        <f t="shared" si="753"/>
        <v>Unloading no. 1094 Bill No 25 ,Deduction For Oil Deduction= 140539.235714286 ,Bardana= 7590 ,F.M= 5760.996 Brokerage/Rate Difference  ,Shortage = 5135 ,Greenish= 0 ,Moisture= 0</v>
      </c>
      <c r="BN1127" s="69"/>
      <c r="BO1127" s="70" t="str">
        <f t="shared" si="754"/>
        <v xml:space="preserve"> Party Condition 42  ,F.M% 0.24 ,Greenish 3.36 ,Moisture 4.4 ,Shortage in KG= 65  ,Oil% 39.54</v>
      </c>
      <c r="BP1127" s="71">
        <f t="shared" si="755"/>
        <v>7392.4464653222767</v>
      </c>
      <c r="BQ1127" s="55"/>
      <c r="BR1127" s="55"/>
      <c r="BS1127" s="41"/>
      <c r="BT1127" s="41"/>
      <c r="BU1127" s="41"/>
      <c r="BV1127" s="41"/>
      <c r="BW1127" s="85"/>
      <c r="BX1127" s="27">
        <v>39.659999999999997</v>
      </c>
      <c r="BY1127" s="27">
        <v>39.54</v>
      </c>
      <c r="CA1127" s="56">
        <v>161585.04</v>
      </c>
      <c r="CC1127" s="57">
        <f t="shared" si="767"/>
        <v>5390.9599999999919</v>
      </c>
      <c r="CE1127" s="57">
        <f t="shared" si="768"/>
        <v>5134.2476190476109</v>
      </c>
    </row>
    <row r="1128" spans="1:83" ht="14.1" hidden="1" customHeight="1" x14ac:dyDescent="0.3">
      <c r="A1128" s="128" t="s">
        <v>2351</v>
      </c>
      <c r="B1128" s="146">
        <v>46206</v>
      </c>
      <c r="C1128" s="138">
        <v>1095</v>
      </c>
      <c r="D1128" s="138" t="s">
        <v>2389</v>
      </c>
      <c r="E1128" s="129">
        <v>46208</v>
      </c>
      <c r="F1128" s="128" t="s">
        <v>98</v>
      </c>
      <c r="G1128" s="128" t="s">
        <v>99</v>
      </c>
      <c r="H1128" s="128" t="s">
        <v>199</v>
      </c>
      <c r="I1128" s="136"/>
      <c r="J1128" s="347" t="s">
        <v>1455</v>
      </c>
      <c r="K1128" s="136"/>
      <c r="L1128" s="146">
        <v>46206</v>
      </c>
      <c r="M1128" s="136"/>
      <c r="N1128" s="128">
        <v>138</v>
      </c>
      <c r="O1128" s="130">
        <v>46207</v>
      </c>
      <c r="P1128" s="138">
        <v>0</v>
      </c>
      <c r="Q1128" s="138">
        <v>350</v>
      </c>
      <c r="R1128" s="138">
        <v>65</v>
      </c>
      <c r="S1128" s="138">
        <v>415</v>
      </c>
      <c r="T1128" s="138">
        <v>415</v>
      </c>
      <c r="U1128" s="136"/>
      <c r="V1128" s="136"/>
      <c r="W1128" s="148">
        <v>244.75</v>
      </c>
      <c r="X1128" s="148">
        <v>244.8</v>
      </c>
      <c r="Y1128" s="148">
        <v>1933525</v>
      </c>
      <c r="Z1128" s="138"/>
      <c r="AA1128" s="148">
        <v>48338.13</v>
      </c>
      <c r="AB1128" s="148">
        <v>48338.13</v>
      </c>
      <c r="AC1128" s="148">
        <v>2030201.25</v>
      </c>
      <c r="AD1128" s="315">
        <f t="shared" ref="AD1128:AD1191" si="769">SUM(AC1128-AC1128*0.1%)</f>
        <v>2028171.0487500001</v>
      </c>
      <c r="AE1128" s="147">
        <v>39.76</v>
      </c>
      <c r="AF1128" s="147">
        <v>42</v>
      </c>
      <c r="AG1128" s="147">
        <v>39.75</v>
      </c>
      <c r="AH1128" s="287">
        <v>2.0999999999999999E-3</v>
      </c>
      <c r="AI1128" s="287">
        <v>3.04E-2</v>
      </c>
      <c r="AJ1128" s="287">
        <v>0.05</v>
      </c>
      <c r="AK1128" s="318">
        <f>+IF(AF1128=42,IF(MIN(AE1128,AG1128)&lt;AF1128,Y1128*((AF1128-MIN(AE1128,AG1128))/AF1128)),IF(MIN(AE1128,AG1128)&lt;AF1128,Y1128*((AF1128-MIN(AE1128,AG1128))/AF1128),0))-41.74</f>
        <v>103539.95642857142</v>
      </c>
      <c r="AL1128" s="193">
        <f>350*10+65*15</f>
        <v>4475</v>
      </c>
      <c r="AM1128" s="319">
        <f>Y1128*AH1128</f>
        <v>4060.4024999999997</v>
      </c>
      <c r="AN1128" s="319"/>
      <c r="AO1128" s="320">
        <f t="shared" si="759"/>
        <v>0</v>
      </c>
      <c r="AP1128" s="193">
        <v>0</v>
      </c>
      <c r="AQ1128" s="318">
        <v>0</v>
      </c>
      <c r="AR1128" s="318">
        <f t="shared" si="760"/>
        <v>112075.35892857141</v>
      </c>
      <c r="AS1128" s="318">
        <f t="shared" si="761"/>
        <v>117679</v>
      </c>
      <c r="AT1128" s="321">
        <v>0</v>
      </c>
      <c r="AU1128" s="206" t="s">
        <v>2208</v>
      </c>
      <c r="AV1128" s="136"/>
      <c r="AW1128" s="318">
        <f t="shared" si="743"/>
        <v>24475</v>
      </c>
      <c r="AX1128" s="193"/>
      <c r="AY1128" s="318">
        <f t="shared" si="744"/>
        <v>24475</v>
      </c>
      <c r="AZ1128" s="318">
        <f t="shared" si="745"/>
        <v>24480</v>
      </c>
      <c r="BA1128" s="318">
        <f t="shared" si="746"/>
        <v>-5</v>
      </c>
      <c r="BB1128" s="318">
        <f t="shared" si="747"/>
        <v>48.95</v>
      </c>
      <c r="BC1128" s="318">
        <v>0</v>
      </c>
      <c r="BD1128" s="136"/>
      <c r="BE1128" s="138">
        <v>244.75</v>
      </c>
      <c r="BF1128" s="321">
        <f t="shared" si="748"/>
        <v>0.36712499999999998</v>
      </c>
      <c r="BG1128" s="197">
        <f t="shared" si="749"/>
        <v>244.38287500000001</v>
      </c>
      <c r="BH1128" s="321">
        <f t="shared" si="750"/>
        <v>244.8</v>
      </c>
      <c r="BI1128" s="322">
        <f t="shared" si="751"/>
        <v>-5.0000000000011369</v>
      </c>
      <c r="BJ1128" s="322">
        <v>0</v>
      </c>
      <c r="BK1128" s="318">
        <f t="shared" si="752"/>
        <v>-5.0000000000011369</v>
      </c>
      <c r="BL1128" s="67"/>
      <c r="BM1128" s="68" t="str">
        <f t="shared" si="753"/>
        <v>Unloading no. 1095 Bill No 138 ,Deduction For Oil Deduction= 103539.956428571 ,Bardana= 4475 ,F.M= 4060.4025 Brokerage/Rate Difference  ,Shortage = 0 ,Greenish= 0 ,Moisture= 0</v>
      </c>
      <c r="BN1128" s="69"/>
      <c r="BO1128" s="70" t="str">
        <f t="shared" si="754"/>
        <v xml:space="preserve"> Party Condition 42  ,F.M% 0.21 ,Greenish 3.04 ,Moisture 5 ,Shortage in KG= 0  ,Oil% 39.75</v>
      </c>
      <c r="BP1128" s="71">
        <f t="shared" si="755"/>
        <v>7440.5622592787113</v>
      </c>
      <c r="BQ1128" s="55"/>
      <c r="BR1128" s="55"/>
      <c r="BS1128" s="41"/>
      <c r="BT1128" s="41"/>
      <c r="BU1128" s="41"/>
      <c r="BV1128" s="41"/>
      <c r="BW1128" s="85"/>
      <c r="BX1128" s="27">
        <v>39.76</v>
      </c>
      <c r="BY1128" s="27">
        <v>39.75</v>
      </c>
      <c r="CA1128" s="56">
        <v>117273.42</v>
      </c>
      <c r="CC1128" s="57">
        <f t="shared" si="767"/>
        <v>405.58000000000175</v>
      </c>
      <c r="CE1128" s="57">
        <f t="shared" si="768"/>
        <v>386.2666666666683</v>
      </c>
    </row>
    <row r="1129" spans="1:83" ht="14.1" hidden="1" customHeight="1" x14ac:dyDescent="0.3">
      <c r="A1129" s="128" t="s">
        <v>2347</v>
      </c>
      <c r="B1129" s="146">
        <v>46204</v>
      </c>
      <c r="C1129" s="138">
        <v>1096</v>
      </c>
      <c r="D1129" s="138" t="s">
        <v>2390</v>
      </c>
      <c r="E1129" s="129">
        <v>46208</v>
      </c>
      <c r="F1129" s="128" t="s">
        <v>1144</v>
      </c>
      <c r="G1129" s="128" t="s">
        <v>1145</v>
      </c>
      <c r="H1129" s="128" t="s">
        <v>100</v>
      </c>
      <c r="I1129" s="136"/>
      <c r="J1129" s="347" t="s">
        <v>1455</v>
      </c>
      <c r="K1129" s="136"/>
      <c r="L1129" s="146">
        <v>46204</v>
      </c>
      <c r="M1129" s="136"/>
      <c r="N1129" s="128" t="s">
        <v>2430</v>
      </c>
      <c r="O1129" s="130">
        <v>46207</v>
      </c>
      <c r="P1129" s="138">
        <v>0</v>
      </c>
      <c r="Q1129" s="138">
        <v>600</v>
      </c>
      <c r="R1129" s="138">
        <v>240</v>
      </c>
      <c r="S1129" s="138">
        <v>840</v>
      </c>
      <c r="T1129" s="138">
        <v>840</v>
      </c>
      <c r="U1129" s="136"/>
      <c r="V1129" s="136"/>
      <c r="W1129" s="148">
        <v>424.2</v>
      </c>
      <c r="X1129" s="148">
        <v>422.7</v>
      </c>
      <c r="Y1129" s="148">
        <v>3319365</v>
      </c>
      <c r="Z1129" s="276">
        <v>40.71</v>
      </c>
      <c r="AA1129" s="148">
        <v>82984.13</v>
      </c>
      <c r="AB1129" s="148">
        <v>82984.13</v>
      </c>
      <c r="AC1129" s="148">
        <v>3485333.25</v>
      </c>
      <c r="AD1129" s="315">
        <f t="shared" si="769"/>
        <v>3481847.9167499999</v>
      </c>
      <c r="AE1129" s="147">
        <v>40.71</v>
      </c>
      <c r="AF1129" s="147">
        <v>42</v>
      </c>
      <c r="AG1129" s="147">
        <v>40.71</v>
      </c>
      <c r="AH1129" s="287">
        <v>2.8E-3</v>
      </c>
      <c r="AI1129" s="287">
        <v>3.1800000000000002E-2</v>
      </c>
      <c r="AJ1129" s="434">
        <v>5.0999999999999997E-2</v>
      </c>
      <c r="AK1129" s="318">
        <f t="shared" si="762"/>
        <v>101951.92499999993</v>
      </c>
      <c r="AL1129" s="193">
        <v>0</v>
      </c>
      <c r="AM1129" s="319">
        <v>0</v>
      </c>
      <c r="AN1129" s="319"/>
      <c r="AO1129" s="320">
        <f t="shared" si="759"/>
        <v>5086.25</v>
      </c>
      <c r="AP1129" s="193">
        <v>0</v>
      </c>
      <c r="AQ1129" s="318">
        <v>0</v>
      </c>
      <c r="AR1129" s="318">
        <f t="shared" si="760"/>
        <v>107038.17499999993</v>
      </c>
      <c r="AS1129" s="318">
        <f t="shared" si="761"/>
        <v>112390</v>
      </c>
      <c r="AT1129" s="321">
        <v>65</v>
      </c>
      <c r="AU1129" s="157"/>
      <c r="AV1129" s="136"/>
      <c r="AW1129" s="318">
        <f t="shared" si="743"/>
        <v>42420</v>
      </c>
      <c r="AX1129" s="193"/>
      <c r="AY1129" s="318">
        <f t="shared" si="744"/>
        <v>42420</v>
      </c>
      <c r="AZ1129" s="318">
        <f t="shared" si="745"/>
        <v>42270</v>
      </c>
      <c r="BA1129" s="318">
        <f t="shared" si="746"/>
        <v>150</v>
      </c>
      <c r="BB1129" s="318">
        <f t="shared" si="747"/>
        <v>84.84</v>
      </c>
      <c r="BC1129" s="318">
        <v>0</v>
      </c>
      <c r="BD1129" s="136"/>
      <c r="BE1129" s="138">
        <v>424.2</v>
      </c>
      <c r="BF1129" s="321">
        <f t="shared" si="748"/>
        <v>0.63629999999999998</v>
      </c>
      <c r="BG1129" s="197">
        <f t="shared" si="749"/>
        <v>423.56369999999998</v>
      </c>
      <c r="BH1129" s="321">
        <f t="shared" si="750"/>
        <v>422.7</v>
      </c>
      <c r="BI1129" s="322">
        <f t="shared" si="751"/>
        <v>150</v>
      </c>
      <c r="BJ1129" s="322">
        <v>0</v>
      </c>
      <c r="BK1129" s="318">
        <f t="shared" si="752"/>
        <v>150</v>
      </c>
      <c r="BL1129" s="67"/>
      <c r="BM1129" s="68" t="str">
        <f t="shared" si="753"/>
        <v>Unloading no. 1096 Bill No 2026-27/315 ,Deduction For Oil Deduction= 101951.925 ,Bardana= 0 ,F.M= 0 Brokerage/Rate Difference  ,Shortage = 5086.25 ,Greenish= 0 ,Moisture= 0</v>
      </c>
      <c r="BN1129" s="69"/>
      <c r="BO1129" s="70" t="str">
        <f t="shared" si="754"/>
        <v xml:space="preserve"> Party Condition 42  ,F.M% 0.28 ,Greenish 3.18 ,Moisture 5.1 ,Shortage in KG= 65  ,Oil% 40.71</v>
      </c>
      <c r="BP1129" s="71">
        <f t="shared" si="755"/>
        <v>7599.5429973976825</v>
      </c>
      <c r="BQ1129" s="55"/>
      <c r="BR1129" s="55"/>
      <c r="BS1129" s="41"/>
      <c r="BT1129" s="41"/>
      <c r="BU1129" s="41"/>
      <c r="BV1129" s="41"/>
      <c r="BW1129" s="85"/>
      <c r="BX1129" s="27">
        <v>40.46</v>
      </c>
      <c r="BY1129" s="27">
        <v>40.49</v>
      </c>
    </row>
    <row r="1130" spans="1:83" ht="14.1" hidden="1" customHeight="1" x14ac:dyDescent="0.3">
      <c r="A1130" s="128" t="s">
        <v>2352</v>
      </c>
      <c r="B1130" s="146">
        <v>46203</v>
      </c>
      <c r="C1130" s="138">
        <v>1097</v>
      </c>
      <c r="D1130" s="138" t="s">
        <v>2391</v>
      </c>
      <c r="E1130" s="129">
        <v>46208</v>
      </c>
      <c r="F1130" s="128" t="s">
        <v>2079</v>
      </c>
      <c r="G1130" s="160" t="s">
        <v>2080</v>
      </c>
      <c r="H1130" s="128" t="s">
        <v>2081</v>
      </c>
      <c r="I1130" s="136"/>
      <c r="J1130" s="347" t="s">
        <v>1455</v>
      </c>
      <c r="K1130" s="136"/>
      <c r="L1130" s="146">
        <v>46203</v>
      </c>
      <c r="M1130" s="136"/>
      <c r="N1130" s="128" t="s">
        <v>2431</v>
      </c>
      <c r="O1130" s="130">
        <v>46207</v>
      </c>
      <c r="P1130" s="138">
        <v>0</v>
      </c>
      <c r="Q1130" s="138">
        <v>14</v>
      </c>
      <c r="R1130" s="138">
        <v>400</v>
      </c>
      <c r="S1130" s="138">
        <v>414</v>
      </c>
      <c r="T1130" s="138">
        <v>414</v>
      </c>
      <c r="U1130" s="136"/>
      <c r="V1130" s="136"/>
      <c r="W1130" s="148">
        <v>251.55</v>
      </c>
      <c r="X1130" s="148">
        <v>250</v>
      </c>
      <c r="Y1130" s="296">
        <f>1980956.25-12206.25</f>
        <v>1968750</v>
      </c>
      <c r="Z1130" s="138"/>
      <c r="AA1130" s="148">
        <v>49523.91</v>
      </c>
      <c r="AB1130" s="148">
        <v>49523.91</v>
      </c>
      <c r="AC1130" s="148">
        <v>2080004.06</v>
      </c>
      <c r="AD1130" s="315">
        <f t="shared" si="769"/>
        <v>2077924.0559400001</v>
      </c>
      <c r="AE1130" s="147">
        <v>39.549999999999997</v>
      </c>
      <c r="AF1130" s="147">
        <v>42</v>
      </c>
      <c r="AG1130" s="147">
        <v>39.32</v>
      </c>
      <c r="AH1130" s="418">
        <v>2.3999999999999998E-3</v>
      </c>
      <c r="AI1130" s="287">
        <v>3.2500000000000001E-2</v>
      </c>
      <c r="AJ1130" s="429">
        <v>5.4300000000000001E-2</v>
      </c>
      <c r="AK1130" s="318">
        <f t="shared" si="762"/>
        <v>125624.99999999999</v>
      </c>
      <c r="AL1130" s="193">
        <f>14*10+400*15</f>
        <v>6140</v>
      </c>
      <c r="AM1130" s="319">
        <f>Y1130*AH1130</f>
        <v>4725</v>
      </c>
      <c r="AN1130" s="319"/>
      <c r="AO1130" s="320">
        <f t="shared" si="759"/>
        <v>0</v>
      </c>
      <c r="AP1130" s="193">
        <v>0</v>
      </c>
      <c r="AQ1130" s="430">
        <f>Y1130*0.43/100</f>
        <v>8465.625</v>
      </c>
      <c r="AR1130" s="318">
        <f t="shared" si="760"/>
        <v>144955.625</v>
      </c>
      <c r="AS1130" s="318">
        <f t="shared" si="761"/>
        <v>152203</v>
      </c>
      <c r="AT1130" s="321">
        <v>0</v>
      </c>
      <c r="AU1130" s="206" t="s">
        <v>2437</v>
      </c>
      <c r="AV1130" s="136"/>
      <c r="AW1130" s="318">
        <f t="shared" si="743"/>
        <v>25155</v>
      </c>
      <c r="AX1130" s="193"/>
      <c r="AY1130" s="318">
        <f t="shared" si="744"/>
        <v>25155</v>
      </c>
      <c r="AZ1130" s="318">
        <f t="shared" si="745"/>
        <v>25000</v>
      </c>
      <c r="BA1130" s="318">
        <f t="shared" si="746"/>
        <v>155</v>
      </c>
      <c r="BB1130" s="318">
        <f t="shared" si="747"/>
        <v>50.31</v>
      </c>
      <c r="BC1130" s="318">
        <v>0</v>
      </c>
      <c r="BD1130" s="136"/>
      <c r="BE1130" s="138">
        <v>251.55</v>
      </c>
      <c r="BF1130" s="321">
        <f t="shared" si="748"/>
        <v>0.37732500000000002</v>
      </c>
      <c r="BG1130" s="197">
        <f t="shared" si="749"/>
        <v>251.172675</v>
      </c>
      <c r="BH1130" s="321">
        <f t="shared" si="750"/>
        <v>250</v>
      </c>
      <c r="BI1130" s="322">
        <f t="shared" si="751"/>
        <v>155.00000000000114</v>
      </c>
      <c r="BJ1130" s="322">
        <v>0</v>
      </c>
      <c r="BK1130" s="318">
        <f t="shared" si="752"/>
        <v>155.00000000000114</v>
      </c>
      <c r="BL1130" s="67"/>
      <c r="BM1130" s="68" t="str">
        <f t="shared" si="753"/>
        <v>Unloading no. 1097 Bill No FMT27MLRJ001913 ,Deduction For Oil Deduction= 125625 ,Bardana= 6140 ,F.M= 4725 Brokerage/Rate Difference  ,Shortage = 0 ,Greenish= 0 ,Moisture= 8465.625</v>
      </c>
      <c r="BN1130" s="69"/>
      <c r="BO1130" s="70" t="str">
        <f t="shared" si="754"/>
        <v xml:space="preserve"> Party Condition 42  ,F.M% 0.24 ,Greenish 3.25 ,Moisture 5.43 ,Shortage in KG= 0  ,Oil% 39.32</v>
      </c>
      <c r="BP1130" s="71">
        <f t="shared" si="755"/>
        <v>7295.1774999999998</v>
      </c>
      <c r="BQ1130" s="55"/>
      <c r="BR1130" s="55"/>
      <c r="BS1130" s="41"/>
      <c r="BT1130" s="41"/>
      <c r="BU1130" s="41"/>
      <c r="BV1130" s="41"/>
      <c r="BW1130" s="85"/>
      <c r="BX1130" s="27">
        <v>39.549999999999997</v>
      </c>
      <c r="BY1130" s="27">
        <v>39.32</v>
      </c>
      <c r="CC1130" s="57">
        <f t="shared" ref="CC1130" si="770">AS1130-CA1130</f>
        <v>152203</v>
      </c>
      <c r="CE1130" s="57">
        <f t="shared" ref="CE1130" si="771">CC1130/105%</f>
        <v>144955.23809523808</v>
      </c>
    </row>
    <row r="1131" spans="1:83" ht="14.1" hidden="1" customHeight="1" x14ac:dyDescent="0.3">
      <c r="A1131" s="128" t="s">
        <v>2347</v>
      </c>
      <c r="B1131" s="146">
        <v>46204</v>
      </c>
      <c r="C1131" s="138">
        <v>1098</v>
      </c>
      <c r="D1131" s="138" t="s">
        <v>2392</v>
      </c>
      <c r="E1131" s="129">
        <v>46208</v>
      </c>
      <c r="F1131" s="128" t="s">
        <v>1144</v>
      </c>
      <c r="G1131" s="128" t="s">
        <v>1145</v>
      </c>
      <c r="H1131" s="128" t="s">
        <v>100</v>
      </c>
      <c r="I1131" s="136"/>
      <c r="J1131" s="347" t="s">
        <v>1146</v>
      </c>
      <c r="K1131" s="136"/>
      <c r="L1131" s="146">
        <v>46204</v>
      </c>
      <c r="M1131" s="136"/>
      <c r="N1131" s="128" t="s">
        <v>2432</v>
      </c>
      <c r="O1131" s="130">
        <v>46207</v>
      </c>
      <c r="P1131" s="138">
        <v>0</v>
      </c>
      <c r="Q1131" s="138">
        <v>800</v>
      </c>
      <c r="R1131" s="138">
        <v>46</v>
      </c>
      <c r="S1131" s="138">
        <v>846</v>
      </c>
      <c r="T1131" s="138">
        <v>846</v>
      </c>
      <c r="U1131" s="136"/>
      <c r="V1131" s="136"/>
      <c r="W1131" s="148">
        <v>429.3</v>
      </c>
      <c r="X1131" s="148">
        <v>429.1</v>
      </c>
      <c r="Y1131" s="148">
        <v>3359272.5</v>
      </c>
      <c r="Z1131" s="276">
        <v>40.21</v>
      </c>
      <c r="AA1131" s="148">
        <v>83981.81</v>
      </c>
      <c r="AB1131" s="148">
        <v>83981.81</v>
      </c>
      <c r="AC1131" s="148">
        <v>3527236.13</v>
      </c>
      <c r="AD1131" s="315">
        <f t="shared" si="769"/>
        <v>3523708.8938699998</v>
      </c>
      <c r="AE1131" s="147">
        <v>40.21</v>
      </c>
      <c r="AF1131" s="147">
        <v>42</v>
      </c>
      <c r="AG1131" s="147">
        <v>40.21</v>
      </c>
      <c r="AH1131" s="287">
        <v>2.2000000000000001E-3</v>
      </c>
      <c r="AI1131" s="287">
        <v>4.8000000000000001E-2</v>
      </c>
      <c r="AJ1131" s="287">
        <v>4.2999999999999997E-2</v>
      </c>
      <c r="AK1131" s="318">
        <f t="shared" si="762"/>
        <v>143168.99464285708</v>
      </c>
      <c r="AL1131" s="193">
        <v>0</v>
      </c>
      <c r="AM1131" s="319">
        <v>0</v>
      </c>
      <c r="AN1131" s="319"/>
      <c r="AO1131" s="320">
        <f t="shared" si="759"/>
        <v>0</v>
      </c>
      <c r="AP1131" s="193">
        <v>0</v>
      </c>
      <c r="AQ1131" s="318">
        <v>0</v>
      </c>
      <c r="AR1131" s="318">
        <f t="shared" si="760"/>
        <v>143168.99464285708</v>
      </c>
      <c r="AS1131" s="318">
        <f t="shared" si="761"/>
        <v>150327</v>
      </c>
      <c r="AT1131" s="321">
        <v>0</v>
      </c>
      <c r="AU1131" s="157"/>
      <c r="AV1131" s="136"/>
      <c r="AW1131" s="318">
        <f t="shared" si="743"/>
        <v>42930</v>
      </c>
      <c r="AX1131" s="193"/>
      <c r="AY1131" s="318">
        <f t="shared" si="744"/>
        <v>42930</v>
      </c>
      <c r="AZ1131" s="318">
        <f t="shared" si="745"/>
        <v>42910</v>
      </c>
      <c r="BA1131" s="318">
        <f t="shared" si="746"/>
        <v>20</v>
      </c>
      <c r="BB1131" s="318">
        <f t="shared" si="747"/>
        <v>85.86</v>
      </c>
      <c r="BC1131" s="318">
        <v>0</v>
      </c>
      <c r="BD1131" s="136"/>
      <c r="BE1131" s="138">
        <v>429.3</v>
      </c>
      <c r="BF1131" s="321">
        <f t="shared" si="748"/>
        <v>0.64394999999999991</v>
      </c>
      <c r="BG1131" s="197">
        <f t="shared" si="749"/>
        <v>428.65604999999999</v>
      </c>
      <c r="BH1131" s="321">
        <f t="shared" si="750"/>
        <v>429.1</v>
      </c>
      <c r="BI1131" s="322">
        <f t="shared" si="751"/>
        <v>19.999999999998863</v>
      </c>
      <c r="BJ1131" s="322">
        <v>0</v>
      </c>
      <c r="BK1131" s="318">
        <f t="shared" si="752"/>
        <v>19.999999999998863</v>
      </c>
      <c r="BL1131" s="67"/>
      <c r="BM1131" s="68" t="str">
        <f t="shared" si="753"/>
        <v>Unloading no. 1098 Bill No 2026-27/314 ,Deduction For Oil Deduction= 143168.994642857 ,Bardana= 0 ,F.M= 0 Brokerage/Rate Difference  ,Shortage = 0 ,Greenish= 0 ,Moisture= 0</v>
      </c>
      <c r="BN1131" s="69"/>
      <c r="BO1131" s="70" t="str">
        <f t="shared" si="754"/>
        <v xml:space="preserve"> Party Condition 42  ,F.M% 0.22 ,Greenish 4.8 ,Moisture 4.3 ,Shortage in KG= 0  ,Oil% 40.21</v>
      </c>
      <c r="BP1131" s="71">
        <f t="shared" si="755"/>
        <v>7494.9976820255015</v>
      </c>
      <c r="BQ1131" s="55"/>
      <c r="BR1131" s="55"/>
      <c r="BS1131" s="41"/>
      <c r="BT1131" s="41"/>
      <c r="BU1131" s="41"/>
      <c r="BV1131" s="41"/>
      <c r="BW1131" s="85"/>
      <c r="BX1131" s="27">
        <v>40.01</v>
      </c>
      <c r="BY1131" s="27">
        <v>39.96</v>
      </c>
    </row>
    <row r="1132" spans="1:83" ht="14.1" hidden="1" customHeight="1" x14ac:dyDescent="0.3">
      <c r="A1132" s="128" t="s">
        <v>2353</v>
      </c>
      <c r="B1132" s="146">
        <v>46205</v>
      </c>
      <c r="C1132" s="138">
        <v>1099</v>
      </c>
      <c r="D1132" s="138" t="s">
        <v>2393</v>
      </c>
      <c r="E1132" s="129">
        <v>46208</v>
      </c>
      <c r="F1132" s="128" t="s">
        <v>1144</v>
      </c>
      <c r="G1132" s="128" t="s">
        <v>1145</v>
      </c>
      <c r="H1132" s="128" t="s">
        <v>100</v>
      </c>
      <c r="I1132" s="136"/>
      <c r="J1132" s="347" t="s">
        <v>1146</v>
      </c>
      <c r="K1132" s="136"/>
      <c r="L1132" s="146">
        <v>46205</v>
      </c>
      <c r="M1132" s="136"/>
      <c r="N1132" s="128" t="s">
        <v>2433</v>
      </c>
      <c r="O1132" s="130">
        <v>46207</v>
      </c>
      <c r="P1132" s="138">
        <v>0</v>
      </c>
      <c r="Q1132" s="138">
        <v>500</v>
      </c>
      <c r="R1132" s="138">
        <v>191</v>
      </c>
      <c r="S1132" s="138">
        <v>691</v>
      </c>
      <c r="T1132" s="138">
        <v>691</v>
      </c>
      <c r="U1132" s="136"/>
      <c r="V1132" s="136"/>
      <c r="W1132" s="148">
        <v>349.5</v>
      </c>
      <c r="X1132" s="148">
        <v>348.6</v>
      </c>
      <c r="Y1132" s="148">
        <v>2734837.5</v>
      </c>
      <c r="Z1132" s="276">
        <v>40.659999999999997</v>
      </c>
      <c r="AA1132" s="148">
        <v>68370.94</v>
      </c>
      <c r="AB1132" s="148">
        <v>68370.94</v>
      </c>
      <c r="AC1132" s="148">
        <v>2871579.38</v>
      </c>
      <c r="AD1132" s="315">
        <f t="shared" si="769"/>
        <v>2868707.8006199999</v>
      </c>
      <c r="AE1132" s="147">
        <v>40.659999999999997</v>
      </c>
      <c r="AF1132" s="147">
        <v>42</v>
      </c>
      <c r="AG1132" s="147">
        <v>40.659999999999997</v>
      </c>
      <c r="AH1132" s="287">
        <v>2.3999999999999998E-3</v>
      </c>
      <c r="AI1132" s="287">
        <v>3.4500000000000003E-2</v>
      </c>
      <c r="AJ1132" s="287">
        <v>4.4999999999999998E-2</v>
      </c>
      <c r="AK1132" s="318">
        <f t="shared" si="762"/>
        <v>87254.339285714508</v>
      </c>
      <c r="AL1132" s="193">
        <v>0</v>
      </c>
      <c r="AM1132" s="319">
        <v>0</v>
      </c>
      <c r="AN1132" s="319"/>
      <c r="AO1132" s="320">
        <f t="shared" si="759"/>
        <v>1565</v>
      </c>
      <c r="AP1132" s="193">
        <v>0</v>
      </c>
      <c r="AQ1132" s="318">
        <v>0</v>
      </c>
      <c r="AR1132" s="318">
        <f t="shared" si="760"/>
        <v>88819.339285714508</v>
      </c>
      <c r="AS1132" s="318">
        <f t="shared" si="761"/>
        <v>93260</v>
      </c>
      <c r="AT1132" s="321">
        <v>20</v>
      </c>
      <c r="AU1132" s="157"/>
      <c r="AV1132" s="136"/>
      <c r="AW1132" s="318">
        <f t="shared" si="743"/>
        <v>34950</v>
      </c>
      <c r="AX1132" s="193"/>
      <c r="AY1132" s="318">
        <f t="shared" si="744"/>
        <v>34950</v>
      </c>
      <c r="AZ1132" s="318">
        <f t="shared" si="745"/>
        <v>34860</v>
      </c>
      <c r="BA1132" s="318">
        <f t="shared" si="746"/>
        <v>90</v>
      </c>
      <c r="BB1132" s="318">
        <f t="shared" si="747"/>
        <v>69.900000000000006</v>
      </c>
      <c r="BC1132" s="318">
        <v>0</v>
      </c>
      <c r="BD1132" s="136"/>
      <c r="BE1132" s="138">
        <v>349.5</v>
      </c>
      <c r="BF1132" s="321">
        <f t="shared" si="748"/>
        <v>0.52424999999999999</v>
      </c>
      <c r="BG1132" s="197">
        <f t="shared" si="749"/>
        <v>348.97575000000001</v>
      </c>
      <c r="BH1132" s="321">
        <f t="shared" si="750"/>
        <v>348.6</v>
      </c>
      <c r="BI1132" s="322">
        <f t="shared" si="751"/>
        <v>89.999999999997726</v>
      </c>
      <c r="BJ1132" s="322">
        <v>0</v>
      </c>
      <c r="BK1132" s="318">
        <f t="shared" si="752"/>
        <v>89.999999999997726</v>
      </c>
      <c r="BL1132" s="67"/>
      <c r="BM1132" s="68" t="str">
        <f t="shared" si="753"/>
        <v>Unloading no. 1099 Bill No 2026-27/316 ,Deduction For Oil Deduction= 87254.3392857145 ,Bardana= 0 ,F.M= 0 Brokerage/Rate Difference  ,Shortage = 1565 ,Greenish= 0 ,Moisture= 0</v>
      </c>
      <c r="BN1132" s="69"/>
      <c r="BO1132" s="70" t="str">
        <f t="shared" si="754"/>
        <v xml:space="preserve"> Party Condition 42  ,F.M% 0.24 ,Greenish 3.45 ,Moisture 4.5 ,Shortage in KG= 20  ,Oil% 40.66</v>
      </c>
      <c r="BP1132" s="71">
        <f t="shared" si="755"/>
        <v>7590.4135419227923</v>
      </c>
      <c r="BQ1132" s="55"/>
      <c r="BR1132" s="55"/>
      <c r="BS1132" s="41"/>
      <c r="BT1132" s="41"/>
      <c r="BU1132" s="41"/>
      <c r="BV1132" s="41"/>
      <c r="BW1132" s="85"/>
      <c r="BX1132" s="27">
        <v>40.520000000000003</v>
      </c>
      <c r="BY1132" s="27">
        <v>40.4</v>
      </c>
    </row>
    <row r="1133" spans="1:83" ht="14.1" hidden="1" customHeight="1" x14ac:dyDescent="0.3">
      <c r="A1133" s="128" t="s">
        <v>2353</v>
      </c>
      <c r="B1133" s="146">
        <v>46205</v>
      </c>
      <c r="C1133" s="138">
        <v>1100</v>
      </c>
      <c r="D1133" s="138" t="s">
        <v>2394</v>
      </c>
      <c r="E1133" s="129">
        <v>46208</v>
      </c>
      <c r="F1133" s="128" t="s">
        <v>1144</v>
      </c>
      <c r="G1133" s="128" t="s">
        <v>1145</v>
      </c>
      <c r="H1133" s="128" t="s">
        <v>100</v>
      </c>
      <c r="I1133" s="136"/>
      <c r="J1133" s="347" t="s">
        <v>1146</v>
      </c>
      <c r="K1133" s="136"/>
      <c r="L1133" s="146">
        <v>46205</v>
      </c>
      <c r="M1133" s="136"/>
      <c r="N1133" s="128" t="s">
        <v>2434</v>
      </c>
      <c r="O1133" s="130">
        <v>46207</v>
      </c>
      <c r="P1133" s="138">
        <v>0</v>
      </c>
      <c r="Q1133" s="138">
        <v>350</v>
      </c>
      <c r="R1133" s="138">
        <v>250</v>
      </c>
      <c r="S1133" s="138">
        <v>600</v>
      </c>
      <c r="T1133" s="138">
        <v>600</v>
      </c>
      <c r="U1133" s="136"/>
      <c r="V1133" s="136"/>
      <c r="W1133" s="148">
        <v>303.39999999999998</v>
      </c>
      <c r="X1133" s="148">
        <v>303.60000000000002</v>
      </c>
      <c r="Y1133" s="148">
        <v>2374105</v>
      </c>
      <c r="Z1133" s="276">
        <v>40.58</v>
      </c>
      <c r="AA1133" s="148">
        <v>59352.63</v>
      </c>
      <c r="AB1133" s="148">
        <v>59352.63</v>
      </c>
      <c r="AC1133" s="148">
        <v>2492810.25</v>
      </c>
      <c r="AD1133" s="315">
        <f t="shared" si="769"/>
        <v>2490317.4397499999</v>
      </c>
      <c r="AE1133" s="147">
        <v>40.58</v>
      </c>
      <c r="AF1133" s="147">
        <v>42</v>
      </c>
      <c r="AG1133" s="147">
        <v>40.58</v>
      </c>
      <c r="AH1133" s="287">
        <v>2.8999999999999998E-3</v>
      </c>
      <c r="AI1133" s="287">
        <v>3.5000000000000003E-2</v>
      </c>
      <c r="AJ1133" s="287">
        <v>4.7E-2</v>
      </c>
      <c r="AK1133" s="318">
        <f t="shared" si="762"/>
        <v>80267.359523809631</v>
      </c>
      <c r="AL1133" s="193">
        <v>0</v>
      </c>
      <c r="AM1133" s="319">
        <v>0</v>
      </c>
      <c r="AN1133" s="319"/>
      <c r="AO1133" s="320">
        <f t="shared" si="759"/>
        <v>0</v>
      </c>
      <c r="AP1133" s="193">
        <v>0</v>
      </c>
      <c r="AQ1133" s="318">
        <v>0</v>
      </c>
      <c r="AR1133" s="318">
        <f t="shared" si="760"/>
        <v>80267.359523809631</v>
      </c>
      <c r="AS1133" s="318">
        <f t="shared" si="761"/>
        <v>84281</v>
      </c>
      <c r="AT1133" s="321">
        <v>0</v>
      </c>
      <c r="AU1133" s="157"/>
      <c r="AV1133" s="136"/>
      <c r="AW1133" s="318">
        <f t="shared" si="743"/>
        <v>30339.999999999996</v>
      </c>
      <c r="AX1133" s="193"/>
      <c r="AY1133" s="318">
        <f t="shared" si="744"/>
        <v>30339.999999999996</v>
      </c>
      <c r="AZ1133" s="318">
        <f t="shared" si="745"/>
        <v>30360.000000000004</v>
      </c>
      <c r="BA1133" s="318">
        <f t="shared" si="746"/>
        <v>-20.000000000007276</v>
      </c>
      <c r="BB1133" s="318">
        <f t="shared" si="747"/>
        <v>60.679999999999993</v>
      </c>
      <c r="BC1133" s="318">
        <v>0</v>
      </c>
      <c r="BD1133" s="136"/>
      <c r="BE1133" s="138">
        <v>303.39999999999998</v>
      </c>
      <c r="BF1133" s="321">
        <f t="shared" si="748"/>
        <v>0.4551</v>
      </c>
      <c r="BG1133" s="197">
        <f t="shared" si="749"/>
        <v>302.94489999999996</v>
      </c>
      <c r="BH1133" s="321">
        <f t="shared" si="750"/>
        <v>303.60000000000002</v>
      </c>
      <c r="BI1133" s="322">
        <f t="shared" si="751"/>
        <v>-20.000000000004547</v>
      </c>
      <c r="BJ1133" s="322">
        <v>0</v>
      </c>
      <c r="BK1133" s="318">
        <f t="shared" si="752"/>
        <v>-20.000000000004547</v>
      </c>
      <c r="BL1133" s="67"/>
      <c r="BM1133" s="68" t="str">
        <f t="shared" si="753"/>
        <v>Unloading no. 1100 Bill No 2026-27/322 ,Deduction For Oil Deduction= 80267.3595238096 ,Bardana= 0 ,F.M= 0 Brokerage/Rate Difference  ,Shortage = 0 ,Greenish= 0 ,Moisture= 0</v>
      </c>
      <c r="BN1133" s="69"/>
      <c r="BO1133" s="70" t="str">
        <f t="shared" si="754"/>
        <v xml:space="preserve"> Party Condition 42  ,F.M% 0.29 ,Greenish 3.5 ,Moisture 4.7 ,Shortage in KG= 0  ,Oil% 40.58</v>
      </c>
      <c r="BP1133" s="71">
        <f t="shared" si="755"/>
        <v>7555.4599488675567</v>
      </c>
      <c r="BQ1133" s="55"/>
      <c r="BR1133" s="55"/>
      <c r="BS1133" s="41"/>
      <c r="BT1133" s="41"/>
      <c r="BU1133" s="41"/>
      <c r="BV1133" s="41"/>
      <c r="BW1133" s="85"/>
      <c r="BX1133" s="27">
        <v>40.6</v>
      </c>
      <c r="BY1133" s="27">
        <v>40.590000000000003</v>
      </c>
    </row>
    <row r="1134" spans="1:83" ht="14.1" hidden="1" customHeight="1" x14ac:dyDescent="0.3">
      <c r="A1134" s="128" t="s">
        <v>2351</v>
      </c>
      <c r="B1134" s="146">
        <v>46206</v>
      </c>
      <c r="C1134" s="138">
        <v>1101</v>
      </c>
      <c r="D1134" s="138" t="s">
        <v>2395</v>
      </c>
      <c r="E1134" s="129">
        <v>46208</v>
      </c>
      <c r="F1134" s="128" t="s">
        <v>98</v>
      </c>
      <c r="G1134" s="128" t="s">
        <v>99</v>
      </c>
      <c r="H1134" s="128" t="s">
        <v>199</v>
      </c>
      <c r="I1134" s="136"/>
      <c r="J1134" s="347" t="s">
        <v>1455</v>
      </c>
      <c r="K1134" s="136"/>
      <c r="L1134" s="146">
        <v>46206</v>
      </c>
      <c r="M1134" s="136"/>
      <c r="N1134" s="281">
        <v>139</v>
      </c>
      <c r="O1134" s="130">
        <v>46207</v>
      </c>
      <c r="P1134" s="138">
        <v>0</v>
      </c>
      <c r="Q1134" s="138">
        <v>390</v>
      </c>
      <c r="R1134" s="138">
        <v>34</v>
      </c>
      <c r="S1134" s="138">
        <v>424</v>
      </c>
      <c r="T1134" s="138">
        <v>424</v>
      </c>
      <c r="U1134" s="136"/>
      <c r="V1134" s="136"/>
      <c r="W1134" s="148">
        <v>256.10000000000002</v>
      </c>
      <c r="X1134" s="148">
        <v>256</v>
      </c>
      <c r="Y1134" s="148">
        <v>2023190</v>
      </c>
      <c r="Z1134" s="128"/>
      <c r="AA1134" s="148">
        <v>50579.75</v>
      </c>
      <c r="AB1134" s="148">
        <v>50579.75</v>
      </c>
      <c r="AC1134" s="148">
        <v>2124349.5</v>
      </c>
      <c r="AD1134" s="315">
        <f t="shared" si="769"/>
        <v>2122225.1505</v>
      </c>
      <c r="AE1134" s="147">
        <v>39.89</v>
      </c>
      <c r="AF1134" s="147">
        <v>42</v>
      </c>
      <c r="AG1134" s="147">
        <v>39.9</v>
      </c>
      <c r="AH1134" s="418">
        <v>2.7000000000000001E-3</v>
      </c>
      <c r="AI1134" s="287">
        <v>3.5499999999999997E-2</v>
      </c>
      <c r="AJ1134" s="287">
        <v>4.3999999999999997E-2</v>
      </c>
      <c r="AK1134" s="318">
        <f>+IF(AF1134=42,IF(MIN(AE1134,AG1134)&lt;AF1134,Y1134*((AF1134-MIN(AE1134,AG1134))/AF1134)),IF(MIN(AE1134,AG1134)&lt;AF1134,Y1134*((AF1134-MIN(AE1134,AG1134))/AF1134),0))</f>
        <v>101641.21190476188</v>
      </c>
      <c r="AL1134" s="193">
        <f>390*10+34*15</f>
        <v>4410</v>
      </c>
      <c r="AM1134" s="319">
        <f>Y1134*AH1134</f>
        <v>5462.6130000000003</v>
      </c>
      <c r="AN1134" s="319"/>
      <c r="AO1134" s="435">
        <f t="shared" si="759"/>
        <v>789.99999999999989</v>
      </c>
      <c r="AP1134" s="193">
        <v>0</v>
      </c>
      <c r="AQ1134" s="318">
        <v>0</v>
      </c>
      <c r="AR1134" s="318">
        <f t="shared" si="760"/>
        <v>112303.82490476187</v>
      </c>
      <c r="AS1134" s="318">
        <f t="shared" si="761"/>
        <v>117919</v>
      </c>
      <c r="AT1134" s="321">
        <v>10</v>
      </c>
      <c r="AU1134" s="157"/>
      <c r="AV1134" s="136"/>
      <c r="AW1134" s="318">
        <f t="shared" si="743"/>
        <v>25610.000000000004</v>
      </c>
      <c r="AX1134" s="193"/>
      <c r="AY1134" s="318">
        <f t="shared" si="744"/>
        <v>25610.000000000004</v>
      </c>
      <c r="AZ1134" s="318">
        <f t="shared" si="745"/>
        <v>25600</v>
      </c>
      <c r="BA1134" s="318">
        <f t="shared" si="746"/>
        <v>10.000000000003638</v>
      </c>
      <c r="BB1134" s="318">
        <f t="shared" si="747"/>
        <v>51.220000000000006</v>
      </c>
      <c r="BC1134" s="318">
        <v>0</v>
      </c>
      <c r="BD1134" s="136"/>
      <c r="BE1134" s="138">
        <v>256.10000000000002</v>
      </c>
      <c r="BF1134" s="321">
        <f t="shared" si="748"/>
        <v>0.38414999999999999</v>
      </c>
      <c r="BG1134" s="197">
        <f t="shared" si="749"/>
        <v>255.71585000000002</v>
      </c>
      <c r="BH1134" s="321">
        <f t="shared" si="750"/>
        <v>256</v>
      </c>
      <c r="BI1134" s="322">
        <f t="shared" si="751"/>
        <v>10.000000000002274</v>
      </c>
      <c r="BJ1134" s="322">
        <v>0</v>
      </c>
      <c r="BK1134" s="318">
        <f t="shared" si="752"/>
        <v>10.000000000002274</v>
      </c>
      <c r="BL1134" s="67"/>
      <c r="BM1134" s="68" t="str">
        <f t="shared" si="753"/>
        <v>Unloading no. 1101 Bill No 139 ,Deduction For Oil Deduction= 101641.211904762 ,Bardana= 4410 ,F.M= 5462.613 Brokerage/Rate Difference  ,Shortage = 790 ,Greenish= 0 ,Moisture= 0</v>
      </c>
      <c r="BN1134" s="69"/>
      <c r="BO1134" s="70" t="str">
        <f t="shared" si="754"/>
        <v xml:space="preserve"> Party Condition 42  ,F.M% 0.27 ,Greenish 3.55 ,Moisture 4.4 ,Shortage in KG= 10  ,Oil% 39.89</v>
      </c>
      <c r="BP1134" s="71">
        <f t="shared" si="755"/>
        <v>7464.3991214657735</v>
      </c>
      <c r="BQ1134" s="55"/>
      <c r="BR1134" s="55"/>
      <c r="BS1134" s="41"/>
      <c r="BT1134" s="41"/>
      <c r="BU1134" s="41"/>
      <c r="BV1134" s="41"/>
      <c r="BW1134" s="85"/>
      <c r="BX1134" s="27">
        <v>39.89</v>
      </c>
      <c r="BY1134" s="27">
        <v>39.9</v>
      </c>
      <c r="CA1134" s="56">
        <v>116541.25</v>
      </c>
      <c r="CC1134" s="57">
        <f t="shared" ref="CC1134:CC1135" si="772">AS1134-CA1134</f>
        <v>1377.75</v>
      </c>
      <c r="CE1134" s="57">
        <f t="shared" ref="CE1134:CE1135" si="773">CC1134/105%</f>
        <v>1312.1428571428571</v>
      </c>
    </row>
    <row r="1135" spans="1:83" ht="14.1" hidden="1" customHeight="1" x14ac:dyDescent="0.3">
      <c r="A1135" s="174" t="s">
        <v>2354</v>
      </c>
      <c r="B1135" s="376">
        <v>46207</v>
      </c>
      <c r="C1135" s="275">
        <v>1102</v>
      </c>
      <c r="D1135" s="275" t="s">
        <v>2396</v>
      </c>
      <c r="E1135" s="231">
        <v>46208</v>
      </c>
      <c r="F1135" s="174" t="s">
        <v>98</v>
      </c>
      <c r="G1135" s="436" t="s">
        <v>99</v>
      </c>
      <c r="H1135" s="174" t="s">
        <v>199</v>
      </c>
      <c r="I1135" s="176"/>
      <c r="J1135" s="378" t="s">
        <v>1455</v>
      </c>
      <c r="K1135" s="176"/>
      <c r="L1135" s="376">
        <v>46207</v>
      </c>
      <c r="M1135" s="176"/>
      <c r="N1135" s="284">
        <v>141</v>
      </c>
      <c r="O1135" s="175">
        <v>46207</v>
      </c>
      <c r="P1135" s="275">
        <v>0</v>
      </c>
      <c r="Q1135" s="275">
        <v>400</v>
      </c>
      <c r="R1135" s="275">
        <v>137</v>
      </c>
      <c r="S1135" s="275">
        <v>537</v>
      </c>
      <c r="T1135" s="275">
        <v>537</v>
      </c>
      <c r="U1135" s="176"/>
      <c r="V1135" s="176"/>
      <c r="W1135" s="305">
        <v>322.2</v>
      </c>
      <c r="X1135" s="305">
        <v>326.39999999999998</v>
      </c>
      <c r="Y1135" s="305">
        <v>2480816.4900000002</v>
      </c>
      <c r="Z1135" s="174"/>
      <c r="AA1135" s="275">
        <v>62020.41</v>
      </c>
      <c r="AB1135" s="275">
        <v>62020.41</v>
      </c>
      <c r="AC1135" s="275">
        <v>2604857.31</v>
      </c>
      <c r="AD1135" s="339">
        <f t="shared" si="769"/>
        <v>2602252.4526900002</v>
      </c>
      <c r="AE1135" s="178">
        <v>40.47</v>
      </c>
      <c r="AF1135" s="178">
        <v>40.47</v>
      </c>
      <c r="AG1135" s="178">
        <v>40.340000000000003</v>
      </c>
      <c r="AH1135" s="308">
        <v>2E-3</v>
      </c>
      <c r="AI1135" s="308">
        <v>3.4000000000000002E-2</v>
      </c>
      <c r="AJ1135" s="437">
        <v>5.0999999999999997E-2</v>
      </c>
      <c r="AK1135" s="342">
        <v>0</v>
      </c>
      <c r="AL1135" s="335">
        <v>537</v>
      </c>
      <c r="AM1135" s="343">
        <v>0</v>
      </c>
      <c r="AN1135" s="343"/>
      <c r="AO1135" s="344">
        <f t="shared" si="759"/>
        <v>0</v>
      </c>
      <c r="AP1135" s="335">
        <v>0</v>
      </c>
      <c r="AQ1135" s="342">
        <v>0</v>
      </c>
      <c r="AR1135" s="342">
        <f t="shared" si="760"/>
        <v>537</v>
      </c>
      <c r="AS1135" s="342">
        <f t="shared" si="761"/>
        <v>564</v>
      </c>
      <c r="AT1135" s="345">
        <v>0</v>
      </c>
      <c r="AU1135" s="438" t="s">
        <v>2340</v>
      </c>
      <c r="AV1135" s="176"/>
      <c r="AW1135" s="342">
        <f t="shared" si="743"/>
        <v>32220</v>
      </c>
      <c r="AX1135" s="335"/>
      <c r="AY1135" s="342">
        <f t="shared" si="744"/>
        <v>32220</v>
      </c>
      <c r="AZ1135" s="342">
        <f t="shared" si="745"/>
        <v>32639.999999999996</v>
      </c>
      <c r="BA1135" s="342">
        <f t="shared" si="746"/>
        <v>-419.99999999999636</v>
      </c>
      <c r="BB1135" s="342">
        <f t="shared" si="747"/>
        <v>64.44</v>
      </c>
      <c r="BC1135" s="342">
        <v>0</v>
      </c>
      <c r="BD1135" s="176"/>
      <c r="BE1135" s="275">
        <v>326.5</v>
      </c>
      <c r="BF1135" s="345">
        <f t="shared" si="748"/>
        <v>0.48975000000000002</v>
      </c>
      <c r="BG1135" s="210">
        <f t="shared" si="749"/>
        <v>326.01024999999998</v>
      </c>
      <c r="BH1135" s="345">
        <f t="shared" si="750"/>
        <v>326.39999999999998</v>
      </c>
      <c r="BI1135" s="346">
        <f t="shared" si="751"/>
        <v>10.000000000002274</v>
      </c>
      <c r="BJ1135" s="346">
        <v>0</v>
      </c>
      <c r="BK1135" s="342">
        <f t="shared" si="752"/>
        <v>10.000000000002274</v>
      </c>
      <c r="BL1135" s="73"/>
      <c r="BM1135" s="74" t="str">
        <f t="shared" si="753"/>
        <v>Unloading no. 1102 Bill No 141 ,Deduction For Oil Deduction= 0 ,Bardana= 537 ,F.M= 0 Brokerage/Rate Difference  ,Shortage = 0 ,Greenish= 0 ,Moisture= 0</v>
      </c>
      <c r="BN1135" s="72"/>
      <c r="BO1135" s="77" t="str">
        <f t="shared" si="754"/>
        <v xml:space="preserve"> Party Condition 40.47  ,F.M% 0.2 ,Greenish 3.4 ,Moisture 5.1 ,Shortage in KG= 0  ,Oil% 40.34</v>
      </c>
      <c r="BP1135" s="78">
        <f t="shared" si="755"/>
        <v>7598.895496323531</v>
      </c>
      <c r="BQ1135" s="60"/>
      <c r="BR1135" s="60"/>
      <c r="BS1135" s="52"/>
      <c r="BT1135" s="52"/>
      <c r="BU1135" s="52"/>
      <c r="BV1135" s="52"/>
      <c r="BW1135" s="86"/>
      <c r="BX1135" s="30">
        <v>40.47</v>
      </c>
      <c r="BY1135" s="30">
        <v>40.340000000000003</v>
      </c>
      <c r="CC1135" s="57">
        <f t="shared" si="772"/>
        <v>564</v>
      </c>
      <c r="CE1135" s="57">
        <f t="shared" si="773"/>
        <v>537.14285714285711</v>
      </c>
    </row>
    <row r="1136" spans="1:83" ht="14.1" hidden="1" customHeight="1" x14ac:dyDescent="0.3">
      <c r="A1136" s="281" t="s">
        <v>2353</v>
      </c>
      <c r="B1136" s="146">
        <v>46205</v>
      </c>
      <c r="C1136" s="138">
        <v>1103</v>
      </c>
      <c r="D1136" s="138" t="s">
        <v>2451</v>
      </c>
      <c r="E1136" s="129">
        <v>46209</v>
      </c>
      <c r="F1136" s="281" t="s">
        <v>1144</v>
      </c>
      <c r="G1136" s="281" t="s">
        <v>1145</v>
      </c>
      <c r="H1136" s="281" t="s">
        <v>100</v>
      </c>
      <c r="I1136" s="136"/>
      <c r="J1136" s="347" t="s">
        <v>1146</v>
      </c>
      <c r="K1136" s="136"/>
      <c r="L1136" s="146">
        <v>46205</v>
      </c>
      <c r="M1136" s="136"/>
      <c r="N1136" s="281" t="s">
        <v>2500</v>
      </c>
      <c r="O1136" s="146">
        <v>46207</v>
      </c>
      <c r="P1136" s="138">
        <v>0</v>
      </c>
      <c r="Q1136" s="138">
        <v>500</v>
      </c>
      <c r="R1136" s="138">
        <v>95</v>
      </c>
      <c r="S1136" s="138">
        <v>595</v>
      </c>
      <c r="T1136" s="138">
        <v>595</v>
      </c>
      <c r="U1136" s="136"/>
      <c r="V1136" s="136"/>
      <c r="W1136" s="148">
        <v>303.60000000000002</v>
      </c>
      <c r="X1136" s="148">
        <v>303.2</v>
      </c>
      <c r="Y1136" s="148">
        <v>2375670</v>
      </c>
      <c r="Z1136" s="372">
        <v>39.840000000000003</v>
      </c>
      <c r="AA1136" s="148">
        <v>59391.75</v>
      </c>
      <c r="AB1136" s="148">
        <v>59391.75</v>
      </c>
      <c r="AC1136" s="148">
        <v>2494453.5</v>
      </c>
      <c r="AD1136" s="315">
        <f t="shared" si="769"/>
        <v>2491959.0465000002</v>
      </c>
      <c r="AE1136" s="147">
        <v>39.840000000000003</v>
      </c>
      <c r="AF1136" s="147">
        <v>42</v>
      </c>
      <c r="AG1136" s="147">
        <v>39.840000000000003</v>
      </c>
      <c r="AH1136" s="287">
        <v>2.0400000000000001E-2</v>
      </c>
      <c r="AI1136" s="287">
        <v>3.5499999999999997E-2</v>
      </c>
      <c r="AJ1136" s="287">
        <v>4.7E-2</v>
      </c>
      <c r="AK1136" s="318">
        <f t="shared" ref="AK1136:AK1169" si="774">+IF(AF1136=42,IF(MIN(AE1136,AG1136)&lt;AF1136,Y1136*((AF1136-MIN(AE1136,AG1136))/AF1136)),IF(MIN(AE1136,AG1136)&lt;AF1136,Y1136*((AF1136-MIN(AE1136,AG1136))/AF1136),0))</f>
        <v>122177.31428571409</v>
      </c>
      <c r="AL1136" s="193">
        <v>0</v>
      </c>
      <c r="AM1136" s="319">
        <v>0</v>
      </c>
      <c r="AN1136" s="319"/>
      <c r="AO1136" s="320">
        <f t="shared" ref="AO1136:AO1169" si="775">AT1136*Y1136/AW1136</f>
        <v>0</v>
      </c>
      <c r="AP1136" s="193">
        <v>0</v>
      </c>
      <c r="AQ1136" s="318">
        <v>0</v>
      </c>
      <c r="AR1136" s="318">
        <f t="shared" ref="AR1136:AR1169" si="776">SUM(AK1136:AQ1136)</f>
        <v>122177.31428571409</v>
      </c>
      <c r="AS1136" s="318">
        <f t="shared" ref="AS1136:AS1169" si="777">ROUND(AR1136*1.05,0)</f>
        <v>128286</v>
      </c>
      <c r="AT1136" s="321">
        <v>0</v>
      </c>
      <c r="AU1136" s="157"/>
      <c r="AV1136" s="136"/>
      <c r="AW1136" s="318">
        <f t="shared" ref="AW1136" si="778">W1136*100</f>
        <v>30360.000000000004</v>
      </c>
      <c r="AX1136" s="193"/>
      <c r="AY1136" s="318">
        <f t="shared" ref="AY1136" si="779">+AW1136+AX1136</f>
        <v>30360.000000000004</v>
      </c>
      <c r="AZ1136" s="318">
        <f t="shared" ref="AZ1136" si="780">X1136*100</f>
        <v>30320</v>
      </c>
      <c r="BA1136" s="318">
        <f t="shared" ref="BA1136" si="781">AY1136-AZ1136</f>
        <v>40.000000000003638</v>
      </c>
      <c r="BB1136" s="318">
        <f t="shared" ref="BB1136" si="782">AW1136*2/1000</f>
        <v>60.720000000000006</v>
      </c>
      <c r="BC1136" s="318">
        <v>0</v>
      </c>
      <c r="BD1136" s="136"/>
      <c r="BE1136" s="138">
        <v>303.60000000000002</v>
      </c>
      <c r="BF1136" s="321">
        <f t="shared" ref="BF1136:BF1169" si="783">+BE1136*0.15/100</f>
        <v>0.45539999999999997</v>
      </c>
      <c r="BG1136" s="197">
        <f t="shared" ref="BG1136:BG1169" si="784">BE1136-BF1136</f>
        <v>303.14460000000003</v>
      </c>
      <c r="BH1136" s="321">
        <f t="shared" ref="BH1136:BH1169" si="785">X1136</f>
        <v>303.2</v>
      </c>
      <c r="BI1136" s="322">
        <f t="shared" ref="BI1136:BI1169" si="786">(BE1136-BH1136)*100</f>
        <v>40.000000000003411</v>
      </c>
      <c r="BJ1136" s="322">
        <v>0</v>
      </c>
      <c r="BK1136" s="318">
        <f t="shared" ref="BK1136:BK1169" si="787">BI1136</f>
        <v>40.000000000003411</v>
      </c>
      <c r="BL1136" s="67"/>
      <c r="BM1136" s="68" t="str">
        <f t="shared" ref="BM1136:BM1169" si="788">+$C$1&amp;" "&amp;C1136 &amp;" "&amp;$N$1&amp;" "&amp;N1136&amp;" "&amp;$BM$1&amp;" "&amp;$AK$1&amp;" "&amp;AK1136&amp;" "&amp;$AL$1&amp;" "&amp;AL1136&amp;" "&amp;$AM$1&amp;" "&amp;AM1136&amp;" "&amp;$AN$1&amp;" "&amp;AN1136&amp;" "&amp;$AO$1&amp;" "&amp;AO1136&amp;" "&amp;$AP$1&amp;" "&amp;AP1136&amp;" "&amp;$AQ$1&amp;" "&amp;AQ1136</f>
        <v>Unloading no. 1103 Bill No 2026-27/321 ,Deduction For Oil Deduction= 122177.314285714 ,Bardana= 0 ,F.M= 0 Brokerage/Rate Difference  ,Shortage = 0 ,Greenish= 0 ,Moisture= 0</v>
      </c>
      <c r="BN1136" s="69"/>
      <c r="BO1136" s="70" t="str">
        <f t="shared" ref="BO1136:BO1169" si="789">+" "&amp;$AF$1&amp;" "&amp;AF1136&amp;" "&amp;" "&amp;$AH$1&amp;" "&amp;AH1136*100&amp;" "&amp;$AI$1&amp;" "&amp;AI1136*100&amp;" "&amp;$AJ$1&amp;" "&amp;AJ1136*100&amp;" ,"&amp;$AT$1&amp;" "&amp;AT1136&amp;" "&amp;IF(AE1136&gt;AG1136," ,Oil%"&amp;" "&amp;AG1136," ,Oil%"&amp;" "&amp;AE1136)</f>
        <v xml:space="preserve"> Party Condition 42  ,F.M% 2.04 ,Greenish 3.55 ,Moisture 4.7 ,Shortage in KG= 0  ,Oil% 39.84</v>
      </c>
      <c r="BP1136" s="71">
        <f t="shared" ref="BP1136:BP1169" si="790">(Y1136-AR1136)/X1136</f>
        <v>7432.3637391632119</v>
      </c>
      <c r="BQ1136" s="55"/>
      <c r="BR1136" s="55"/>
      <c r="BS1136" s="41"/>
      <c r="BT1136" s="41"/>
      <c r="BU1136" s="41"/>
      <c r="BV1136" s="41"/>
      <c r="BW1136" s="85"/>
      <c r="BX1136" s="27">
        <v>39.659999999999997</v>
      </c>
      <c r="BY1136" s="27">
        <v>39.71</v>
      </c>
    </row>
    <row r="1137" spans="1:83" ht="14.1" hidden="1" customHeight="1" x14ac:dyDescent="0.3">
      <c r="A1137" s="281" t="s">
        <v>2353</v>
      </c>
      <c r="B1137" s="146">
        <v>46205</v>
      </c>
      <c r="C1137" s="138">
        <v>1104</v>
      </c>
      <c r="D1137" s="138" t="s">
        <v>2452</v>
      </c>
      <c r="E1137" s="129">
        <v>46209</v>
      </c>
      <c r="F1137" s="281" t="s">
        <v>1144</v>
      </c>
      <c r="G1137" s="281" t="s">
        <v>1145</v>
      </c>
      <c r="H1137" s="281" t="s">
        <v>100</v>
      </c>
      <c r="I1137" s="136"/>
      <c r="J1137" s="347" t="s">
        <v>1146</v>
      </c>
      <c r="K1137" s="136"/>
      <c r="L1137" s="146">
        <v>46205</v>
      </c>
      <c r="M1137" s="136"/>
      <c r="N1137" s="281" t="s">
        <v>2501</v>
      </c>
      <c r="O1137" s="146">
        <v>46207</v>
      </c>
      <c r="P1137" s="138">
        <v>0</v>
      </c>
      <c r="Q1137" s="138">
        <v>790</v>
      </c>
      <c r="R1137" s="138">
        <v>40</v>
      </c>
      <c r="S1137" s="138">
        <v>830</v>
      </c>
      <c r="T1137" s="138">
        <v>830</v>
      </c>
      <c r="U1137" s="136"/>
      <c r="V1137" s="136"/>
      <c r="W1137" s="148">
        <v>420.8</v>
      </c>
      <c r="X1137" s="148">
        <v>421.4</v>
      </c>
      <c r="Y1137" s="148">
        <v>3292760</v>
      </c>
      <c r="Z1137" s="372">
        <v>39.880000000000003</v>
      </c>
      <c r="AA1137" s="148">
        <v>82319</v>
      </c>
      <c r="AB1137" s="148">
        <v>82319</v>
      </c>
      <c r="AC1137" s="148">
        <v>3457398</v>
      </c>
      <c r="AD1137" s="315">
        <f t="shared" si="769"/>
        <v>3453940.602</v>
      </c>
      <c r="AE1137" s="147">
        <v>39.880000000000003</v>
      </c>
      <c r="AF1137" s="147">
        <v>42</v>
      </c>
      <c r="AG1137" s="147">
        <v>39.880000000000003</v>
      </c>
      <c r="AH1137" s="287">
        <v>3.8E-3</v>
      </c>
      <c r="AI1137" s="287">
        <v>4.1599999999999998E-2</v>
      </c>
      <c r="AJ1137" s="287">
        <v>5.1999999999999998E-2</v>
      </c>
      <c r="AK1137" s="318">
        <f t="shared" si="774"/>
        <v>166205.98095238075</v>
      </c>
      <c r="AL1137" s="193">
        <v>0</v>
      </c>
      <c r="AM1137" s="319">
        <v>0</v>
      </c>
      <c r="AN1137" s="319"/>
      <c r="AO1137" s="320">
        <f t="shared" si="775"/>
        <v>0</v>
      </c>
      <c r="AP1137" s="193">
        <v>0</v>
      </c>
      <c r="AQ1137" s="318">
        <v>0</v>
      </c>
      <c r="AR1137" s="318">
        <f t="shared" si="776"/>
        <v>166205.98095238075</v>
      </c>
      <c r="AS1137" s="318">
        <f t="shared" si="777"/>
        <v>174516</v>
      </c>
      <c r="AT1137" s="321">
        <v>0</v>
      </c>
      <c r="AU1137" s="157"/>
      <c r="AV1137" s="136"/>
      <c r="AW1137" s="318">
        <f t="shared" ref="AW1137:AW1169" si="791">W1137*100</f>
        <v>42080</v>
      </c>
      <c r="AX1137" s="193"/>
      <c r="AY1137" s="318">
        <f t="shared" ref="AY1137:AY1169" si="792">+AW1137+AX1137</f>
        <v>42080</v>
      </c>
      <c r="AZ1137" s="318">
        <f t="shared" ref="AZ1137:AZ1169" si="793">X1137*100</f>
        <v>42140</v>
      </c>
      <c r="BA1137" s="318">
        <f t="shared" ref="BA1137:BA1169" si="794">AY1137-AZ1137</f>
        <v>-60</v>
      </c>
      <c r="BB1137" s="318">
        <f t="shared" ref="BB1137:BB1169" si="795">AW1137*2/1000</f>
        <v>84.16</v>
      </c>
      <c r="BC1137" s="318">
        <v>0</v>
      </c>
      <c r="BD1137" s="136"/>
      <c r="BE1137" s="138">
        <v>420.8</v>
      </c>
      <c r="BF1137" s="321">
        <f t="shared" si="783"/>
        <v>0.63119999999999998</v>
      </c>
      <c r="BG1137" s="197">
        <f t="shared" si="784"/>
        <v>420.16880000000003</v>
      </c>
      <c r="BH1137" s="321">
        <f t="shared" si="785"/>
        <v>421.4</v>
      </c>
      <c r="BI1137" s="322">
        <f t="shared" si="786"/>
        <v>-59.999999999996589</v>
      </c>
      <c r="BJ1137" s="322">
        <v>0</v>
      </c>
      <c r="BK1137" s="318">
        <f t="shared" si="787"/>
        <v>-59.999999999996589</v>
      </c>
      <c r="BL1137" s="67"/>
      <c r="BM1137" s="68" t="str">
        <f t="shared" si="788"/>
        <v>Unloading no. 1104 Bill No 2026-27/323 ,Deduction For Oil Deduction= 166205.980952381 ,Bardana= 0 ,F.M= 0 Brokerage/Rate Difference  ,Shortage = 0 ,Greenish= 0 ,Moisture= 0</v>
      </c>
      <c r="BN1137" s="69"/>
      <c r="BO1137" s="70" t="str">
        <f t="shared" si="789"/>
        <v xml:space="preserve"> Party Condition 42  ,F.M% 0.38 ,Greenish 4.16 ,Moisture 5.2 ,Shortage in KG= 0  ,Oil% 39.88</v>
      </c>
      <c r="BP1137" s="71">
        <f t="shared" si="790"/>
        <v>7419.4447533166103</v>
      </c>
      <c r="BQ1137" s="55"/>
      <c r="BR1137" s="55"/>
      <c r="BS1137" s="41"/>
      <c r="BT1137" s="41"/>
      <c r="BU1137" s="41"/>
      <c r="BV1137" s="41"/>
      <c r="BW1137" s="85"/>
      <c r="BX1137" s="27">
        <v>39.82</v>
      </c>
      <c r="BY1137" s="27">
        <v>39.75</v>
      </c>
    </row>
    <row r="1138" spans="1:83" ht="14.1" hidden="1" customHeight="1" x14ac:dyDescent="0.3">
      <c r="A1138" s="281" t="s">
        <v>2438</v>
      </c>
      <c r="B1138" s="146">
        <v>46207</v>
      </c>
      <c r="C1138" s="138">
        <v>1105</v>
      </c>
      <c r="D1138" s="138" t="s">
        <v>2453</v>
      </c>
      <c r="E1138" s="129">
        <v>46209</v>
      </c>
      <c r="F1138" s="281" t="s">
        <v>1691</v>
      </c>
      <c r="G1138" s="281" t="s">
        <v>1692</v>
      </c>
      <c r="H1138" s="281" t="s">
        <v>1693</v>
      </c>
      <c r="I1138" s="136"/>
      <c r="J1138" s="347" t="s">
        <v>1455</v>
      </c>
      <c r="K1138" s="136"/>
      <c r="L1138" s="146">
        <v>46207</v>
      </c>
      <c r="M1138" s="136"/>
      <c r="N1138" s="281" t="s">
        <v>1312</v>
      </c>
      <c r="O1138" s="146">
        <v>46207</v>
      </c>
      <c r="P1138" s="138">
        <v>0</v>
      </c>
      <c r="Q1138" s="138">
        <v>200</v>
      </c>
      <c r="R1138" s="138">
        <v>50</v>
      </c>
      <c r="S1138" s="138">
        <v>250</v>
      </c>
      <c r="T1138" s="138">
        <v>250</v>
      </c>
      <c r="U1138" s="136"/>
      <c r="V1138" s="136"/>
      <c r="W1138" s="148">
        <v>152</v>
      </c>
      <c r="X1138" s="148">
        <v>152</v>
      </c>
      <c r="Y1138" s="148">
        <v>1197000</v>
      </c>
      <c r="Z1138" s="147"/>
      <c r="AA1138" s="148">
        <v>29925</v>
      </c>
      <c r="AB1138" s="148">
        <v>29925</v>
      </c>
      <c r="AC1138" s="148">
        <v>1256850</v>
      </c>
      <c r="AD1138" s="315">
        <f t="shared" si="769"/>
        <v>1255593.1499999999</v>
      </c>
      <c r="AE1138" s="147">
        <v>40.33</v>
      </c>
      <c r="AF1138" s="147">
        <v>42</v>
      </c>
      <c r="AG1138" s="147">
        <v>40.119999999999997</v>
      </c>
      <c r="AH1138" s="287">
        <v>2.2000000000000001E-3</v>
      </c>
      <c r="AI1138" s="287">
        <v>3.3000000000000002E-2</v>
      </c>
      <c r="AJ1138" s="287">
        <v>5.1499999999999997E-2</v>
      </c>
      <c r="AK1138" s="318">
        <f>+IF(AF1138=42,IF(MIN(AE1138,AG1138)&lt;AF1138,Y1138*((AF1138-MIN(AE1138,AG1138))/AF1138)),IF(MIN(AE1138,AG1138)&lt;AF1138,Y1138*((AF1138-MIN(AE1138,AG1138))/AF1138),0))-21.43</f>
        <v>53558.570000000072</v>
      </c>
      <c r="AL1138" s="193">
        <f>200*10+50*15</f>
        <v>2750</v>
      </c>
      <c r="AM1138" s="319">
        <f>Y1138*AH1138</f>
        <v>2633.4</v>
      </c>
      <c r="AN1138" s="319"/>
      <c r="AO1138" s="320">
        <f t="shared" si="775"/>
        <v>0</v>
      </c>
      <c r="AP1138" s="193">
        <v>0</v>
      </c>
      <c r="AQ1138" s="409">
        <f>Y1138*0.15/100</f>
        <v>1795.5</v>
      </c>
      <c r="AR1138" s="318">
        <f t="shared" si="776"/>
        <v>60737.470000000074</v>
      </c>
      <c r="AS1138" s="318">
        <f t="shared" si="777"/>
        <v>63774</v>
      </c>
      <c r="AT1138" s="321">
        <v>0</v>
      </c>
      <c r="AU1138" s="206" t="s">
        <v>2208</v>
      </c>
      <c r="AV1138" s="136"/>
      <c r="AW1138" s="318">
        <f t="shared" si="791"/>
        <v>15200</v>
      </c>
      <c r="AX1138" s="193"/>
      <c r="AY1138" s="318">
        <f t="shared" si="792"/>
        <v>15200</v>
      </c>
      <c r="AZ1138" s="318">
        <f t="shared" si="793"/>
        <v>15200</v>
      </c>
      <c r="BA1138" s="318">
        <f t="shared" si="794"/>
        <v>0</v>
      </c>
      <c r="BB1138" s="318">
        <f t="shared" si="795"/>
        <v>30.4</v>
      </c>
      <c r="BC1138" s="318">
        <v>0</v>
      </c>
      <c r="BD1138" s="136"/>
      <c r="BE1138" s="138">
        <v>152</v>
      </c>
      <c r="BF1138" s="321">
        <f t="shared" si="783"/>
        <v>0.22800000000000001</v>
      </c>
      <c r="BG1138" s="197">
        <f t="shared" si="784"/>
        <v>151.77199999999999</v>
      </c>
      <c r="BH1138" s="321">
        <f t="shared" si="785"/>
        <v>152</v>
      </c>
      <c r="BI1138" s="322">
        <f t="shared" si="786"/>
        <v>0</v>
      </c>
      <c r="BJ1138" s="322">
        <v>0</v>
      </c>
      <c r="BK1138" s="318">
        <f t="shared" si="787"/>
        <v>0</v>
      </c>
      <c r="BL1138" s="67"/>
      <c r="BM1138" s="68" t="str">
        <f t="shared" si="788"/>
        <v>Unloading no. 1105 Bill No 2026-27/75 ,Deduction For Oil Deduction= 53558.5700000001 ,Bardana= 2750 ,F.M= 2633.4 Brokerage/Rate Difference  ,Shortage = 0 ,Greenish= 0 ,Moisture= 1795.5</v>
      </c>
      <c r="BN1138" s="69"/>
      <c r="BO1138" s="70" t="str">
        <f t="shared" si="789"/>
        <v xml:space="preserve"> Party Condition 42  ,F.M% 0.22 ,Greenish 3.3 ,Moisture 5.15 ,Shortage in KG= 0  ,Oil% 40.12</v>
      </c>
      <c r="BP1138" s="71">
        <f t="shared" si="790"/>
        <v>7475.4113815789478</v>
      </c>
      <c r="BQ1138" s="55"/>
      <c r="BR1138" s="55"/>
      <c r="BS1138" s="41"/>
      <c r="BT1138" s="41"/>
      <c r="BU1138" s="41"/>
      <c r="BV1138" s="41"/>
      <c r="BW1138" s="85"/>
      <c r="BX1138" s="27">
        <v>40.33</v>
      </c>
      <c r="BY1138" s="27">
        <v>40.119999999999997</v>
      </c>
      <c r="CA1138" s="56">
        <v>63522.97</v>
      </c>
      <c r="CC1138" s="57">
        <f t="shared" ref="CC1138" si="796">AS1138-CA1138</f>
        <v>251.02999999999884</v>
      </c>
      <c r="CE1138" s="88">
        <f t="shared" ref="CE1138" si="797">CC1138/105%</f>
        <v>239.07619047618937</v>
      </c>
    </row>
    <row r="1139" spans="1:83" ht="14.1" hidden="1" customHeight="1" x14ac:dyDescent="0.3">
      <c r="A1139" s="281" t="s">
        <v>2353</v>
      </c>
      <c r="B1139" s="146">
        <v>46205</v>
      </c>
      <c r="C1139" s="138">
        <v>1106</v>
      </c>
      <c r="D1139" s="138" t="s">
        <v>2454</v>
      </c>
      <c r="E1139" s="129">
        <v>46209</v>
      </c>
      <c r="F1139" s="281" t="s">
        <v>1144</v>
      </c>
      <c r="G1139" s="281" t="s">
        <v>1145</v>
      </c>
      <c r="H1139" s="281" t="s">
        <v>100</v>
      </c>
      <c r="I1139" s="136"/>
      <c r="J1139" s="347" t="s">
        <v>1146</v>
      </c>
      <c r="K1139" s="136"/>
      <c r="L1139" s="146">
        <v>46205</v>
      </c>
      <c r="M1139" s="136"/>
      <c r="N1139" s="281" t="s">
        <v>2502</v>
      </c>
      <c r="O1139" s="146">
        <v>46207</v>
      </c>
      <c r="P1139" s="138">
        <v>0</v>
      </c>
      <c r="Q1139" s="138">
        <v>490</v>
      </c>
      <c r="R1139" s="138">
        <v>30</v>
      </c>
      <c r="S1139" s="138">
        <v>520</v>
      </c>
      <c r="T1139" s="138">
        <v>520</v>
      </c>
      <c r="U1139" s="136"/>
      <c r="V1139" s="136"/>
      <c r="W1139" s="148">
        <v>263.2</v>
      </c>
      <c r="X1139" s="148">
        <v>263.39999999999998</v>
      </c>
      <c r="Y1139" s="148">
        <v>2059540</v>
      </c>
      <c r="Z1139" s="372">
        <v>40.479999999999997</v>
      </c>
      <c r="AA1139" s="148">
        <v>51488.5</v>
      </c>
      <c r="AB1139" s="148">
        <v>51488.5</v>
      </c>
      <c r="AC1139" s="148">
        <v>2162517</v>
      </c>
      <c r="AD1139" s="315">
        <f t="shared" si="769"/>
        <v>2160354.483</v>
      </c>
      <c r="AE1139" s="147">
        <v>40.479999999999997</v>
      </c>
      <c r="AF1139" s="147">
        <v>42</v>
      </c>
      <c r="AG1139" s="147">
        <v>40.479999999999997</v>
      </c>
      <c r="AH1139" s="287">
        <v>2.5000000000000001E-3</v>
      </c>
      <c r="AI1139" s="287">
        <v>3.04E-2</v>
      </c>
      <c r="AJ1139" s="287">
        <v>4.9000000000000002E-2</v>
      </c>
      <c r="AK1139" s="318">
        <f t="shared" si="774"/>
        <v>74535.733333333483</v>
      </c>
      <c r="AL1139" s="193">
        <v>0</v>
      </c>
      <c r="AM1139" s="319">
        <v>0</v>
      </c>
      <c r="AN1139" s="319"/>
      <c r="AO1139" s="320">
        <f t="shared" si="775"/>
        <v>0</v>
      </c>
      <c r="AP1139" s="193">
        <v>0</v>
      </c>
      <c r="AQ1139" s="318">
        <v>0</v>
      </c>
      <c r="AR1139" s="318">
        <f t="shared" si="776"/>
        <v>74535.733333333483</v>
      </c>
      <c r="AS1139" s="318">
        <f t="shared" si="777"/>
        <v>78263</v>
      </c>
      <c r="AT1139" s="321">
        <v>0</v>
      </c>
      <c r="AU1139" s="157"/>
      <c r="AV1139" s="136"/>
      <c r="AW1139" s="318">
        <f t="shared" si="791"/>
        <v>26320</v>
      </c>
      <c r="AX1139" s="193"/>
      <c r="AY1139" s="318">
        <f t="shared" si="792"/>
        <v>26320</v>
      </c>
      <c r="AZ1139" s="318">
        <f t="shared" si="793"/>
        <v>26339.999999999996</v>
      </c>
      <c r="BA1139" s="318">
        <f t="shared" si="794"/>
        <v>-19.999999999996362</v>
      </c>
      <c r="BB1139" s="318">
        <f t="shared" si="795"/>
        <v>52.64</v>
      </c>
      <c r="BC1139" s="318">
        <v>0</v>
      </c>
      <c r="BD1139" s="136"/>
      <c r="BE1139" s="138">
        <v>263.2</v>
      </c>
      <c r="BF1139" s="321">
        <f t="shared" si="783"/>
        <v>0.39479999999999998</v>
      </c>
      <c r="BG1139" s="197">
        <f t="shared" si="784"/>
        <v>262.80520000000001</v>
      </c>
      <c r="BH1139" s="321">
        <f t="shared" si="785"/>
        <v>263.39999999999998</v>
      </c>
      <c r="BI1139" s="322">
        <f t="shared" si="786"/>
        <v>-19.999999999998863</v>
      </c>
      <c r="BJ1139" s="322">
        <v>0</v>
      </c>
      <c r="BK1139" s="318">
        <f t="shared" si="787"/>
        <v>-19.999999999998863</v>
      </c>
      <c r="BL1139" s="67"/>
      <c r="BM1139" s="68" t="str">
        <f t="shared" si="788"/>
        <v>Unloading no. 1106 Bill No 2026-27/320 ,Deduction For Oil Deduction= 74535.7333333335 ,Bardana= 0 ,F.M= 0 Brokerage/Rate Difference  ,Shortage = 0 ,Greenish= 0 ,Moisture= 0</v>
      </c>
      <c r="BN1139" s="69"/>
      <c r="BO1139" s="70" t="str">
        <f t="shared" si="789"/>
        <v xml:space="preserve"> Party Condition 42  ,F.M% 0.25 ,Greenish 3.04 ,Moisture 4.9 ,Shortage in KG= 0  ,Oil% 40.48</v>
      </c>
      <c r="BP1139" s="71">
        <f t="shared" si="790"/>
        <v>7536.083016957733</v>
      </c>
      <c r="BQ1139" s="55"/>
      <c r="BR1139" s="55"/>
      <c r="BS1139" s="41"/>
      <c r="BT1139" s="41"/>
      <c r="BU1139" s="41"/>
      <c r="BV1139" s="41"/>
      <c r="BW1139" s="85"/>
      <c r="BX1139" s="27">
        <v>40.32</v>
      </c>
      <c r="BY1139" s="27">
        <v>40.31</v>
      </c>
    </row>
    <row r="1140" spans="1:83" ht="14.1" hidden="1" customHeight="1" x14ac:dyDescent="0.3">
      <c r="A1140" s="281" t="s">
        <v>2353</v>
      </c>
      <c r="B1140" s="146">
        <v>46205</v>
      </c>
      <c r="C1140" s="138">
        <v>1107</v>
      </c>
      <c r="D1140" s="138" t="s">
        <v>2455</v>
      </c>
      <c r="E1140" s="129">
        <v>46209</v>
      </c>
      <c r="F1140" s="281" t="s">
        <v>1144</v>
      </c>
      <c r="G1140" s="281" t="s">
        <v>1145</v>
      </c>
      <c r="H1140" s="281" t="s">
        <v>100</v>
      </c>
      <c r="I1140" s="136"/>
      <c r="J1140" s="347" t="s">
        <v>1146</v>
      </c>
      <c r="K1140" s="136"/>
      <c r="L1140" s="146">
        <v>46205</v>
      </c>
      <c r="M1140" s="136"/>
      <c r="N1140" s="281" t="s">
        <v>2503</v>
      </c>
      <c r="O1140" s="146">
        <v>46207</v>
      </c>
      <c r="P1140" s="138">
        <v>0</v>
      </c>
      <c r="Q1140" s="138">
        <v>450</v>
      </c>
      <c r="R1140" s="138">
        <v>130</v>
      </c>
      <c r="S1140" s="138">
        <v>580</v>
      </c>
      <c r="T1140" s="138">
        <v>580</v>
      </c>
      <c r="U1140" s="136"/>
      <c r="V1140" s="136"/>
      <c r="W1140" s="148">
        <v>295.2</v>
      </c>
      <c r="X1140" s="148">
        <v>295.39999999999998</v>
      </c>
      <c r="Y1140" s="148">
        <v>2309940</v>
      </c>
      <c r="Z1140" s="372">
        <v>40.03</v>
      </c>
      <c r="AA1140" s="148">
        <v>57748.5</v>
      </c>
      <c r="AB1140" s="148">
        <v>57748.5</v>
      </c>
      <c r="AC1140" s="148">
        <v>2425437</v>
      </c>
      <c r="AD1140" s="315">
        <f t="shared" si="769"/>
        <v>2423011.5630000001</v>
      </c>
      <c r="AE1140" s="147">
        <v>40.03</v>
      </c>
      <c r="AF1140" s="147">
        <v>42</v>
      </c>
      <c r="AG1140" s="147">
        <v>40.03</v>
      </c>
      <c r="AH1140" s="287">
        <v>2.2000000000000001E-3</v>
      </c>
      <c r="AI1140" s="287">
        <v>3.2899999999999999E-2</v>
      </c>
      <c r="AJ1140" s="287">
        <v>4.4999999999999998E-2</v>
      </c>
      <c r="AK1140" s="318">
        <f t="shared" si="774"/>
        <v>108347.18571428566</v>
      </c>
      <c r="AL1140" s="193">
        <v>0</v>
      </c>
      <c r="AM1140" s="319">
        <v>0</v>
      </c>
      <c r="AN1140" s="319"/>
      <c r="AO1140" s="320">
        <f t="shared" si="775"/>
        <v>0</v>
      </c>
      <c r="AP1140" s="193">
        <v>0</v>
      </c>
      <c r="AQ1140" s="318">
        <v>0</v>
      </c>
      <c r="AR1140" s="318">
        <f t="shared" si="776"/>
        <v>108347.18571428566</v>
      </c>
      <c r="AS1140" s="318">
        <f t="shared" si="777"/>
        <v>113765</v>
      </c>
      <c r="AT1140" s="321">
        <v>0</v>
      </c>
      <c r="AU1140" s="157"/>
      <c r="AV1140" s="136"/>
      <c r="AW1140" s="318">
        <f t="shared" si="791"/>
        <v>29520</v>
      </c>
      <c r="AX1140" s="193"/>
      <c r="AY1140" s="318">
        <f t="shared" si="792"/>
        <v>29520</v>
      </c>
      <c r="AZ1140" s="318">
        <f t="shared" si="793"/>
        <v>29539.999999999996</v>
      </c>
      <c r="BA1140" s="318">
        <f t="shared" si="794"/>
        <v>-19.999999999996362</v>
      </c>
      <c r="BB1140" s="318">
        <f t="shared" si="795"/>
        <v>59.04</v>
      </c>
      <c r="BC1140" s="318">
        <v>0</v>
      </c>
      <c r="BD1140" s="136"/>
      <c r="BE1140" s="138">
        <v>295.2</v>
      </c>
      <c r="BF1140" s="321">
        <f t="shared" si="783"/>
        <v>0.44279999999999992</v>
      </c>
      <c r="BG1140" s="197">
        <f t="shared" si="784"/>
        <v>294.75720000000001</v>
      </c>
      <c r="BH1140" s="321">
        <f t="shared" si="785"/>
        <v>295.39999999999998</v>
      </c>
      <c r="BI1140" s="322">
        <f t="shared" si="786"/>
        <v>-19.999999999998863</v>
      </c>
      <c r="BJ1140" s="322">
        <v>0</v>
      </c>
      <c r="BK1140" s="318">
        <f t="shared" si="787"/>
        <v>-19.999999999998863</v>
      </c>
      <c r="BL1140" s="67"/>
      <c r="BM1140" s="68" t="str">
        <f t="shared" si="788"/>
        <v>Unloading no. 1107 Bill No 2026-27/317 ,Deduction For Oil Deduction= 108347.185714286 ,Bardana= 0 ,F.M= 0 Brokerage/Rate Difference  ,Shortage = 0 ,Greenish= 0 ,Moisture= 0</v>
      </c>
      <c r="BN1140" s="69"/>
      <c r="BO1140" s="70" t="str">
        <f t="shared" si="789"/>
        <v xml:space="preserve"> Party Condition 42  ,F.M% 0.22 ,Greenish 3.29 ,Moisture 4.5 ,Shortage in KG= 0  ,Oil% 40.03</v>
      </c>
      <c r="BP1140" s="71">
        <f t="shared" si="790"/>
        <v>7452.920833736338</v>
      </c>
      <c r="BQ1140" s="55"/>
      <c r="BR1140" s="55"/>
      <c r="BS1140" s="41"/>
      <c r="BT1140" s="41"/>
      <c r="BU1140" s="41"/>
      <c r="BV1140" s="41"/>
      <c r="BW1140" s="85"/>
      <c r="BX1140" s="27">
        <v>39.700000000000003</v>
      </c>
      <c r="BY1140" s="27">
        <v>39.64</v>
      </c>
    </row>
    <row r="1141" spans="1:83" ht="14.1" hidden="1" customHeight="1" x14ac:dyDescent="0.3">
      <c r="A1141" s="281" t="s">
        <v>2439</v>
      </c>
      <c r="B1141" s="146">
        <v>46206</v>
      </c>
      <c r="C1141" s="138">
        <v>1108</v>
      </c>
      <c r="D1141" s="138" t="s">
        <v>2456</v>
      </c>
      <c r="E1141" s="129">
        <v>46209</v>
      </c>
      <c r="F1141" s="281" t="s">
        <v>1144</v>
      </c>
      <c r="G1141" s="281" t="s">
        <v>1145</v>
      </c>
      <c r="H1141" s="281" t="s">
        <v>100</v>
      </c>
      <c r="I1141" s="136"/>
      <c r="J1141" s="347" t="s">
        <v>1146</v>
      </c>
      <c r="K1141" s="136"/>
      <c r="L1141" s="146">
        <v>46206</v>
      </c>
      <c r="M1141" s="136"/>
      <c r="N1141" s="281" t="s">
        <v>2504</v>
      </c>
      <c r="O1141" s="146">
        <v>46208</v>
      </c>
      <c r="P1141" s="138">
        <v>0</v>
      </c>
      <c r="Q1141" s="138">
        <v>310</v>
      </c>
      <c r="R1141" s="138">
        <v>300</v>
      </c>
      <c r="S1141" s="138">
        <v>610</v>
      </c>
      <c r="T1141" s="138">
        <v>610</v>
      </c>
      <c r="U1141" s="136"/>
      <c r="V1141" s="136"/>
      <c r="W1141" s="148">
        <v>310.5</v>
      </c>
      <c r="X1141" s="148">
        <v>310.5</v>
      </c>
      <c r="Y1141" s="148">
        <v>2428420.5</v>
      </c>
      <c r="Z1141" s="372">
        <v>39.74</v>
      </c>
      <c r="AA1141" s="148">
        <v>60710.51</v>
      </c>
      <c r="AB1141" s="148">
        <v>60710.51</v>
      </c>
      <c r="AC1141" s="148">
        <v>2549841.5299999998</v>
      </c>
      <c r="AD1141" s="315">
        <f t="shared" si="769"/>
        <v>2547291.6884699999</v>
      </c>
      <c r="AE1141" s="147">
        <v>39.74</v>
      </c>
      <c r="AF1141" s="147">
        <v>42</v>
      </c>
      <c r="AG1141" s="147">
        <v>39.74</v>
      </c>
      <c r="AH1141" s="287">
        <v>3.8E-3</v>
      </c>
      <c r="AI1141" s="287">
        <v>3.39E-2</v>
      </c>
      <c r="AJ1141" s="287">
        <v>4.1000000000000002E-2</v>
      </c>
      <c r="AK1141" s="318">
        <f t="shared" si="774"/>
        <v>130672.15071428561</v>
      </c>
      <c r="AL1141" s="193">
        <v>0</v>
      </c>
      <c r="AM1141" s="319">
        <v>0</v>
      </c>
      <c r="AN1141" s="319"/>
      <c r="AO1141" s="320">
        <f t="shared" si="775"/>
        <v>0</v>
      </c>
      <c r="AP1141" s="193">
        <v>0</v>
      </c>
      <c r="AQ1141" s="318">
        <v>0</v>
      </c>
      <c r="AR1141" s="318">
        <f t="shared" si="776"/>
        <v>130672.15071428561</v>
      </c>
      <c r="AS1141" s="318">
        <f t="shared" si="777"/>
        <v>137206</v>
      </c>
      <c r="AT1141" s="321">
        <v>0</v>
      </c>
      <c r="AU1141" s="157"/>
      <c r="AV1141" s="136"/>
      <c r="AW1141" s="318">
        <f t="shared" si="791"/>
        <v>31050</v>
      </c>
      <c r="AX1141" s="193"/>
      <c r="AY1141" s="318">
        <f t="shared" si="792"/>
        <v>31050</v>
      </c>
      <c r="AZ1141" s="318">
        <f t="shared" si="793"/>
        <v>31050</v>
      </c>
      <c r="BA1141" s="318">
        <f t="shared" si="794"/>
        <v>0</v>
      </c>
      <c r="BB1141" s="318">
        <f t="shared" si="795"/>
        <v>62.1</v>
      </c>
      <c r="BC1141" s="318">
        <v>0</v>
      </c>
      <c r="BD1141" s="136"/>
      <c r="BE1141" s="138">
        <v>310.5</v>
      </c>
      <c r="BF1141" s="321">
        <f t="shared" si="783"/>
        <v>0.46574999999999994</v>
      </c>
      <c r="BG1141" s="197">
        <f t="shared" si="784"/>
        <v>310.03424999999999</v>
      </c>
      <c r="BH1141" s="321">
        <f t="shared" si="785"/>
        <v>310.5</v>
      </c>
      <c r="BI1141" s="322">
        <f t="shared" si="786"/>
        <v>0</v>
      </c>
      <c r="BJ1141" s="322">
        <v>0</v>
      </c>
      <c r="BK1141" s="318">
        <f t="shared" si="787"/>
        <v>0</v>
      </c>
      <c r="BL1141" s="67"/>
      <c r="BM1141" s="68" t="str">
        <f t="shared" si="788"/>
        <v>Unloading no. 1108 Bill No 2026-27/325 ,Deduction For Oil Deduction= 130672.150714286 ,Bardana= 0 ,F.M= 0 Brokerage/Rate Difference  ,Shortage = 0 ,Greenish= 0 ,Moisture= 0</v>
      </c>
      <c r="BN1141" s="69"/>
      <c r="BO1141" s="70" t="str">
        <f t="shared" si="789"/>
        <v xml:space="preserve"> Party Condition 42  ,F.M% 0.38 ,Greenish 3.39 ,Moisture 4.1 ,Shortage in KG= 0  ,Oil% 39.74</v>
      </c>
      <c r="BP1141" s="71">
        <f t="shared" si="790"/>
        <v>7400.1557142857146</v>
      </c>
      <c r="BQ1141" s="55"/>
      <c r="BR1141" s="55"/>
      <c r="BS1141" s="41"/>
      <c r="BT1141" s="41"/>
      <c r="BU1141" s="41"/>
      <c r="BV1141" s="41"/>
      <c r="BW1141" s="85"/>
      <c r="BX1141" s="27">
        <v>39.799999999999997</v>
      </c>
      <c r="BY1141" s="27">
        <v>39.729999999999997</v>
      </c>
    </row>
    <row r="1142" spans="1:83" ht="14.1" hidden="1" customHeight="1" x14ac:dyDescent="0.3">
      <c r="A1142" s="281" t="s">
        <v>2439</v>
      </c>
      <c r="B1142" s="146">
        <v>46206</v>
      </c>
      <c r="C1142" s="190">
        <v>1109</v>
      </c>
      <c r="D1142" s="138" t="s">
        <v>2457</v>
      </c>
      <c r="E1142" s="129">
        <v>46209</v>
      </c>
      <c r="F1142" s="281" t="s">
        <v>1144</v>
      </c>
      <c r="G1142" s="281" t="s">
        <v>1145</v>
      </c>
      <c r="H1142" s="281" t="s">
        <v>100</v>
      </c>
      <c r="I1142" s="136"/>
      <c r="J1142" s="347" t="s">
        <v>1146</v>
      </c>
      <c r="K1142" s="136"/>
      <c r="L1142" s="146">
        <v>46206</v>
      </c>
      <c r="M1142" s="136"/>
      <c r="N1142" s="281" t="s">
        <v>2505</v>
      </c>
      <c r="O1142" s="146">
        <v>46208</v>
      </c>
      <c r="P1142" s="138">
        <v>0</v>
      </c>
      <c r="Q1142" s="138">
        <v>130</v>
      </c>
      <c r="R1142" s="138">
        <v>0</v>
      </c>
      <c r="S1142" s="138">
        <v>130</v>
      </c>
      <c r="T1142" s="138">
        <v>130</v>
      </c>
      <c r="U1142" s="136"/>
      <c r="V1142" s="136"/>
      <c r="W1142" s="148">
        <v>65</v>
      </c>
      <c r="X1142" s="148">
        <v>65</v>
      </c>
      <c r="Y1142" s="148">
        <v>508625</v>
      </c>
      <c r="Z1142" s="372">
        <v>40.06</v>
      </c>
      <c r="AA1142" s="148">
        <v>12715.63</v>
      </c>
      <c r="AB1142" s="148">
        <v>12715.63</v>
      </c>
      <c r="AC1142" s="148">
        <v>534056.25</v>
      </c>
      <c r="AD1142" s="315">
        <f t="shared" si="769"/>
        <v>533522.19374999998</v>
      </c>
      <c r="AE1142" s="147">
        <v>40.06</v>
      </c>
      <c r="AF1142" s="147">
        <v>42</v>
      </c>
      <c r="AG1142" s="147">
        <v>40.06</v>
      </c>
      <c r="AH1142" s="287">
        <v>8.0000000000000002E-3</v>
      </c>
      <c r="AI1142" s="287">
        <v>3.2800000000000003E-2</v>
      </c>
      <c r="AJ1142" s="287">
        <v>4.2999999999999997E-2</v>
      </c>
      <c r="AK1142" s="318">
        <f t="shared" si="774"/>
        <v>23493.630952380925</v>
      </c>
      <c r="AL1142" s="193">
        <v>0</v>
      </c>
      <c r="AM1142" s="319">
        <v>0</v>
      </c>
      <c r="AN1142" s="319"/>
      <c r="AO1142" s="320">
        <f t="shared" si="775"/>
        <v>0</v>
      </c>
      <c r="AP1142" s="193">
        <v>0</v>
      </c>
      <c r="AQ1142" s="318">
        <v>0</v>
      </c>
      <c r="AR1142" s="318">
        <f t="shared" si="776"/>
        <v>23493.630952380925</v>
      </c>
      <c r="AS1142" s="318">
        <f t="shared" si="777"/>
        <v>24668</v>
      </c>
      <c r="AT1142" s="321">
        <v>0</v>
      </c>
      <c r="AU1142" s="157"/>
      <c r="AV1142" s="136"/>
      <c r="AW1142" s="318">
        <f t="shared" si="791"/>
        <v>6500</v>
      </c>
      <c r="AX1142" s="193"/>
      <c r="AY1142" s="318">
        <f t="shared" si="792"/>
        <v>6500</v>
      </c>
      <c r="AZ1142" s="318">
        <f t="shared" si="793"/>
        <v>6500</v>
      </c>
      <c r="BA1142" s="318">
        <f t="shared" si="794"/>
        <v>0</v>
      </c>
      <c r="BB1142" s="318">
        <f t="shared" si="795"/>
        <v>13</v>
      </c>
      <c r="BC1142" s="318">
        <v>0</v>
      </c>
      <c r="BD1142" s="136"/>
      <c r="BE1142" s="138">
        <v>65</v>
      </c>
      <c r="BF1142" s="321">
        <f t="shared" si="783"/>
        <v>9.7500000000000003E-2</v>
      </c>
      <c r="BG1142" s="197">
        <f t="shared" si="784"/>
        <v>64.902500000000003</v>
      </c>
      <c r="BH1142" s="321">
        <f t="shared" si="785"/>
        <v>65</v>
      </c>
      <c r="BI1142" s="322">
        <f t="shared" si="786"/>
        <v>0</v>
      </c>
      <c r="BJ1142" s="322">
        <v>0</v>
      </c>
      <c r="BK1142" s="318">
        <f t="shared" si="787"/>
        <v>0</v>
      </c>
      <c r="BL1142" s="67"/>
      <c r="BM1142" s="68" t="str">
        <f t="shared" si="788"/>
        <v>Unloading no. 1109 Bill No 2026-27/324 ,Deduction For Oil Deduction= 23493.6309523809 ,Bardana= 0 ,F.M= 0 Brokerage/Rate Difference  ,Shortage = 0 ,Greenish= 0 ,Moisture= 0</v>
      </c>
      <c r="BN1142" s="69"/>
      <c r="BO1142" s="70" t="str">
        <f t="shared" si="789"/>
        <v xml:space="preserve"> Party Condition 42  ,F.M% 0.8 ,Greenish 3.28 ,Moisture 4.3 ,Shortage in KG= 0  ,Oil% 40.06</v>
      </c>
      <c r="BP1142" s="71">
        <f t="shared" si="790"/>
        <v>7463.5595238095239</v>
      </c>
      <c r="BQ1142" s="55"/>
      <c r="BR1142" s="55"/>
      <c r="BS1142" s="41"/>
      <c r="BT1142" s="41"/>
      <c r="BU1142" s="41"/>
      <c r="BV1142" s="41"/>
      <c r="BW1142" s="85"/>
      <c r="BX1142" s="27">
        <v>39.770000000000003</v>
      </c>
      <c r="BY1142" s="27">
        <v>39.729999999999997</v>
      </c>
    </row>
    <row r="1143" spans="1:83" ht="14.1" hidden="1" customHeight="1" x14ac:dyDescent="0.3">
      <c r="A1143" s="281" t="s">
        <v>2353</v>
      </c>
      <c r="B1143" s="146">
        <v>46205</v>
      </c>
      <c r="C1143" s="190">
        <v>1109</v>
      </c>
      <c r="D1143" s="138" t="s">
        <v>2457</v>
      </c>
      <c r="E1143" s="129">
        <v>46209</v>
      </c>
      <c r="F1143" s="281" t="s">
        <v>1144</v>
      </c>
      <c r="G1143" s="281" t="s">
        <v>1145</v>
      </c>
      <c r="H1143" s="281" t="s">
        <v>100</v>
      </c>
      <c r="I1143" s="136"/>
      <c r="J1143" s="347" t="s">
        <v>1146</v>
      </c>
      <c r="K1143" s="136"/>
      <c r="L1143" s="146">
        <v>46205</v>
      </c>
      <c r="M1143" s="136"/>
      <c r="N1143" s="281" t="s">
        <v>2505</v>
      </c>
      <c r="O1143" s="146">
        <v>46208</v>
      </c>
      <c r="P1143" s="138">
        <v>0</v>
      </c>
      <c r="Q1143" s="138">
        <v>370</v>
      </c>
      <c r="R1143" s="138">
        <v>100</v>
      </c>
      <c r="S1143" s="138">
        <v>470</v>
      </c>
      <c r="T1143" s="138">
        <v>470</v>
      </c>
      <c r="U1143" s="136"/>
      <c r="V1143" s="136"/>
      <c r="W1143" s="148">
        <v>237.5</v>
      </c>
      <c r="X1143" s="148">
        <v>237.5</v>
      </c>
      <c r="Y1143" s="148">
        <v>1857487.5</v>
      </c>
      <c r="Z1143" s="372">
        <v>40.06</v>
      </c>
      <c r="AA1143" s="148">
        <v>46437.19</v>
      </c>
      <c r="AB1143" s="148">
        <v>46437.19</v>
      </c>
      <c r="AC1143" s="148">
        <v>1950361.88</v>
      </c>
      <c r="AD1143" s="315">
        <f t="shared" si="769"/>
        <v>1948411.5181199999</v>
      </c>
      <c r="AE1143" s="147">
        <v>40.06</v>
      </c>
      <c r="AF1143" s="147">
        <v>42</v>
      </c>
      <c r="AG1143" s="147">
        <v>40.06</v>
      </c>
      <c r="AH1143" s="287">
        <v>8.0000000000000002E-3</v>
      </c>
      <c r="AI1143" s="287">
        <v>3.2800000000000003E-2</v>
      </c>
      <c r="AJ1143" s="287">
        <v>4.2999999999999997E-2</v>
      </c>
      <c r="AK1143" s="318">
        <f t="shared" si="774"/>
        <v>85798.232142857043</v>
      </c>
      <c r="AL1143" s="193">
        <v>0</v>
      </c>
      <c r="AM1143" s="319">
        <v>0</v>
      </c>
      <c r="AN1143" s="319"/>
      <c r="AO1143" s="320">
        <f t="shared" si="775"/>
        <v>0</v>
      </c>
      <c r="AP1143" s="193">
        <v>0</v>
      </c>
      <c r="AQ1143" s="318">
        <v>0</v>
      </c>
      <c r="AR1143" s="318">
        <f t="shared" si="776"/>
        <v>85798.232142857043</v>
      </c>
      <c r="AS1143" s="318">
        <f t="shared" si="777"/>
        <v>90088</v>
      </c>
      <c r="AT1143" s="321">
        <v>0</v>
      </c>
      <c r="AU1143" s="157"/>
      <c r="AV1143" s="136"/>
      <c r="AW1143" s="318">
        <f t="shared" si="791"/>
        <v>23750</v>
      </c>
      <c r="AX1143" s="193"/>
      <c r="AY1143" s="318">
        <f t="shared" si="792"/>
        <v>23750</v>
      </c>
      <c r="AZ1143" s="318">
        <f t="shared" si="793"/>
        <v>23750</v>
      </c>
      <c r="BA1143" s="318">
        <f t="shared" si="794"/>
        <v>0</v>
      </c>
      <c r="BB1143" s="318">
        <f t="shared" si="795"/>
        <v>47.5</v>
      </c>
      <c r="BC1143" s="318">
        <v>0</v>
      </c>
      <c r="BD1143" s="136"/>
      <c r="BE1143" s="138">
        <v>237.5</v>
      </c>
      <c r="BF1143" s="321">
        <f t="shared" si="783"/>
        <v>0.35625000000000001</v>
      </c>
      <c r="BG1143" s="197">
        <f t="shared" si="784"/>
        <v>237.14375000000001</v>
      </c>
      <c r="BH1143" s="321">
        <f t="shared" si="785"/>
        <v>237.5</v>
      </c>
      <c r="BI1143" s="322">
        <f t="shared" si="786"/>
        <v>0</v>
      </c>
      <c r="BJ1143" s="322">
        <v>0</v>
      </c>
      <c r="BK1143" s="318">
        <f t="shared" si="787"/>
        <v>0</v>
      </c>
      <c r="BL1143" s="67"/>
      <c r="BM1143" s="68" t="str">
        <f t="shared" si="788"/>
        <v>Unloading no. 1109 Bill No 2026-27/324 ,Deduction For Oil Deduction= 85798.232142857 ,Bardana= 0 ,F.M= 0 Brokerage/Rate Difference  ,Shortage = 0 ,Greenish= 0 ,Moisture= 0</v>
      </c>
      <c r="BN1143" s="69"/>
      <c r="BO1143" s="70" t="str">
        <f t="shared" si="789"/>
        <v xml:space="preserve"> Party Condition 42  ,F.M% 0.8 ,Greenish 3.28 ,Moisture 4.3 ,Shortage in KG= 0  ,Oil% 40.06</v>
      </c>
      <c r="BP1143" s="71">
        <f t="shared" si="790"/>
        <v>7459.744285714286</v>
      </c>
      <c r="BQ1143" s="55"/>
      <c r="BR1143" s="55"/>
      <c r="BS1143" s="41"/>
      <c r="BT1143" s="41"/>
      <c r="BU1143" s="41"/>
      <c r="BV1143" s="41"/>
      <c r="BW1143" s="85"/>
      <c r="BX1143" s="27">
        <v>39.770000000000003</v>
      </c>
      <c r="BY1143" s="27">
        <v>39.729999999999997</v>
      </c>
    </row>
    <row r="1144" spans="1:83" ht="14.1" hidden="1" customHeight="1" x14ac:dyDescent="0.3">
      <c r="A1144" s="281" t="s">
        <v>2439</v>
      </c>
      <c r="B1144" s="146">
        <v>46206</v>
      </c>
      <c r="C1144" s="138">
        <v>1110</v>
      </c>
      <c r="D1144" s="138" t="s">
        <v>2458</v>
      </c>
      <c r="E1144" s="129">
        <v>46209</v>
      </c>
      <c r="F1144" s="281" t="s">
        <v>1144</v>
      </c>
      <c r="G1144" s="281" t="s">
        <v>1145</v>
      </c>
      <c r="H1144" s="281" t="s">
        <v>100</v>
      </c>
      <c r="I1144" s="136"/>
      <c r="J1144" s="347" t="s">
        <v>1146</v>
      </c>
      <c r="K1144" s="136"/>
      <c r="L1144" s="146">
        <v>46206</v>
      </c>
      <c r="M1144" s="136"/>
      <c r="N1144" s="281" t="s">
        <v>2506</v>
      </c>
      <c r="O1144" s="146">
        <v>46208</v>
      </c>
      <c r="P1144" s="138">
        <v>0</v>
      </c>
      <c r="Q1144" s="138">
        <v>500</v>
      </c>
      <c r="R1144" s="138">
        <v>110</v>
      </c>
      <c r="S1144" s="138">
        <v>610</v>
      </c>
      <c r="T1144" s="138">
        <v>610</v>
      </c>
      <c r="U1144" s="136"/>
      <c r="V1144" s="136"/>
      <c r="W1144" s="148">
        <v>310.8</v>
      </c>
      <c r="X1144" s="148">
        <v>310.8</v>
      </c>
      <c r="Y1144" s="148">
        <v>2430766.7999999998</v>
      </c>
      <c r="Z1144" s="372">
        <v>40.01</v>
      </c>
      <c r="AA1144" s="148">
        <v>60769.17</v>
      </c>
      <c r="AB1144" s="148">
        <v>60769.17</v>
      </c>
      <c r="AC1144" s="148">
        <v>2552305.14</v>
      </c>
      <c r="AD1144" s="315">
        <f t="shared" si="769"/>
        <v>2549752.8348600003</v>
      </c>
      <c r="AE1144" s="147">
        <v>40.01</v>
      </c>
      <c r="AF1144" s="147">
        <v>42</v>
      </c>
      <c r="AG1144" s="147">
        <v>40.01</v>
      </c>
      <c r="AH1144" s="287">
        <v>1.0200000000000001E-2</v>
      </c>
      <c r="AI1144" s="287">
        <v>3.1E-2</v>
      </c>
      <c r="AJ1144" s="287">
        <v>4.7E-2</v>
      </c>
      <c r="AK1144" s="318">
        <f t="shared" si="774"/>
        <v>115172.0460000001</v>
      </c>
      <c r="AL1144" s="193">
        <v>0</v>
      </c>
      <c r="AM1144" s="319">
        <v>0</v>
      </c>
      <c r="AN1144" s="319"/>
      <c r="AO1144" s="320">
        <f t="shared" si="775"/>
        <v>0</v>
      </c>
      <c r="AP1144" s="193">
        <v>0</v>
      </c>
      <c r="AQ1144" s="318">
        <v>0</v>
      </c>
      <c r="AR1144" s="318">
        <f t="shared" si="776"/>
        <v>115172.0460000001</v>
      </c>
      <c r="AS1144" s="318">
        <f t="shared" si="777"/>
        <v>120931</v>
      </c>
      <c r="AT1144" s="321">
        <v>0</v>
      </c>
      <c r="AU1144" s="157"/>
      <c r="AV1144" s="136"/>
      <c r="AW1144" s="318">
        <f t="shared" si="791"/>
        <v>31080</v>
      </c>
      <c r="AX1144" s="193"/>
      <c r="AY1144" s="318">
        <f t="shared" si="792"/>
        <v>31080</v>
      </c>
      <c r="AZ1144" s="318">
        <f t="shared" si="793"/>
        <v>31080</v>
      </c>
      <c r="BA1144" s="318">
        <f t="shared" si="794"/>
        <v>0</v>
      </c>
      <c r="BB1144" s="318">
        <f t="shared" si="795"/>
        <v>62.16</v>
      </c>
      <c r="BC1144" s="318">
        <v>0</v>
      </c>
      <c r="BD1144" s="136"/>
      <c r="BE1144" s="138">
        <v>310.8</v>
      </c>
      <c r="BF1144" s="321">
        <f t="shared" si="783"/>
        <v>0.46619999999999995</v>
      </c>
      <c r="BG1144" s="197">
        <f t="shared" si="784"/>
        <v>310.3338</v>
      </c>
      <c r="BH1144" s="321">
        <f t="shared" si="785"/>
        <v>310.8</v>
      </c>
      <c r="BI1144" s="322">
        <f t="shared" si="786"/>
        <v>0</v>
      </c>
      <c r="BJ1144" s="322">
        <v>0</v>
      </c>
      <c r="BK1144" s="318">
        <f t="shared" si="787"/>
        <v>0</v>
      </c>
      <c r="BL1144" s="67"/>
      <c r="BM1144" s="68" t="str">
        <f t="shared" si="788"/>
        <v>Unloading no. 1110 Bill No 2026-27/327 ,Deduction For Oil Deduction= 115172.046 ,Bardana= 0 ,F.M= 0 Brokerage/Rate Difference  ,Shortage = 0 ,Greenish= 0 ,Moisture= 0</v>
      </c>
      <c r="BN1144" s="69"/>
      <c r="BO1144" s="70" t="str">
        <f t="shared" si="789"/>
        <v xml:space="preserve"> Party Condition 42  ,F.M% 1.02 ,Greenish 3.1 ,Moisture 4.7 ,Shortage in KG= 0  ,Oil% 40.01</v>
      </c>
      <c r="BP1144" s="71">
        <f t="shared" si="790"/>
        <v>7450.4335714285698</v>
      </c>
      <c r="BQ1144" s="55"/>
      <c r="BR1144" s="55"/>
      <c r="BS1144" s="41"/>
      <c r="BT1144" s="41"/>
      <c r="BU1144" s="41"/>
      <c r="BV1144" s="41"/>
      <c r="BW1144" s="85"/>
      <c r="BX1144" s="27">
        <v>39.79</v>
      </c>
      <c r="BY1144" s="27">
        <v>39.520000000000003</v>
      </c>
    </row>
    <row r="1145" spans="1:83" ht="14.1" hidden="1" customHeight="1" x14ac:dyDescent="0.3">
      <c r="A1145" s="281" t="s">
        <v>2439</v>
      </c>
      <c r="B1145" s="146">
        <v>46206</v>
      </c>
      <c r="C1145" s="138">
        <v>1111</v>
      </c>
      <c r="D1145" s="138" t="s">
        <v>2459</v>
      </c>
      <c r="E1145" s="129">
        <v>46210</v>
      </c>
      <c r="F1145" s="281" t="s">
        <v>1144</v>
      </c>
      <c r="G1145" s="281" t="s">
        <v>1145</v>
      </c>
      <c r="H1145" s="281" t="s">
        <v>100</v>
      </c>
      <c r="I1145" s="136"/>
      <c r="J1145" s="347" t="s">
        <v>1146</v>
      </c>
      <c r="K1145" s="136"/>
      <c r="L1145" s="146">
        <v>46206</v>
      </c>
      <c r="M1145" s="136"/>
      <c r="N1145" s="281" t="s">
        <v>2507</v>
      </c>
      <c r="O1145" s="146">
        <v>46208</v>
      </c>
      <c r="P1145" s="138">
        <v>0</v>
      </c>
      <c r="Q1145" s="138">
        <v>560</v>
      </c>
      <c r="R1145" s="138">
        <v>142</v>
      </c>
      <c r="S1145" s="138">
        <v>702</v>
      </c>
      <c r="T1145" s="138">
        <v>702</v>
      </c>
      <c r="U1145" s="136"/>
      <c r="V1145" s="136"/>
      <c r="W1145" s="148">
        <v>356.6</v>
      </c>
      <c r="X1145" s="148">
        <v>356.2</v>
      </c>
      <c r="Y1145" s="148">
        <v>2788968.6</v>
      </c>
      <c r="Z1145" s="236">
        <v>40.11</v>
      </c>
      <c r="AA1145" s="148">
        <v>69724.22</v>
      </c>
      <c r="AB1145" s="148">
        <v>69724.22</v>
      </c>
      <c r="AC1145" s="148">
        <v>2928417.03</v>
      </c>
      <c r="AD1145" s="315">
        <f t="shared" si="769"/>
        <v>2925488.6129699997</v>
      </c>
      <c r="AE1145" s="147">
        <v>40.11</v>
      </c>
      <c r="AF1145" s="147">
        <v>42</v>
      </c>
      <c r="AG1145" s="147">
        <v>40.11</v>
      </c>
      <c r="AH1145" s="287">
        <v>2.8E-3</v>
      </c>
      <c r="AI1145" s="287">
        <v>4.7899999999999998E-2</v>
      </c>
      <c r="AJ1145" s="287">
        <v>4.2000000000000003E-2</v>
      </c>
      <c r="AK1145" s="318">
        <f t="shared" si="774"/>
        <v>125503.58700000004</v>
      </c>
      <c r="AL1145" s="193">
        <v>0</v>
      </c>
      <c r="AM1145" s="319">
        <v>0</v>
      </c>
      <c r="AN1145" s="319"/>
      <c r="AO1145" s="320">
        <f t="shared" si="775"/>
        <v>0</v>
      </c>
      <c r="AP1145" s="193">
        <v>0</v>
      </c>
      <c r="AQ1145" s="318">
        <v>0</v>
      </c>
      <c r="AR1145" s="318">
        <f t="shared" si="776"/>
        <v>125503.58700000004</v>
      </c>
      <c r="AS1145" s="318">
        <f t="shared" si="777"/>
        <v>131779</v>
      </c>
      <c r="AT1145" s="321">
        <v>0</v>
      </c>
      <c r="AU1145" s="157"/>
      <c r="AV1145" s="136"/>
      <c r="AW1145" s="318">
        <f t="shared" si="791"/>
        <v>35660</v>
      </c>
      <c r="AX1145" s="193"/>
      <c r="AY1145" s="318">
        <f t="shared" si="792"/>
        <v>35660</v>
      </c>
      <c r="AZ1145" s="318">
        <f t="shared" si="793"/>
        <v>35620</v>
      </c>
      <c r="BA1145" s="318">
        <f t="shared" si="794"/>
        <v>40</v>
      </c>
      <c r="BB1145" s="318">
        <f t="shared" si="795"/>
        <v>71.319999999999993</v>
      </c>
      <c r="BC1145" s="318">
        <v>0</v>
      </c>
      <c r="BD1145" s="136"/>
      <c r="BE1145" s="138">
        <v>356.6</v>
      </c>
      <c r="BF1145" s="321">
        <f t="shared" si="783"/>
        <v>0.53490000000000004</v>
      </c>
      <c r="BG1145" s="197">
        <f t="shared" si="784"/>
        <v>356.06510000000003</v>
      </c>
      <c r="BH1145" s="321">
        <f t="shared" si="785"/>
        <v>356.2</v>
      </c>
      <c r="BI1145" s="322">
        <f t="shared" si="786"/>
        <v>40.000000000003411</v>
      </c>
      <c r="BJ1145" s="322">
        <v>0</v>
      </c>
      <c r="BK1145" s="318">
        <f t="shared" si="787"/>
        <v>40.000000000003411</v>
      </c>
      <c r="BL1145" s="67"/>
      <c r="BM1145" s="68" t="str">
        <f t="shared" si="788"/>
        <v>Unloading no. 1111 Bill No 2026-27/326 ,Deduction For Oil Deduction= 125503.587 ,Bardana= 0 ,F.M= 0 Brokerage/Rate Difference  ,Shortage = 0 ,Greenish= 0 ,Moisture= 0</v>
      </c>
      <c r="BN1145" s="69"/>
      <c r="BO1145" s="70" t="str">
        <f t="shared" si="789"/>
        <v xml:space="preserve"> Party Condition 42  ,F.M% 0.28 ,Greenish 4.79 ,Moisture 4.2 ,Shortage in KG= 0  ,Oil% 40.11</v>
      </c>
      <c r="BP1145" s="71">
        <f t="shared" si="790"/>
        <v>7477.4424845592375</v>
      </c>
      <c r="BQ1145" s="55"/>
      <c r="BR1145" s="55"/>
      <c r="BS1145" s="41"/>
      <c r="BT1145" s="41"/>
      <c r="BU1145" s="41"/>
      <c r="BV1145" s="41"/>
      <c r="BW1145" s="85"/>
      <c r="BX1145" s="27">
        <v>39.82</v>
      </c>
      <c r="BY1145" s="27">
        <v>39.700000000000003</v>
      </c>
    </row>
    <row r="1146" spans="1:83" ht="14.1" hidden="1" customHeight="1" x14ac:dyDescent="0.3">
      <c r="A1146" s="281" t="s">
        <v>2439</v>
      </c>
      <c r="B1146" s="146">
        <v>46206</v>
      </c>
      <c r="C1146" s="138">
        <v>1112</v>
      </c>
      <c r="D1146" s="138" t="s">
        <v>2460</v>
      </c>
      <c r="E1146" s="129">
        <v>46210</v>
      </c>
      <c r="F1146" s="281" t="s">
        <v>1144</v>
      </c>
      <c r="G1146" s="281" t="s">
        <v>1145</v>
      </c>
      <c r="H1146" s="281" t="s">
        <v>100</v>
      </c>
      <c r="I1146" s="136"/>
      <c r="J1146" s="347" t="s">
        <v>1146</v>
      </c>
      <c r="K1146" s="136"/>
      <c r="L1146" s="146">
        <v>46206</v>
      </c>
      <c r="M1146" s="136"/>
      <c r="N1146" s="281" t="s">
        <v>2508</v>
      </c>
      <c r="O1146" s="146">
        <v>46208</v>
      </c>
      <c r="P1146" s="138">
        <v>0</v>
      </c>
      <c r="Q1146" s="138">
        <v>510</v>
      </c>
      <c r="R1146" s="138">
        <v>80</v>
      </c>
      <c r="S1146" s="138">
        <v>590</v>
      </c>
      <c r="T1146" s="138">
        <v>590</v>
      </c>
      <c r="U1146" s="136"/>
      <c r="V1146" s="136"/>
      <c r="W1146" s="148">
        <v>299.89999999999998</v>
      </c>
      <c r="X1146" s="148">
        <v>299.2</v>
      </c>
      <c r="Y1146" s="148">
        <v>2345517.9</v>
      </c>
      <c r="Z1146" s="236">
        <v>40.049999999999997</v>
      </c>
      <c r="AA1146" s="148">
        <v>58637.95</v>
      </c>
      <c r="AB1146" s="148">
        <v>58637.95</v>
      </c>
      <c r="AC1146" s="148">
        <v>2462793.7999999998</v>
      </c>
      <c r="AD1146" s="315">
        <f t="shared" si="769"/>
        <v>2460331.0061999997</v>
      </c>
      <c r="AE1146" s="147">
        <v>40.049999999999997</v>
      </c>
      <c r="AF1146" s="147">
        <v>42</v>
      </c>
      <c r="AG1146" s="147">
        <v>40.049999999999997</v>
      </c>
      <c r="AH1146" s="287">
        <v>3.5000000000000001E-3</v>
      </c>
      <c r="AI1146" s="287">
        <v>3.8800000000000001E-2</v>
      </c>
      <c r="AJ1146" s="287">
        <v>4.2999999999999997E-2</v>
      </c>
      <c r="AK1146" s="318">
        <f t="shared" si="774"/>
        <v>108899.04535714303</v>
      </c>
      <c r="AL1146" s="193">
        <v>0</v>
      </c>
      <c r="AM1146" s="319">
        <v>0</v>
      </c>
      <c r="AN1146" s="319"/>
      <c r="AO1146" s="320">
        <f t="shared" si="775"/>
        <v>782.10000000000014</v>
      </c>
      <c r="AP1146" s="193">
        <v>0</v>
      </c>
      <c r="AQ1146" s="318">
        <v>0</v>
      </c>
      <c r="AR1146" s="318">
        <f t="shared" si="776"/>
        <v>109681.14535714303</v>
      </c>
      <c r="AS1146" s="318">
        <f t="shared" si="777"/>
        <v>115165</v>
      </c>
      <c r="AT1146" s="321">
        <v>10</v>
      </c>
      <c r="AU1146" s="157"/>
      <c r="AV1146" s="136"/>
      <c r="AW1146" s="318">
        <f t="shared" si="791"/>
        <v>29989.999999999996</v>
      </c>
      <c r="AX1146" s="193"/>
      <c r="AY1146" s="318">
        <f t="shared" si="792"/>
        <v>29989.999999999996</v>
      </c>
      <c r="AZ1146" s="318">
        <f t="shared" si="793"/>
        <v>29920</v>
      </c>
      <c r="BA1146" s="318">
        <f t="shared" si="794"/>
        <v>69.999999999996362</v>
      </c>
      <c r="BB1146" s="318">
        <f t="shared" si="795"/>
        <v>59.97999999999999</v>
      </c>
      <c r="BC1146" s="318">
        <v>0</v>
      </c>
      <c r="BD1146" s="136"/>
      <c r="BE1146" s="138">
        <v>299.89999999999998</v>
      </c>
      <c r="BF1146" s="321">
        <f t="shared" si="783"/>
        <v>0.44984999999999992</v>
      </c>
      <c r="BG1146" s="197">
        <f t="shared" si="784"/>
        <v>299.45014999999995</v>
      </c>
      <c r="BH1146" s="321">
        <f t="shared" si="785"/>
        <v>299.2</v>
      </c>
      <c r="BI1146" s="322">
        <f t="shared" si="786"/>
        <v>69.999999999998863</v>
      </c>
      <c r="BJ1146" s="322">
        <v>0</v>
      </c>
      <c r="BK1146" s="318">
        <f t="shared" si="787"/>
        <v>69.999999999998863</v>
      </c>
      <c r="BL1146" s="67"/>
      <c r="BM1146" s="68" t="str">
        <f t="shared" si="788"/>
        <v>Unloading no. 1112 Bill No 2026-27/328 ,Deduction For Oil Deduction= 108899.045357143 ,Bardana= 0 ,F.M= 0 Brokerage/Rate Difference  ,Shortage = 782.1 ,Greenish= 0 ,Moisture= 0</v>
      </c>
      <c r="BN1146" s="69"/>
      <c r="BO1146" s="70" t="str">
        <f t="shared" si="789"/>
        <v xml:space="preserve"> Party Condition 42  ,F.M% 0.35 ,Greenish 3.88 ,Moisture 4.3 ,Shortage in KG= 10  ,Oil% 40.05</v>
      </c>
      <c r="BP1146" s="71">
        <f t="shared" si="790"/>
        <v>7472.7164259453775</v>
      </c>
      <c r="BQ1146" s="55"/>
      <c r="BR1146" s="55"/>
      <c r="BS1146" s="41"/>
      <c r="BT1146" s="41"/>
      <c r="BU1146" s="41"/>
      <c r="BV1146" s="41"/>
      <c r="BW1146" s="85"/>
      <c r="BX1146" s="27">
        <v>39.82</v>
      </c>
      <c r="BY1146" s="27">
        <v>39.82</v>
      </c>
    </row>
    <row r="1147" spans="1:83" ht="14.1" hidden="1" customHeight="1" x14ac:dyDescent="0.3">
      <c r="A1147" s="281" t="s">
        <v>2439</v>
      </c>
      <c r="B1147" s="146">
        <v>46206</v>
      </c>
      <c r="C1147" s="138">
        <v>1113</v>
      </c>
      <c r="D1147" s="138" t="s">
        <v>2461</v>
      </c>
      <c r="E1147" s="129">
        <v>46210</v>
      </c>
      <c r="F1147" s="281" t="s">
        <v>1144</v>
      </c>
      <c r="G1147" s="281" t="s">
        <v>1145</v>
      </c>
      <c r="H1147" s="281" t="s">
        <v>100</v>
      </c>
      <c r="I1147" s="136"/>
      <c r="J1147" s="347" t="s">
        <v>1146</v>
      </c>
      <c r="K1147" s="136"/>
      <c r="L1147" s="146">
        <v>46206</v>
      </c>
      <c r="M1147" s="136"/>
      <c r="N1147" s="281" t="s">
        <v>2509</v>
      </c>
      <c r="O1147" s="146">
        <v>46209</v>
      </c>
      <c r="P1147" s="138">
        <v>0</v>
      </c>
      <c r="Q1147" s="138">
        <v>535</v>
      </c>
      <c r="R1147" s="138">
        <v>300</v>
      </c>
      <c r="S1147" s="138">
        <v>835</v>
      </c>
      <c r="T1147" s="138">
        <v>835</v>
      </c>
      <c r="U1147" s="136"/>
      <c r="V1147" s="136"/>
      <c r="W1147" s="148">
        <v>421.7</v>
      </c>
      <c r="X1147" s="148">
        <v>422.1</v>
      </c>
      <c r="Y1147" s="148">
        <v>3298115.7</v>
      </c>
      <c r="Z1147" s="236">
        <v>40.72</v>
      </c>
      <c r="AA1147" s="148">
        <v>82452.89</v>
      </c>
      <c r="AB1147" s="148">
        <v>82452.89</v>
      </c>
      <c r="AC1147" s="148">
        <v>3463021.49</v>
      </c>
      <c r="AD1147" s="315">
        <f t="shared" si="769"/>
        <v>3459558.46851</v>
      </c>
      <c r="AE1147" s="147">
        <v>40.72</v>
      </c>
      <c r="AF1147" s="147">
        <v>42</v>
      </c>
      <c r="AG1147" s="147">
        <v>40.72</v>
      </c>
      <c r="AH1147" s="287">
        <v>4.4000000000000003E-3</v>
      </c>
      <c r="AI1147" s="287">
        <v>3.6999999999999998E-2</v>
      </c>
      <c r="AJ1147" s="287">
        <v>4.8000000000000001E-2</v>
      </c>
      <c r="AK1147" s="318">
        <f t="shared" si="774"/>
        <v>100514.00228571438</v>
      </c>
      <c r="AL1147" s="193">
        <v>0</v>
      </c>
      <c r="AM1147" s="319">
        <v>0</v>
      </c>
      <c r="AN1147" s="319"/>
      <c r="AO1147" s="320">
        <f t="shared" si="775"/>
        <v>0</v>
      </c>
      <c r="AP1147" s="193">
        <v>0</v>
      </c>
      <c r="AQ1147" s="318">
        <v>0</v>
      </c>
      <c r="AR1147" s="318">
        <f t="shared" si="776"/>
        <v>100514.00228571438</v>
      </c>
      <c r="AS1147" s="318">
        <f t="shared" si="777"/>
        <v>105540</v>
      </c>
      <c r="AT1147" s="321">
        <v>0</v>
      </c>
      <c r="AU1147" s="157"/>
      <c r="AV1147" s="136"/>
      <c r="AW1147" s="318">
        <f t="shared" si="791"/>
        <v>42170</v>
      </c>
      <c r="AX1147" s="193"/>
      <c r="AY1147" s="318">
        <f t="shared" si="792"/>
        <v>42170</v>
      </c>
      <c r="AZ1147" s="318">
        <f t="shared" si="793"/>
        <v>42210</v>
      </c>
      <c r="BA1147" s="318">
        <f t="shared" si="794"/>
        <v>-40</v>
      </c>
      <c r="BB1147" s="318">
        <f t="shared" si="795"/>
        <v>84.34</v>
      </c>
      <c r="BC1147" s="318">
        <v>0</v>
      </c>
      <c r="BD1147" s="136"/>
      <c r="BE1147" s="138">
        <v>421.7</v>
      </c>
      <c r="BF1147" s="321">
        <f t="shared" si="783"/>
        <v>0.63254999999999995</v>
      </c>
      <c r="BG1147" s="197">
        <f t="shared" si="784"/>
        <v>421.06745000000001</v>
      </c>
      <c r="BH1147" s="321">
        <f t="shared" si="785"/>
        <v>422.1</v>
      </c>
      <c r="BI1147" s="322">
        <f t="shared" si="786"/>
        <v>-40.000000000003411</v>
      </c>
      <c r="BJ1147" s="322">
        <v>0</v>
      </c>
      <c r="BK1147" s="318">
        <f t="shared" si="787"/>
        <v>-40.000000000003411</v>
      </c>
      <c r="BL1147" s="67"/>
      <c r="BM1147" s="68" t="str">
        <f t="shared" si="788"/>
        <v>Unloading no. 1113 Bill No 2026-27/331 ,Deduction For Oil Deduction= 100514.002285714 ,Bardana= 0 ,F.M= 0 Brokerage/Rate Difference  ,Shortage = 0 ,Greenish= 0 ,Moisture= 0</v>
      </c>
      <c r="BN1147" s="69"/>
      <c r="BO1147" s="70" t="str">
        <f t="shared" si="789"/>
        <v xml:space="preserve"> Party Condition 42  ,F.M% 0.44 ,Greenish 3.7 ,Moisture 4.8 ,Shortage in KG= 0  ,Oil% 40.72</v>
      </c>
      <c r="BP1147" s="71">
        <f t="shared" si="790"/>
        <v>7575.4600751345315</v>
      </c>
      <c r="BQ1147" s="55"/>
      <c r="BR1147" s="55"/>
      <c r="BS1147" s="41"/>
      <c r="BT1147" s="41"/>
      <c r="BU1147" s="41"/>
      <c r="BV1147" s="41"/>
      <c r="BW1147" s="85"/>
      <c r="BX1147" s="27">
        <v>40.450000000000003</v>
      </c>
      <c r="BY1147" s="27">
        <v>40.409999999999997</v>
      </c>
    </row>
    <row r="1148" spans="1:83" ht="14.1" hidden="1" customHeight="1" x14ac:dyDescent="0.3">
      <c r="A1148" s="281" t="s">
        <v>2440</v>
      </c>
      <c r="B1148" s="146">
        <v>46206</v>
      </c>
      <c r="C1148" s="138">
        <v>1114</v>
      </c>
      <c r="D1148" s="138" t="s">
        <v>2462</v>
      </c>
      <c r="E1148" s="129">
        <v>46210</v>
      </c>
      <c r="F1148" s="281" t="s">
        <v>1807</v>
      </c>
      <c r="G1148" s="281" t="s">
        <v>1808</v>
      </c>
      <c r="H1148" s="281" t="s">
        <v>100</v>
      </c>
      <c r="I1148" s="136"/>
      <c r="J1148" s="138" t="s">
        <v>2499</v>
      </c>
      <c r="K1148" s="136"/>
      <c r="L1148" s="146">
        <v>46206</v>
      </c>
      <c r="M1148" s="136"/>
      <c r="N1148" s="281" t="s">
        <v>2510</v>
      </c>
      <c r="O1148" s="146">
        <v>46209</v>
      </c>
      <c r="P1148" s="138">
        <v>0</v>
      </c>
      <c r="Q1148" s="138">
        <v>230</v>
      </c>
      <c r="R1148" s="138">
        <v>200</v>
      </c>
      <c r="S1148" s="138">
        <v>430</v>
      </c>
      <c r="T1148" s="138">
        <v>430</v>
      </c>
      <c r="U1148" s="136"/>
      <c r="V1148" s="136"/>
      <c r="W1148" s="148">
        <v>295</v>
      </c>
      <c r="X1148" s="148">
        <v>293.10000000000002</v>
      </c>
      <c r="Y1148" s="148">
        <v>2323125</v>
      </c>
      <c r="Z1148" s="148"/>
      <c r="AA1148" s="148">
        <v>58078.13</v>
      </c>
      <c r="AB1148" s="148">
        <v>58078.13</v>
      </c>
      <c r="AC1148" s="148">
        <v>2439281.25</v>
      </c>
      <c r="AD1148" s="315">
        <f t="shared" si="769"/>
        <v>2436841.96875</v>
      </c>
      <c r="AE1148" s="147">
        <v>39.15</v>
      </c>
      <c r="AF1148" s="147">
        <v>42</v>
      </c>
      <c r="AG1148" s="147">
        <v>39.119999999999997</v>
      </c>
      <c r="AH1148" s="418">
        <v>0.01</v>
      </c>
      <c r="AI1148" s="287">
        <v>3.04E-2</v>
      </c>
      <c r="AJ1148" s="287">
        <v>4.9000000000000002E-2</v>
      </c>
      <c r="AK1148" s="318">
        <f>+IF(AF1148=42,IF(MIN(AE1148,AG1148)&lt;AF1148,Y1148*((AF1148-MIN(AE1148,AG1148))/AF1148)),IF(MIN(AE1148,AG1148)&lt;AF1148,Y1148*((AF1148-MIN(AE1148,AG1148))/AF1148),0))-63.72</f>
        <v>159236.28000000014</v>
      </c>
      <c r="AL1148" s="193">
        <f>230*10+101*15</f>
        <v>3815</v>
      </c>
      <c r="AM1148" s="319">
        <f>Y1148*AH1148</f>
        <v>23231.25</v>
      </c>
      <c r="AN1148" s="319"/>
      <c r="AO1148" s="320">
        <f t="shared" si="775"/>
        <v>14962.5</v>
      </c>
      <c r="AP1148" s="193">
        <v>0</v>
      </c>
      <c r="AQ1148" s="318">
        <v>0</v>
      </c>
      <c r="AR1148" s="318">
        <f t="shared" si="776"/>
        <v>201245.03000000014</v>
      </c>
      <c r="AS1148" s="318">
        <f t="shared" si="777"/>
        <v>211307</v>
      </c>
      <c r="AT1148" s="321">
        <v>190</v>
      </c>
      <c r="AU1148" s="157"/>
      <c r="AV1148" s="136"/>
      <c r="AW1148" s="318">
        <f t="shared" si="791"/>
        <v>29500</v>
      </c>
      <c r="AX1148" s="193"/>
      <c r="AY1148" s="318">
        <f t="shared" si="792"/>
        <v>29500</v>
      </c>
      <c r="AZ1148" s="318">
        <f t="shared" si="793"/>
        <v>29310.000000000004</v>
      </c>
      <c r="BA1148" s="318">
        <f t="shared" si="794"/>
        <v>189.99999999999636</v>
      </c>
      <c r="BB1148" s="318">
        <f t="shared" si="795"/>
        <v>59</v>
      </c>
      <c r="BC1148" s="318">
        <v>0</v>
      </c>
      <c r="BD1148" s="136"/>
      <c r="BE1148" s="138">
        <v>295</v>
      </c>
      <c r="BF1148" s="321">
        <f t="shared" si="783"/>
        <v>0.4425</v>
      </c>
      <c r="BG1148" s="197">
        <f t="shared" si="784"/>
        <v>294.5575</v>
      </c>
      <c r="BH1148" s="321">
        <f t="shared" si="785"/>
        <v>293.10000000000002</v>
      </c>
      <c r="BI1148" s="322">
        <f t="shared" si="786"/>
        <v>189.99999999999773</v>
      </c>
      <c r="BJ1148" s="322">
        <v>0</v>
      </c>
      <c r="BK1148" s="318">
        <f t="shared" si="787"/>
        <v>189.99999999999773</v>
      </c>
      <c r="BL1148" s="67"/>
      <c r="BM1148" s="68" t="str">
        <f t="shared" si="788"/>
        <v>Unloading no. 1114 Bill No 2026-27/13 ,Deduction For Oil Deduction= 159236.28 ,Bardana= 3815 ,F.M= 23231.25 Brokerage/Rate Difference  ,Shortage = 14962.5 ,Greenish= 0 ,Moisture= 0</v>
      </c>
      <c r="BN1148" s="69"/>
      <c r="BO1148" s="70" t="str">
        <f t="shared" si="789"/>
        <v xml:space="preserve"> Party Condition 42  ,F.M% 1 ,Greenish 3.04 ,Moisture 4.9 ,Shortage in KG= 190  ,Oil% 39.12</v>
      </c>
      <c r="BP1148" s="71">
        <f t="shared" si="790"/>
        <v>7239.4403616513118</v>
      </c>
      <c r="BQ1148" s="55"/>
      <c r="BR1148" s="55"/>
      <c r="BS1148" s="41"/>
      <c r="BT1148" s="41"/>
      <c r="BU1148" s="41"/>
      <c r="BV1148" s="41"/>
      <c r="BW1148" s="85"/>
      <c r="BX1148" s="27">
        <v>39.15</v>
      </c>
      <c r="BY1148" s="27">
        <v>39.119999999999997</v>
      </c>
      <c r="CA1148" s="56">
        <v>197155.91</v>
      </c>
      <c r="CC1148" s="57">
        <f t="shared" ref="CC1148" si="798">AS1148-CA1148</f>
        <v>14151.089999999997</v>
      </c>
      <c r="CE1148" s="88">
        <f t="shared" ref="CE1148" si="799">CC1148/105%</f>
        <v>13477.228571428568</v>
      </c>
    </row>
    <row r="1149" spans="1:83" ht="14.1" hidden="1" customHeight="1" x14ac:dyDescent="0.3">
      <c r="A1149" s="281" t="s">
        <v>2439</v>
      </c>
      <c r="B1149" s="146">
        <v>46206</v>
      </c>
      <c r="C1149" s="138">
        <v>1115</v>
      </c>
      <c r="D1149" s="138" t="s">
        <v>2463</v>
      </c>
      <c r="E1149" s="129">
        <v>46210</v>
      </c>
      <c r="F1149" s="281" t="s">
        <v>1144</v>
      </c>
      <c r="G1149" s="281" t="s">
        <v>1145</v>
      </c>
      <c r="H1149" s="281" t="s">
        <v>100</v>
      </c>
      <c r="I1149" s="136"/>
      <c r="J1149" s="138" t="s">
        <v>1146</v>
      </c>
      <c r="K1149" s="136"/>
      <c r="L1149" s="146">
        <v>46206</v>
      </c>
      <c r="M1149" s="136"/>
      <c r="N1149" s="281" t="s">
        <v>2511</v>
      </c>
      <c r="O1149" s="146">
        <v>46209</v>
      </c>
      <c r="P1149" s="138">
        <v>0</v>
      </c>
      <c r="Q1149" s="138">
        <v>548</v>
      </c>
      <c r="R1149" s="138">
        <v>50</v>
      </c>
      <c r="S1149" s="138">
        <v>598</v>
      </c>
      <c r="T1149" s="138">
        <v>598</v>
      </c>
      <c r="U1149" s="136"/>
      <c r="V1149" s="136"/>
      <c r="W1149" s="148">
        <v>303.60000000000002</v>
      </c>
      <c r="X1149" s="148">
        <v>302.89999999999998</v>
      </c>
      <c r="Y1149" s="148">
        <v>2374455.6</v>
      </c>
      <c r="Z1149" s="236">
        <v>40.78</v>
      </c>
      <c r="AA1149" s="148">
        <v>59361.39</v>
      </c>
      <c r="AB1149" s="148">
        <v>59361.39</v>
      </c>
      <c r="AC1149" s="148">
        <v>2493178.38</v>
      </c>
      <c r="AD1149" s="315">
        <f t="shared" si="769"/>
        <v>2490685.2016199999</v>
      </c>
      <c r="AE1149" s="147">
        <v>40.78</v>
      </c>
      <c r="AF1149" s="147">
        <v>42</v>
      </c>
      <c r="AG1149" s="147">
        <v>40.78</v>
      </c>
      <c r="AH1149" s="287">
        <v>2.8E-3</v>
      </c>
      <c r="AI1149" s="287">
        <v>0.05</v>
      </c>
      <c r="AJ1149" s="287">
        <v>0.05</v>
      </c>
      <c r="AK1149" s="318">
        <f t="shared" si="774"/>
        <v>68972.281714285651</v>
      </c>
      <c r="AL1149" s="193">
        <v>0</v>
      </c>
      <c r="AM1149" s="319">
        <v>0</v>
      </c>
      <c r="AN1149" s="319"/>
      <c r="AO1149" s="320">
        <f t="shared" si="775"/>
        <v>703.89</v>
      </c>
      <c r="AP1149" s="193">
        <v>0</v>
      </c>
      <c r="AQ1149" s="318">
        <v>0</v>
      </c>
      <c r="AR1149" s="318">
        <f t="shared" si="776"/>
        <v>69676.171714285651</v>
      </c>
      <c r="AS1149" s="318">
        <f t="shared" si="777"/>
        <v>73160</v>
      </c>
      <c r="AT1149" s="321">
        <v>9</v>
      </c>
      <c r="AU1149" s="157"/>
      <c r="AV1149" s="136"/>
      <c r="AW1149" s="318">
        <f t="shared" si="791"/>
        <v>30360.000000000004</v>
      </c>
      <c r="AX1149" s="193"/>
      <c r="AY1149" s="318">
        <f t="shared" si="792"/>
        <v>30360.000000000004</v>
      </c>
      <c r="AZ1149" s="318">
        <f t="shared" si="793"/>
        <v>30289.999999999996</v>
      </c>
      <c r="BA1149" s="318">
        <f t="shared" si="794"/>
        <v>70.000000000007276</v>
      </c>
      <c r="BB1149" s="318">
        <f t="shared" si="795"/>
        <v>60.720000000000006</v>
      </c>
      <c r="BC1149" s="318">
        <v>0</v>
      </c>
      <c r="BD1149" s="136"/>
      <c r="BE1149" s="138">
        <v>303.60000000000002</v>
      </c>
      <c r="BF1149" s="321">
        <f t="shared" si="783"/>
        <v>0.45539999999999997</v>
      </c>
      <c r="BG1149" s="197">
        <f t="shared" si="784"/>
        <v>303.14460000000003</v>
      </c>
      <c r="BH1149" s="321">
        <f t="shared" si="785"/>
        <v>302.89999999999998</v>
      </c>
      <c r="BI1149" s="322">
        <f t="shared" si="786"/>
        <v>70.000000000004547</v>
      </c>
      <c r="BJ1149" s="322">
        <v>0</v>
      </c>
      <c r="BK1149" s="318">
        <f t="shared" si="787"/>
        <v>70.000000000004547</v>
      </c>
      <c r="BL1149" s="67"/>
      <c r="BM1149" s="68" t="str">
        <f t="shared" si="788"/>
        <v>Unloading no. 1115 Bill No 2026-27/329 ,Deduction For Oil Deduction= 68972.2817142857 ,Bardana= 0 ,F.M= 0 Brokerage/Rate Difference  ,Shortage = 703.89 ,Greenish= 0 ,Moisture= 0</v>
      </c>
      <c r="BN1149" s="69"/>
      <c r="BO1149" s="70" t="str">
        <f t="shared" si="789"/>
        <v xml:space="preserve"> Party Condition 42  ,F.M% 0.28 ,Greenish 5 ,Moisture 5 ,Shortage in KG= 9  ,Oil% 40.78</v>
      </c>
      <c r="BP1149" s="71">
        <f t="shared" si="790"/>
        <v>7609.0440022638313</v>
      </c>
      <c r="BQ1149" s="55"/>
      <c r="BR1149" s="55"/>
      <c r="BS1149" s="41"/>
      <c r="BT1149" s="41"/>
      <c r="BU1149" s="41"/>
      <c r="BV1149" s="41"/>
      <c r="BW1149" s="85"/>
      <c r="BX1149" s="27">
        <v>40.82</v>
      </c>
      <c r="BY1149" s="27">
        <v>40.520000000000003</v>
      </c>
    </row>
    <row r="1150" spans="1:83" ht="14.1" hidden="1" customHeight="1" x14ac:dyDescent="0.3">
      <c r="A1150" s="281" t="s">
        <v>2441</v>
      </c>
      <c r="B1150" s="146">
        <v>46209</v>
      </c>
      <c r="C1150" s="138">
        <v>1116</v>
      </c>
      <c r="D1150" s="138" t="s">
        <v>2464</v>
      </c>
      <c r="E1150" s="129">
        <v>46210</v>
      </c>
      <c r="F1150" s="281" t="s">
        <v>98</v>
      </c>
      <c r="G1150" s="424" t="s">
        <v>99</v>
      </c>
      <c r="H1150" s="281" t="s">
        <v>100</v>
      </c>
      <c r="I1150" s="136"/>
      <c r="J1150" s="138" t="s">
        <v>113</v>
      </c>
      <c r="K1150" s="136"/>
      <c r="L1150" s="146">
        <v>46209</v>
      </c>
      <c r="M1150" s="136"/>
      <c r="N1150" s="281">
        <v>142</v>
      </c>
      <c r="O1150" s="146">
        <v>46209</v>
      </c>
      <c r="P1150" s="138">
        <v>0</v>
      </c>
      <c r="Q1150" s="138">
        <v>0</v>
      </c>
      <c r="R1150" s="138">
        <v>348</v>
      </c>
      <c r="S1150" s="138">
        <v>348</v>
      </c>
      <c r="T1150" s="138">
        <v>348</v>
      </c>
      <c r="U1150" s="136"/>
      <c r="V1150" s="136"/>
      <c r="W1150" s="148">
        <v>208.8</v>
      </c>
      <c r="X1150" s="148">
        <v>211.3</v>
      </c>
      <c r="Y1150" s="148">
        <v>1624933.1</v>
      </c>
      <c r="Z1150" s="148"/>
      <c r="AA1150" s="148">
        <v>40623.33</v>
      </c>
      <c r="AB1150" s="148">
        <v>40623.33</v>
      </c>
      <c r="AC1150" s="148">
        <v>1706179.76</v>
      </c>
      <c r="AD1150" s="315">
        <f t="shared" si="769"/>
        <v>1704473.58024</v>
      </c>
      <c r="AE1150" s="147">
        <v>40.9</v>
      </c>
      <c r="AF1150" s="147">
        <v>40.840000000000003</v>
      </c>
      <c r="AG1150" s="147">
        <v>40.64</v>
      </c>
      <c r="AH1150" s="287">
        <v>2.3999999999999998E-3</v>
      </c>
      <c r="AI1150" s="287">
        <v>2.9600000000000001E-2</v>
      </c>
      <c r="AJ1150" s="287">
        <v>5.3999999999999999E-2</v>
      </c>
      <c r="AK1150" s="318">
        <v>0</v>
      </c>
      <c r="AL1150" s="193">
        <f>348*1</f>
        <v>348</v>
      </c>
      <c r="AM1150" s="319">
        <v>0</v>
      </c>
      <c r="AN1150" s="319"/>
      <c r="AO1150" s="320">
        <f t="shared" si="775"/>
        <v>0</v>
      </c>
      <c r="AP1150" s="193">
        <v>0</v>
      </c>
      <c r="AQ1150" s="318">
        <v>0</v>
      </c>
      <c r="AR1150" s="318">
        <f t="shared" si="776"/>
        <v>348</v>
      </c>
      <c r="AS1150" s="318">
        <f t="shared" si="777"/>
        <v>365</v>
      </c>
      <c r="AT1150" s="321">
        <v>0</v>
      </c>
      <c r="AU1150" s="206" t="s">
        <v>664</v>
      </c>
      <c r="AV1150" s="136"/>
      <c r="AW1150" s="318">
        <f t="shared" si="791"/>
        <v>20880</v>
      </c>
      <c r="AX1150" s="193"/>
      <c r="AY1150" s="318">
        <f t="shared" si="792"/>
        <v>20880</v>
      </c>
      <c r="AZ1150" s="318">
        <f t="shared" si="793"/>
        <v>21130</v>
      </c>
      <c r="BA1150" s="318">
        <f t="shared" si="794"/>
        <v>-250</v>
      </c>
      <c r="BB1150" s="318">
        <f t="shared" si="795"/>
        <v>41.76</v>
      </c>
      <c r="BC1150" s="318">
        <v>0</v>
      </c>
      <c r="BD1150" s="136"/>
      <c r="BE1150" s="138">
        <v>211.6</v>
      </c>
      <c r="BF1150" s="321">
        <f t="shared" si="783"/>
        <v>0.31739999999999996</v>
      </c>
      <c r="BG1150" s="197">
        <f t="shared" si="784"/>
        <v>211.2826</v>
      </c>
      <c r="BH1150" s="321">
        <f t="shared" si="785"/>
        <v>211.3</v>
      </c>
      <c r="BI1150" s="322">
        <f t="shared" si="786"/>
        <v>29.999999999998295</v>
      </c>
      <c r="BJ1150" s="322">
        <v>0</v>
      </c>
      <c r="BK1150" s="318">
        <f t="shared" si="787"/>
        <v>29.999999999998295</v>
      </c>
      <c r="BL1150" s="67"/>
      <c r="BM1150" s="68" t="str">
        <f t="shared" si="788"/>
        <v>Unloading no. 1116 Bill No 142 ,Deduction For Oil Deduction= 0 ,Bardana= 348 ,F.M= 0 Brokerage/Rate Difference  ,Shortage = 0 ,Greenish= 0 ,Moisture= 0</v>
      </c>
      <c r="BN1150" s="69"/>
      <c r="BO1150" s="70" t="str">
        <f t="shared" si="789"/>
        <v xml:space="preserve"> Party Condition 40.84  ,F.M% 0.24 ,Greenish 2.96 ,Moisture 5.4 ,Shortage in KG= 0  ,Oil% 40.64</v>
      </c>
      <c r="BP1150" s="71">
        <f t="shared" si="790"/>
        <v>7688.5238996687176</v>
      </c>
      <c r="BQ1150" s="55"/>
      <c r="BR1150" s="55"/>
      <c r="BS1150" s="41"/>
      <c r="BT1150" s="41"/>
      <c r="BU1150" s="41"/>
      <c r="BV1150" s="41"/>
      <c r="BW1150" s="85"/>
      <c r="BX1150" s="27">
        <v>40.9</v>
      </c>
      <c r="BY1150" s="27">
        <v>40.64</v>
      </c>
    </row>
    <row r="1151" spans="1:83" ht="14.1" hidden="1" customHeight="1" x14ac:dyDescent="0.3">
      <c r="A1151" s="281" t="s">
        <v>2439</v>
      </c>
      <c r="B1151" s="146">
        <v>46206</v>
      </c>
      <c r="C1151" s="138">
        <v>1117</v>
      </c>
      <c r="D1151" s="138" t="s">
        <v>2465</v>
      </c>
      <c r="E1151" s="129">
        <v>46210</v>
      </c>
      <c r="F1151" s="281" t="s">
        <v>1144</v>
      </c>
      <c r="G1151" s="281" t="s">
        <v>1145</v>
      </c>
      <c r="H1151" s="281" t="s">
        <v>100</v>
      </c>
      <c r="I1151" s="136"/>
      <c r="J1151" s="138" t="s">
        <v>1146</v>
      </c>
      <c r="K1151" s="136"/>
      <c r="L1151" s="146">
        <v>46206</v>
      </c>
      <c r="M1151" s="136"/>
      <c r="N1151" s="281" t="s">
        <v>2195</v>
      </c>
      <c r="O1151" s="146">
        <v>46209</v>
      </c>
      <c r="P1151" s="138">
        <v>0</v>
      </c>
      <c r="Q1151" s="138">
        <v>550</v>
      </c>
      <c r="R1151" s="138">
        <v>50</v>
      </c>
      <c r="S1151" s="138">
        <v>600</v>
      </c>
      <c r="T1151" s="138">
        <v>600</v>
      </c>
      <c r="U1151" s="136"/>
      <c r="V1151" s="136"/>
      <c r="W1151" s="148">
        <v>304.3</v>
      </c>
      <c r="X1151" s="148">
        <v>304</v>
      </c>
      <c r="Y1151" s="148">
        <v>2379930.2999999998</v>
      </c>
      <c r="Z1151" s="236">
        <v>40.51</v>
      </c>
      <c r="AA1151" s="148">
        <v>59498.26</v>
      </c>
      <c r="AB1151" s="148">
        <v>59498.26</v>
      </c>
      <c r="AC1151" s="148">
        <v>2498926.8199999998</v>
      </c>
      <c r="AD1151" s="315">
        <f t="shared" si="769"/>
        <v>2496427.8931799997</v>
      </c>
      <c r="AE1151" s="147">
        <v>40.51</v>
      </c>
      <c r="AF1151" s="147">
        <v>42</v>
      </c>
      <c r="AG1151" s="147">
        <v>40.51</v>
      </c>
      <c r="AH1151" s="287">
        <v>3.8E-3</v>
      </c>
      <c r="AI1151" s="287">
        <v>5.62E-2</v>
      </c>
      <c r="AJ1151" s="287">
        <v>0.05</v>
      </c>
      <c r="AK1151" s="318">
        <f t="shared" si="774"/>
        <v>84430.860642857253</v>
      </c>
      <c r="AL1151" s="193">
        <v>0</v>
      </c>
      <c r="AM1151" s="319">
        <v>0</v>
      </c>
      <c r="AN1151" s="319"/>
      <c r="AO1151" s="320">
        <f t="shared" si="775"/>
        <v>0</v>
      </c>
      <c r="AP1151" s="193">
        <v>0</v>
      </c>
      <c r="AQ1151" s="318">
        <v>0</v>
      </c>
      <c r="AR1151" s="318">
        <f t="shared" si="776"/>
        <v>84430.860642857253</v>
      </c>
      <c r="AS1151" s="318">
        <f t="shared" si="777"/>
        <v>88652</v>
      </c>
      <c r="AT1151" s="321">
        <v>0</v>
      </c>
      <c r="AU1151" s="157"/>
      <c r="AV1151" s="136"/>
      <c r="AW1151" s="318">
        <f t="shared" si="791"/>
        <v>30430</v>
      </c>
      <c r="AX1151" s="193"/>
      <c r="AY1151" s="318">
        <f t="shared" si="792"/>
        <v>30430</v>
      </c>
      <c r="AZ1151" s="318">
        <f t="shared" si="793"/>
        <v>30400</v>
      </c>
      <c r="BA1151" s="318">
        <f t="shared" si="794"/>
        <v>30</v>
      </c>
      <c r="BB1151" s="318">
        <f t="shared" si="795"/>
        <v>60.86</v>
      </c>
      <c r="BC1151" s="318">
        <v>0</v>
      </c>
      <c r="BD1151" s="136"/>
      <c r="BE1151" s="138">
        <v>304.3</v>
      </c>
      <c r="BF1151" s="321">
        <f t="shared" si="783"/>
        <v>0.45645000000000002</v>
      </c>
      <c r="BG1151" s="197">
        <f t="shared" si="784"/>
        <v>303.84354999999999</v>
      </c>
      <c r="BH1151" s="321">
        <f t="shared" si="785"/>
        <v>304</v>
      </c>
      <c r="BI1151" s="322">
        <f t="shared" si="786"/>
        <v>30.000000000001137</v>
      </c>
      <c r="BJ1151" s="322">
        <v>0</v>
      </c>
      <c r="BK1151" s="318">
        <f t="shared" si="787"/>
        <v>30.000000000001137</v>
      </c>
      <c r="BL1151" s="67"/>
      <c r="BM1151" s="68" t="str">
        <f t="shared" si="788"/>
        <v>Unloading no. 1117 Bill No 2026-27/330 ,Deduction For Oil Deduction= 84430.8606428573 ,Bardana= 0 ,F.M= 0 Brokerage/Rate Difference  ,Shortage = 0 ,Greenish= 0 ,Moisture= 0</v>
      </c>
      <c r="BN1151" s="69"/>
      <c r="BO1151" s="70" t="str">
        <f t="shared" si="789"/>
        <v xml:space="preserve"> Party Condition 42  ,F.M% 0.38 ,Greenish 5.62 ,Moisture 5 ,Shortage in KG= 0  ,Oil% 40.51</v>
      </c>
      <c r="BP1151" s="71">
        <f t="shared" si="790"/>
        <v>7550.9849978853372</v>
      </c>
      <c r="BQ1151" s="55"/>
      <c r="BR1151" s="55"/>
      <c r="BS1151" s="41"/>
      <c r="BT1151" s="41"/>
      <c r="BU1151" s="41"/>
      <c r="BV1151" s="41"/>
      <c r="BW1151" s="85"/>
      <c r="BX1151" s="27">
        <v>40.090000000000003</v>
      </c>
      <c r="BY1151" s="27">
        <v>40.06</v>
      </c>
    </row>
    <row r="1152" spans="1:83" ht="14.1" hidden="1" customHeight="1" x14ac:dyDescent="0.3">
      <c r="A1152" s="281" t="s">
        <v>2442</v>
      </c>
      <c r="B1152" s="146">
        <v>46209</v>
      </c>
      <c r="C1152" s="138">
        <v>1118</v>
      </c>
      <c r="D1152" s="138" t="s">
        <v>2466</v>
      </c>
      <c r="E1152" s="129">
        <v>46210</v>
      </c>
      <c r="F1152" s="281" t="s">
        <v>1144</v>
      </c>
      <c r="G1152" s="281" t="s">
        <v>1145</v>
      </c>
      <c r="H1152" s="281" t="s">
        <v>100</v>
      </c>
      <c r="I1152" s="136"/>
      <c r="J1152" s="138" t="s">
        <v>1146</v>
      </c>
      <c r="K1152" s="136"/>
      <c r="L1152" s="146">
        <v>46209</v>
      </c>
      <c r="M1152" s="136"/>
      <c r="N1152" s="281" t="s">
        <v>2512</v>
      </c>
      <c r="O1152" s="146">
        <v>46210</v>
      </c>
      <c r="P1152" s="138">
        <v>0</v>
      </c>
      <c r="Q1152" s="138">
        <v>110</v>
      </c>
      <c r="R1152" s="138">
        <v>42</v>
      </c>
      <c r="S1152" s="138">
        <v>152</v>
      </c>
      <c r="T1152" s="138">
        <v>152</v>
      </c>
      <c r="U1152" s="136"/>
      <c r="V1152" s="136"/>
      <c r="W1152" s="148">
        <v>93.6</v>
      </c>
      <c r="X1152" s="148">
        <v>93.4</v>
      </c>
      <c r="Y1152" s="148">
        <v>737661.6</v>
      </c>
      <c r="Z1152" s="236">
        <v>39.36</v>
      </c>
      <c r="AA1152" s="148">
        <v>18441.54</v>
      </c>
      <c r="AB1152" s="148">
        <v>18441.54</v>
      </c>
      <c r="AC1152" s="148">
        <v>774544.68</v>
      </c>
      <c r="AD1152" s="315">
        <f t="shared" si="769"/>
        <v>773770.13532</v>
      </c>
      <c r="AE1152" s="147">
        <v>39.36</v>
      </c>
      <c r="AF1152" s="147">
        <v>42</v>
      </c>
      <c r="AG1152" s="147">
        <v>39.36</v>
      </c>
      <c r="AH1152" s="287">
        <v>1.6000000000000001E-3</v>
      </c>
      <c r="AI1152" s="287">
        <v>2.9700000000000001E-2</v>
      </c>
      <c r="AJ1152" s="287">
        <v>4.2000000000000003E-2</v>
      </c>
      <c r="AK1152" s="318">
        <f t="shared" si="774"/>
        <v>46367.300571428583</v>
      </c>
      <c r="AL1152" s="193">
        <v>0</v>
      </c>
      <c r="AM1152" s="319">
        <v>0</v>
      </c>
      <c r="AN1152" s="319"/>
      <c r="AO1152" s="320">
        <f t="shared" si="775"/>
        <v>78.81</v>
      </c>
      <c r="AP1152" s="193">
        <v>0</v>
      </c>
      <c r="AQ1152" s="318">
        <v>0</v>
      </c>
      <c r="AR1152" s="318">
        <f t="shared" si="776"/>
        <v>46446.11057142858</v>
      </c>
      <c r="AS1152" s="318">
        <f t="shared" si="777"/>
        <v>48768</v>
      </c>
      <c r="AT1152" s="321">
        <v>1</v>
      </c>
      <c r="AU1152" s="157"/>
      <c r="AV1152" s="136"/>
      <c r="AW1152" s="318">
        <f t="shared" si="791"/>
        <v>9360</v>
      </c>
      <c r="AX1152" s="193"/>
      <c r="AY1152" s="318">
        <f t="shared" si="792"/>
        <v>9360</v>
      </c>
      <c r="AZ1152" s="318">
        <f t="shared" si="793"/>
        <v>9340</v>
      </c>
      <c r="BA1152" s="318">
        <f t="shared" si="794"/>
        <v>20</v>
      </c>
      <c r="BB1152" s="318">
        <f t="shared" si="795"/>
        <v>18.72</v>
      </c>
      <c r="BC1152" s="318">
        <v>0</v>
      </c>
      <c r="BD1152" s="136"/>
      <c r="BE1152" s="138">
        <v>93.6</v>
      </c>
      <c r="BF1152" s="321">
        <f t="shared" si="783"/>
        <v>0.1404</v>
      </c>
      <c r="BG1152" s="197">
        <f t="shared" si="784"/>
        <v>93.459599999999995</v>
      </c>
      <c r="BH1152" s="321">
        <f t="shared" si="785"/>
        <v>93.4</v>
      </c>
      <c r="BI1152" s="322">
        <f t="shared" si="786"/>
        <v>19.999999999998863</v>
      </c>
      <c r="BJ1152" s="322">
        <v>0</v>
      </c>
      <c r="BK1152" s="318">
        <f t="shared" si="787"/>
        <v>19.999999999998863</v>
      </c>
      <c r="BL1152" s="67"/>
      <c r="BM1152" s="68" t="str">
        <f t="shared" si="788"/>
        <v>Unloading no. 1118 Bill No 2026-27/332 ,Deduction For Oil Deduction= 46367.3005714286 ,Bardana= 0 ,F.M= 0 Brokerage/Rate Difference  ,Shortage = 78.81 ,Greenish= 0 ,Moisture= 0</v>
      </c>
      <c r="BN1152" s="69"/>
      <c r="BO1152" s="70" t="str">
        <f t="shared" si="789"/>
        <v xml:space="preserve"> Party Condition 42  ,F.M% 0.16 ,Greenish 2.97 ,Moisture 4.2 ,Shortage in KG= 1  ,Oil% 39.36</v>
      </c>
      <c r="BP1152" s="71">
        <f t="shared" si="790"/>
        <v>7400.5941052309572</v>
      </c>
      <c r="BQ1152" s="55"/>
      <c r="BR1152" s="55"/>
      <c r="BS1152" s="41"/>
      <c r="BT1152" s="41"/>
      <c r="BU1152" s="41"/>
      <c r="BV1152" s="41"/>
      <c r="BW1152" s="85"/>
      <c r="BX1152" s="27">
        <v>39.08</v>
      </c>
      <c r="BY1152" s="27">
        <v>38.94</v>
      </c>
    </row>
    <row r="1153" spans="1:83" ht="14.1" hidden="1" customHeight="1" x14ac:dyDescent="0.3">
      <c r="A1153" s="281" t="s">
        <v>2442</v>
      </c>
      <c r="B1153" s="146">
        <v>46209</v>
      </c>
      <c r="C1153" s="138">
        <v>1119</v>
      </c>
      <c r="D1153" s="138" t="s">
        <v>2467</v>
      </c>
      <c r="E1153" s="129">
        <v>46210</v>
      </c>
      <c r="F1153" s="281" t="s">
        <v>1144</v>
      </c>
      <c r="G1153" s="281" t="s">
        <v>1145</v>
      </c>
      <c r="H1153" s="281" t="s">
        <v>100</v>
      </c>
      <c r="I1153" s="136"/>
      <c r="J1153" s="138" t="s">
        <v>1146</v>
      </c>
      <c r="K1153" s="136"/>
      <c r="L1153" s="146">
        <v>46209</v>
      </c>
      <c r="M1153" s="136"/>
      <c r="N1153" s="281" t="s">
        <v>2513</v>
      </c>
      <c r="O1153" s="146">
        <v>46210</v>
      </c>
      <c r="P1153" s="138">
        <v>0</v>
      </c>
      <c r="Q1153" s="138">
        <v>140</v>
      </c>
      <c r="R1153" s="138">
        <v>17</v>
      </c>
      <c r="S1153" s="138">
        <v>157</v>
      </c>
      <c r="T1153" s="138">
        <v>157</v>
      </c>
      <c r="U1153" s="136"/>
      <c r="V1153" s="136"/>
      <c r="W1153" s="148">
        <v>94.2</v>
      </c>
      <c r="X1153" s="148">
        <v>94.2</v>
      </c>
      <c r="Y1153" s="148">
        <v>742390.2</v>
      </c>
      <c r="Z1153" s="236">
        <v>39.04</v>
      </c>
      <c r="AA1153" s="148">
        <v>18559.759999999998</v>
      </c>
      <c r="AB1153" s="148">
        <v>18559.759999999998</v>
      </c>
      <c r="AC1153" s="148">
        <v>779509.71</v>
      </c>
      <c r="AD1153" s="315">
        <f t="shared" si="769"/>
        <v>778730.20028999995</v>
      </c>
      <c r="AE1153" s="147">
        <v>39.04</v>
      </c>
      <c r="AF1153" s="147">
        <v>42</v>
      </c>
      <c r="AG1153" s="147">
        <v>39.04</v>
      </c>
      <c r="AH1153" s="287">
        <v>1.8E-3</v>
      </c>
      <c r="AI1153" s="287">
        <v>0.03</v>
      </c>
      <c r="AJ1153" s="287">
        <v>4.2999999999999997E-2</v>
      </c>
      <c r="AK1153" s="318">
        <f t="shared" si="774"/>
        <v>52320.833142857155</v>
      </c>
      <c r="AL1153" s="193">
        <v>0</v>
      </c>
      <c r="AM1153" s="319">
        <v>0</v>
      </c>
      <c r="AN1153" s="319"/>
      <c r="AO1153" s="320">
        <f t="shared" si="775"/>
        <v>0</v>
      </c>
      <c r="AP1153" s="193">
        <v>0</v>
      </c>
      <c r="AQ1153" s="318">
        <v>0</v>
      </c>
      <c r="AR1153" s="318">
        <f t="shared" si="776"/>
        <v>52320.833142857155</v>
      </c>
      <c r="AS1153" s="318">
        <f t="shared" si="777"/>
        <v>54937</v>
      </c>
      <c r="AT1153" s="321">
        <v>0</v>
      </c>
      <c r="AU1153" s="157"/>
      <c r="AV1153" s="136"/>
      <c r="AW1153" s="318">
        <f t="shared" si="791"/>
        <v>9420</v>
      </c>
      <c r="AX1153" s="193"/>
      <c r="AY1153" s="318">
        <f t="shared" si="792"/>
        <v>9420</v>
      </c>
      <c r="AZ1153" s="318">
        <f t="shared" si="793"/>
        <v>9420</v>
      </c>
      <c r="BA1153" s="318">
        <f t="shared" si="794"/>
        <v>0</v>
      </c>
      <c r="BB1153" s="318">
        <f t="shared" si="795"/>
        <v>18.84</v>
      </c>
      <c r="BC1153" s="318">
        <v>0</v>
      </c>
      <c r="BD1153" s="136"/>
      <c r="BE1153" s="138">
        <v>94.2</v>
      </c>
      <c r="BF1153" s="321">
        <f t="shared" si="783"/>
        <v>0.14130000000000001</v>
      </c>
      <c r="BG1153" s="197">
        <f t="shared" si="784"/>
        <v>94.058700000000002</v>
      </c>
      <c r="BH1153" s="321">
        <f t="shared" si="785"/>
        <v>94.2</v>
      </c>
      <c r="BI1153" s="322">
        <f t="shared" si="786"/>
        <v>0</v>
      </c>
      <c r="BJ1153" s="322">
        <v>0</v>
      </c>
      <c r="BK1153" s="318">
        <f t="shared" si="787"/>
        <v>0</v>
      </c>
      <c r="BL1153" s="67"/>
      <c r="BM1153" s="68" t="str">
        <f t="shared" si="788"/>
        <v>Unloading no. 1119 Bill No 2026-27/333 ,Deduction For Oil Deduction= 52320.8331428572 ,Bardana= 0 ,F.M= 0 Brokerage/Rate Difference  ,Shortage = 0 ,Greenish= 0 ,Moisture= 0</v>
      </c>
      <c r="BN1153" s="69"/>
      <c r="BO1153" s="70" t="str">
        <f t="shared" si="789"/>
        <v xml:space="preserve"> Party Condition 42  ,F.M% 0.18 ,Greenish 3 ,Moisture 4.3 ,Shortage in KG= 0  ,Oil% 39.04</v>
      </c>
      <c r="BP1153" s="71">
        <f t="shared" si="790"/>
        <v>7325.5771428571416</v>
      </c>
      <c r="BQ1153" s="55"/>
      <c r="BR1153" s="55"/>
      <c r="BS1153" s="41"/>
      <c r="BT1153" s="41"/>
      <c r="BU1153" s="41"/>
      <c r="BV1153" s="41"/>
      <c r="BW1153" s="85"/>
      <c r="BX1153" s="27">
        <v>38.9</v>
      </c>
      <c r="BY1153" s="27">
        <v>38.72</v>
      </c>
    </row>
    <row r="1154" spans="1:83" ht="14.1" hidden="1" customHeight="1" x14ac:dyDescent="0.3">
      <c r="A1154" s="281" t="s">
        <v>2442</v>
      </c>
      <c r="B1154" s="146">
        <v>46209</v>
      </c>
      <c r="C1154" s="138">
        <v>1120</v>
      </c>
      <c r="D1154" s="138" t="s">
        <v>2468</v>
      </c>
      <c r="E1154" s="129">
        <v>46210</v>
      </c>
      <c r="F1154" s="281" t="s">
        <v>1144</v>
      </c>
      <c r="G1154" s="281" t="s">
        <v>1145</v>
      </c>
      <c r="H1154" s="281" t="s">
        <v>100</v>
      </c>
      <c r="I1154" s="136"/>
      <c r="J1154" s="138" t="s">
        <v>1146</v>
      </c>
      <c r="K1154" s="136"/>
      <c r="L1154" s="146">
        <v>46209</v>
      </c>
      <c r="M1154" s="136"/>
      <c r="N1154" s="281" t="s">
        <v>2514</v>
      </c>
      <c r="O1154" s="146">
        <v>46210</v>
      </c>
      <c r="P1154" s="138">
        <v>0</v>
      </c>
      <c r="Q1154" s="138">
        <v>120</v>
      </c>
      <c r="R1154" s="138">
        <v>37</v>
      </c>
      <c r="S1154" s="138">
        <v>157</v>
      </c>
      <c r="T1154" s="138">
        <v>157</v>
      </c>
      <c r="U1154" s="136"/>
      <c r="V1154" s="136"/>
      <c r="W1154" s="148">
        <v>93.7</v>
      </c>
      <c r="X1154" s="148">
        <v>93.5</v>
      </c>
      <c r="Y1154" s="148">
        <v>738449.7</v>
      </c>
      <c r="Z1154" s="236">
        <v>39.340000000000003</v>
      </c>
      <c r="AA1154" s="148">
        <v>18461.240000000002</v>
      </c>
      <c r="AB1154" s="148">
        <v>18461.240000000002</v>
      </c>
      <c r="AC1154" s="148">
        <v>775372.19</v>
      </c>
      <c r="AD1154" s="315">
        <f t="shared" si="769"/>
        <v>774596.81780999992</v>
      </c>
      <c r="AE1154" s="147">
        <v>39.340000000000003</v>
      </c>
      <c r="AF1154" s="147">
        <v>42</v>
      </c>
      <c r="AG1154" s="147">
        <v>39.340000000000003</v>
      </c>
      <c r="AH1154" s="287">
        <v>1.4E-3</v>
      </c>
      <c r="AI1154" s="287">
        <v>2.5399999999999999E-2</v>
      </c>
      <c r="AJ1154" s="287">
        <v>4.3999999999999997E-2</v>
      </c>
      <c r="AK1154" s="318">
        <f t="shared" si="774"/>
        <v>46768.480999999942</v>
      </c>
      <c r="AL1154" s="193">
        <v>0</v>
      </c>
      <c r="AM1154" s="319">
        <v>0</v>
      </c>
      <c r="AN1154" s="319"/>
      <c r="AO1154" s="320">
        <f t="shared" si="775"/>
        <v>78.809999999999988</v>
      </c>
      <c r="AP1154" s="193">
        <v>0</v>
      </c>
      <c r="AQ1154" s="318">
        <v>0</v>
      </c>
      <c r="AR1154" s="318">
        <f t="shared" si="776"/>
        <v>46847.290999999939</v>
      </c>
      <c r="AS1154" s="318">
        <f t="shared" si="777"/>
        <v>49190</v>
      </c>
      <c r="AT1154" s="321">
        <v>1</v>
      </c>
      <c r="AU1154" s="157"/>
      <c r="AV1154" s="136"/>
      <c r="AW1154" s="318">
        <f t="shared" si="791"/>
        <v>9370</v>
      </c>
      <c r="AX1154" s="193"/>
      <c r="AY1154" s="318">
        <f t="shared" si="792"/>
        <v>9370</v>
      </c>
      <c r="AZ1154" s="318">
        <f t="shared" si="793"/>
        <v>9350</v>
      </c>
      <c r="BA1154" s="318">
        <f t="shared" si="794"/>
        <v>20</v>
      </c>
      <c r="BB1154" s="318">
        <f t="shared" si="795"/>
        <v>18.739999999999998</v>
      </c>
      <c r="BC1154" s="318">
        <v>0</v>
      </c>
      <c r="BD1154" s="136"/>
      <c r="BE1154" s="138">
        <v>93.7</v>
      </c>
      <c r="BF1154" s="321">
        <f t="shared" si="783"/>
        <v>0.14055000000000001</v>
      </c>
      <c r="BG1154" s="197">
        <f t="shared" si="784"/>
        <v>93.559449999999998</v>
      </c>
      <c r="BH1154" s="321">
        <f t="shared" si="785"/>
        <v>93.5</v>
      </c>
      <c r="BI1154" s="322">
        <f t="shared" si="786"/>
        <v>20.000000000000284</v>
      </c>
      <c r="BJ1154" s="322">
        <v>0</v>
      </c>
      <c r="BK1154" s="318">
        <f t="shared" si="787"/>
        <v>20.000000000000284</v>
      </c>
      <c r="BL1154" s="67"/>
      <c r="BM1154" s="68" t="str">
        <f t="shared" si="788"/>
        <v>Unloading no. 1120 Bill No 2026-27/334 ,Deduction For Oil Deduction= 46768.4809999999 ,Bardana= 0 ,F.M= 0 Brokerage/Rate Difference  ,Shortage = 78.81 ,Greenish= 0 ,Moisture= 0</v>
      </c>
      <c r="BN1154" s="69"/>
      <c r="BO1154" s="70" t="str">
        <f t="shared" si="789"/>
        <v xml:space="preserve"> Party Condition 42  ,F.M% 0.14 ,Greenish 2.54 ,Moisture 4.4 ,Shortage in KG= 1  ,Oil% 39.34</v>
      </c>
      <c r="BP1154" s="71">
        <f t="shared" si="790"/>
        <v>7396.8172085561491</v>
      </c>
      <c r="BQ1154" s="55"/>
      <c r="BR1154" s="55"/>
      <c r="BS1154" s="41"/>
      <c r="BT1154" s="41"/>
      <c r="BU1154" s="41"/>
      <c r="BV1154" s="41"/>
      <c r="BW1154" s="85"/>
      <c r="BX1154" s="27">
        <v>39.15</v>
      </c>
      <c r="BY1154" s="27">
        <v>38.93</v>
      </c>
    </row>
    <row r="1155" spans="1:83" ht="14.1" hidden="1" customHeight="1" x14ac:dyDescent="0.3">
      <c r="A1155" s="281" t="s">
        <v>2442</v>
      </c>
      <c r="B1155" s="146">
        <v>46209</v>
      </c>
      <c r="C1155" s="138">
        <v>1121</v>
      </c>
      <c r="D1155" s="138" t="s">
        <v>2469</v>
      </c>
      <c r="E1155" s="129">
        <v>46210</v>
      </c>
      <c r="F1155" s="281" t="s">
        <v>1144</v>
      </c>
      <c r="G1155" s="281" t="s">
        <v>1145</v>
      </c>
      <c r="H1155" s="281" t="s">
        <v>100</v>
      </c>
      <c r="I1155" s="136"/>
      <c r="J1155" s="138" t="s">
        <v>1146</v>
      </c>
      <c r="K1155" s="136"/>
      <c r="L1155" s="146">
        <v>46209</v>
      </c>
      <c r="M1155" s="136"/>
      <c r="N1155" s="281" t="s">
        <v>2515</v>
      </c>
      <c r="O1155" s="146">
        <v>46210</v>
      </c>
      <c r="P1155" s="138">
        <v>0</v>
      </c>
      <c r="Q1155" s="138">
        <v>140</v>
      </c>
      <c r="R1155" s="138">
        <v>17</v>
      </c>
      <c r="S1155" s="138">
        <v>157</v>
      </c>
      <c r="T1155" s="138">
        <v>157</v>
      </c>
      <c r="U1155" s="136"/>
      <c r="V1155" s="136"/>
      <c r="W1155" s="148">
        <v>94.2</v>
      </c>
      <c r="X1155" s="148">
        <v>94.1</v>
      </c>
      <c r="Y1155" s="148">
        <v>742390.2</v>
      </c>
      <c r="Z1155" s="236">
        <v>39.6</v>
      </c>
      <c r="AA1155" s="148">
        <v>18559.759999999998</v>
      </c>
      <c r="AB1155" s="148">
        <v>18559.759999999998</v>
      </c>
      <c r="AC1155" s="148">
        <v>779509.71</v>
      </c>
      <c r="AD1155" s="315">
        <f t="shared" si="769"/>
        <v>778730.20028999995</v>
      </c>
      <c r="AE1155" s="147">
        <v>39.6</v>
      </c>
      <c r="AF1155" s="147">
        <v>42</v>
      </c>
      <c r="AG1155" s="147">
        <v>39.6</v>
      </c>
      <c r="AH1155" s="287">
        <v>1.5E-3</v>
      </c>
      <c r="AI1155" s="287">
        <v>2.4E-2</v>
      </c>
      <c r="AJ1155" s="287">
        <v>0.04</v>
      </c>
      <c r="AK1155" s="318">
        <f t="shared" si="774"/>
        <v>42422.297142857111</v>
      </c>
      <c r="AL1155" s="193">
        <v>0</v>
      </c>
      <c r="AM1155" s="319">
        <v>0</v>
      </c>
      <c r="AN1155" s="319"/>
      <c r="AO1155" s="320">
        <f t="shared" si="775"/>
        <v>0</v>
      </c>
      <c r="AP1155" s="193">
        <v>0</v>
      </c>
      <c r="AQ1155" s="318">
        <v>0</v>
      </c>
      <c r="AR1155" s="318">
        <f t="shared" si="776"/>
        <v>42422.297142857111</v>
      </c>
      <c r="AS1155" s="318">
        <f t="shared" si="777"/>
        <v>44543</v>
      </c>
      <c r="AT1155" s="321">
        <v>0</v>
      </c>
      <c r="AU1155" s="157"/>
      <c r="AV1155" s="136"/>
      <c r="AW1155" s="318">
        <f t="shared" si="791"/>
        <v>9420</v>
      </c>
      <c r="AX1155" s="193"/>
      <c r="AY1155" s="318">
        <f t="shared" si="792"/>
        <v>9420</v>
      </c>
      <c r="AZ1155" s="318">
        <f t="shared" si="793"/>
        <v>9410</v>
      </c>
      <c r="BA1155" s="318">
        <f t="shared" si="794"/>
        <v>10</v>
      </c>
      <c r="BB1155" s="318">
        <f t="shared" si="795"/>
        <v>18.84</v>
      </c>
      <c r="BC1155" s="318">
        <v>0</v>
      </c>
      <c r="BD1155" s="136"/>
      <c r="BE1155" s="138">
        <v>94.2</v>
      </c>
      <c r="BF1155" s="321">
        <f t="shared" si="783"/>
        <v>0.14130000000000001</v>
      </c>
      <c r="BG1155" s="197">
        <f t="shared" si="784"/>
        <v>94.058700000000002</v>
      </c>
      <c r="BH1155" s="321">
        <f t="shared" si="785"/>
        <v>94.1</v>
      </c>
      <c r="BI1155" s="322">
        <f t="shared" si="786"/>
        <v>10.000000000000853</v>
      </c>
      <c r="BJ1155" s="322">
        <v>0</v>
      </c>
      <c r="BK1155" s="318">
        <f t="shared" si="787"/>
        <v>10.000000000000853</v>
      </c>
      <c r="BL1155" s="67"/>
      <c r="BM1155" s="68" t="str">
        <f t="shared" si="788"/>
        <v>Unloading no. 1121 Bill No 2026-27/335 ,Deduction For Oil Deduction= 42422.2971428571 ,Bardana= 0 ,F.M= 0 Brokerage/Rate Difference  ,Shortage = 0 ,Greenish= 0 ,Moisture= 0</v>
      </c>
      <c r="BN1155" s="69"/>
      <c r="BO1155" s="70" t="str">
        <f t="shared" si="789"/>
        <v xml:space="preserve"> Party Condition 42  ,F.M% 0.15 ,Greenish 2.4 ,Moisture 4 ,Shortage in KG= 0  ,Oil% 39.6</v>
      </c>
      <c r="BP1155" s="71">
        <f t="shared" si="790"/>
        <v>7438.5536966752697</v>
      </c>
      <c r="BQ1155" s="55"/>
      <c r="BR1155" s="55"/>
      <c r="BS1155" s="41"/>
      <c r="BT1155" s="41"/>
      <c r="BU1155" s="41"/>
      <c r="BV1155" s="41"/>
      <c r="BW1155" s="85"/>
      <c r="BX1155" s="27">
        <v>39.340000000000003</v>
      </c>
      <c r="BY1155" s="27">
        <v>39.22</v>
      </c>
    </row>
    <row r="1156" spans="1:83" ht="14.1" hidden="1" customHeight="1" x14ac:dyDescent="0.3">
      <c r="A1156" s="281" t="s">
        <v>2442</v>
      </c>
      <c r="B1156" s="146">
        <v>46209</v>
      </c>
      <c r="C1156" s="138">
        <v>1122</v>
      </c>
      <c r="D1156" s="138" t="s">
        <v>2470</v>
      </c>
      <c r="E1156" s="129">
        <v>46210</v>
      </c>
      <c r="F1156" s="281" t="s">
        <v>1144</v>
      </c>
      <c r="G1156" s="281" t="s">
        <v>1145</v>
      </c>
      <c r="H1156" s="281" t="s">
        <v>100</v>
      </c>
      <c r="I1156" s="136"/>
      <c r="J1156" s="138" t="s">
        <v>1146</v>
      </c>
      <c r="K1156" s="136"/>
      <c r="L1156" s="146">
        <v>46209</v>
      </c>
      <c r="M1156" s="136"/>
      <c r="N1156" s="281" t="s">
        <v>2516</v>
      </c>
      <c r="O1156" s="146">
        <v>46210</v>
      </c>
      <c r="P1156" s="138">
        <v>0</v>
      </c>
      <c r="Q1156" s="138">
        <v>117</v>
      </c>
      <c r="R1156" s="138">
        <v>40</v>
      </c>
      <c r="S1156" s="138">
        <v>157</v>
      </c>
      <c r="T1156" s="138">
        <v>157</v>
      </c>
      <c r="U1156" s="136"/>
      <c r="V1156" s="136"/>
      <c r="W1156" s="148">
        <v>94.7</v>
      </c>
      <c r="X1156" s="148">
        <v>94.6</v>
      </c>
      <c r="Y1156" s="148">
        <v>746330.7</v>
      </c>
      <c r="Z1156" s="236">
        <v>39.89</v>
      </c>
      <c r="AA1156" s="148">
        <v>18658.27</v>
      </c>
      <c r="AB1156" s="148">
        <v>18658.27</v>
      </c>
      <c r="AC1156" s="148">
        <v>783647.24</v>
      </c>
      <c r="AD1156" s="315">
        <f t="shared" si="769"/>
        <v>782863.59276000003</v>
      </c>
      <c r="AE1156" s="147">
        <v>39.89</v>
      </c>
      <c r="AF1156" s="147">
        <v>42</v>
      </c>
      <c r="AG1156" s="147">
        <v>39.89</v>
      </c>
      <c r="AH1156" s="287">
        <v>1.6000000000000001E-3</v>
      </c>
      <c r="AI1156" s="287">
        <v>0.04</v>
      </c>
      <c r="AJ1156" s="287">
        <v>4.1000000000000002E-2</v>
      </c>
      <c r="AK1156" s="318">
        <f t="shared" si="774"/>
        <v>37494.232785714274</v>
      </c>
      <c r="AL1156" s="193">
        <v>0</v>
      </c>
      <c r="AM1156" s="319">
        <v>0</v>
      </c>
      <c r="AN1156" s="319"/>
      <c r="AO1156" s="320">
        <f t="shared" si="775"/>
        <v>0</v>
      </c>
      <c r="AP1156" s="193">
        <v>0</v>
      </c>
      <c r="AQ1156" s="318">
        <v>0</v>
      </c>
      <c r="AR1156" s="318">
        <f t="shared" si="776"/>
        <v>37494.232785714274</v>
      </c>
      <c r="AS1156" s="318">
        <f t="shared" si="777"/>
        <v>39369</v>
      </c>
      <c r="AT1156" s="321">
        <v>0</v>
      </c>
      <c r="AU1156" s="157"/>
      <c r="AV1156" s="136"/>
      <c r="AW1156" s="318">
        <f t="shared" si="791"/>
        <v>9470</v>
      </c>
      <c r="AX1156" s="193"/>
      <c r="AY1156" s="318">
        <f t="shared" si="792"/>
        <v>9470</v>
      </c>
      <c r="AZ1156" s="318">
        <f t="shared" si="793"/>
        <v>9460</v>
      </c>
      <c r="BA1156" s="318">
        <f t="shared" si="794"/>
        <v>10</v>
      </c>
      <c r="BB1156" s="318">
        <f t="shared" si="795"/>
        <v>18.940000000000001</v>
      </c>
      <c r="BC1156" s="318">
        <v>0</v>
      </c>
      <c r="BD1156" s="136"/>
      <c r="BE1156" s="138">
        <v>94.7</v>
      </c>
      <c r="BF1156" s="321">
        <f t="shared" si="783"/>
        <v>0.14205000000000001</v>
      </c>
      <c r="BG1156" s="197">
        <f t="shared" si="784"/>
        <v>94.557950000000005</v>
      </c>
      <c r="BH1156" s="321">
        <f t="shared" si="785"/>
        <v>94.6</v>
      </c>
      <c r="BI1156" s="322">
        <f t="shared" si="786"/>
        <v>10.000000000000853</v>
      </c>
      <c r="BJ1156" s="322">
        <v>0</v>
      </c>
      <c r="BK1156" s="318">
        <f t="shared" si="787"/>
        <v>10.000000000000853</v>
      </c>
      <c r="BL1156" s="67"/>
      <c r="BM1156" s="68" t="str">
        <f t="shared" si="788"/>
        <v>Unloading no. 1122 Bill No 2026-27/336 ,Deduction For Oil Deduction= 37494.2327857143 ,Bardana= 0 ,F.M= 0 Brokerage/Rate Difference  ,Shortage = 0 ,Greenish= 0 ,Moisture= 0</v>
      </c>
      <c r="BN1156" s="69"/>
      <c r="BO1156" s="70" t="str">
        <f t="shared" si="789"/>
        <v xml:space="preserve"> Party Condition 42  ,F.M% 0.16 ,Greenish 4 ,Moisture 4.1 ,Shortage in KG= 0  ,Oil% 39.89</v>
      </c>
      <c r="BP1156" s="71">
        <f t="shared" si="790"/>
        <v>7492.9859113560851</v>
      </c>
      <c r="BQ1156" s="55"/>
      <c r="BR1156" s="55"/>
      <c r="BS1156" s="41"/>
      <c r="BT1156" s="41"/>
      <c r="BU1156" s="41"/>
      <c r="BV1156" s="41"/>
      <c r="BW1156" s="85"/>
      <c r="BX1156" s="27">
        <v>39.770000000000003</v>
      </c>
      <c r="BY1156" s="27">
        <v>39.49</v>
      </c>
    </row>
    <row r="1157" spans="1:83" ht="14.1" hidden="1" customHeight="1" x14ac:dyDescent="0.3">
      <c r="A1157" s="281" t="s">
        <v>2443</v>
      </c>
      <c r="B1157" s="146">
        <v>46209</v>
      </c>
      <c r="C1157" s="138">
        <v>1123</v>
      </c>
      <c r="D1157" s="138" t="s">
        <v>2471</v>
      </c>
      <c r="E1157" s="129">
        <v>46210</v>
      </c>
      <c r="F1157" s="281" t="s">
        <v>1450</v>
      </c>
      <c r="G1157" s="281" t="s">
        <v>1451</v>
      </c>
      <c r="H1157" s="281" t="s">
        <v>199</v>
      </c>
      <c r="I1157" s="136"/>
      <c r="J1157" s="138" t="s">
        <v>2499</v>
      </c>
      <c r="K1157" s="136"/>
      <c r="L1157" s="146">
        <v>46209</v>
      </c>
      <c r="M1157" s="136"/>
      <c r="N1157" s="281" t="s">
        <v>2517</v>
      </c>
      <c r="O1157" s="146">
        <v>46210</v>
      </c>
      <c r="P1157" s="138">
        <v>0</v>
      </c>
      <c r="Q1157" s="138">
        <v>100</v>
      </c>
      <c r="R1157" s="138">
        <v>78</v>
      </c>
      <c r="S1157" s="138">
        <v>178</v>
      </c>
      <c r="T1157" s="138">
        <v>178</v>
      </c>
      <c r="U1157" s="136"/>
      <c r="V1157" s="136"/>
      <c r="W1157" s="148">
        <v>107.55</v>
      </c>
      <c r="X1157" s="148">
        <v>107.3</v>
      </c>
      <c r="Y1157" s="148">
        <v>852333.75</v>
      </c>
      <c r="Z1157" s="148"/>
      <c r="AA1157" s="148">
        <v>21308.34</v>
      </c>
      <c r="AB1157" s="148">
        <v>21308.34</v>
      </c>
      <c r="AC1157" s="148">
        <v>894950.44</v>
      </c>
      <c r="AD1157" s="315">
        <f t="shared" si="769"/>
        <v>894055.4895599999</v>
      </c>
      <c r="AE1157" s="147">
        <v>39.36</v>
      </c>
      <c r="AF1157" s="147">
        <v>42</v>
      </c>
      <c r="AG1157" s="147">
        <v>39.28</v>
      </c>
      <c r="AH1157" s="287">
        <v>2.2000000000000001E-3</v>
      </c>
      <c r="AI1157" s="287">
        <v>2.7E-2</v>
      </c>
      <c r="AJ1157" s="397">
        <v>5.0900000000000001E-2</v>
      </c>
      <c r="AK1157" s="318">
        <f>+IF(AF1157=42,IF(MIN(AE1157,AG1157)&lt;AF1157,Y1157*((AF1157-MIN(AE1157,AG1157))/AF1157)),IF(MIN(AE1157,AG1157)&lt;AF1157,Y1157*((AF1157-MIN(AE1157,AG1157))/AF1157),0))-22.32</f>
        <v>55176.437142857118</v>
      </c>
      <c r="AL1157" s="193">
        <f>100*10+78*15</f>
        <v>2170</v>
      </c>
      <c r="AM1157" s="319">
        <f>Y1157*AH1157</f>
        <v>1875.1342500000001</v>
      </c>
      <c r="AN1157" s="319"/>
      <c r="AO1157" s="320">
        <f t="shared" si="775"/>
        <v>1981.25</v>
      </c>
      <c r="AP1157" s="193">
        <v>0</v>
      </c>
      <c r="AQ1157" s="439">
        <f>Y1157*0.09/100</f>
        <v>767.10037499999987</v>
      </c>
      <c r="AR1157" s="318">
        <f t="shared" si="776"/>
        <v>61969.921767857122</v>
      </c>
      <c r="AS1157" s="318">
        <f t="shared" si="777"/>
        <v>65068</v>
      </c>
      <c r="AT1157" s="321">
        <v>25</v>
      </c>
      <c r="AU1157" s="157"/>
      <c r="AV1157" s="136"/>
      <c r="AW1157" s="318">
        <f t="shared" si="791"/>
        <v>10755</v>
      </c>
      <c r="AX1157" s="193"/>
      <c r="AY1157" s="318">
        <f t="shared" si="792"/>
        <v>10755</v>
      </c>
      <c r="AZ1157" s="318">
        <f t="shared" si="793"/>
        <v>10730</v>
      </c>
      <c r="BA1157" s="318">
        <f t="shared" si="794"/>
        <v>25</v>
      </c>
      <c r="BB1157" s="318">
        <f t="shared" si="795"/>
        <v>21.51</v>
      </c>
      <c r="BC1157" s="318">
        <v>0</v>
      </c>
      <c r="BD1157" s="136"/>
      <c r="BE1157" s="138">
        <v>107.55</v>
      </c>
      <c r="BF1157" s="321">
        <f t="shared" si="783"/>
        <v>0.161325</v>
      </c>
      <c r="BG1157" s="197">
        <f t="shared" si="784"/>
        <v>107.38867499999999</v>
      </c>
      <c r="BH1157" s="321">
        <f t="shared" si="785"/>
        <v>107.3</v>
      </c>
      <c r="BI1157" s="322">
        <f t="shared" si="786"/>
        <v>25</v>
      </c>
      <c r="BJ1157" s="322">
        <v>0</v>
      </c>
      <c r="BK1157" s="318">
        <f t="shared" si="787"/>
        <v>25</v>
      </c>
      <c r="BL1157" s="67"/>
      <c r="BM1157" s="68" t="str">
        <f t="shared" si="788"/>
        <v>Unloading no. 1123 Bill No ST-59 ,Deduction For Oil Deduction= 55176.4371428571 ,Bardana= 2170 ,F.M= 1875.13425 Brokerage/Rate Difference  ,Shortage = 1981.25 ,Greenish= 0 ,Moisture= 767.100375</v>
      </c>
      <c r="BN1157" s="69"/>
      <c r="BO1157" s="70" t="str">
        <f t="shared" si="789"/>
        <v xml:space="preserve"> Party Condition 42  ,F.M% 0.22 ,Greenish 2.7 ,Moisture 5.09 ,Shortage in KG= 25  ,Oil% 39.28</v>
      </c>
      <c r="BP1157" s="71">
        <f t="shared" si="790"/>
        <v>7365.9257057981631</v>
      </c>
      <c r="BQ1157" s="55"/>
      <c r="BR1157" s="55"/>
      <c r="BS1157" s="41"/>
      <c r="BT1157" s="41"/>
      <c r="BU1157" s="41"/>
      <c r="BV1157" s="41"/>
      <c r="BW1157" s="85"/>
      <c r="BX1157" s="27">
        <v>39.36</v>
      </c>
      <c r="BY1157" s="27">
        <v>39.28</v>
      </c>
      <c r="CA1157" s="56">
        <v>62988.37</v>
      </c>
      <c r="CC1157" s="57">
        <f t="shared" ref="CC1157" si="800">AS1157-CA1157</f>
        <v>2079.6299999999974</v>
      </c>
      <c r="CE1157" s="88">
        <f t="shared" ref="CE1157" si="801">CC1157/105%</f>
        <v>1980.5999999999974</v>
      </c>
    </row>
    <row r="1158" spans="1:83" ht="14.1" hidden="1" customHeight="1" x14ac:dyDescent="0.3">
      <c r="A1158" s="128" t="s">
        <v>2444</v>
      </c>
      <c r="B1158" s="146">
        <v>46210</v>
      </c>
      <c r="C1158" s="138">
        <v>1124</v>
      </c>
      <c r="D1158" s="138" t="s">
        <v>2472</v>
      </c>
      <c r="E1158" s="129">
        <v>46211</v>
      </c>
      <c r="F1158" s="128" t="s">
        <v>95</v>
      </c>
      <c r="G1158" s="424" t="s">
        <v>96</v>
      </c>
      <c r="H1158" s="281" t="s">
        <v>97</v>
      </c>
      <c r="I1158" s="136"/>
      <c r="J1158" s="138" t="s">
        <v>2499</v>
      </c>
      <c r="K1158" s="136"/>
      <c r="L1158" s="146">
        <v>45845</v>
      </c>
      <c r="M1158" s="136"/>
      <c r="N1158" s="281">
        <v>223</v>
      </c>
      <c r="O1158" s="146">
        <v>46210</v>
      </c>
      <c r="P1158" s="138">
        <v>0</v>
      </c>
      <c r="Q1158" s="138">
        <v>350</v>
      </c>
      <c r="R1158" s="138">
        <v>81</v>
      </c>
      <c r="S1158" s="138">
        <v>431</v>
      </c>
      <c r="T1158" s="138">
        <v>431</v>
      </c>
      <c r="U1158" s="136"/>
      <c r="V1158" s="136"/>
      <c r="W1158" s="148">
        <v>262.2</v>
      </c>
      <c r="X1158" s="148">
        <v>262</v>
      </c>
      <c r="Y1158" s="296">
        <f>2085869.2-1379.2</f>
        <v>2084490</v>
      </c>
      <c r="Z1158" s="148"/>
      <c r="AA1158" s="148">
        <v>52146.73</v>
      </c>
      <c r="AB1158" s="148">
        <v>52146.73</v>
      </c>
      <c r="AC1158" s="148">
        <v>2190162.66</v>
      </c>
      <c r="AD1158" s="315">
        <f t="shared" si="769"/>
        <v>2187972.4973400002</v>
      </c>
      <c r="AE1158" s="147">
        <v>40.9</v>
      </c>
      <c r="AF1158" s="147">
        <v>42</v>
      </c>
      <c r="AG1158" s="147">
        <v>40.630000000000003</v>
      </c>
      <c r="AH1158" s="287">
        <v>1.8E-3</v>
      </c>
      <c r="AI1158" s="287">
        <v>3.2500000000000001E-2</v>
      </c>
      <c r="AJ1158" s="397">
        <v>5.0700000000000002E-2</v>
      </c>
      <c r="AK1158" s="318">
        <f t="shared" si="774"/>
        <v>67994.078571428458</v>
      </c>
      <c r="AL1158" s="193">
        <f>350*10+81*15</f>
        <v>4715</v>
      </c>
      <c r="AM1158" s="319">
        <f>Y1158*AH1158</f>
        <v>3752.0819999999999</v>
      </c>
      <c r="AN1158" s="319">
        <v>1379.2</v>
      </c>
      <c r="AO1158" s="320">
        <f t="shared" si="775"/>
        <v>1590</v>
      </c>
      <c r="AP1158" s="193">
        <v>0</v>
      </c>
      <c r="AQ1158" s="439">
        <f>Y1158*0.07/100</f>
        <v>1459.1430000000003</v>
      </c>
      <c r="AR1158" s="318">
        <f t="shared" si="776"/>
        <v>80889.503571428446</v>
      </c>
      <c r="AS1158" s="318">
        <f t="shared" si="777"/>
        <v>84934</v>
      </c>
      <c r="AT1158" s="321">
        <v>20</v>
      </c>
      <c r="AU1158" s="206" t="s">
        <v>2210</v>
      </c>
      <c r="AV1158" s="136"/>
      <c r="AW1158" s="318">
        <f t="shared" si="791"/>
        <v>26220</v>
      </c>
      <c r="AX1158" s="193"/>
      <c r="AY1158" s="318">
        <f t="shared" si="792"/>
        <v>26220</v>
      </c>
      <c r="AZ1158" s="318">
        <f t="shared" si="793"/>
        <v>26200</v>
      </c>
      <c r="BA1158" s="318">
        <f t="shared" si="794"/>
        <v>20</v>
      </c>
      <c r="BB1158" s="318">
        <f t="shared" si="795"/>
        <v>52.44</v>
      </c>
      <c r="BC1158" s="318">
        <v>0</v>
      </c>
      <c r="BD1158" s="136"/>
      <c r="BE1158" s="138">
        <v>262.2</v>
      </c>
      <c r="BF1158" s="321">
        <f t="shared" si="783"/>
        <v>0.39329999999999998</v>
      </c>
      <c r="BG1158" s="197">
        <f t="shared" si="784"/>
        <v>261.80669999999998</v>
      </c>
      <c r="BH1158" s="321">
        <f t="shared" si="785"/>
        <v>262</v>
      </c>
      <c r="BI1158" s="322">
        <f t="shared" si="786"/>
        <v>19.999999999998863</v>
      </c>
      <c r="BJ1158" s="322">
        <v>0</v>
      </c>
      <c r="BK1158" s="318">
        <f t="shared" si="787"/>
        <v>19.999999999998863</v>
      </c>
      <c r="BL1158" s="67"/>
      <c r="BM1158" s="68" t="str">
        <f t="shared" si="788"/>
        <v>Unloading no. 1124 Bill No 223 ,Deduction For Oil Deduction= 67994.0785714285 ,Bardana= 4715 ,F.M= 3752.082 Brokerage/Rate Difference 1379.2 ,Shortage = 1590 ,Greenish= 0 ,Moisture= 1459.143</v>
      </c>
      <c r="BN1158" s="69"/>
      <c r="BO1158" s="70" t="str">
        <f t="shared" si="789"/>
        <v xml:space="preserve"> Party Condition 42  ,F.M% 0.18 ,Greenish 3.25 ,Moisture 5.07 ,Shortage in KG= 20  ,Oil% 40.63</v>
      </c>
      <c r="BP1158" s="71">
        <f t="shared" si="790"/>
        <v>7647.3301390403494</v>
      </c>
      <c r="BQ1158" s="55"/>
      <c r="BR1158" s="55"/>
      <c r="BS1158" s="41"/>
      <c r="BT1158" s="41"/>
      <c r="BU1158" s="41"/>
      <c r="BV1158" s="41"/>
      <c r="BW1158" s="85"/>
      <c r="BX1158" s="27">
        <v>40.9</v>
      </c>
      <c r="BY1158" s="27">
        <v>40.630000000000003</v>
      </c>
    </row>
    <row r="1159" spans="1:83" ht="14.1" hidden="1" customHeight="1" x14ac:dyDescent="0.3">
      <c r="A1159" s="128" t="s">
        <v>2445</v>
      </c>
      <c r="B1159" s="146">
        <v>46210</v>
      </c>
      <c r="C1159" s="138">
        <v>1125</v>
      </c>
      <c r="D1159" s="138" t="s">
        <v>2473</v>
      </c>
      <c r="E1159" s="129">
        <v>46211</v>
      </c>
      <c r="F1159" s="128" t="s">
        <v>98</v>
      </c>
      <c r="G1159" s="440" t="s">
        <v>99</v>
      </c>
      <c r="H1159" s="281" t="s">
        <v>100</v>
      </c>
      <c r="I1159" s="136"/>
      <c r="J1159" s="138" t="s">
        <v>113</v>
      </c>
      <c r="K1159" s="136"/>
      <c r="L1159" s="146">
        <v>45845</v>
      </c>
      <c r="M1159" s="136"/>
      <c r="N1159" s="281">
        <v>143</v>
      </c>
      <c r="O1159" s="146">
        <v>46210</v>
      </c>
      <c r="P1159" s="138">
        <v>0</v>
      </c>
      <c r="Q1159" s="138">
        <v>0</v>
      </c>
      <c r="R1159" s="138">
        <v>287</v>
      </c>
      <c r="S1159" s="138">
        <v>287</v>
      </c>
      <c r="T1159" s="138">
        <v>287</v>
      </c>
      <c r="U1159" s="136"/>
      <c r="V1159" s="136"/>
      <c r="W1159" s="148">
        <v>172.2</v>
      </c>
      <c r="X1159" s="148">
        <v>174.4</v>
      </c>
      <c r="Y1159" s="148">
        <v>1334339.3400000001</v>
      </c>
      <c r="Z1159" s="148"/>
      <c r="AA1159" s="148">
        <v>33358.480000000003</v>
      </c>
      <c r="AB1159" s="148">
        <v>33358.480000000003</v>
      </c>
      <c r="AC1159" s="148">
        <v>1401056.31</v>
      </c>
      <c r="AD1159" s="315">
        <f t="shared" si="769"/>
        <v>1399655.2536900002</v>
      </c>
      <c r="AE1159" s="147">
        <v>40.33</v>
      </c>
      <c r="AF1159" s="147">
        <v>40.44</v>
      </c>
      <c r="AG1159" s="147">
        <v>40.17</v>
      </c>
      <c r="AH1159" s="287">
        <v>1.8E-3</v>
      </c>
      <c r="AI1159" s="287">
        <v>2.2499999999999999E-2</v>
      </c>
      <c r="AJ1159" s="287">
        <v>5.1999999999999998E-2</v>
      </c>
      <c r="AK1159" s="318">
        <v>0</v>
      </c>
      <c r="AL1159" s="193">
        <f>287*1</f>
        <v>287</v>
      </c>
      <c r="AM1159" s="319">
        <v>0</v>
      </c>
      <c r="AN1159" s="319"/>
      <c r="AO1159" s="320">
        <f t="shared" si="775"/>
        <v>0</v>
      </c>
      <c r="AP1159" s="193">
        <v>0</v>
      </c>
      <c r="AQ1159" s="318">
        <v>0</v>
      </c>
      <c r="AR1159" s="318">
        <f t="shared" si="776"/>
        <v>287</v>
      </c>
      <c r="AS1159" s="318">
        <f t="shared" si="777"/>
        <v>301</v>
      </c>
      <c r="AT1159" s="321">
        <v>0</v>
      </c>
      <c r="AU1159" s="206" t="s">
        <v>664</v>
      </c>
      <c r="AV1159" s="136"/>
      <c r="AW1159" s="318">
        <f t="shared" si="791"/>
        <v>17220</v>
      </c>
      <c r="AX1159" s="193"/>
      <c r="AY1159" s="318">
        <f t="shared" si="792"/>
        <v>17220</v>
      </c>
      <c r="AZ1159" s="318">
        <f t="shared" si="793"/>
        <v>17440</v>
      </c>
      <c r="BA1159" s="318">
        <f t="shared" si="794"/>
        <v>-220</v>
      </c>
      <c r="BB1159" s="318">
        <f t="shared" si="795"/>
        <v>34.44</v>
      </c>
      <c r="BC1159" s="318">
        <v>0</v>
      </c>
      <c r="BD1159" s="136"/>
      <c r="BE1159" s="138">
        <v>174.35</v>
      </c>
      <c r="BF1159" s="321">
        <f t="shared" si="783"/>
        <v>0.26152500000000001</v>
      </c>
      <c r="BG1159" s="197">
        <f t="shared" si="784"/>
        <v>174.08847499999999</v>
      </c>
      <c r="BH1159" s="321">
        <f t="shared" si="785"/>
        <v>174.4</v>
      </c>
      <c r="BI1159" s="322">
        <f t="shared" si="786"/>
        <v>-5.0000000000011369</v>
      </c>
      <c r="BJ1159" s="322">
        <v>0</v>
      </c>
      <c r="BK1159" s="318">
        <f t="shared" si="787"/>
        <v>-5.0000000000011369</v>
      </c>
      <c r="BL1159" s="67"/>
      <c r="BM1159" s="68" t="str">
        <f t="shared" si="788"/>
        <v>Unloading no. 1125 Bill No 143 ,Deduction For Oil Deduction= 0 ,Bardana= 287 ,F.M= 0 Brokerage/Rate Difference  ,Shortage = 0 ,Greenish= 0 ,Moisture= 0</v>
      </c>
      <c r="BN1159" s="69"/>
      <c r="BO1159" s="70" t="str">
        <f t="shared" si="789"/>
        <v xml:space="preserve"> Party Condition 40.44  ,F.M% 0.18 ,Greenish 2.25 ,Moisture 5.2 ,Shortage in KG= 0  ,Oil% 40.17</v>
      </c>
      <c r="BP1159" s="71">
        <f t="shared" si="790"/>
        <v>7649.3826834862384</v>
      </c>
      <c r="BQ1159" s="55"/>
      <c r="BR1159" s="55"/>
      <c r="BS1159" s="41"/>
      <c r="BT1159" s="41"/>
      <c r="BU1159" s="41"/>
      <c r="BV1159" s="41"/>
      <c r="BW1159" s="85"/>
      <c r="BX1159" s="27">
        <v>40.33</v>
      </c>
      <c r="BY1159" s="27">
        <v>40.17</v>
      </c>
    </row>
    <row r="1160" spans="1:83" ht="14.1" hidden="1" customHeight="1" x14ac:dyDescent="0.3">
      <c r="A1160" s="128" t="s">
        <v>2442</v>
      </c>
      <c r="B1160" s="146">
        <v>46209</v>
      </c>
      <c r="C1160" s="138">
        <v>1126</v>
      </c>
      <c r="D1160" s="138" t="s">
        <v>2474</v>
      </c>
      <c r="E1160" s="129">
        <v>46211</v>
      </c>
      <c r="F1160" s="128" t="s">
        <v>1144</v>
      </c>
      <c r="G1160" s="281" t="s">
        <v>1145</v>
      </c>
      <c r="H1160" s="281" t="s">
        <v>100</v>
      </c>
      <c r="I1160" s="136"/>
      <c r="J1160" s="138" t="s">
        <v>1146</v>
      </c>
      <c r="K1160" s="136"/>
      <c r="L1160" s="146">
        <v>46209</v>
      </c>
      <c r="M1160" s="136"/>
      <c r="N1160" s="281" t="s">
        <v>2518</v>
      </c>
      <c r="O1160" s="146">
        <v>46211</v>
      </c>
      <c r="P1160" s="138">
        <v>0</v>
      </c>
      <c r="Q1160" s="138">
        <v>120</v>
      </c>
      <c r="R1160" s="138">
        <v>37</v>
      </c>
      <c r="S1160" s="138">
        <v>157</v>
      </c>
      <c r="T1160" s="138">
        <v>157</v>
      </c>
      <c r="U1160" s="136"/>
      <c r="V1160" s="136"/>
      <c r="W1160" s="148">
        <v>94</v>
      </c>
      <c r="X1160" s="148">
        <v>94</v>
      </c>
      <c r="Y1160" s="148">
        <v>740814</v>
      </c>
      <c r="Z1160" s="236">
        <v>39.79</v>
      </c>
      <c r="AA1160" s="148">
        <v>18520.349999999999</v>
      </c>
      <c r="AB1160" s="148">
        <v>18520.349999999999</v>
      </c>
      <c r="AC1160" s="148">
        <v>777854.7</v>
      </c>
      <c r="AD1160" s="315">
        <f t="shared" si="769"/>
        <v>777076.84529999993</v>
      </c>
      <c r="AE1160" s="147">
        <v>39.79</v>
      </c>
      <c r="AF1160" s="147">
        <v>42</v>
      </c>
      <c r="AG1160" s="147">
        <v>39.79</v>
      </c>
      <c r="AH1160" s="287">
        <v>1.6999999999999999E-3</v>
      </c>
      <c r="AI1160" s="287">
        <v>3.3000000000000002E-2</v>
      </c>
      <c r="AJ1160" s="287">
        <v>0.04</v>
      </c>
      <c r="AK1160" s="318">
        <f t="shared" si="774"/>
        <v>38980.927142857159</v>
      </c>
      <c r="AL1160" s="193">
        <v>0</v>
      </c>
      <c r="AM1160" s="319">
        <v>0</v>
      </c>
      <c r="AN1160" s="319"/>
      <c r="AO1160" s="320">
        <f t="shared" si="775"/>
        <v>0</v>
      </c>
      <c r="AP1160" s="193">
        <v>0</v>
      </c>
      <c r="AQ1160" s="318">
        <v>0</v>
      </c>
      <c r="AR1160" s="318">
        <f t="shared" si="776"/>
        <v>38980.927142857159</v>
      </c>
      <c r="AS1160" s="318">
        <f t="shared" si="777"/>
        <v>40930</v>
      </c>
      <c r="AT1160" s="321">
        <v>0</v>
      </c>
      <c r="AU1160" s="157" t="s">
        <v>2111</v>
      </c>
      <c r="AV1160" s="136"/>
      <c r="AW1160" s="318">
        <f t="shared" si="791"/>
        <v>9400</v>
      </c>
      <c r="AX1160" s="193"/>
      <c r="AY1160" s="318">
        <f t="shared" si="792"/>
        <v>9400</v>
      </c>
      <c r="AZ1160" s="318">
        <f t="shared" si="793"/>
        <v>9400</v>
      </c>
      <c r="BA1160" s="318">
        <f t="shared" si="794"/>
        <v>0</v>
      </c>
      <c r="BB1160" s="318">
        <f t="shared" si="795"/>
        <v>18.8</v>
      </c>
      <c r="BC1160" s="318">
        <v>0</v>
      </c>
      <c r="BD1160" s="136"/>
      <c r="BE1160" s="138">
        <v>94</v>
      </c>
      <c r="BF1160" s="321">
        <f t="shared" si="783"/>
        <v>0.14099999999999999</v>
      </c>
      <c r="BG1160" s="197">
        <f t="shared" si="784"/>
        <v>93.858999999999995</v>
      </c>
      <c r="BH1160" s="321">
        <f t="shared" si="785"/>
        <v>94</v>
      </c>
      <c r="BI1160" s="322">
        <f t="shared" si="786"/>
        <v>0</v>
      </c>
      <c r="BJ1160" s="322">
        <v>0</v>
      </c>
      <c r="BK1160" s="318">
        <f t="shared" si="787"/>
        <v>0</v>
      </c>
      <c r="BL1160" s="67"/>
      <c r="BM1160" s="68" t="str">
        <f t="shared" si="788"/>
        <v>Unloading no. 1126 Bill No 2026-27/337 ,Deduction For Oil Deduction= 38980.9271428572 ,Bardana= 0 ,F.M= 0 Brokerage/Rate Difference  ,Shortage = 0 ,Greenish= 0 ,Moisture= 0</v>
      </c>
      <c r="BN1160" s="69"/>
      <c r="BO1160" s="70" t="str">
        <f t="shared" si="789"/>
        <v xml:space="preserve"> Party Condition 42  ,F.M% 0.17 ,Greenish 3.3 ,Moisture 4 ,Shortage in KG= 0  ,Oil% 39.79</v>
      </c>
      <c r="BP1160" s="71">
        <f t="shared" si="790"/>
        <v>7466.3092857142865</v>
      </c>
      <c r="BQ1160" s="55"/>
      <c r="BR1160" s="55"/>
      <c r="BS1160" s="41"/>
      <c r="BT1160" s="41"/>
      <c r="BU1160" s="41"/>
      <c r="BV1160" s="41"/>
      <c r="BW1160" s="85"/>
      <c r="BX1160" s="27">
        <v>39.54</v>
      </c>
      <c r="BY1160" s="27">
        <v>39.520000000000003</v>
      </c>
    </row>
    <row r="1161" spans="1:83" ht="14.1" hidden="1" customHeight="1" x14ac:dyDescent="0.3">
      <c r="A1161" s="128" t="s">
        <v>2442</v>
      </c>
      <c r="B1161" s="146">
        <v>46209</v>
      </c>
      <c r="C1161" s="138">
        <v>1127</v>
      </c>
      <c r="D1161" s="138" t="s">
        <v>2475</v>
      </c>
      <c r="E1161" s="129">
        <v>46211</v>
      </c>
      <c r="F1161" s="128" t="s">
        <v>1144</v>
      </c>
      <c r="G1161" s="281" t="s">
        <v>1145</v>
      </c>
      <c r="H1161" s="281" t="s">
        <v>100</v>
      </c>
      <c r="I1161" s="136"/>
      <c r="J1161" s="138" t="s">
        <v>1146</v>
      </c>
      <c r="K1161" s="136"/>
      <c r="L1161" s="146">
        <v>46209</v>
      </c>
      <c r="M1161" s="136"/>
      <c r="N1161" s="281" t="s">
        <v>2519</v>
      </c>
      <c r="O1161" s="146">
        <v>46211</v>
      </c>
      <c r="P1161" s="138">
        <v>0</v>
      </c>
      <c r="Q1161" s="138">
        <v>120</v>
      </c>
      <c r="R1161" s="138">
        <v>37</v>
      </c>
      <c r="S1161" s="138">
        <v>157</v>
      </c>
      <c r="T1161" s="138">
        <v>157</v>
      </c>
      <c r="U1161" s="136"/>
      <c r="V1161" s="136"/>
      <c r="W1161" s="148">
        <v>93.2</v>
      </c>
      <c r="X1161" s="148">
        <v>93.1</v>
      </c>
      <c r="Y1161" s="148">
        <v>734509.2</v>
      </c>
      <c r="Z1161" s="236">
        <v>39.74</v>
      </c>
      <c r="AA1161" s="148">
        <v>18362.73</v>
      </c>
      <c r="AB1161" s="148">
        <v>18362.73</v>
      </c>
      <c r="AC1161" s="148">
        <v>771234.66</v>
      </c>
      <c r="AD1161" s="315">
        <f t="shared" si="769"/>
        <v>770463.42534000007</v>
      </c>
      <c r="AE1161" s="147">
        <v>39.74</v>
      </c>
      <c r="AF1161" s="147">
        <v>42</v>
      </c>
      <c r="AG1161" s="147">
        <v>39.74</v>
      </c>
      <c r="AH1161" s="287">
        <v>2E-3</v>
      </c>
      <c r="AI1161" s="287">
        <v>3.4000000000000002E-2</v>
      </c>
      <c r="AJ1161" s="287">
        <v>4.1000000000000002E-2</v>
      </c>
      <c r="AK1161" s="318">
        <f t="shared" si="774"/>
        <v>39523.59028571425</v>
      </c>
      <c r="AL1161" s="193">
        <v>0</v>
      </c>
      <c r="AM1161" s="319">
        <v>0</v>
      </c>
      <c r="AN1161" s="319"/>
      <c r="AO1161" s="320">
        <f t="shared" si="775"/>
        <v>0</v>
      </c>
      <c r="AP1161" s="193">
        <v>0</v>
      </c>
      <c r="AQ1161" s="318">
        <v>0</v>
      </c>
      <c r="AR1161" s="318">
        <f t="shared" si="776"/>
        <v>39523.59028571425</v>
      </c>
      <c r="AS1161" s="318">
        <f t="shared" si="777"/>
        <v>41500</v>
      </c>
      <c r="AT1161" s="321">
        <v>0</v>
      </c>
      <c r="AU1161" s="157"/>
      <c r="AV1161" s="136"/>
      <c r="AW1161" s="318">
        <f t="shared" si="791"/>
        <v>9320</v>
      </c>
      <c r="AX1161" s="193"/>
      <c r="AY1161" s="318">
        <f t="shared" si="792"/>
        <v>9320</v>
      </c>
      <c r="AZ1161" s="318">
        <f t="shared" si="793"/>
        <v>9310</v>
      </c>
      <c r="BA1161" s="318">
        <f t="shared" si="794"/>
        <v>10</v>
      </c>
      <c r="BB1161" s="318">
        <f t="shared" si="795"/>
        <v>18.64</v>
      </c>
      <c r="BC1161" s="318">
        <v>0</v>
      </c>
      <c r="BD1161" s="136"/>
      <c r="BE1161" s="138">
        <v>93.2</v>
      </c>
      <c r="BF1161" s="321">
        <f t="shared" si="783"/>
        <v>0.13980000000000001</v>
      </c>
      <c r="BG1161" s="197">
        <f t="shared" si="784"/>
        <v>93.060200000000009</v>
      </c>
      <c r="BH1161" s="321">
        <f t="shared" si="785"/>
        <v>93.1</v>
      </c>
      <c r="BI1161" s="322">
        <f t="shared" si="786"/>
        <v>10.000000000000853</v>
      </c>
      <c r="BJ1161" s="322">
        <v>0</v>
      </c>
      <c r="BK1161" s="318">
        <f t="shared" si="787"/>
        <v>10.000000000000853</v>
      </c>
      <c r="BL1161" s="67"/>
      <c r="BM1161" s="68" t="str">
        <f t="shared" si="788"/>
        <v>Unloading no. 1127 Bill No 2026-27/338 ,Deduction For Oil Deduction= 39523.5902857142 ,Bardana= 0 ,F.M= 0 Brokerage/Rate Difference  ,Shortage = 0 ,Greenish= 0 ,Moisture= 0</v>
      </c>
      <c r="BN1161" s="69"/>
      <c r="BO1161" s="70" t="str">
        <f t="shared" si="789"/>
        <v xml:space="preserve"> Party Condition 42  ,F.M% 0.2 ,Greenish 3.4 ,Moisture 4.1 ,Shortage in KG= 0  ,Oil% 39.74</v>
      </c>
      <c r="BP1161" s="71">
        <f t="shared" si="790"/>
        <v>7464.9367316249809</v>
      </c>
      <c r="BQ1161" s="55"/>
      <c r="BR1161" s="55"/>
      <c r="BS1161" s="41"/>
      <c r="BT1161" s="41"/>
      <c r="BU1161" s="41"/>
      <c r="BV1161" s="41"/>
      <c r="BW1161" s="85"/>
      <c r="BX1161" s="27">
        <v>39.71</v>
      </c>
      <c r="BY1161" s="27">
        <v>39.69</v>
      </c>
    </row>
    <row r="1162" spans="1:83" ht="14.1" hidden="1" customHeight="1" x14ac:dyDescent="0.3">
      <c r="A1162" s="128" t="s">
        <v>2442</v>
      </c>
      <c r="B1162" s="146">
        <v>46209</v>
      </c>
      <c r="C1162" s="138">
        <v>1128</v>
      </c>
      <c r="D1162" s="138" t="s">
        <v>2476</v>
      </c>
      <c r="E1162" s="129">
        <v>46211</v>
      </c>
      <c r="F1162" s="128" t="s">
        <v>1144</v>
      </c>
      <c r="G1162" s="281" t="s">
        <v>1145</v>
      </c>
      <c r="H1162" s="281" t="s">
        <v>100</v>
      </c>
      <c r="I1162" s="136"/>
      <c r="J1162" s="138" t="s">
        <v>1146</v>
      </c>
      <c r="K1162" s="136"/>
      <c r="L1162" s="146">
        <v>46209</v>
      </c>
      <c r="M1162" s="136"/>
      <c r="N1162" s="281" t="s">
        <v>2520</v>
      </c>
      <c r="O1162" s="146">
        <v>46211</v>
      </c>
      <c r="P1162" s="138">
        <v>0</v>
      </c>
      <c r="Q1162" s="138">
        <v>120</v>
      </c>
      <c r="R1162" s="138">
        <v>37</v>
      </c>
      <c r="S1162" s="138">
        <v>157</v>
      </c>
      <c r="T1162" s="138">
        <v>157</v>
      </c>
      <c r="U1162" s="136"/>
      <c r="V1162" s="136"/>
      <c r="W1162" s="148">
        <v>94</v>
      </c>
      <c r="X1162" s="148">
        <v>93.9</v>
      </c>
      <c r="Y1162" s="148">
        <v>740814</v>
      </c>
      <c r="Z1162" s="236">
        <v>39.74</v>
      </c>
      <c r="AA1162" s="148">
        <v>18520.349999999999</v>
      </c>
      <c r="AB1162" s="148">
        <v>18520.349999999999</v>
      </c>
      <c r="AC1162" s="148">
        <v>777854.7</v>
      </c>
      <c r="AD1162" s="315">
        <f t="shared" si="769"/>
        <v>777076.84529999993</v>
      </c>
      <c r="AE1162" s="147">
        <v>39.74</v>
      </c>
      <c r="AF1162" s="147">
        <v>42</v>
      </c>
      <c r="AG1162" s="147">
        <v>39.74</v>
      </c>
      <c r="AH1162" s="287">
        <v>1.5E-3</v>
      </c>
      <c r="AI1162" s="287">
        <v>3.2399999999999998E-2</v>
      </c>
      <c r="AJ1162" s="287">
        <v>4.3999999999999997E-2</v>
      </c>
      <c r="AK1162" s="318">
        <f t="shared" si="774"/>
        <v>39862.848571428542</v>
      </c>
      <c r="AL1162" s="193">
        <v>0</v>
      </c>
      <c r="AM1162" s="319">
        <v>0</v>
      </c>
      <c r="AN1162" s="319"/>
      <c r="AO1162" s="320">
        <f t="shared" si="775"/>
        <v>0</v>
      </c>
      <c r="AP1162" s="193">
        <v>0</v>
      </c>
      <c r="AQ1162" s="318">
        <v>0</v>
      </c>
      <c r="AR1162" s="318">
        <f t="shared" si="776"/>
        <v>39862.848571428542</v>
      </c>
      <c r="AS1162" s="318">
        <f t="shared" si="777"/>
        <v>41856</v>
      </c>
      <c r="AT1162" s="321">
        <v>0</v>
      </c>
      <c r="AU1162" s="157"/>
      <c r="AV1162" s="136"/>
      <c r="AW1162" s="318">
        <f t="shared" si="791"/>
        <v>9400</v>
      </c>
      <c r="AX1162" s="193"/>
      <c r="AY1162" s="318">
        <f t="shared" si="792"/>
        <v>9400</v>
      </c>
      <c r="AZ1162" s="318">
        <f t="shared" si="793"/>
        <v>9390</v>
      </c>
      <c r="BA1162" s="318">
        <f t="shared" si="794"/>
        <v>10</v>
      </c>
      <c r="BB1162" s="318">
        <f t="shared" si="795"/>
        <v>18.8</v>
      </c>
      <c r="BC1162" s="318">
        <v>0</v>
      </c>
      <c r="BD1162" s="136"/>
      <c r="BE1162" s="138">
        <v>94</v>
      </c>
      <c r="BF1162" s="321">
        <f t="shared" si="783"/>
        <v>0.14099999999999999</v>
      </c>
      <c r="BG1162" s="197">
        <f t="shared" si="784"/>
        <v>93.858999999999995</v>
      </c>
      <c r="BH1162" s="321">
        <f t="shared" si="785"/>
        <v>93.9</v>
      </c>
      <c r="BI1162" s="322">
        <f t="shared" si="786"/>
        <v>9.9999999999994316</v>
      </c>
      <c r="BJ1162" s="322">
        <v>0</v>
      </c>
      <c r="BK1162" s="318">
        <f t="shared" si="787"/>
        <v>9.9999999999994316</v>
      </c>
      <c r="BL1162" s="67"/>
      <c r="BM1162" s="68" t="str">
        <f t="shared" si="788"/>
        <v>Unloading no. 1128 Bill No 2026-27/339 ,Deduction For Oil Deduction= 39862.8485714285 ,Bardana= 0 ,F.M= 0 Brokerage/Rate Difference  ,Shortage = 0 ,Greenish= 0 ,Moisture= 0</v>
      </c>
      <c r="BN1162" s="69"/>
      <c r="BO1162" s="70" t="str">
        <f t="shared" si="789"/>
        <v xml:space="preserve"> Party Condition 42  ,F.M% 0.15 ,Greenish 3.24 ,Moisture 4.4 ,Shortage in KG= 0  ,Oil% 39.74</v>
      </c>
      <c r="BP1162" s="71">
        <f t="shared" si="790"/>
        <v>7464.868492317054</v>
      </c>
      <c r="BQ1162" s="55"/>
      <c r="BR1162" s="55"/>
      <c r="BS1162" s="41"/>
      <c r="BT1162" s="41"/>
      <c r="BU1162" s="41"/>
      <c r="BV1162" s="41"/>
      <c r="BW1162" s="85"/>
      <c r="BX1162" s="27">
        <v>39.42</v>
      </c>
      <c r="BY1162" s="27">
        <v>39.42</v>
      </c>
    </row>
    <row r="1163" spans="1:83" ht="14.1" hidden="1" customHeight="1" x14ac:dyDescent="0.3">
      <c r="A1163" s="128" t="s">
        <v>2219</v>
      </c>
      <c r="B1163" s="146">
        <v>46203</v>
      </c>
      <c r="C1163" s="138">
        <v>1129</v>
      </c>
      <c r="D1163" s="138" t="s">
        <v>2477</v>
      </c>
      <c r="E1163" s="129">
        <v>46211</v>
      </c>
      <c r="F1163" s="128" t="s">
        <v>1144</v>
      </c>
      <c r="G1163" s="281" t="s">
        <v>1145</v>
      </c>
      <c r="H1163" s="281" t="s">
        <v>100</v>
      </c>
      <c r="I1163" s="136"/>
      <c r="J1163" s="138" t="s">
        <v>1146</v>
      </c>
      <c r="K1163" s="136"/>
      <c r="L1163" s="146">
        <v>46203</v>
      </c>
      <c r="M1163" s="136"/>
      <c r="N1163" s="281" t="s">
        <v>2521</v>
      </c>
      <c r="O1163" s="146">
        <v>46211</v>
      </c>
      <c r="P1163" s="138">
        <v>0</v>
      </c>
      <c r="Q1163" s="138">
        <v>110</v>
      </c>
      <c r="R1163" s="138">
        <v>20</v>
      </c>
      <c r="S1163" s="138">
        <v>130</v>
      </c>
      <c r="T1163" s="138">
        <v>130</v>
      </c>
      <c r="U1163" s="136"/>
      <c r="V1163" s="136"/>
      <c r="W1163" s="148">
        <v>78.099999999999994</v>
      </c>
      <c r="X1163" s="148">
        <v>78</v>
      </c>
      <c r="Y1163" s="148">
        <v>613163.1</v>
      </c>
      <c r="Z1163" s="236">
        <v>39.53</v>
      </c>
      <c r="AA1163" s="148">
        <v>15329.08</v>
      </c>
      <c r="AB1163" s="148">
        <v>15329.08</v>
      </c>
      <c r="AC1163" s="148">
        <v>643821.26</v>
      </c>
      <c r="AD1163" s="315">
        <f t="shared" si="769"/>
        <v>643177.43874000001</v>
      </c>
      <c r="AE1163" s="147">
        <v>39.53</v>
      </c>
      <c r="AF1163" s="147">
        <v>42</v>
      </c>
      <c r="AG1163" s="147">
        <v>39.53</v>
      </c>
      <c r="AH1163" s="287">
        <v>1.6000000000000001E-3</v>
      </c>
      <c r="AI1163" s="287">
        <v>3.1E-2</v>
      </c>
      <c r="AJ1163" s="287">
        <v>4.1000000000000002E-2</v>
      </c>
      <c r="AK1163" s="318">
        <f t="shared" si="774"/>
        <v>36059.829928571409</v>
      </c>
      <c r="AL1163" s="193">
        <v>0</v>
      </c>
      <c r="AM1163" s="319">
        <v>0</v>
      </c>
      <c r="AN1163" s="319"/>
      <c r="AO1163" s="320">
        <f t="shared" si="775"/>
        <v>0</v>
      </c>
      <c r="AP1163" s="193">
        <v>0</v>
      </c>
      <c r="AQ1163" s="318">
        <v>0</v>
      </c>
      <c r="AR1163" s="318">
        <f t="shared" si="776"/>
        <v>36059.829928571409</v>
      </c>
      <c r="AS1163" s="318">
        <f t="shared" si="777"/>
        <v>37863</v>
      </c>
      <c r="AT1163" s="321">
        <v>0</v>
      </c>
      <c r="AU1163" s="157"/>
      <c r="AV1163" s="136"/>
      <c r="AW1163" s="318">
        <f t="shared" si="791"/>
        <v>7809.9999999999991</v>
      </c>
      <c r="AX1163" s="193"/>
      <c r="AY1163" s="318">
        <f t="shared" si="792"/>
        <v>7809.9999999999991</v>
      </c>
      <c r="AZ1163" s="318">
        <f t="shared" si="793"/>
        <v>7800</v>
      </c>
      <c r="BA1163" s="318">
        <f t="shared" si="794"/>
        <v>9.9999999999990905</v>
      </c>
      <c r="BB1163" s="318">
        <f t="shared" si="795"/>
        <v>15.619999999999997</v>
      </c>
      <c r="BC1163" s="318">
        <v>0</v>
      </c>
      <c r="BD1163" s="136"/>
      <c r="BE1163" s="138">
        <v>78.099999999999994</v>
      </c>
      <c r="BF1163" s="321">
        <f t="shared" si="783"/>
        <v>0.11714999999999998</v>
      </c>
      <c r="BG1163" s="197">
        <f t="shared" si="784"/>
        <v>77.982849999999999</v>
      </c>
      <c r="BH1163" s="321">
        <f t="shared" si="785"/>
        <v>78</v>
      </c>
      <c r="BI1163" s="322">
        <f t="shared" si="786"/>
        <v>9.9999999999994316</v>
      </c>
      <c r="BJ1163" s="322">
        <v>0</v>
      </c>
      <c r="BK1163" s="318">
        <f t="shared" si="787"/>
        <v>9.9999999999994316</v>
      </c>
      <c r="BL1163" s="67"/>
      <c r="BM1163" s="68" t="str">
        <f t="shared" si="788"/>
        <v>Unloading no. 1129 Bill No 2026-27/340 ,Deduction For Oil Deduction= 36059.8299285714 ,Bardana= 0 ,F.M= 0 Brokerage/Rate Difference  ,Shortage = 0 ,Greenish= 0 ,Moisture= 0</v>
      </c>
      <c r="BN1163" s="69"/>
      <c r="BO1163" s="70" t="str">
        <f t="shared" si="789"/>
        <v xml:space="preserve"> Party Condition 42  ,F.M% 0.16 ,Greenish 3.1 ,Moisture 4.1 ,Shortage in KG= 0  ,Oil% 39.53</v>
      </c>
      <c r="BP1163" s="71">
        <f t="shared" si="790"/>
        <v>7398.7598727106233</v>
      </c>
      <c r="BQ1163" s="55"/>
      <c r="BR1163" s="55"/>
      <c r="BS1163" s="41"/>
      <c r="BT1163" s="41"/>
      <c r="BU1163" s="41"/>
      <c r="BV1163" s="41"/>
      <c r="BW1163" s="85"/>
      <c r="BX1163" s="27">
        <v>39.22</v>
      </c>
      <c r="BY1163" s="27">
        <v>39.32</v>
      </c>
    </row>
    <row r="1164" spans="1:83" ht="14.1" hidden="1" customHeight="1" x14ac:dyDescent="0.3">
      <c r="A1164" s="128" t="s">
        <v>2442</v>
      </c>
      <c r="B1164" s="146">
        <v>46209</v>
      </c>
      <c r="C1164" s="138">
        <v>1130</v>
      </c>
      <c r="D1164" s="138" t="s">
        <v>2478</v>
      </c>
      <c r="E1164" s="129">
        <v>46211</v>
      </c>
      <c r="F1164" s="128" t="s">
        <v>1144</v>
      </c>
      <c r="G1164" s="281" t="s">
        <v>1145</v>
      </c>
      <c r="H1164" s="281" t="s">
        <v>100</v>
      </c>
      <c r="I1164" s="136"/>
      <c r="J1164" s="138" t="s">
        <v>1146</v>
      </c>
      <c r="K1164" s="136"/>
      <c r="L1164" s="146">
        <v>46209</v>
      </c>
      <c r="M1164" s="136"/>
      <c r="N1164" s="281" t="s">
        <v>2522</v>
      </c>
      <c r="O1164" s="146">
        <v>46211</v>
      </c>
      <c r="P1164" s="138">
        <v>0</v>
      </c>
      <c r="Q1164" s="138">
        <v>100</v>
      </c>
      <c r="R1164" s="138">
        <v>60</v>
      </c>
      <c r="S1164" s="138">
        <v>160</v>
      </c>
      <c r="T1164" s="138">
        <v>160</v>
      </c>
      <c r="U1164" s="136"/>
      <c r="V1164" s="136"/>
      <c r="W1164" s="148">
        <v>95.6</v>
      </c>
      <c r="X1164" s="148">
        <v>95.6</v>
      </c>
      <c r="Y1164" s="148">
        <v>753423</v>
      </c>
      <c r="Z1164" s="236">
        <v>39.82</v>
      </c>
      <c r="AA1164" s="148">
        <v>18835.580000000002</v>
      </c>
      <c r="AB1164" s="148">
        <v>18835.580000000002</v>
      </c>
      <c r="AC1164" s="148">
        <v>791094.15</v>
      </c>
      <c r="AD1164" s="315">
        <f t="shared" si="769"/>
        <v>790303.05585</v>
      </c>
      <c r="AE1164" s="147">
        <v>39.82</v>
      </c>
      <c r="AF1164" s="147">
        <v>42</v>
      </c>
      <c r="AG1164" s="147">
        <v>39.82</v>
      </c>
      <c r="AH1164" s="287">
        <v>2.2000000000000001E-3</v>
      </c>
      <c r="AI1164" s="287">
        <v>0.02</v>
      </c>
      <c r="AJ1164" s="287">
        <v>0.04</v>
      </c>
      <c r="AK1164" s="318">
        <f t="shared" si="774"/>
        <v>39106.241428571426</v>
      </c>
      <c r="AL1164" s="193">
        <v>0</v>
      </c>
      <c r="AM1164" s="319">
        <v>0</v>
      </c>
      <c r="AN1164" s="319"/>
      <c r="AO1164" s="320">
        <f t="shared" si="775"/>
        <v>0</v>
      </c>
      <c r="AP1164" s="193">
        <v>0</v>
      </c>
      <c r="AQ1164" s="318">
        <v>0</v>
      </c>
      <c r="AR1164" s="318">
        <f t="shared" si="776"/>
        <v>39106.241428571426</v>
      </c>
      <c r="AS1164" s="318">
        <f t="shared" si="777"/>
        <v>41062</v>
      </c>
      <c r="AT1164" s="321">
        <v>0</v>
      </c>
      <c r="AU1164" s="157"/>
      <c r="AV1164" s="136"/>
      <c r="AW1164" s="318">
        <f t="shared" si="791"/>
        <v>9560</v>
      </c>
      <c r="AX1164" s="193"/>
      <c r="AY1164" s="318">
        <f t="shared" si="792"/>
        <v>9560</v>
      </c>
      <c r="AZ1164" s="318">
        <f t="shared" si="793"/>
        <v>9560</v>
      </c>
      <c r="BA1164" s="318">
        <f t="shared" si="794"/>
        <v>0</v>
      </c>
      <c r="BB1164" s="318">
        <f t="shared" si="795"/>
        <v>19.12</v>
      </c>
      <c r="BC1164" s="318">
        <v>0</v>
      </c>
      <c r="BD1164" s="136"/>
      <c r="BE1164" s="138">
        <v>95.6</v>
      </c>
      <c r="BF1164" s="321">
        <f t="shared" si="783"/>
        <v>0.14339999999999997</v>
      </c>
      <c r="BG1164" s="197">
        <f t="shared" si="784"/>
        <v>95.456599999999995</v>
      </c>
      <c r="BH1164" s="321">
        <f t="shared" si="785"/>
        <v>95.6</v>
      </c>
      <c r="BI1164" s="322">
        <f t="shared" si="786"/>
        <v>0</v>
      </c>
      <c r="BJ1164" s="322">
        <v>0</v>
      </c>
      <c r="BK1164" s="318">
        <f t="shared" si="787"/>
        <v>0</v>
      </c>
      <c r="BL1164" s="67"/>
      <c r="BM1164" s="68" t="str">
        <f t="shared" si="788"/>
        <v>Unloading no. 1130 Bill No 2026-27/341 ,Deduction For Oil Deduction= 39106.2414285714 ,Bardana= 0 ,F.M= 0 Brokerage/Rate Difference  ,Shortage = 0 ,Greenish= 0 ,Moisture= 0</v>
      </c>
      <c r="BN1164" s="69"/>
      <c r="BO1164" s="70" t="str">
        <f t="shared" si="789"/>
        <v xml:space="preserve"> Party Condition 42  ,F.M% 0.22 ,Greenish 2 ,Moisture 4 ,Shortage in KG= 0  ,Oil% 39.82</v>
      </c>
      <c r="BP1164" s="71">
        <f t="shared" si="790"/>
        <v>7471.9326210400486</v>
      </c>
      <c r="BQ1164" s="55"/>
      <c r="BR1164" s="55"/>
      <c r="BS1164" s="41"/>
      <c r="BT1164" s="41"/>
      <c r="BU1164" s="41"/>
      <c r="BV1164" s="41"/>
      <c r="BW1164" s="85"/>
      <c r="BX1164" s="27">
        <v>39.58</v>
      </c>
      <c r="BY1164" s="27">
        <v>39.549999999999997</v>
      </c>
    </row>
    <row r="1165" spans="1:83" ht="14.1" hidden="1" customHeight="1" x14ac:dyDescent="0.3">
      <c r="A1165" s="128" t="s">
        <v>2442</v>
      </c>
      <c r="B1165" s="146">
        <v>46209</v>
      </c>
      <c r="C1165" s="138">
        <v>1131</v>
      </c>
      <c r="D1165" s="138" t="s">
        <v>2479</v>
      </c>
      <c r="E1165" s="129">
        <v>46211</v>
      </c>
      <c r="F1165" s="128" t="s">
        <v>1144</v>
      </c>
      <c r="G1165" s="281" t="s">
        <v>1145</v>
      </c>
      <c r="H1165" s="281" t="s">
        <v>100</v>
      </c>
      <c r="I1165" s="136"/>
      <c r="J1165" s="138" t="s">
        <v>1146</v>
      </c>
      <c r="K1165" s="136"/>
      <c r="L1165" s="146">
        <v>46209</v>
      </c>
      <c r="M1165" s="136"/>
      <c r="N1165" s="281" t="s">
        <v>2523</v>
      </c>
      <c r="O1165" s="146">
        <v>46211</v>
      </c>
      <c r="P1165" s="138">
        <v>0</v>
      </c>
      <c r="Q1165" s="138">
        <v>140</v>
      </c>
      <c r="R1165" s="138">
        <v>20</v>
      </c>
      <c r="S1165" s="138">
        <v>160</v>
      </c>
      <c r="T1165" s="138">
        <v>160</v>
      </c>
      <c r="U1165" s="136"/>
      <c r="V1165" s="136"/>
      <c r="W1165" s="148">
        <v>96.1</v>
      </c>
      <c r="X1165" s="148">
        <v>95.9</v>
      </c>
      <c r="Y1165" s="148">
        <v>757364.1</v>
      </c>
      <c r="Z1165" s="236">
        <v>39.6</v>
      </c>
      <c r="AA1165" s="148">
        <v>18934.099999999999</v>
      </c>
      <c r="AB1165" s="148">
        <v>18934.099999999999</v>
      </c>
      <c r="AC1165" s="148">
        <v>795232.31</v>
      </c>
      <c r="AD1165" s="315">
        <f t="shared" si="769"/>
        <v>794437.07769000006</v>
      </c>
      <c r="AE1165" s="147">
        <v>39.6</v>
      </c>
      <c r="AF1165" s="147">
        <v>42</v>
      </c>
      <c r="AG1165" s="147">
        <v>39.6</v>
      </c>
      <c r="AH1165" s="287">
        <v>1.9E-3</v>
      </c>
      <c r="AI1165" s="287">
        <v>1.9599999999999999E-2</v>
      </c>
      <c r="AJ1165" s="287">
        <v>0.04</v>
      </c>
      <c r="AK1165" s="318">
        <f t="shared" si="774"/>
        <v>43277.94857142854</v>
      </c>
      <c r="AL1165" s="193">
        <v>0</v>
      </c>
      <c r="AM1165" s="319">
        <v>0</v>
      </c>
      <c r="AN1165" s="319"/>
      <c r="AO1165" s="320">
        <f t="shared" si="775"/>
        <v>78.81</v>
      </c>
      <c r="AP1165" s="193">
        <v>0</v>
      </c>
      <c r="AQ1165" s="318">
        <v>0</v>
      </c>
      <c r="AR1165" s="318">
        <f t="shared" si="776"/>
        <v>43356.758571428538</v>
      </c>
      <c r="AS1165" s="318">
        <f t="shared" si="777"/>
        <v>45525</v>
      </c>
      <c r="AT1165" s="321">
        <v>1</v>
      </c>
      <c r="AU1165" s="157"/>
      <c r="AV1165" s="136"/>
      <c r="AW1165" s="318">
        <f t="shared" si="791"/>
        <v>9610</v>
      </c>
      <c r="AX1165" s="193"/>
      <c r="AY1165" s="318">
        <f t="shared" si="792"/>
        <v>9610</v>
      </c>
      <c r="AZ1165" s="318">
        <f t="shared" si="793"/>
        <v>9590</v>
      </c>
      <c r="BA1165" s="318">
        <f t="shared" si="794"/>
        <v>20</v>
      </c>
      <c r="BB1165" s="318">
        <f t="shared" si="795"/>
        <v>19.22</v>
      </c>
      <c r="BC1165" s="318">
        <v>0</v>
      </c>
      <c r="BD1165" s="136"/>
      <c r="BE1165" s="138">
        <v>96.1</v>
      </c>
      <c r="BF1165" s="321">
        <f t="shared" si="783"/>
        <v>0.14415</v>
      </c>
      <c r="BG1165" s="197">
        <f t="shared" si="784"/>
        <v>95.955849999999998</v>
      </c>
      <c r="BH1165" s="321">
        <f t="shared" si="785"/>
        <v>95.9</v>
      </c>
      <c r="BI1165" s="322">
        <f t="shared" si="786"/>
        <v>19.999999999998863</v>
      </c>
      <c r="BJ1165" s="322">
        <v>0</v>
      </c>
      <c r="BK1165" s="318">
        <f t="shared" si="787"/>
        <v>19.999999999998863</v>
      </c>
      <c r="BL1165" s="67"/>
      <c r="BM1165" s="68" t="str">
        <f t="shared" si="788"/>
        <v>Unloading no. 1131 Bill No 2026-27/342 ,Deduction For Oil Deduction= 43277.9485714285 ,Bardana= 0 ,F.M= 0 Brokerage/Rate Difference  ,Shortage = 78.81 ,Greenish= 0 ,Moisture= 0</v>
      </c>
      <c r="BN1165" s="69"/>
      <c r="BO1165" s="70" t="str">
        <f t="shared" si="789"/>
        <v xml:space="preserve"> Party Condition 42  ,F.M% 0.19 ,Greenish 1.96 ,Moisture 4 ,Shortage in KG= 1  ,Oil% 39.6</v>
      </c>
      <c r="BP1165" s="71">
        <f t="shared" si="790"/>
        <v>7445.3320274095031</v>
      </c>
      <c r="BQ1165" s="55"/>
      <c r="BR1165" s="55"/>
      <c r="BS1165" s="41"/>
      <c r="BT1165" s="41"/>
      <c r="BU1165" s="41"/>
      <c r="BV1165" s="41"/>
      <c r="BW1165" s="85"/>
      <c r="BX1165" s="27">
        <v>39.43</v>
      </c>
      <c r="BY1165" s="27">
        <v>39.299999999999997</v>
      </c>
    </row>
    <row r="1166" spans="1:83" ht="14.1" hidden="1" customHeight="1" x14ac:dyDescent="0.3">
      <c r="A1166" s="128" t="s">
        <v>2442</v>
      </c>
      <c r="B1166" s="146">
        <v>46209</v>
      </c>
      <c r="C1166" s="138">
        <v>1132</v>
      </c>
      <c r="D1166" s="138" t="s">
        <v>2480</v>
      </c>
      <c r="E1166" s="129">
        <v>46211</v>
      </c>
      <c r="F1166" s="128" t="s">
        <v>1144</v>
      </c>
      <c r="G1166" s="281" t="s">
        <v>1145</v>
      </c>
      <c r="H1166" s="281" t="s">
        <v>100</v>
      </c>
      <c r="I1166" s="136"/>
      <c r="J1166" s="138" t="s">
        <v>1146</v>
      </c>
      <c r="K1166" s="136"/>
      <c r="L1166" s="146">
        <v>46209</v>
      </c>
      <c r="M1166" s="136"/>
      <c r="N1166" s="281" t="s">
        <v>2524</v>
      </c>
      <c r="O1166" s="146">
        <v>46211</v>
      </c>
      <c r="P1166" s="138">
        <v>0</v>
      </c>
      <c r="Q1166" s="138">
        <v>100</v>
      </c>
      <c r="R1166" s="138">
        <v>60</v>
      </c>
      <c r="S1166" s="138">
        <v>160</v>
      </c>
      <c r="T1166" s="138">
        <v>160</v>
      </c>
      <c r="U1166" s="136"/>
      <c r="V1166" s="136"/>
      <c r="W1166" s="148">
        <v>95.8</v>
      </c>
      <c r="X1166" s="148">
        <v>95.9</v>
      </c>
      <c r="Y1166" s="148">
        <v>754999.8</v>
      </c>
      <c r="Z1166" s="236">
        <v>40.020000000000003</v>
      </c>
      <c r="AA1166" s="148">
        <v>18875</v>
      </c>
      <c r="AB1166" s="148">
        <v>18875</v>
      </c>
      <c r="AC1166" s="148">
        <v>792749.79</v>
      </c>
      <c r="AD1166" s="315">
        <f t="shared" si="769"/>
        <v>791957.04021000001</v>
      </c>
      <c r="AE1166" s="147">
        <v>40.020000000000003</v>
      </c>
      <c r="AF1166" s="147">
        <v>42</v>
      </c>
      <c r="AG1166" s="147">
        <v>40.020000000000003</v>
      </c>
      <c r="AH1166" s="287">
        <v>2E-3</v>
      </c>
      <c r="AI1166" s="287">
        <v>2.1000000000000001E-2</v>
      </c>
      <c r="AJ1166" s="287">
        <v>3.9E-2</v>
      </c>
      <c r="AK1166" s="318">
        <f t="shared" si="774"/>
        <v>35592.847714285665</v>
      </c>
      <c r="AL1166" s="193">
        <v>0</v>
      </c>
      <c r="AM1166" s="319">
        <v>0</v>
      </c>
      <c r="AN1166" s="319"/>
      <c r="AO1166" s="320">
        <f t="shared" si="775"/>
        <v>0</v>
      </c>
      <c r="AP1166" s="193">
        <v>0</v>
      </c>
      <c r="AQ1166" s="318">
        <v>0</v>
      </c>
      <c r="AR1166" s="318">
        <f t="shared" si="776"/>
        <v>35592.847714285665</v>
      </c>
      <c r="AS1166" s="318">
        <f t="shared" si="777"/>
        <v>37372</v>
      </c>
      <c r="AT1166" s="321">
        <v>0</v>
      </c>
      <c r="AU1166" s="157"/>
      <c r="AV1166" s="136"/>
      <c r="AW1166" s="318">
        <f t="shared" si="791"/>
        <v>9580</v>
      </c>
      <c r="AX1166" s="193"/>
      <c r="AY1166" s="318">
        <f t="shared" si="792"/>
        <v>9580</v>
      </c>
      <c r="AZ1166" s="318">
        <f t="shared" si="793"/>
        <v>9590</v>
      </c>
      <c r="BA1166" s="318">
        <f t="shared" si="794"/>
        <v>-10</v>
      </c>
      <c r="BB1166" s="318">
        <f t="shared" si="795"/>
        <v>19.16</v>
      </c>
      <c r="BC1166" s="318">
        <v>0</v>
      </c>
      <c r="BD1166" s="136"/>
      <c r="BE1166" s="138">
        <v>95.8</v>
      </c>
      <c r="BF1166" s="321">
        <f t="shared" si="783"/>
        <v>0.14369999999999999</v>
      </c>
      <c r="BG1166" s="197">
        <f t="shared" si="784"/>
        <v>95.656300000000002</v>
      </c>
      <c r="BH1166" s="321">
        <f t="shared" si="785"/>
        <v>95.9</v>
      </c>
      <c r="BI1166" s="322">
        <f t="shared" si="786"/>
        <v>-10.000000000000853</v>
      </c>
      <c r="BJ1166" s="322">
        <v>0</v>
      </c>
      <c r="BK1166" s="318">
        <f t="shared" si="787"/>
        <v>-10.000000000000853</v>
      </c>
      <c r="BL1166" s="67"/>
      <c r="BM1166" s="68" t="str">
        <f t="shared" si="788"/>
        <v>Unloading no. 1132 Bill No 2026-27/343 ,Deduction For Oil Deduction= 35592.8477142857 ,Bardana= 0 ,F.M= 0 Brokerage/Rate Difference  ,Shortage = 0 ,Greenish= 0 ,Moisture= 0</v>
      </c>
      <c r="BN1166" s="69"/>
      <c r="BO1166" s="70" t="str">
        <f t="shared" si="789"/>
        <v xml:space="preserve"> Party Condition 42  ,F.M% 0.2 ,Greenish 2.1 ,Moisture 3.9 ,Shortage in KG= 0  ,Oil% 40.02</v>
      </c>
      <c r="BP1166" s="71">
        <f t="shared" si="790"/>
        <v>7501.6366244600031</v>
      </c>
      <c r="BQ1166" s="55"/>
      <c r="BR1166" s="55"/>
      <c r="BS1166" s="41"/>
      <c r="BT1166" s="41"/>
      <c r="BU1166" s="41"/>
      <c r="BV1166" s="41"/>
      <c r="BW1166" s="85"/>
      <c r="BX1166" s="27">
        <v>39.770000000000003</v>
      </c>
      <c r="BY1166" s="27">
        <v>39.71</v>
      </c>
    </row>
    <row r="1167" spans="1:83" ht="14.1" hidden="1" customHeight="1" x14ac:dyDescent="0.3">
      <c r="A1167" s="128" t="s">
        <v>2442</v>
      </c>
      <c r="B1167" s="146">
        <v>46209</v>
      </c>
      <c r="C1167" s="138">
        <v>1133</v>
      </c>
      <c r="D1167" s="138" t="s">
        <v>2481</v>
      </c>
      <c r="E1167" s="129">
        <v>46211</v>
      </c>
      <c r="F1167" s="128" t="s">
        <v>1144</v>
      </c>
      <c r="G1167" s="281" t="s">
        <v>1145</v>
      </c>
      <c r="H1167" s="281" t="s">
        <v>100</v>
      </c>
      <c r="I1167" s="136"/>
      <c r="J1167" s="138" t="s">
        <v>1146</v>
      </c>
      <c r="K1167" s="136"/>
      <c r="L1167" s="146">
        <v>46209</v>
      </c>
      <c r="M1167" s="136"/>
      <c r="N1167" s="281" t="s">
        <v>2525</v>
      </c>
      <c r="O1167" s="146">
        <v>46211</v>
      </c>
      <c r="P1167" s="138">
        <v>0</v>
      </c>
      <c r="Q1167" s="138">
        <v>120</v>
      </c>
      <c r="R1167" s="138">
        <v>40</v>
      </c>
      <c r="S1167" s="138">
        <v>160</v>
      </c>
      <c r="T1167" s="138">
        <v>160</v>
      </c>
      <c r="U1167" s="136"/>
      <c r="V1167" s="136"/>
      <c r="W1167" s="148">
        <v>96.2</v>
      </c>
      <c r="X1167" s="148">
        <v>96.2</v>
      </c>
      <c r="Y1167" s="148">
        <v>758152.2</v>
      </c>
      <c r="Z1167" s="236">
        <v>40.270000000000003</v>
      </c>
      <c r="AA1167" s="148">
        <v>18953.810000000001</v>
      </c>
      <c r="AB1167" s="148">
        <v>18953.810000000001</v>
      </c>
      <c r="AC1167" s="148">
        <v>796059.81</v>
      </c>
      <c r="AD1167" s="315">
        <f t="shared" si="769"/>
        <v>795263.75019000005</v>
      </c>
      <c r="AE1167" s="147">
        <v>40.270000000000003</v>
      </c>
      <c r="AF1167" s="147">
        <v>42</v>
      </c>
      <c r="AG1167" s="147">
        <v>40.270000000000003</v>
      </c>
      <c r="AH1167" s="287">
        <v>2.0999999999999999E-3</v>
      </c>
      <c r="AI1167" s="287">
        <v>3.15E-2</v>
      </c>
      <c r="AJ1167" s="287">
        <v>0.04</v>
      </c>
      <c r="AK1167" s="318">
        <f t="shared" si="774"/>
        <v>31228.650142857085</v>
      </c>
      <c r="AL1167" s="193">
        <v>0</v>
      </c>
      <c r="AM1167" s="319">
        <v>0</v>
      </c>
      <c r="AN1167" s="319"/>
      <c r="AO1167" s="320">
        <f t="shared" si="775"/>
        <v>0</v>
      </c>
      <c r="AP1167" s="193">
        <v>0</v>
      </c>
      <c r="AQ1167" s="318">
        <v>0</v>
      </c>
      <c r="AR1167" s="318">
        <f t="shared" si="776"/>
        <v>31228.650142857085</v>
      </c>
      <c r="AS1167" s="318">
        <f t="shared" si="777"/>
        <v>32790</v>
      </c>
      <c r="AT1167" s="321">
        <v>0</v>
      </c>
      <c r="AU1167" s="157"/>
      <c r="AV1167" s="136"/>
      <c r="AW1167" s="318">
        <f t="shared" si="791"/>
        <v>9620</v>
      </c>
      <c r="AX1167" s="193"/>
      <c r="AY1167" s="318">
        <f t="shared" si="792"/>
        <v>9620</v>
      </c>
      <c r="AZ1167" s="318">
        <f t="shared" si="793"/>
        <v>9620</v>
      </c>
      <c r="BA1167" s="318">
        <f t="shared" si="794"/>
        <v>0</v>
      </c>
      <c r="BB1167" s="318">
        <f t="shared" si="795"/>
        <v>19.239999999999998</v>
      </c>
      <c r="BC1167" s="318">
        <v>0</v>
      </c>
      <c r="BD1167" s="136"/>
      <c r="BE1167" s="138">
        <v>96.2</v>
      </c>
      <c r="BF1167" s="321">
        <f t="shared" si="783"/>
        <v>0.14429999999999998</v>
      </c>
      <c r="BG1167" s="197">
        <f t="shared" si="784"/>
        <v>96.055700000000002</v>
      </c>
      <c r="BH1167" s="321">
        <f t="shared" si="785"/>
        <v>96.2</v>
      </c>
      <c r="BI1167" s="322">
        <f t="shared" si="786"/>
        <v>0</v>
      </c>
      <c r="BJ1167" s="322">
        <v>0</v>
      </c>
      <c r="BK1167" s="318">
        <f t="shared" si="787"/>
        <v>0</v>
      </c>
      <c r="BL1167" s="67"/>
      <c r="BM1167" s="68" t="str">
        <f t="shared" si="788"/>
        <v>Unloading no. 1133 Bill No 2026-27/345 ,Deduction For Oil Deduction= 31228.6501428571 ,Bardana= 0 ,F.M= 0 Brokerage/Rate Difference  ,Shortage = 0 ,Greenish= 0 ,Moisture= 0</v>
      </c>
      <c r="BN1167" s="69"/>
      <c r="BO1167" s="70" t="str">
        <f t="shared" si="789"/>
        <v xml:space="preserve"> Party Condition 42  ,F.M% 0.21 ,Greenish 3.15 ,Moisture 4 ,Shortage in KG= 0  ,Oil% 40.27</v>
      </c>
      <c r="BP1167" s="71">
        <f t="shared" si="790"/>
        <v>7556.3778571428566</v>
      </c>
      <c r="BQ1167" s="55"/>
      <c r="BR1167" s="55"/>
      <c r="BS1167" s="41"/>
      <c r="BT1167" s="41"/>
      <c r="BU1167" s="41"/>
      <c r="BV1167" s="41"/>
      <c r="BW1167" s="85"/>
      <c r="BX1167" s="27">
        <v>40.18</v>
      </c>
      <c r="BY1167" s="27">
        <v>39.86</v>
      </c>
    </row>
    <row r="1168" spans="1:83" ht="14.1" hidden="1" customHeight="1" x14ac:dyDescent="0.3">
      <c r="A1168" s="128" t="s">
        <v>2442</v>
      </c>
      <c r="B1168" s="146">
        <v>46209</v>
      </c>
      <c r="C1168" s="138">
        <v>1134</v>
      </c>
      <c r="D1168" s="138" t="s">
        <v>2482</v>
      </c>
      <c r="E1168" s="129">
        <v>46211</v>
      </c>
      <c r="F1168" s="128" t="s">
        <v>1144</v>
      </c>
      <c r="G1168" s="281" t="s">
        <v>1145</v>
      </c>
      <c r="H1168" s="281" t="s">
        <v>100</v>
      </c>
      <c r="I1168" s="136"/>
      <c r="J1168" s="138" t="s">
        <v>1146</v>
      </c>
      <c r="K1168" s="136"/>
      <c r="L1168" s="146">
        <v>46209</v>
      </c>
      <c r="M1168" s="136"/>
      <c r="N1168" s="281" t="s">
        <v>2526</v>
      </c>
      <c r="O1168" s="146">
        <v>46211</v>
      </c>
      <c r="P1168" s="138">
        <v>0</v>
      </c>
      <c r="Q1168" s="138">
        <v>120</v>
      </c>
      <c r="R1168" s="138">
        <v>40</v>
      </c>
      <c r="S1168" s="138">
        <v>160</v>
      </c>
      <c r="T1168" s="138">
        <v>160</v>
      </c>
      <c r="U1168" s="136"/>
      <c r="V1168" s="136"/>
      <c r="W1168" s="148">
        <v>96.7</v>
      </c>
      <c r="X1168" s="148">
        <v>96.6</v>
      </c>
      <c r="Y1168" s="148">
        <v>762092.7</v>
      </c>
      <c r="Z1168" s="236">
        <v>40.07</v>
      </c>
      <c r="AA1168" s="148">
        <v>19052.32</v>
      </c>
      <c r="AB1168" s="148">
        <v>19052.32</v>
      </c>
      <c r="AC1168" s="148">
        <v>800197.34</v>
      </c>
      <c r="AD1168" s="315">
        <f t="shared" si="769"/>
        <v>799397.14266000001</v>
      </c>
      <c r="AE1168" s="147">
        <v>40.07</v>
      </c>
      <c r="AF1168" s="147">
        <v>42</v>
      </c>
      <c r="AG1168" s="147">
        <v>40.07</v>
      </c>
      <c r="AH1168" s="287">
        <v>2.2000000000000001E-3</v>
      </c>
      <c r="AI1168" s="287">
        <v>3.1099999999999999E-2</v>
      </c>
      <c r="AJ1168" s="287">
        <v>4.1000000000000002E-2</v>
      </c>
      <c r="AK1168" s="318">
        <f t="shared" si="774"/>
        <v>35019.974071428565</v>
      </c>
      <c r="AL1168" s="193">
        <v>0</v>
      </c>
      <c r="AM1168" s="319">
        <v>0</v>
      </c>
      <c r="AN1168" s="319"/>
      <c r="AO1168" s="320">
        <f t="shared" si="775"/>
        <v>0</v>
      </c>
      <c r="AP1168" s="193">
        <v>0</v>
      </c>
      <c r="AQ1168" s="318">
        <v>0</v>
      </c>
      <c r="AR1168" s="318">
        <f t="shared" si="776"/>
        <v>35019.974071428565</v>
      </c>
      <c r="AS1168" s="318">
        <f t="shared" si="777"/>
        <v>36771</v>
      </c>
      <c r="AT1168" s="321">
        <v>0</v>
      </c>
      <c r="AU1168" s="157"/>
      <c r="AV1168" s="136"/>
      <c r="AW1168" s="318">
        <f t="shared" si="791"/>
        <v>9670</v>
      </c>
      <c r="AX1168" s="193"/>
      <c r="AY1168" s="318">
        <f t="shared" si="792"/>
        <v>9670</v>
      </c>
      <c r="AZ1168" s="318">
        <f t="shared" si="793"/>
        <v>9660</v>
      </c>
      <c r="BA1168" s="318">
        <f t="shared" si="794"/>
        <v>10</v>
      </c>
      <c r="BB1168" s="318">
        <f t="shared" si="795"/>
        <v>19.34</v>
      </c>
      <c r="BC1168" s="318">
        <v>0</v>
      </c>
      <c r="BD1168" s="136"/>
      <c r="BE1168" s="138">
        <v>96.7</v>
      </c>
      <c r="BF1168" s="321">
        <f t="shared" si="783"/>
        <v>0.14504999999999998</v>
      </c>
      <c r="BG1168" s="197">
        <f t="shared" si="784"/>
        <v>96.554950000000005</v>
      </c>
      <c r="BH1168" s="321">
        <f t="shared" si="785"/>
        <v>96.6</v>
      </c>
      <c r="BI1168" s="322">
        <f t="shared" si="786"/>
        <v>10.000000000000853</v>
      </c>
      <c r="BJ1168" s="322">
        <v>0</v>
      </c>
      <c r="BK1168" s="318">
        <f t="shared" si="787"/>
        <v>10.000000000000853</v>
      </c>
      <c r="BL1168" s="67"/>
      <c r="BM1168" s="68" t="str">
        <f t="shared" si="788"/>
        <v>Unloading no. 1134 Bill No 2026-27/346 ,Deduction For Oil Deduction= 35019.9740714286 ,Bardana= 0 ,F.M= 0 Brokerage/Rate Difference  ,Shortage = 0 ,Greenish= 0 ,Moisture= 0</v>
      </c>
      <c r="BN1168" s="69"/>
      <c r="BO1168" s="70" t="str">
        <f t="shared" si="789"/>
        <v xml:space="preserve"> Party Condition 42  ,F.M% 0.22 ,Greenish 3.11 ,Moisture 4.1 ,Shortage in KG= 0  ,Oil% 40.07</v>
      </c>
      <c r="BP1168" s="71">
        <f t="shared" si="790"/>
        <v>7526.6327735876966</v>
      </c>
      <c r="BQ1168" s="55"/>
      <c r="BR1168" s="55"/>
      <c r="BS1168" s="41"/>
      <c r="BT1168" s="41"/>
      <c r="BU1168" s="41"/>
      <c r="BV1168" s="41"/>
      <c r="BW1168" s="85"/>
      <c r="BX1168" s="27">
        <v>40.4</v>
      </c>
      <c r="BY1168" s="27">
        <v>40.1</v>
      </c>
    </row>
    <row r="1169" spans="1:83" ht="14.1" hidden="1" customHeight="1" x14ac:dyDescent="0.3">
      <c r="A1169" s="174" t="s">
        <v>2442</v>
      </c>
      <c r="B1169" s="376">
        <v>46209</v>
      </c>
      <c r="C1169" s="275">
        <v>1135</v>
      </c>
      <c r="D1169" s="275" t="s">
        <v>2483</v>
      </c>
      <c r="E1169" s="231">
        <v>46211</v>
      </c>
      <c r="F1169" s="174" t="s">
        <v>1144</v>
      </c>
      <c r="G1169" s="284" t="s">
        <v>1145</v>
      </c>
      <c r="H1169" s="284" t="s">
        <v>100</v>
      </c>
      <c r="I1169" s="176"/>
      <c r="J1169" s="275" t="s">
        <v>1146</v>
      </c>
      <c r="K1169" s="176"/>
      <c r="L1169" s="376">
        <v>46209</v>
      </c>
      <c r="M1169" s="176"/>
      <c r="N1169" s="284" t="s">
        <v>2527</v>
      </c>
      <c r="O1169" s="376">
        <v>46211</v>
      </c>
      <c r="P1169" s="275">
        <v>0</v>
      </c>
      <c r="Q1169" s="275">
        <v>110</v>
      </c>
      <c r="R1169" s="275">
        <v>50</v>
      </c>
      <c r="S1169" s="275">
        <v>160</v>
      </c>
      <c r="T1169" s="275">
        <v>160</v>
      </c>
      <c r="U1169" s="176"/>
      <c r="V1169" s="176"/>
      <c r="W1169" s="305">
        <v>95</v>
      </c>
      <c r="X1169" s="305">
        <v>94.9</v>
      </c>
      <c r="Y1169" s="305">
        <v>748695</v>
      </c>
      <c r="Z1169" s="280">
        <v>40.130000000000003</v>
      </c>
      <c r="AA1169" s="305">
        <v>18717.38</v>
      </c>
      <c r="AB1169" s="305">
        <v>18717.38</v>
      </c>
      <c r="AC1169" s="305">
        <v>786129.75</v>
      </c>
      <c r="AD1169" s="339">
        <f t="shared" si="769"/>
        <v>785343.62025000004</v>
      </c>
      <c r="AE1169" s="178">
        <v>40.130000000000003</v>
      </c>
      <c r="AF1169" s="178">
        <v>42</v>
      </c>
      <c r="AG1169" s="178">
        <v>40.130000000000003</v>
      </c>
      <c r="AH1169" s="308">
        <v>2.3E-3</v>
      </c>
      <c r="AI1169" s="308">
        <v>3.9800000000000002E-2</v>
      </c>
      <c r="AJ1169" s="308">
        <v>0.04</v>
      </c>
      <c r="AK1169" s="342">
        <f t="shared" si="774"/>
        <v>33334.753571428526</v>
      </c>
      <c r="AL1169" s="335">
        <v>0</v>
      </c>
      <c r="AM1169" s="343">
        <v>0</v>
      </c>
      <c r="AN1169" s="343"/>
      <c r="AO1169" s="344">
        <f t="shared" si="775"/>
        <v>0</v>
      </c>
      <c r="AP1169" s="335">
        <v>0</v>
      </c>
      <c r="AQ1169" s="342">
        <v>0</v>
      </c>
      <c r="AR1169" s="342">
        <f t="shared" si="776"/>
        <v>33334.753571428526</v>
      </c>
      <c r="AS1169" s="342">
        <f t="shared" si="777"/>
        <v>35001</v>
      </c>
      <c r="AT1169" s="345">
        <v>0</v>
      </c>
      <c r="AU1169" s="208"/>
      <c r="AV1169" s="176"/>
      <c r="AW1169" s="342">
        <f t="shared" si="791"/>
        <v>9500</v>
      </c>
      <c r="AX1169" s="335"/>
      <c r="AY1169" s="342">
        <f t="shared" si="792"/>
        <v>9500</v>
      </c>
      <c r="AZ1169" s="342">
        <f t="shared" si="793"/>
        <v>9490</v>
      </c>
      <c r="BA1169" s="342">
        <f t="shared" si="794"/>
        <v>10</v>
      </c>
      <c r="BB1169" s="342">
        <f t="shared" si="795"/>
        <v>19</v>
      </c>
      <c r="BC1169" s="342">
        <v>0</v>
      </c>
      <c r="BD1169" s="176"/>
      <c r="BE1169" s="275">
        <v>95</v>
      </c>
      <c r="BF1169" s="345">
        <f t="shared" si="783"/>
        <v>0.14249999999999999</v>
      </c>
      <c r="BG1169" s="210">
        <f t="shared" si="784"/>
        <v>94.857500000000002</v>
      </c>
      <c r="BH1169" s="345">
        <f t="shared" si="785"/>
        <v>94.9</v>
      </c>
      <c r="BI1169" s="346">
        <f t="shared" si="786"/>
        <v>9.9999999999994316</v>
      </c>
      <c r="BJ1169" s="346">
        <v>0</v>
      </c>
      <c r="BK1169" s="342">
        <f t="shared" si="787"/>
        <v>9.9999999999994316</v>
      </c>
      <c r="BL1169" s="73"/>
      <c r="BM1169" s="74" t="str">
        <f t="shared" si="788"/>
        <v>Unloading no. 1135 Bill No 2026-27/344 ,Deduction For Oil Deduction= 33334.7535714285 ,Bardana= 0 ,F.M= 0 Brokerage/Rate Difference  ,Shortage = 0 ,Greenish= 0 ,Moisture= 0</v>
      </c>
      <c r="BN1169" s="72"/>
      <c r="BO1169" s="77" t="str">
        <f t="shared" si="789"/>
        <v xml:space="preserve"> Party Condition 42  ,F.M% 0.23 ,Greenish 3.98 ,Moisture 4 ,Shortage in KG= 0  ,Oil% 40.13</v>
      </c>
      <c r="BP1169" s="78">
        <f t="shared" si="790"/>
        <v>7538.0426388679816</v>
      </c>
      <c r="BQ1169" s="60"/>
      <c r="BR1169" s="60"/>
      <c r="BS1169" s="52"/>
      <c r="BT1169" s="52"/>
      <c r="BU1169" s="52"/>
      <c r="BV1169" s="52"/>
      <c r="BW1169" s="86"/>
      <c r="BX1169" s="30">
        <v>39.950000000000003</v>
      </c>
      <c r="BY1169" s="30">
        <v>39.68</v>
      </c>
    </row>
    <row r="1170" spans="1:83" ht="14.1" hidden="1" customHeight="1" x14ac:dyDescent="0.3">
      <c r="A1170" s="128" t="s">
        <v>2442</v>
      </c>
      <c r="B1170" s="146">
        <v>46209</v>
      </c>
      <c r="C1170" s="138">
        <v>1136</v>
      </c>
      <c r="D1170" s="138" t="s">
        <v>2484</v>
      </c>
      <c r="E1170" s="129">
        <v>46212</v>
      </c>
      <c r="F1170" s="128" t="s">
        <v>1144</v>
      </c>
      <c r="G1170" s="128" t="s">
        <v>1145</v>
      </c>
      <c r="H1170" s="281" t="s">
        <v>100</v>
      </c>
      <c r="I1170" s="136"/>
      <c r="J1170" s="138" t="s">
        <v>1146</v>
      </c>
      <c r="K1170" s="136"/>
      <c r="L1170" s="146">
        <v>46209</v>
      </c>
      <c r="M1170" s="136"/>
      <c r="N1170" s="281" t="s">
        <v>2573</v>
      </c>
      <c r="O1170" s="146">
        <v>46211</v>
      </c>
      <c r="P1170" s="138">
        <v>0</v>
      </c>
      <c r="Q1170" s="138">
        <v>140</v>
      </c>
      <c r="R1170" s="138">
        <v>20</v>
      </c>
      <c r="S1170" s="138">
        <v>160</v>
      </c>
      <c r="T1170" s="138">
        <v>160</v>
      </c>
      <c r="U1170" s="136"/>
      <c r="V1170" s="136"/>
      <c r="W1170" s="138">
        <v>96.7</v>
      </c>
      <c r="X1170" s="138">
        <v>96.7</v>
      </c>
      <c r="Y1170" s="138">
        <v>762092.7</v>
      </c>
      <c r="Z1170" s="293">
        <v>39.270000000000003</v>
      </c>
      <c r="AA1170" s="138">
        <v>19052.32</v>
      </c>
      <c r="AB1170" s="138">
        <v>19052.32</v>
      </c>
      <c r="AC1170" s="138">
        <v>800197.34</v>
      </c>
      <c r="AD1170" s="315">
        <f t="shared" si="769"/>
        <v>799397.14266000001</v>
      </c>
      <c r="AE1170" s="147">
        <v>39.270000000000003</v>
      </c>
      <c r="AF1170" s="147">
        <v>42</v>
      </c>
      <c r="AG1170" s="147">
        <v>39.270000000000003</v>
      </c>
      <c r="AH1170" s="287">
        <v>1.8E-3</v>
      </c>
      <c r="AI1170" s="287">
        <v>3.1800000000000002E-2</v>
      </c>
      <c r="AJ1170" s="287">
        <v>4.2999999999999997E-2</v>
      </c>
      <c r="AK1170" s="318">
        <f t="shared" ref="AK1170:AK1197" si="802">+IF(AF1170=42,IF(MIN(AE1170,AG1170)&lt;AF1170,Y1170*((AF1170-MIN(AE1170,AG1170))/AF1170)),IF(MIN(AE1170,AG1170)&lt;AF1170,Y1170*((AF1170-MIN(AE1170,AG1170))/AF1170),0))</f>
        <v>49536.025499999938</v>
      </c>
      <c r="AL1170" s="193">
        <v>0</v>
      </c>
      <c r="AM1170" s="319">
        <v>0</v>
      </c>
      <c r="AN1170" s="319"/>
      <c r="AO1170" s="320">
        <f t="shared" ref="AO1170:AO1197" si="803">AT1170*Y1170/AW1170</f>
        <v>0</v>
      </c>
      <c r="AP1170" s="193">
        <v>0</v>
      </c>
      <c r="AQ1170" s="318">
        <v>0</v>
      </c>
      <c r="AR1170" s="318">
        <f t="shared" ref="AR1170:AR1197" si="804">SUM(AK1170:AQ1170)</f>
        <v>49536.025499999938</v>
      </c>
      <c r="AS1170" s="318">
        <f t="shared" ref="AS1170:AS1197" si="805">ROUND(AR1170*1.05,0)</f>
        <v>52013</v>
      </c>
      <c r="AT1170" s="321">
        <v>0</v>
      </c>
      <c r="AU1170" s="157"/>
      <c r="AV1170" s="136"/>
      <c r="AW1170" s="318">
        <f t="shared" ref="AW1170:AW1197" si="806">W1170*100</f>
        <v>9670</v>
      </c>
      <c r="AX1170" s="193"/>
      <c r="AY1170" s="318">
        <f t="shared" ref="AY1170:AY1197" si="807">+AW1170+AX1170</f>
        <v>9670</v>
      </c>
      <c r="AZ1170" s="318">
        <f t="shared" ref="AZ1170:AZ1197" si="808">X1170*100</f>
        <v>9670</v>
      </c>
      <c r="BA1170" s="318">
        <f t="shared" ref="BA1170:BA1197" si="809">AY1170-AZ1170</f>
        <v>0</v>
      </c>
      <c r="BB1170" s="318">
        <f t="shared" ref="BB1170:BB1197" si="810">AW1170*2/1000</f>
        <v>19.34</v>
      </c>
      <c r="BC1170" s="318">
        <v>0</v>
      </c>
      <c r="BD1170" s="136"/>
      <c r="BE1170" s="138">
        <v>96.7</v>
      </c>
      <c r="BF1170" s="321">
        <f t="shared" ref="BF1170:BF1197" si="811">+BE1170*0.15/100</f>
        <v>0.14504999999999998</v>
      </c>
      <c r="BG1170" s="197">
        <f t="shared" ref="BG1170:BG1197" si="812">BE1170-BF1170</f>
        <v>96.554950000000005</v>
      </c>
      <c r="BH1170" s="321">
        <f t="shared" ref="BH1170:BH1197" si="813">X1170</f>
        <v>96.7</v>
      </c>
      <c r="BI1170" s="322">
        <f t="shared" ref="BI1170:BI1197" si="814">(BE1170-BH1170)*100</f>
        <v>0</v>
      </c>
      <c r="BJ1170" s="322">
        <v>0</v>
      </c>
      <c r="BK1170" s="318">
        <f t="shared" ref="BK1170:BK1197" si="815">BI1170</f>
        <v>0</v>
      </c>
      <c r="BL1170" s="67"/>
      <c r="BM1170" s="68" t="str">
        <f t="shared" ref="BM1170:BM1197" si="816">+$C$1&amp;" "&amp;C1170 &amp;" "&amp;$N$1&amp;" "&amp;N1170&amp;" "&amp;$BM$1&amp;" "&amp;$AK$1&amp;" "&amp;AK1170&amp;" "&amp;$AL$1&amp;" "&amp;AL1170&amp;" "&amp;$AM$1&amp;" "&amp;AM1170&amp;" "&amp;$AN$1&amp;" "&amp;AN1170&amp;" "&amp;$AO$1&amp;" "&amp;AO1170&amp;" "&amp;$AP$1&amp;" "&amp;AP1170&amp;" "&amp;$AQ$1&amp;" "&amp;AQ1170</f>
        <v>Unloading no. 1136 Bill No 2026-27/376 ,Deduction For Oil Deduction= 49536.0254999999 ,Bardana= 0 ,F.M= 0 Brokerage/Rate Difference  ,Shortage = 0 ,Greenish= 0 ,Moisture= 0</v>
      </c>
      <c r="BN1170" s="69"/>
      <c r="BO1170" s="70" t="str">
        <f t="shared" ref="BO1170:BO1197" si="817">+" "&amp;$AF$1&amp;" "&amp;AF1170&amp;" "&amp;" "&amp;$AH$1&amp;" "&amp;AH1170*100&amp;" "&amp;$AI$1&amp;" "&amp;AI1170*100&amp;" "&amp;$AJ$1&amp;" "&amp;AJ1170*100&amp;" ,"&amp;$AT$1&amp;" "&amp;AT1170&amp;" "&amp;IF(AE1170&gt;AG1170," ,Oil%"&amp;" "&amp;AG1170," ,Oil%"&amp;" "&amp;AE1170)</f>
        <v xml:space="preserve"> Party Condition 42  ,F.M% 0.18 ,Greenish 3.18 ,Moisture 4.3 ,Shortage in KG= 0  ,Oil% 39.27</v>
      </c>
      <c r="BP1170" s="71">
        <f t="shared" ref="BP1170:BP1197" si="818">(Y1170-AR1170)/X1170</f>
        <v>7368.7349999999997</v>
      </c>
      <c r="BQ1170" s="55"/>
      <c r="BR1170" s="55"/>
      <c r="BS1170" s="41"/>
      <c r="BT1170" s="41"/>
      <c r="BU1170" s="41"/>
      <c r="BV1170" s="41"/>
      <c r="BW1170" s="85"/>
      <c r="BX1170" s="27">
        <v>39.6</v>
      </c>
      <c r="BY1170" s="27">
        <v>39.53</v>
      </c>
    </row>
    <row r="1171" spans="1:83" ht="14.1" hidden="1" customHeight="1" x14ac:dyDescent="0.3">
      <c r="A1171" s="128" t="s">
        <v>2442</v>
      </c>
      <c r="B1171" s="146">
        <v>46209</v>
      </c>
      <c r="C1171" s="138">
        <v>1137</v>
      </c>
      <c r="D1171" s="138" t="s">
        <v>2485</v>
      </c>
      <c r="E1171" s="129">
        <v>46212</v>
      </c>
      <c r="F1171" s="128" t="s">
        <v>1144</v>
      </c>
      <c r="G1171" s="128" t="s">
        <v>1145</v>
      </c>
      <c r="H1171" s="281" t="s">
        <v>100</v>
      </c>
      <c r="I1171" s="136"/>
      <c r="J1171" s="138" t="s">
        <v>1146</v>
      </c>
      <c r="K1171" s="136"/>
      <c r="L1171" s="146">
        <v>46209</v>
      </c>
      <c r="M1171" s="136"/>
      <c r="N1171" s="281" t="s">
        <v>2528</v>
      </c>
      <c r="O1171" s="146">
        <v>46211</v>
      </c>
      <c r="P1171" s="138">
        <v>0</v>
      </c>
      <c r="Q1171" s="138">
        <v>150</v>
      </c>
      <c r="R1171" s="138">
        <v>27</v>
      </c>
      <c r="S1171" s="138">
        <v>177</v>
      </c>
      <c r="T1171" s="138">
        <v>177</v>
      </c>
      <c r="U1171" s="136"/>
      <c r="V1171" s="136"/>
      <c r="W1171" s="138">
        <v>106.7</v>
      </c>
      <c r="X1171" s="138">
        <v>106.6</v>
      </c>
      <c r="Y1171" s="138">
        <v>840902.7</v>
      </c>
      <c r="Z1171" s="293">
        <v>40.520000000000003</v>
      </c>
      <c r="AA1171" s="138">
        <v>21022.57</v>
      </c>
      <c r="AB1171" s="138">
        <v>21022.57</v>
      </c>
      <c r="AC1171" s="138">
        <v>882947.84</v>
      </c>
      <c r="AD1171" s="315">
        <f t="shared" si="769"/>
        <v>882064.89215999993</v>
      </c>
      <c r="AE1171" s="147">
        <v>40.520000000000003</v>
      </c>
      <c r="AF1171" s="147">
        <v>42</v>
      </c>
      <c r="AG1171" s="147">
        <v>40.520000000000003</v>
      </c>
      <c r="AH1171" s="287">
        <v>2.3E-3</v>
      </c>
      <c r="AI1171" s="287">
        <v>3.0599999999999999E-2</v>
      </c>
      <c r="AJ1171" s="287">
        <v>4.3999999999999997E-2</v>
      </c>
      <c r="AK1171" s="318">
        <f t="shared" si="802"/>
        <v>29631.809428571367</v>
      </c>
      <c r="AL1171" s="193">
        <v>0</v>
      </c>
      <c r="AM1171" s="319">
        <v>0</v>
      </c>
      <c r="AN1171" s="319"/>
      <c r="AO1171" s="320">
        <f t="shared" si="803"/>
        <v>0</v>
      </c>
      <c r="AP1171" s="193">
        <v>0</v>
      </c>
      <c r="AQ1171" s="318">
        <v>0</v>
      </c>
      <c r="AR1171" s="318">
        <f t="shared" si="804"/>
        <v>29631.809428571367</v>
      </c>
      <c r="AS1171" s="318">
        <f t="shared" si="805"/>
        <v>31113</v>
      </c>
      <c r="AT1171" s="321">
        <v>0</v>
      </c>
      <c r="AU1171" s="157"/>
      <c r="AV1171" s="136"/>
      <c r="AW1171" s="318">
        <f t="shared" si="806"/>
        <v>10670</v>
      </c>
      <c r="AX1171" s="193"/>
      <c r="AY1171" s="318">
        <f t="shared" si="807"/>
        <v>10670</v>
      </c>
      <c r="AZ1171" s="318">
        <f t="shared" si="808"/>
        <v>10660</v>
      </c>
      <c r="BA1171" s="318">
        <f t="shared" si="809"/>
        <v>10</v>
      </c>
      <c r="BB1171" s="318">
        <f t="shared" si="810"/>
        <v>21.34</v>
      </c>
      <c r="BC1171" s="318">
        <v>0</v>
      </c>
      <c r="BD1171" s="136"/>
      <c r="BE1171" s="138">
        <v>106.7</v>
      </c>
      <c r="BF1171" s="321">
        <f t="shared" si="811"/>
        <v>0.16005</v>
      </c>
      <c r="BG1171" s="197">
        <f t="shared" si="812"/>
        <v>106.53995</v>
      </c>
      <c r="BH1171" s="321">
        <f t="shared" si="813"/>
        <v>106.6</v>
      </c>
      <c r="BI1171" s="322">
        <f t="shared" si="814"/>
        <v>10.000000000000853</v>
      </c>
      <c r="BJ1171" s="322">
        <v>0</v>
      </c>
      <c r="BK1171" s="318">
        <f t="shared" si="815"/>
        <v>10.000000000000853</v>
      </c>
      <c r="BL1171" s="67"/>
      <c r="BM1171" s="68" t="str">
        <f t="shared" si="816"/>
        <v>Unloading no. 1137 Bill No 2026-27/348 ,Deduction For Oil Deduction= 29631.8094285714 ,Bardana= 0 ,F.M= 0 Brokerage/Rate Difference  ,Shortage = 0 ,Greenish= 0 ,Moisture= 0</v>
      </c>
      <c r="BN1171" s="69"/>
      <c r="BO1171" s="70" t="str">
        <f t="shared" si="817"/>
        <v xml:space="preserve"> Party Condition 42  ,F.M% 0.23 ,Greenish 3.06 ,Moisture 4.4 ,Shortage in KG= 0  ,Oil% 40.52</v>
      </c>
      <c r="BP1171" s="71">
        <f t="shared" si="818"/>
        <v>7610.4211123023324</v>
      </c>
      <c r="BQ1171" s="55"/>
      <c r="BR1171" s="55"/>
      <c r="BS1171" s="41"/>
      <c r="BT1171" s="41"/>
      <c r="BU1171" s="41"/>
      <c r="BV1171" s="41"/>
      <c r="BW1171" s="85"/>
      <c r="BX1171" s="27">
        <v>40.5</v>
      </c>
      <c r="BY1171" s="27">
        <v>40.31</v>
      </c>
    </row>
    <row r="1172" spans="1:83" ht="14.1" hidden="1" customHeight="1" x14ac:dyDescent="0.3">
      <c r="A1172" s="128" t="s">
        <v>2446</v>
      </c>
      <c r="B1172" s="146">
        <v>46210</v>
      </c>
      <c r="C1172" s="138">
        <v>1138</v>
      </c>
      <c r="D1172" s="138" t="s">
        <v>2486</v>
      </c>
      <c r="E1172" s="129">
        <v>46212</v>
      </c>
      <c r="F1172" s="128" t="s">
        <v>1691</v>
      </c>
      <c r="G1172" s="128" t="s">
        <v>1692</v>
      </c>
      <c r="H1172" s="281" t="s">
        <v>1693</v>
      </c>
      <c r="I1172" s="136"/>
      <c r="J1172" s="138" t="s">
        <v>2499</v>
      </c>
      <c r="K1172" s="136"/>
      <c r="L1172" s="146">
        <v>46210</v>
      </c>
      <c r="M1172" s="136"/>
      <c r="N1172" s="281" t="s">
        <v>1315</v>
      </c>
      <c r="O1172" s="146">
        <v>46210</v>
      </c>
      <c r="P1172" s="138">
        <v>0</v>
      </c>
      <c r="Q1172" s="138">
        <v>235</v>
      </c>
      <c r="R1172" s="138">
        <v>15</v>
      </c>
      <c r="S1172" s="138">
        <v>250</v>
      </c>
      <c r="T1172" s="138">
        <v>250</v>
      </c>
      <c r="U1172" s="136"/>
      <c r="V1172" s="136"/>
      <c r="W1172" s="138">
        <v>152.19999999999999</v>
      </c>
      <c r="X1172" s="138">
        <v>152.4</v>
      </c>
      <c r="Y1172" s="138">
        <v>1209990</v>
      </c>
      <c r="Z1172" s="128"/>
      <c r="AA1172" s="138">
        <v>30249.75</v>
      </c>
      <c r="AB1172" s="138">
        <v>30249.75</v>
      </c>
      <c r="AC1172" s="138">
        <v>1270489.5</v>
      </c>
      <c r="AD1172" s="315">
        <f t="shared" si="769"/>
        <v>1269219.0105000001</v>
      </c>
      <c r="AE1172" s="147">
        <v>40.299999999999997</v>
      </c>
      <c r="AF1172" s="147">
        <v>42</v>
      </c>
      <c r="AG1172" s="147">
        <v>40.07</v>
      </c>
      <c r="AH1172" s="287">
        <v>2E-3</v>
      </c>
      <c r="AI1172" s="287">
        <v>2.1000000000000001E-2</v>
      </c>
      <c r="AJ1172" s="397">
        <v>5.1299999999999998E-2</v>
      </c>
      <c r="AK1172" s="318">
        <f>+IF(AF1172=42,IF(MIN(AE1172,AG1172)&lt;AF1172,Y1172*((AF1172-MIN(AE1172,AG1172))/AF1172)),IF(MIN(AE1172,AG1172)&lt;AF1172,Y1172*((AF1172-MIN(AE1172,AG1172))/AF1172),0))-22.32</f>
        <v>55579.601428571419</v>
      </c>
      <c r="AL1172" s="193">
        <f>235*10+15*15</f>
        <v>2575</v>
      </c>
      <c r="AM1172" s="319">
        <f>Y1172*AH1172</f>
        <v>2419.98</v>
      </c>
      <c r="AN1172" s="319"/>
      <c r="AO1172" s="320">
        <f t="shared" si="803"/>
        <v>0</v>
      </c>
      <c r="AP1172" s="193">
        <v>0</v>
      </c>
      <c r="AQ1172" s="318">
        <f>Y1172*0.13/100</f>
        <v>1572.9870000000001</v>
      </c>
      <c r="AR1172" s="318">
        <f t="shared" si="804"/>
        <v>62147.568428571423</v>
      </c>
      <c r="AS1172" s="318">
        <f t="shared" si="805"/>
        <v>65255</v>
      </c>
      <c r="AT1172" s="321">
        <v>0</v>
      </c>
      <c r="AU1172" s="157"/>
      <c r="AV1172" s="136"/>
      <c r="AW1172" s="318">
        <f t="shared" si="806"/>
        <v>15219.999999999998</v>
      </c>
      <c r="AX1172" s="193"/>
      <c r="AY1172" s="318">
        <f t="shared" si="807"/>
        <v>15219.999999999998</v>
      </c>
      <c r="AZ1172" s="318">
        <f t="shared" si="808"/>
        <v>15240</v>
      </c>
      <c r="BA1172" s="318">
        <f t="shared" si="809"/>
        <v>-20.000000000001819</v>
      </c>
      <c r="BB1172" s="318">
        <f t="shared" si="810"/>
        <v>30.439999999999998</v>
      </c>
      <c r="BC1172" s="318">
        <v>0</v>
      </c>
      <c r="BD1172" s="136"/>
      <c r="BE1172" s="138">
        <v>152.19999999999999</v>
      </c>
      <c r="BF1172" s="321">
        <f t="shared" si="811"/>
        <v>0.22829999999999998</v>
      </c>
      <c r="BG1172" s="197">
        <f t="shared" si="812"/>
        <v>151.9717</v>
      </c>
      <c r="BH1172" s="321">
        <f t="shared" si="813"/>
        <v>152.4</v>
      </c>
      <c r="BI1172" s="322">
        <f t="shared" si="814"/>
        <v>-20.000000000001705</v>
      </c>
      <c r="BJ1172" s="322">
        <v>0</v>
      </c>
      <c r="BK1172" s="318">
        <f t="shared" si="815"/>
        <v>-20.000000000001705</v>
      </c>
      <c r="BL1172" s="67"/>
      <c r="BM1172" s="68" t="str">
        <f t="shared" si="816"/>
        <v>Unloading no. 1138 Bill No 2026-27/76 ,Deduction For Oil Deduction= 55579.6014285714 ,Bardana= 2575 ,F.M= 2419.98 Brokerage/Rate Difference  ,Shortage = 0 ,Greenish= 0 ,Moisture= 1572.987</v>
      </c>
      <c r="BN1172" s="69"/>
      <c r="BO1172" s="70" t="str">
        <f t="shared" si="817"/>
        <v xml:space="preserve"> Party Condition 42  ,F.M% 0.2 ,Greenish 2.1 ,Moisture 5.13 ,Shortage in KG= 0  ,Oil% 40.07</v>
      </c>
      <c r="BP1172" s="71">
        <f t="shared" si="818"/>
        <v>7531.7744853768281</v>
      </c>
      <c r="BQ1172" s="55"/>
      <c r="BR1172" s="55"/>
      <c r="BS1172" s="41"/>
      <c r="BT1172" s="41"/>
      <c r="BU1172" s="41"/>
      <c r="BV1172" s="41"/>
      <c r="BW1172" s="85"/>
      <c r="BX1172" s="27">
        <v>40.299999999999997</v>
      </c>
      <c r="BY1172" s="27">
        <v>40.07</v>
      </c>
      <c r="CA1172" s="56">
        <v>65255.03</v>
      </c>
      <c r="CC1172" s="57">
        <f t="shared" ref="CC1172" si="819">AS1172-CA1172</f>
        <v>-2.9999999998835847E-2</v>
      </c>
      <c r="CE1172" s="88">
        <f t="shared" ref="CE1172" si="820">CC1172/105%</f>
        <v>-2.8571428570319853E-2</v>
      </c>
    </row>
    <row r="1173" spans="1:83" ht="14.1" hidden="1" customHeight="1" x14ac:dyDescent="0.3">
      <c r="A1173" s="128" t="s">
        <v>2447</v>
      </c>
      <c r="B1173" s="146">
        <v>46210</v>
      </c>
      <c r="C1173" s="138">
        <v>1139</v>
      </c>
      <c r="D1173" s="138" t="s">
        <v>2487</v>
      </c>
      <c r="E1173" s="129">
        <v>46212</v>
      </c>
      <c r="F1173" s="128" t="s">
        <v>2079</v>
      </c>
      <c r="G1173" s="128" t="s">
        <v>2080</v>
      </c>
      <c r="H1173" s="281" t="s">
        <v>2081</v>
      </c>
      <c r="I1173" s="136"/>
      <c r="J1173" s="138" t="s">
        <v>2499</v>
      </c>
      <c r="K1173" s="136"/>
      <c r="L1173" s="146">
        <v>46210</v>
      </c>
      <c r="M1173" s="136"/>
      <c r="N1173" s="281" t="s">
        <v>2529</v>
      </c>
      <c r="O1173" s="146">
        <v>46211</v>
      </c>
      <c r="P1173" s="138">
        <v>0</v>
      </c>
      <c r="Q1173" s="138">
        <v>315</v>
      </c>
      <c r="R1173" s="138">
        <v>100</v>
      </c>
      <c r="S1173" s="138">
        <v>415</v>
      </c>
      <c r="T1173" s="138">
        <v>415</v>
      </c>
      <c r="U1173" s="136"/>
      <c r="V1173" s="136"/>
      <c r="W1173" s="138">
        <v>253.15</v>
      </c>
      <c r="X1173" s="138">
        <v>252.4</v>
      </c>
      <c r="Y1173" s="138">
        <v>2006213.75</v>
      </c>
      <c r="Z1173" s="128"/>
      <c r="AA1173" s="138">
        <v>50155.34</v>
      </c>
      <c r="AB1173" s="138">
        <v>50155.34</v>
      </c>
      <c r="AC1173" s="138">
        <v>2106524.44</v>
      </c>
      <c r="AD1173" s="315">
        <f t="shared" si="769"/>
        <v>2104417.9155600001</v>
      </c>
      <c r="AE1173" s="147">
        <v>39.54</v>
      </c>
      <c r="AF1173" s="147">
        <v>42</v>
      </c>
      <c r="AG1173" s="147">
        <v>39.43</v>
      </c>
      <c r="AH1173" s="418">
        <v>3.8999999999999998E-3</v>
      </c>
      <c r="AI1173" s="287">
        <v>2.3400000000000001E-2</v>
      </c>
      <c r="AJ1173" s="397">
        <v>5.2900000000000003E-2</v>
      </c>
      <c r="AK1173" s="318">
        <f>+IF(AF1173=42,IF(MIN(AE1173,AG1173)&lt;AF1173,Y1173*((AF1173-MIN(AE1173,AG1173))/AF1173)),IF(MIN(AE1173,AG1173)&lt;AF1173,Y1173*((AF1173-MIN(AE1173,AG1173))/AF1173),0))-48.93</f>
        <v>122712.24470238098</v>
      </c>
      <c r="AL1173" s="193">
        <f>315*10+100*15</f>
        <v>4650</v>
      </c>
      <c r="AM1173" s="319">
        <f>Y1173*AH1173</f>
        <v>7824.2336249999998</v>
      </c>
      <c r="AN1173" s="319"/>
      <c r="AO1173" s="320">
        <f t="shared" si="803"/>
        <v>5943.75</v>
      </c>
      <c r="AP1173" s="193">
        <v>0</v>
      </c>
      <c r="AQ1173" s="318">
        <f>Y1173*0.29/100</f>
        <v>5818.019874999999</v>
      </c>
      <c r="AR1173" s="318">
        <f t="shared" si="804"/>
        <v>146948.24820238099</v>
      </c>
      <c r="AS1173" s="318">
        <f t="shared" si="805"/>
        <v>154296</v>
      </c>
      <c r="AT1173" s="321">
        <v>75</v>
      </c>
      <c r="AU1173" s="157"/>
      <c r="AV1173" s="136"/>
      <c r="AW1173" s="318">
        <f t="shared" si="806"/>
        <v>25315</v>
      </c>
      <c r="AX1173" s="193"/>
      <c r="AY1173" s="318">
        <f t="shared" si="807"/>
        <v>25315</v>
      </c>
      <c r="AZ1173" s="318">
        <f t="shared" si="808"/>
        <v>25240</v>
      </c>
      <c r="BA1173" s="318">
        <f t="shared" si="809"/>
        <v>75</v>
      </c>
      <c r="BB1173" s="318">
        <f t="shared" si="810"/>
        <v>50.63</v>
      </c>
      <c r="BC1173" s="318">
        <v>0</v>
      </c>
      <c r="BD1173" s="136"/>
      <c r="BE1173" s="138">
        <v>253.15</v>
      </c>
      <c r="BF1173" s="321">
        <f t="shared" si="811"/>
        <v>0.37972499999999998</v>
      </c>
      <c r="BG1173" s="197">
        <f t="shared" si="812"/>
        <v>252.770275</v>
      </c>
      <c r="BH1173" s="321">
        <f t="shared" si="813"/>
        <v>252.4</v>
      </c>
      <c r="BI1173" s="322">
        <f t="shared" si="814"/>
        <v>75</v>
      </c>
      <c r="BJ1173" s="322">
        <v>0</v>
      </c>
      <c r="BK1173" s="318">
        <f t="shared" si="815"/>
        <v>75</v>
      </c>
      <c r="BL1173" s="67"/>
      <c r="BM1173" s="68" t="str">
        <f t="shared" si="816"/>
        <v>Unloading no. 1139 Bill No FMT27MLRJ001950 ,Deduction For Oil Deduction= 122712.244702381 ,Bardana= 4650 ,F.M= 7824.233625 Brokerage/Rate Difference  ,Shortage = 5943.75 ,Greenish= 0 ,Moisture= 5818.019875</v>
      </c>
      <c r="BN1173" s="69"/>
      <c r="BO1173" s="70" t="str">
        <f t="shared" si="817"/>
        <v xml:space="preserve"> Party Condition 42  ,F.M% 0.39 ,Greenish 2.34 ,Moisture 5.29 ,Shortage in KG= 75  ,Oil% 39.43</v>
      </c>
      <c r="BP1173" s="71">
        <f t="shared" si="818"/>
        <v>7366.3450942853369</v>
      </c>
      <c r="BQ1173" s="55"/>
      <c r="BR1173" s="55"/>
      <c r="BS1173" s="41"/>
      <c r="BT1173" s="41"/>
      <c r="BU1173" s="41"/>
      <c r="BV1173" s="41"/>
      <c r="BW1173" s="85"/>
      <c r="BX1173" s="27">
        <v>39.54</v>
      </c>
      <c r="BY1173" s="27">
        <v>39.43</v>
      </c>
      <c r="CA1173" s="56">
        <v>148054.54</v>
      </c>
      <c r="CC1173" s="57">
        <f t="shared" ref="CC1173:CC1175" si="821">AS1173-CA1173</f>
        <v>6241.4599999999919</v>
      </c>
      <c r="CE1173" s="88">
        <f t="shared" ref="CE1173:CE1175" si="822">CC1173/105%</f>
        <v>5944.2476190476109</v>
      </c>
    </row>
    <row r="1174" spans="1:83" ht="14.1" hidden="1" customHeight="1" x14ac:dyDescent="0.3">
      <c r="A1174" s="128" t="s">
        <v>2448</v>
      </c>
      <c r="B1174" s="146">
        <v>46210</v>
      </c>
      <c r="C1174" s="138">
        <v>1140</v>
      </c>
      <c r="D1174" s="138" t="s">
        <v>2488</v>
      </c>
      <c r="E1174" s="129">
        <v>46212</v>
      </c>
      <c r="F1174" s="128" t="s">
        <v>104</v>
      </c>
      <c r="G1174" s="160" t="s">
        <v>105</v>
      </c>
      <c r="H1174" s="440" t="s">
        <v>106</v>
      </c>
      <c r="I1174" s="136"/>
      <c r="J1174" s="138" t="s">
        <v>113</v>
      </c>
      <c r="K1174" s="136"/>
      <c r="L1174" s="146">
        <v>46210</v>
      </c>
      <c r="M1174" s="136"/>
      <c r="N1174" s="281" t="s">
        <v>2530</v>
      </c>
      <c r="O1174" s="146">
        <v>46210</v>
      </c>
      <c r="P1174" s="138">
        <v>0</v>
      </c>
      <c r="Q1174" s="138">
        <v>450</v>
      </c>
      <c r="R1174" s="138">
        <v>55</v>
      </c>
      <c r="S1174" s="138">
        <v>505</v>
      </c>
      <c r="T1174" s="138">
        <v>505</v>
      </c>
      <c r="U1174" s="136"/>
      <c r="V1174" s="136"/>
      <c r="W1174" s="138">
        <v>257.06</v>
      </c>
      <c r="X1174" s="138">
        <v>257.3</v>
      </c>
      <c r="Y1174" s="138">
        <v>2005792.91</v>
      </c>
      <c r="Z1174" s="128"/>
      <c r="AA1174" s="138">
        <v>50144.82</v>
      </c>
      <c r="AB1174" s="138">
        <v>50144.82</v>
      </c>
      <c r="AC1174" s="138">
        <v>2106082.56</v>
      </c>
      <c r="AD1174" s="315">
        <f t="shared" si="769"/>
        <v>2103976.47744</v>
      </c>
      <c r="AE1174" s="147">
        <v>41.58</v>
      </c>
      <c r="AF1174" s="147">
        <v>41</v>
      </c>
      <c r="AG1174" s="147">
        <v>41.26</v>
      </c>
      <c r="AH1174" s="287">
        <v>2.5000000000000001E-3</v>
      </c>
      <c r="AI1174" s="287">
        <v>3.32E-2</v>
      </c>
      <c r="AJ1174" s="287">
        <v>4.2999999999999997E-2</v>
      </c>
      <c r="AK1174" s="318">
        <f t="shared" si="802"/>
        <v>0</v>
      </c>
      <c r="AL1174" s="193">
        <v>0</v>
      </c>
      <c r="AM1174" s="319">
        <v>0</v>
      </c>
      <c r="AN1174" s="319"/>
      <c r="AO1174" s="320">
        <f t="shared" si="803"/>
        <v>0</v>
      </c>
      <c r="AP1174" s="193">
        <v>0</v>
      </c>
      <c r="AQ1174" s="318">
        <v>0</v>
      </c>
      <c r="AR1174" s="318">
        <f t="shared" si="804"/>
        <v>0</v>
      </c>
      <c r="AS1174" s="318">
        <f t="shared" si="805"/>
        <v>0</v>
      </c>
      <c r="AT1174" s="321">
        <v>0</v>
      </c>
      <c r="AU1174" s="206" t="s">
        <v>1146</v>
      </c>
      <c r="AV1174" s="136"/>
      <c r="AW1174" s="318">
        <f t="shared" si="806"/>
        <v>25706</v>
      </c>
      <c r="AX1174" s="193"/>
      <c r="AY1174" s="318">
        <f t="shared" si="807"/>
        <v>25706</v>
      </c>
      <c r="AZ1174" s="318">
        <f t="shared" si="808"/>
        <v>25730</v>
      </c>
      <c r="BA1174" s="318">
        <f t="shared" si="809"/>
        <v>-24</v>
      </c>
      <c r="BB1174" s="318">
        <f t="shared" si="810"/>
        <v>51.411999999999999</v>
      </c>
      <c r="BC1174" s="318">
        <v>0</v>
      </c>
      <c r="BD1174" s="136"/>
      <c r="BE1174" s="138">
        <v>257.45</v>
      </c>
      <c r="BF1174" s="321">
        <f t="shared" si="811"/>
        <v>0.38617499999999999</v>
      </c>
      <c r="BG1174" s="197">
        <f t="shared" si="812"/>
        <v>257.06382500000001</v>
      </c>
      <c r="BH1174" s="321">
        <f t="shared" si="813"/>
        <v>257.3</v>
      </c>
      <c r="BI1174" s="322">
        <f t="shared" si="814"/>
        <v>14.999999999997726</v>
      </c>
      <c r="BJ1174" s="322">
        <v>0</v>
      </c>
      <c r="BK1174" s="318">
        <f t="shared" si="815"/>
        <v>14.999999999997726</v>
      </c>
      <c r="BL1174" s="67"/>
      <c r="BM1174" s="68" t="str">
        <f t="shared" si="816"/>
        <v>Unloading no. 1140 Bill No MTC/2026-27/0249 ,Deduction For Oil Deduction= 0 ,Bardana= 0 ,F.M= 0 Brokerage/Rate Difference  ,Shortage = 0 ,Greenish= 0 ,Moisture= 0</v>
      </c>
      <c r="BN1174" s="69"/>
      <c r="BO1174" s="70" t="str">
        <f t="shared" si="817"/>
        <v xml:space="preserve"> Party Condition 41  ,F.M% 0.25 ,Greenish 3.32 ,Moisture 4.3 ,Shortage in KG= 0  ,Oil% 41.26</v>
      </c>
      <c r="BP1174" s="71">
        <f t="shared" si="818"/>
        <v>7795.541818888456</v>
      </c>
      <c r="BQ1174" s="55"/>
      <c r="BR1174" s="55"/>
      <c r="BS1174" s="41"/>
      <c r="BT1174" s="41"/>
      <c r="BU1174" s="41"/>
      <c r="BV1174" s="41"/>
      <c r="BW1174" s="85"/>
      <c r="BX1174" s="27">
        <v>41.58</v>
      </c>
      <c r="BY1174" s="27">
        <v>41.26</v>
      </c>
      <c r="CC1174" s="57">
        <f t="shared" si="821"/>
        <v>0</v>
      </c>
      <c r="CE1174" s="88">
        <f t="shared" si="822"/>
        <v>0</v>
      </c>
    </row>
    <row r="1175" spans="1:83" ht="14.1" hidden="1" customHeight="1" x14ac:dyDescent="0.3">
      <c r="A1175" s="128" t="s">
        <v>2449</v>
      </c>
      <c r="B1175" s="146">
        <v>46211</v>
      </c>
      <c r="C1175" s="138">
        <v>1141</v>
      </c>
      <c r="D1175" s="138" t="s">
        <v>2489</v>
      </c>
      <c r="E1175" s="129">
        <v>46212</v>
      </c>
      <c r="F1175" s="128" t="s">
        <v>95</v>
      </c>
      <c r="G1175" s="160" t="s">
        <v>96</v>
      </c>
      <c r="H1175" s="440" t="s">
        <v>97</v>
      </c>
      <c r="I1175" s="136"/>
      <c r="J1175" s="138" t="s">
        <v>2499</v>
      </c>
      <c r="K1175" s="136"/>
      <c r="L1175" s="146">
        <v>46211</v>
      </c>
      <c r="M1175" s="136"/>
      <c r="N1175" s="281">
        <v>224</v>
      </c>
      <c r="O1175" s="146">
        <v>46211</v>
      </c>
      <c r="P1175" s="138">
        <v>0</v>
      </c>
      <c r="Q1175" s="138">
        <v>278</v>
      </c>
      <c r="R1175" s="138">
        <v>135</v>
      </c>
      <c r="S1175" s="138">
        <v>413</v>
      </c>
      <c r="T1175" s="138">
        <v>413</v>
      </c>
      <c r="U1175" s="136"/>
      <c r="V1175" s="136"/>
      <c r="W1175" s="147">
        <v>252</v>
      </c>
      <c r="X1175" s="147">
        <v>252</v>
      </c>
      <c r="Y1175" s="196">
        <f>2023621.6-1321.6</f>
        <v>2022300</v>
      </c>
      <c r="Z1175" s="169"/>
      <c r="AA1175" s="147">
        <v>50590.54</v>
      </c>
      <c r="AB1175" s="147">
        <v>50590.54</v>
      </c>
      <c r="AC1175" s="147">
        <v>2124802.6800000002</v>
      </c>
      <c r="AD1175" s="315">
        <f t="shared" si="769"/>
        <v>2122677.87732</v>
      </c>
      <c r="AE1175" s="147">
        <v>41</v>
      </c>
      <c r="AF1175" s="147">
        <v>42</v>
      </c>
      <c r="AG1175" s="147">
        <v>40.700000000000003</v>
      </c>
      <c r="AH1175" s="418">
        <v>2.8E-3</v>
      </c>
      <c r="AI1175" s="287">
        <v>3.5000000000000003E-2</v>
      </c>
      <c r="AJ1175" s="287">
        <v>4.2999999999999997E-2</v>
      </c>
      <c r="AK1175" s="318">
        <f t="shared" si="802"/>
        <v>62594.999999999862</v>
      </c>
      <c r="AL1175" s="193">
        <f>278*10+135*15</f>
        <v>4805</v>
      </c>
      <c r="AM1175" s="319">
        <f>Y1175*AH1175</f>
        <v>5662.44</v>
      </c>
      <c r="AN1175" s="319">
        <v>1321.6</v>
      </c>
      <c r="AO1175" s="320">
        <f t="shared" si="803"/>
        <v>0</v>
      </c>
      <c r="AP1175" s="193">
        <v>0</v>
      </c>
      <c r="AQ1175" s="318">
        <v>0</v>
      </c>
      <c r="AR1175" s="318">
        <f t="shared" si="804"/>
        <v>74384.039999999863</v>
      </c>
      <c r="AS1175" s="318">
        <f t="shared" si="805"/>
        <v>78103</v>
      </c>
      <c r="AT1175" s="321">
        <v>0</v>
      </c>
      <c r="AU1175" s="206" t="s">
        <v>2208</v>
      </c>
      <c r="AV1175" s="136"/>
      <c r="AW1175" s="318">
        <f t="shared" si="806"/>
        <v>25200</v>
      </c>
      <c r="AX1175" s="193"/>
      <c r="AY1175" s="318">
        <f t="shared" si="807"/>
        <v>25200</v>
      </c>
      <c r="AZ1175" s="318">
        <f t="shared" si="808"/>
        <v>25200</v>
      </c>
      <c r="BA1175" s="318">
        <f t="shared" si="809"/>
        <v>0</v>
      </c>
      <c r="BB1175" s="318">
        <f t="shared" si="810"/>
        <v>50.4</v>
      </c>
      <c r="BC1175" s="318">
        <v>0</v>
      </c>
      <c r="BD1175" s="136"/>
      <c r="BE1175" s="138">
        <v>252</v>
      </c>
      <c r="BF1175" s="321">
        <f t="shared" si="811"/>
        <v>0.37799999999999995</v>
      </c>
      <c r="BG1175" s="197">
        <f t="shared" si="812"/>
        <v>251.62200000000001</v>
      </c>
      <c r="BH1175" s="321">
        <f t="shared" si="813"/>
        <v>252</v>
      </c>
      <c r="BI1175" s="322">
        <f t="shared" si="814"/>
        <v>0</v>
      </c>
      <c r="BJ1175" s="322">
        <v>0</v>
      </c>
      <c r="BK1175" s="318">
        <f t="shared" si="815"/>
        <v>0</v>
      </c>
      <c r="BL1175" s="67"/>
      <c r="BM1175" s="68" t="str">
        <f t="shared" si="816"/>
        <v>Unloading no. 1141 Bill No 224 ,Deduction For Oil Deduction= 62594.9999999999 ,Bardana= 4805 ,F.M= 5662.44 Brokerage/Rate Difference 1321.6 ,Shortage = 0 ,Greenish= 0 ,Moisture= 0</v>
      </c>
      <c r="BN1175" s="69"/>
      <c r="BO1175" s="70" t="str">
        <f t="shared" si="817"/>
        <v xml:space="preserve"> Party Condition 42  ,F.M% 0.28 ,Greenish 3.5 ,Moisture 4.3 ,Shortage in KG= 0  ,Oil% 40.7</v>
      </c>
      <c r="BP1175" s="71">
        <f t="shared" si="818"/>
        <v>7729.825238095239</v>
      </c>
      <c r="BQ1175" s="55"/>
      <c r="BR1175" s="55"/>
      <c r="BS1175" s="41"/>
      <c r="BT1175" s="41"/>
      <c r="BU1175" s="41"/>
      <c r="BV1175" s="41"/>
      <c r="BW1175" s="85"/>
      <c r="BX1175" s="27">
        <v>41</v>
      </c>
      <c r="BY1175" s="27">
        <v>40.700000000000003</v>
      </c>
      <c r="CC1175" s="57">
        <f t="shared" si="821"/>
        <v>78103</v>
      </c>
      <c r="CE1175" s="88">
        <f t="shared" si="822"/>
        <v>74383.809523809527</v>
      </c>
    </row>
    <row r="1176" spans="1:83" ht="14.1" hidden="1" customHeight="1" x14ac:dyDescent="0.3">
      <c r="A1176" s="281" t="s">
        <v>2450</v>
      </c>
      <c r="B1176" s="146">
        <v>46210</v>
      </c>
      <c r="C1176" s="138">
        <v>1142</v>
      </c>
      <c r="D1176" s="138" t="s">
        <v>2490</v>
      </c>
      <c r="E1176" s="129">
        <v>46212</v>
      </c>
      <c r="F1176" s="128" t="s">
        <v>2497</v>
      </c>
      <c r="G1176" s="128" t="s">
        <v>2498</v>
      </c>
      <c r="H1176" s="281" t="s">
        <v>100</v>
      </c>
      <c r="I1176" s="136"/>
      <c r="J1176" s="138" t="s">
        <v>1146</v>
      </c>
      <c r="K1176" s="136"/>
      <c r="L1176" s="146">
        <v>46210</v>
      </c>
      <c r="M1176" s="136"/>
      <c r="N1176" s="281" t="s">
        <v>2531</v>
      </c>
      <c r="O1176" s="146">
        <v>46212</v>
      </c>
      <c r="P1176" s="138">
        <v>0</v>
      </c>
      <c r="Q1176" s="138">
        <v>160</v>
      </c>
      <c r="R1176" s="138">
        <v>0</v>
      </c>
      <c r="S1176" s="138">
        <v>160</v>
      </c>
      <c r="T1176" s="138">
        <v>160</v>
      </c>
      <c r="U1176" s="136"/>
      <c r="V1176" s="136"/>
      <c r="W1176" s="147">
        <v>95.1</v>
      </c>
      <c r="X1176" s="147">
        <v>94.9</v>
      </c>
      <c r="Y1176" s="147">
        <v>756045</v>
      </c>
      <c r="Z1176" s="372">
        <v>39.9</v>
      </c>
      <c r="AA1176" s="147">
        <v>18901.13</v>
      </c>
      <c r="AB1176" s="147">
        <v>18901.13</v>
      </c>
      <c r="AC1176" s="147">
        <v>793847.25</v>
      </c>
      <c r="AD1176" s="315">
        <f t="shared" si="769"/>
        <v>793053.40275000001</v>
      </c>
      <c r="AE1176" s="147">
        <v>39.9</v>
      </c>
      <c r="AF1176" s="147">
        <v>42</v>
      </c>
      <c r="AG1176" s="147">
        <v>39.9</v>
      </c>
      <c r="AH1176" s="287">
        <v>1.9E-3</v>
      </c>
      <c r="AI1176" s="287">
        <v>3.4000000000000002E-2</v>
      </c>
      <c r="AJ1176" s="287">
        <v>0.04</v>
      </c>
      <c r="AK1176" s="318">
        <f t="shared" si="802"/>
        <v>37802.250000000022</v>
      </c>
      <c r="AL1176" s="193">
        <v>0</v>
      </c>
      <c r="AM1176" s="319">
        <v>0</v>
      </c>
      <c r="AN1176" s="319"/>
      <c r="AO1176" s="320">
        <f t="shared" si="803"/>
        <v>79.5</v>
      </c>
      <c r="AP1176" s="193">
        <v>0</v>
      </c>
      <c r="AQ1176" s="318">
        <v>0</v>
      </c>
      <c r="AR1176" s="318">
        <f t="shared" si="804"/>
        <v>37881.750000000022</v>
      </c>
      <c r="AS1176" s="318">
        <f t="shared" si="805"/>
        <v>39776</v>
      </c>
      <c r="AT1176" s="321">
        <v>1</v>
      </c>
      <c r="AU1176" s="157"/>
      <c r="AV1176" s="136"/>
      <c r="AW1176" s="318">
        <f t="shared" si="806"/>
        <v>9510</v>
      </c>
      <c r="AX1176" s="193"/>
      <c r="AY1176" s="318">
        <f t="shared" si="807"/>
        <v>9510</v>
      </c>
      <c r="AZ1176" s="318">
        <f t="shared" si="808"/>
        <v>9490</v>
      </c>
      <c r="BA1176" s="318">
        <f t="shared" si="809"/>
        <v>20</v>
      </c>
      <c r="BB1176" s="318">
        <f t="shared" si="810"/>
        <v>19.02</v>
      </c>
      <c r="BC1176" s="318">
        <v>0</v>
      </c>
      <c r="BD1176" s="136"/>
      <c r="BE1176" s="138">
        <v>95.1</v>
      </c>
      <c r="BF1176" s="321">
        <f t="shared" si="811"/>
        <v>0.14265</v>
      </c>
      <c r="BG1176" s="197">
        <f t="shared" si="812"/>
        <v>94.957349999999991</v>
      </c>
      <c r="BH1176" s="321">
        <f t="shared" si="813"/>
        <v>94.9</v>
      </c>
      <c r="BI1176" s="322">
        <f t="shared" si="814"/>
        <v>19.999999999998863</v>
      </c>
      <c r="BJ1176" s="322">
        <v>0</v>
      </c>
      <c r="BK1176" s="318">
        <f t="shared" si="815"/>
        <v>19.999999999998863</v>
      </c>
      <c r="BL1176" s="67"/>
      <c r="BM1176" s="68" t="str">
        <f t="shared" si="816"/>
        <v>Unloading no. 1142 Bill No HA/26-27/0356 ,Deduction For Oil Deduction= 37802.25 ,Bardana= 0 ,F.M= 0 Brokerage/Rate Difference  ,Shortage = 79.5 ,Greenish= 0 ,Moisture= 0</v>
      </c>
      <c r="BN1176" s="69"/>
      <c r="BO1176" s="70" t="str">
        <f t="shared" si="817"/>
        <v xml:space="preserve"> Party Condition 42  ,F.M% 0.19 ,Greenish 3.4 ,Moisture 4 ,Shortage in KG= 1  ,Oil% 39.9</v>
      </c>
      <c r="BP1176" s="71">
        <f t="shared" si="818"/>
        <v>7567.5790305584824</v>
      </c>
      <c r="BQ1176" s="55"/>
      <c r="BR1176" s="55"/>
      <c r="BS1176" s="41"/>
      <c r="BT1176" s="41"/>
      <c r="BU1176" s="41"/>
      <c r="BV1176" s="41"/>
      <c r="BW1176" s="85"/>
      <c r="BX1176" s="27">
        <v>40.020000000000003</v>
      </c>
      <c r="BY1176" s="27">
        <v>39.81</v>
      </c>
    </row>
    <row r="1177" spans="1:83" ht="14.1" hidden="1" customHeight="1" x14ac:dyDescent="0.3">
      <c r="A1177" s="128" t="s">
        <v>2450</v>
      </c>
      <c r="B1177" s="146">
        <v>46210</v>
      </c>
      <c r="C1177" s="138">
        <v>1143</v>
      </c>
      <c r="D1177" s="138" t="s">
        <v>2491</v>
      </c>
      <c r="E1177" s="129">
        <v>46212</v>
      </c>
      <c r="F1177" s="128" t="s">
        <v>2497</v>
      </c>
      <c r="G1177" s="128" t="s">
        <v>2498</v>
      </c>
      <c r="H1177" s="281" t="s">
        <v>100</v>
      </c>
      <c r="I1177" s="136"/>
      <c r="J1177" s="138" t="s">
        <v>1146</v>
      </c>
      <c r="K1177" s="136"/>
      <c r="L1177" s="146">
        <v>46210</v>
      </c>
      <c r="M1177" s="136"/>
      <c r="N1177" s="281" t="s">
        <v>2532</v>
      </c>
      <c r="O1177" s="146">
        <v>46212</v>
      </c>
      <c r="P1177" s="138">
        <v>0</v>
      </c>
      <c r="Q1177" s="138">
        <v>150</v>
      </c>
      <c r="R1177" s="138">
        <v>10</v>
      </c>
      <c r="S1177" s="138">
        <v>160</v>
      </c>
      <c r="T1177" s="138">
        <v>160</v>
      </c>
      <c r="U1177" s="136"/>
      <c r="V1177" s="136"/>
      <c r="W1177" s="147">
        <v>96.2</v>
      </c>
      <c r="X1177" s="147">
        <v>96.1</v>
      </c>
      <c r="Y1177" s="147">
        <v>764790</v>
      </c>
      <c r="Z1177" s="372">
        <v>40.57</v>
      </c>
      <c r="AA1177" s="147">
        <v>19119.75</v>
      </c>
      <c r="AB1177" s="147">
        <v>19119.75</v>
      </c>
      <c r="AC1177" s="147">
        <v>803029.5</v>
      </c>
      <c r="AD1177" s="315">
        <f t="shared" si="769"/>
        <v>802226.47050000005</v>
      </c>
      <c r="AE1177" s="147">
        <v>40.57</v>
      </c>
      <c r="AF1177" s="147">
        <v>42</v>
      </c>
      <c r="AG1177" s="147">
        <v>40.57</v>
      </c>
      <c r="AH1177" s="287">
        <v>1.5E-3</v>
      </c>
      <c r="AI1177" s="287">
        <v>4.48E-2</v>
      </c>
      <c r="AJ1177" s="287">
        <v>4.2000000000000003E-2</v>
      </c>
      <c r="AK1177" s="318">
        <f t="shared" si="802"/>
        <v>26039.278571428567</v>
      </c>
      <c r="AL1177" s="193">
        <v>0</v>
      </c>
      <c r="AM1177" s="319">
        <v>0</v>
      </c>
      <c r="AN1177" s="319"/>
      <c r="AO1177" s="320">
        <f t="shared" si="803"/>
        <v>0</v>
      </c>
      <c r="AP1177" s="193">
        <v>0</v>
      </c>
      <c r="AQ1177" s="318">
        <v>0</v>
      </c>
      <c r="AR1177" s="318">
        <f t="shared" si="804"/>
        <v>26039.278571428567</v>
      </c>
      <c r="AS1177" s="318">
        <f t="shared" si="805"/>
        <v>27341</v>
      </c>
      <c r="AT1177" s="321">
        <v>0</v>
      </c>
      <c r="AU1177" s="157"/>
      <c r="AV1177" s="136"/>
      <c r="AW1177" s="318">
        <f t="shared" si="806"/>
        <v>9620</v>
      </c>
      <c r="AX1177" s="193"/>
      <c r="AY1177" s="318">
        <f t="shared" si="807"/>
        <v>9620</v>
      </c>
      <c r="AZ1177" s="318">
        <f t="shared" si="808"/>
        <v>9610</v>
      </c>
      <c r="BA1177" s="318">
        <f t="shared" si="809"/>
        <v>10</v>
      </c>
      <c r="BB1177" s="318">
        <f t="shared" si="810"/>
        <v>19.239999999999998</v>
      </c>
      <c r="BC1177" s="318">
        <v>0</v>
      </c>
      <c r="BD1177" s="136"/>
      <c r="BE1177" s="138">
        <v>96.2</v>
      </c>
      <c r="BF1177" s="321">
        <f t="shared" si="811"/>
        <v>0.14429999999999998</v>
      </c>
      <c r="BG1177" s="197">
        <f t="shared" si="812"/>
        <v>96.055700000000002</v>
      </c>
      <c r="BH1177" s="321">
        <f t="shared" si="813"/>
        <v>96.1</v>
      </c>
      <c r="BI1177" s="322">
        <f t="shared" si="814"/>
        <v>10.000000000000853</v>
      </c>
      <c r="BJ1177" s="322">
        <v>0</v>
      </c>
      <c r="BK1177" s="318">
        <f t="shared" si="815"/>
        <v>10.000000000000853</v>
      </c>
      <c r="BL1177" s="67"/>
      <c r="BM1177" s="68" t="str">
        <f t="shared" si="816"/>
        <v>Unloading no. 1143 Bill No HA/26-27/0357 ,Deduction For Oil Deduction= 26039.2785714286 ,Bardana= 0 ,F.M= 0 Brokerage/Rate Difference  ,Shortage = 0 ,Greenish= 0 ,Moisture= 0</v>
      </c>
      <c r="BN1177" s="69"/>
      <c r="BO1177" s="70" t="str">
        <f t="shared" si="817"/>
        <v xml:space="preserve"> Party Condition 42  ,F.M% 0.15 ,Greenish 4.48 ,Moisture 4.2 ,Shortage in KG= 0  ,Oil% 40.57</v>
      </c>
      <c r="BP1177" s="71">
        <f t="shared" si="818"/>
        <v>7687.3123977999112</v>
      </c>
      <c r="BQ1177" s="55"/>
      <c r="BR1177" s="55"/>
      <c r="BS1177" s="41"/>
      <c r="BT1177" s="41"/>
      <c r="BU1177" s="41"/>
      <c r="BV1177" s="41"/>
      <c r="BW1177" s="85"/>
      <c r="BX1177" s="27">
        <v>40.4</v>
      </c>
      <c r="BY1177" s="27">
        <v>40.1</v>
      </c>
    </row>
    <row r="1178" spans="1:83" ht="14.1" hidden="1" customHeight="1" x14ac:dyDescent="0.3">
      <c r="A1178" s="128" t="s">
        <v>2450</v>
      </c>
      <c r="B1178" s="146">
        <v>46210</v>
      </c>
      <c r="C1178" s="138">
        <v>1144</v>
      </c>
      <c r="D1178" s="138" t="s">
        <v>2492</v>
      </c>
      <c r="E1178" s="129">
        <v>46212</v>
      </c>
      <c r="F1178" s="128" t="s">
        <v>2497</v>
      </c>
      <c r="G1178" s="128" t="s">
        <v>2498</v>
      </c>
      <c r="H1178" s="281" t="s">
        <v>100</v>
      </c>
      <c r="I1178" s="136"/>
      <c r="J1178" s="138" t="s">
        <v>1146</v>
      </c>
      <c r="K1178" s="136"/>
      <c r="L1178" s="146">
        <v>46210</v>
      </c>
      <c r="M1178" s="136"/>
      <c r="N1178" s="281" t="s">
        <v>2533</v>
      </c>
      <c r="O1178" s="146">
        <v>46212</v>
      </c>
      <c r="P1178" s="138">
        <v>0</v>
      </c>
      <c r="Q1178" s="138">
        <v>150</v>
      </c>
      <c r="R1178" s="138">
        <v>10</v>
      </c>
      <c r="S1178" s="138">
        <v>160</v>
      </c>
      <c r="T1178" s="138">
        <v>160</v>
      </c>
      <c r="U1178" s="136"/>
      <c r="V1178" s="136"/>
      <c r="W1178" s="147">
        <v>95</v>
      </c>
      <c r="X1178" s="147">
        <v>94.9</v>
      </c>
      <c r="Y1178" s="147">
        <v>755250</v>
      </c>
      <c r="Z1178" s="372">
        <v>40.94</v>
      </c>
      <c r="AA1178" s="147">
        <v>18881.25</v>
      </c>
      <c r="AB1178" s="147">
        <v>18881.25</v>
      </c>
      <c r="AC1178" s="147">
        <v>793012.5</v>
      </c>
      <c r="AD1178" s="315">
        <f t="shared" si="769"/>
        <v>792219.48750000005</v>
      </c>
      <c r="AE1178" s="147">
        <v>40.94</v>
      </c>
      <c r="AF1178" s="147">
        <v>42</v>
      </c>
      <c r="AG1178" s="147">
        <v>40.94</v>
      </c>
      <c r="AH1178" s="287">
        <v>3.0000000000000001E-3</v>
      </c>
      <c r="AI1178" s="287">
        <v>5.45E-2</v>
      </c>
      <c r="AJ1178" s="287">
        <v>0.04</v>
      </c>
      <c r="AK1178" s="318">
        <f t="shared" si="802"/>
        <v>19061.071428571468</v>
      </c>
      <c r="AL1178" s="193">
        <v>0</v>
      </c>
      <c r="AM1178" s="319">
        <v>0</v>
      </c>
      <c r="AN1178" s="319"/>
      <c r="AO1178" s="320">
        <f t="shared" si="803"/>
        <v>0</v>
      </c>
      <c r="AP1178" s="193">
        <v>0</v>
      </c>
      <c r="AQ1178" s="318">
        <v>0</v>
      </c>
      <c r="AR1178" s="318">
        <f t="shared" si="804"/>
        <v>19061.071428571468</v>
      </c>
      <c r="AS1178" s="318">
        <f t="shared" si="805"/>
        <v>20014</v>
      </c>
      <c r="AT1178" s="321">
        <v>0</v>
      </c>
      <c r="AU1178" s="157"/>
      <c r="AV1178" s="136"/>
      <c r="AW1178" s="318">
        <f t="shared" si="806"/>
        <v>9500</v>
      </c>
      <c r="AX1178" s="193"/>
      <c r="AY1178" s="318">
        <f t="shared" si="807"/>
        <v>9500</v>
      </c>
      <c r="AZ1178" s="318">
        <f t="shared" si="808"/>
        <v>9490</v>
      </c>
      <c r="BA1178" s="318">
        <f t="shared" si="809"/>
        <v>10</v>
      </c>
      <c r="BB1178" s="318">
        <f t="shared" si="810"/>
        <v>19</v>
      </c>
      <c r="BC1178" s="318">
        <v>0</v>
      </c>
      <c r="BD1178" s="136"/>
      <c r="BE1178" s="138">
        <v>95</v>
      </c>
      <c r="BF1178" s="321">
        <f t="shared" si="811"/>
        <v>0.14249999999999999</v>
      </c>
      <c r="BG1178" s="197">
        <f t="shared" si="812"/>
        <v>94.857500000000002</v>
      </c>
      <c r="BH1178" s="321">
        <f t="shared" si="813"/>
        <v>94.9</v>
      </c>
      <c r="BI1178" s="322">
        <f t="shared" si="814"/>
        <v>9.9999999999994316</v>
      </c>
      <c r="BJ1178" s="322">
        <v>0</v>
      </c>
      <c r="BK1178" s="318">
        <f t="shared" si="815"/>
        <v>9.9999999999994316</v>
      </c>
      <c r="BL1178" s="67"/>
      <c r="BM1178" s="68" t="str">
        <f t="shared" si="816"/>
        <v>Unloading no. 1144 Bill No HA/26-27/0358 ,Deduction For Oil Deduction= 19061.0714285715 ,Bardana= 0 ,F.M= 0 Brokerage/Rate Difference  ,Shortage = 0 ,Greenish= 0 ,Moisture= 0</v>
      </c>
      <c r="BN1178" s="69"/>
      <c r="BO1178" s="70" t="str">
        <f t="shared" si="817"/>
        <v xml:space="preserve"> Party Condition 42  ,F.M% 0.3 ,Greenish 5.45 ,Moisture 4 ,Shortage in KG= 0  ,Oil% 40.94</v>
      </c>
      <c r="BP1178" s="71">
        <f t="shared" si="818"/>
        <v>7757.522956495558</v>
      </c>
      <c r="BQ1178" s="55"/>
      <c r="BR1178" s="55"/>
      <c r="BS1178" s="41"/>
      <c r="BT1178" s="41"/>
      <c r="BU1178" s="41"/>
      <c r="BV1178" s="41"/>
      <c r="BW1178" s="85"/>
      <c r="BX1178" s="27">
        <v>40.85</v>
      </c>
      <c r="BY1178" s="27">
        <v>40.72</v>
      </c>
    </row>
    <row r="1179" spans="1:83" ht="14.1" hidden="1" customHeight="1" x14ac:dyDescent="0.3">
      <c r="A1179" s="128" t="s">
        <v>2450</v>
      </c>
      <c r="B1179" s="146">
        <v>46210</v>
      </c>
      <c r="C1179" s="138">
        <v>1145</v>
      </c>
      <c r="D1179" s="138" t="s">
        <v>2493</v>
      </c>
      <c r="E1179" s="129">
        <v>46212</v>
      </c>
      <c r="F1179" s="128" t="s">
        <v>2497</v>
      </c>
      <c r="G1179" s="128" t="s">
        <v>2498</v>
      </c>
      <c r="H1179" s="281" t="s">
        <v>100</v>
      </c>
      <c r="I1179" s="136"/>
      <c r="J1179" s="138" t="s">
        <v>1146</v>
      </c>
      <c r="K1179" s="136"/>
      <c r="L1179" s="146">
        <v>46210</v>
      </c>
      <c r="M1179" s="136"/>
      <c r="N1179" s="281" t="s">
        <v>2534</v>
      </c>
      <c r="O1179" s="146">
        <v>46212</v>
      </c>
      <c r="P1179" s="138">
        <v>0</v>
      </c>
      <c r="Q1179" s="138">
        <v>145</v>
      </c>
      <c r="R1179" s="138">
        <v>15</v>
      </c>
      <c r="S1179" s="138">
        <v>160</v>
      </c>
      <c r="T1179" s="138">
        <v>160</v>
      </c>
      <c r="U1179" s="136"/>
      <c r="V1179" s="136"/>
      <c r="W1179" s="147">
        <v>95.3</v>
      </c>
      <c r="X1179" s="147">
        <v>95.2</v>
      </c>
      <c r="Y1179" s="147">
        <v>757635</v>
      </c>
      <c r="Z1179" s="372">
        <v>40.799999999999997</v>
      </c>
      <c r="AA1179" s="147">
        <v>18940.88</v>
      </c>
      <c r="AB1179" s="147">
        <v>18940.88</v>
      </c>
      <c r="AC1179" s="147">
        <v>795516.75</v>
      </c>
      <c r="AD1179" s="315">
        <f t="shared" si="769"/>
        <v>794721.23325000005</v>
      </c>
      <c r="AE1179" s="147">
        <v>40.799999999999997</v>
      </c>
      <c r="AF1179" s="147">
        <v>42</v>
      </c>
      <c r="AG1179" s="147">
        <v>40.799999999999997</v>
      </c>
      <c r="AH1179" s="287">
        <v>2.2000000000000001E-3</v>
      </c>
      <c r="AI1179" s="287">
        <v>0.04</v>
      </c>
      <c r="AJ1179" s="287">
        <v>4.2000000000000003E-2</v>
      </c>
      <c r="AK1179" s="318">
        <f t="shared" si="802"/>
        <v>21646.714285714337</v>
      </c>
      <c r="AL1179" s="193">
        <v>0</v>
      </c>
      <c r="AM1179" s="319">
        <v>0</v>
      </c>
      <c r="AN1179" s="319"/>
      <c r="AO1179" s="320">
        <f t="shared" si="803"/>
        <v>0</v>
      </c>
      <c r="AP1179" s="193">
        <v>0</v>
      </c>
      <c r="AQ1179" s="318">
        <v>0</v>
      </c>
      <c r="AR1179" s="318">
        <f t="shared" si="804"/>
        <v>21646.714285714337</v>
      </c>
      <c r="AS1179" s="318">
        <f t="shared" si="805"/>
        <v>22729</v>
      </c>
      <c r="AT1179" s="321">
        <v>0</v>
      </c>
      <c r="AU1179" s="157"/>
      <c r="AV1179" s="136"/>
      <c r="AW1179" s="318">
        <f t="shared" si="806"/>
        <v>9530</v>
      </c>
      <c r="AX1179" s="193"/>
      <c r="AY1179" s="318">
        <f t="shared" si="807"/>
        <v>9530</v>
      </c>
      <c r="AZ1179" s="318">
        <f t="shared" si="808"/>
        <v>9520</v>
      </c>
      <c r="BA1179" s="318">
        <f t="shared" si="809"/>
        <v>10</v>
      </c>
      <c r="BB1179" s="318">
        <f t="shared" si="810"/>
        <v>19.059999999999999</v>
      </c>
      <c r="BC1179" s="318">
        <v>0</v>
      </c>
      <c r="BD1179" s="136"/>
      <c r="BE1179" s="138">
        <v>95.3</v>
      </c>
      <c r="BF1179" s="321">
        <f t="shared" si="811"/>
        <v>0.14294999999999999</v>
      </c>
      <c r="BG1179" s="197">
        <f t="shared" si="812"/>
        <v>95.157049999999998</v>
      </c>
      <c r="BH1179" s="321">
        <f t="shared" si="813"/>
        <v>95.2</v>
      </c>
      <c r="BI1179" s="322">
        <f t="shared" si="814"/>
        <v>9.9999999999994316</v>
      </c>
      <c r="BJ1179" s="322">
        <v>0</v>
      </c>
      <c r="BK1179" s="318">
        <f t="shared" si="815"/>
        <v>9.9999999999994316</v>
      </c>
      <c r="BL1179" s="67"/>
      <c r="BM1179" s="68" t="str">
        <f t="shared" si="816"/>
        <v>Unloading no. 1145 Bill No HA/26-27/0359 ,Deduction For Oil Deduction= 21646.7142857143 ,Bardana= 0 ,F.M= 0 Brokerage/Rate Difference  ,Shortage = 0 ,Greenish= 0 ,Moisture= 0</v>
      </c>
      <c r="BN1179" s="69"/>
      <c r="BO1179" s="70" t="str">
        <f t="shared" si="817"/>
        <v xml:space="preserve"> Party Condition 42  ,F.M% 0.22 ,Greenish 4 ,Moisture 4.2 ,Shortage in KG= 0  ,Oil% 40.8</v>
      </c>
      <c r="BP1179" s="71">
        <f t="shared" si="818"/>
        <v>7730.9693877551017</v>
      </c>
      <c r="BQ1179" s="55"/>
      <c r="BR1179" s="55"/>
      <c r="BS1179" s="41"/>
      <c r="BT1179" s="41"/>
      <c r="BU1179" s="41"/>
      <c r="BV1179" s="41"/>
      <c r="BW1179" s="85"/>
      <c r="BX1179" s="27">
        <v>40.700000000000003</v>
      </c>
      <c r="BY1179" s="27">
        <v>40.42</v>
      </c>
    </row>
    <row r="1180" spans="1:83" ht="14.1" hidden="1" customHeight="1" x14ac:dyDescent="0.3">
      <c r="A1180" s="128" t="s">
        <v>2450</v>
      </c>
      <c r="B1180" s="146">
        <v>46210</v>
      </c>
      <c r="C1180" s="138">
        <v>1146</v>
      </c>
      <c r="D1180" s="138" t="s">
        <v>2494</v>
      </c>
      <c r="E1180" s="129">
        <v>46212</v>
      </c>
      <c r="F1180" s="128" t="s">
        <v>2497</v>
      </c>
      <c r="G1180" s="128" t="s">
        <v>2498</v>
      </c>
      <c r="H1180" s="281" t="s">
        <v>100</v>
      </c>
      <c r="I1180" s="136"/>
      <c r="J1180" s="138" t="s">
        <v>1146</v>
      </c>
      <c r="K1180" s="136"/>
      <c r="L1180" s="146">
        <v>46210</v>
      </c>
      <c r="M1180" s="136"/>
      <c r="N1180" s="281" t="s">
        <v>2535</v>
      </c>
      <c r="O1180" s="146">
        <v>46212</v>
      </c>
      <c r="P1180" s="138">
        <v>0</v>
      </c>
      <c r="Q1180" s="138">
        <v>120</v>
      </c>
      <c r="R1180" s="138">
        <v>40</v>
      </c>
      <c r="S1180" s="138">
        <v>160</v>
      </c>
      <c r="T1180" s="138">
        <v>160</v>
      </c>
      <c r="U1180" s="136"/>
      <c r="V1180" s="136"/>
      <c r="W1180" s="147">
        <v>95.8</v>
      </c>
      <c r="X1180" s="147">
        <v>95.8</v>
      </c>
      <c r="Y1180" s="147">
        <v>761610</v>
      </c>
      <c r="Z1180" s="372">
        <v>40.49</v>
      </c>
      <c r="AA1180" s="147">
        <v>19040.25</v>
      </c>
      <c r="AB1180" s="147">
        <v>19040.25</v>
      </c>
      <c r="AC1180" s="147">
        <v>799690.5</v>
      </c>
      <c r="AD1180" s="315">
        <f t="shared" si="769"/>
        <v>798890.80949999997</v>
      </c>
      <c r="AE1180" s="147">
        <v>40.49</v>
      </c>
      <c r="AF1180" s="147">
        <v>42</v>
      </c>
      <c r="AG1180" s="147">
        <v>40.49</v>
      </c>
      <c r="AH1180" s="287">
        <v>1.6000000000000001E-3</v>
      </c>
      <c r="AI1180" s="287">
        <v>3.9300000000000002E-2</v>
      </c>
      <c r="AJ1180" s="287">
        <v>4.2999999999999997E-2</v>
      </c>
      <c r="AK1180" s="318">
        <f t="shared" si="802"/>
        <v>27381.692857142818</v>
      </c>
      <c r="AL1180" s="193">
        <v>0</v>
      </c>
      <c r="AM1180" s="319">
        <v>0</v>
      </c>
      <c r="AN1180" s="319"/>
      <c r="AO1180" s="320">
        <f t="shared" si="803"/>
        <v>0</v>
      </c>
      <c r="AP1180" s="193">
        <v>0</v>
      </c>
      <c r="AQ1180" s="318">
        <v>0</v>
      </c>
      <c r="AR1180" s="318">
        <f t="shared" si="804"/>
        <v>27381.692857142818</v>
      </c>
      <c r="AS1180" s="318">
        <f t="shared" si="805"/>
        <v>28751</v>
      </c>
      <c r="AT1180" s="321">
        <v>0</v>
      </c>
      <c r="AU1180" s="157"/>
      <c r="AV1180" s="136"/>
      <c r="AW1180" s="318">
        <f t="shared" si="806"/>
        <v>9580</v>
      </c>
      <c r="AX1180" s="193"/>
      <c r="AY1180" s="318">
        <f t="shared" si="807"/>
        <v>9580</v>
      </c>
      <c r="AZ1180" s="318">
        <f t="shared" si="808"/>
        <v>9580</v>
      </c>
      <c r="BA1180" s="318">
        <f t="shared" si="809"/>
        <v>0</v>
      </c>
      <c r="BB1180" s="318">
        <f t="shared" si="810"/>
        <v>19.16</v>
      </c>
      <c r="BC1180" s="318">
        <v>0</v>
      </c>
      <c r="BD1180" s="136"/>
      <c r="BE1180" s="138">
        <v>95.8</v>
      </c>
      <c r="BF1180" s="321">
        <f t="shared" si="811"/>
        <v>0.14369999999999999</v>
      </c>
      <c r="BG1180" s="197">
        <f t="shared" si="812"/>
        <v>95.656300000000002</v>
      </c>
      <c r="BH1180" s="321">
        <f t="shared" si="813"/>
        <v>95.8</v>
      </c>
      <c r="BI1180" s="322">
        <f t="shared" si="814"/>
        <v>0</v>
      </c>
      <c r="BJ1180" s="322">
        <v>0</v>
      </c>
      <c r="BK1180" s="318">
        <f t="shared" si="815"/>
        <v>0</v>
      </c>
      <c r="BL1180" s="67"/>
      <c r="BM1180" s="68" t="str">
        <f t="shared" si="816"/>
        <v>Unloading no. 1146 Bill No HA/26-27/0360 ,Deduction For Oil Deduction= 27381.6928571428 ,Bardana= 0 ,F.M= 0 Brokerage/Rate Difference  ,Shortage = 0 ,Greenish= 0 ,Moisture= 0</v>
      </c>
      <c r="BN1180" s="69"/>
      <c r="BO1180" s="70" t="str">
        <f t="shared" si="817"/>
        <v xml:space="preserve"> Party Condition 42  ,F.M% 0.16 ,Greenish 3.93 ,Moisture 4.3 ,Shortage in KG= 0  ,Oil% 40.49</v>
      </c>
      <c r="BP1180" s="71">
        <f t="shared" si="818"/>
        <v>7664.1785714285725</v>
      </c>
      <c r="BQ1180" s="55"/>
      <c r="BR1180" s="55"/>
      <c r="BS1180" s="41"/>
      <c r="BT1180" s="41"/>
      <c r="BU1180" s="41"/>
      <c r="BV1180" s="41"/>
      <c r="BW1180" s="85"/>
      <c r="BX1180" s="27">
        <v>40.35</v>
      </c>
      <c r="BY1180" s="27">
        <v>40.28</v>
      </c>
    </row>
    <row r="1181" spans="1:83" ht="14.1" hidden="1" customHeight="1" x14ac:dyDescent="0.3">
      <c r="A1181" s="281" t="s">
        <v>2450</v>
      </c>
      <c r="B1181" s="146">
        <v>46210</v>
      </c>
      <c r="C1181" s="138">
        <v>1147</v>
      </c>
      <c r="D1181" s="138" t="s">
        <v>2495</v>
      </c>
      <c r="E1181" s="129">
        <v>46212</v>
      </c>
      <c r="F1181" s="128" t="s">
        <v>2497</v>
      </c>
      <c r="G1181" s="128" t="s">
        <v>2498</v>
      </c>
      <c r="H1181" s="281" t="s">
        <v>100</v>
      </c>
      <c r="I1181" s="136"/>
      <c r="J1181" s="138" t="s">
        <v>1146</v>
      </c>
      <c r="K1181" s="136"/>
      <c r="L1181" s="146">
        <v>46210</v>
      </c>
      <c r="M1181" s="136"/>
      <c r="N1181" s="281" t="s">
        <v>2536</v>
      </c>
      <c r="O1181" s="146">
        <v>46212</v>
      </c>
      <c r="P1181" s="138">
        <v>0</v>
      </c>
      <c r="Q1181" s="138">
        <v>140</v>
      </c>
      <c r="R1181" s="138">
        <v>20</v>
      </c>
      <c r="S1181" s="138">
        <v>160</v>
      </c>
      <c r="T1181" s="138">
        <v>160</v>
      </c>
      <c r="U1181" s="136"/>
      <c r="V1181" s="136"/>
      <c r="W1181" s="147">
        <v>96.6</v>
      </c>
      <c r="X1181" s="147">
        <v>96.4</v>
      </c>
      <c r="Y1181" s="147">
        <v>767970</v>
      </c>
      <c r="Z1181" s="372">
        <v>40.31</v>
      </c>
      <c r="AA1181" s="147">
        <v>19199.25</v>
      </c>
      <c r="AB1181" s="147">
        <v>19199.25</v>
      </c>
      <c r="AC1181" s="147">
        <v>806368.5</v>
      </c>
      <c r="AD1181" s="315">
        <f t="shared" si="769"/>
        <v>805562.13150000002</v>
      </c>
      <c r="AE1181" s="147">
        <v>40.31</v>
      </c>
      <c r="AF1181" s="147">
        <v>42</v>
      </c>
      <c r="AG1181" s="147">
        <v>40.31</v>
      </c>
      <c r="AH1181" s="287">
        <v>2E-3</v>
      </c>
      <c r="AI1181" s="287">
        <v>5.67E-2</v>
      </c>
      <c r="AJ1181" s="287">
        <v>4.2000000000000003E-2</v>
      </c>
      <c r="AK1181" s="318">
        <f t="shared" si="802"/>
        <v>30901.649999999958</v>
      </c>
      <c r="AL1181" s="193">
        <v>0</v>
      </c>
      <c r="AM1181" s="319">
        <v>0</v>
      </c>
      <c r="AN1181" s="319"/>
      <c r="AO1181" s="320">
        <f t="shared" si="803"/>
        <v>79.5</v>
      </c>
      <c r="AP1181" s="193">
        <v>0</v>
      </c>
      <c r="AQ1181" s="318">
        <v>0</v>
      </c>
      <c r="AR1181" s="318">
        <f t="shared" si="804"/>
        <v>30981.149999999958</v>
      </c>
      <c r="AS1181" s="318">
        <f t="shared" si="805"/>
        <v>32530</v>
      </c>
      <c r="AT1181" s="321">
        <v>1</v>
      </c>
      <c r="AU1181" s="157"/>
      <c r="AV1181" s="136"/>
      <c r="AW1181" s="318">
        <f t="shared" si="806"/>
        <v>9660</v>
      </c>
      <c r="AX1181" s="193"/>
      <c r="AY1181" s="318">
        <f t="shared" si="807"/>
        <v>9660</v>
      </c>
      <c r="AZ1181" s="318">
        <f t="shared" si="808"/>
        <v>9640</v>
      </c>
      <c r="BA1181" s="318">
        <f t="shared" si="809"/>
        <v>20</v>
      </c>
      <c r="BB1181" s="318">
        <f t="shared" si="810"/>
        <v>19.32</v>
      </c>
      <c r="BC1181" s="318">
        <v>0</v>
      </c>
      <c r="BD1181" s="136"/>
      <c r="BE1181" s="138">
        <v>96.6</v>
      </c>
      <c r="BF1181" s="321">
        <f t="shared" si="811"/>
        <v>0.14489999999999997</v>
      </c>
      <c r="BG1181" s="197">
        <f t="shared" si="812"/>
        <v>96.455099999999987</v>
      </c>
      <c r="BH1181" s="321">
        <f t="shared" si="813"/>
        <v>96.4</v>
      </c>
      <c r="BI1181" s="322">
        <f t="shared" si="814"/>
        <v>19.999999999998863</v>
      </c>
      <c r="BJ1181" s="322">
        <v>0</v>
      </c>
      <c r="BK1181" s="318">
        <f t="shared" si="815"/>
        <v>19.999999999998863</v>
      </c>
      <c r="BL1181" s="67"/>
      <c r="BM1181" s="68" t="str">
        <f t="shared" si="816"/>
        <v>Unloading no. 1147 Bill No HA/26-27/0362 ,Deduction For Oil Deduction= 30901.65 ,Bardana= 0 ,F.M= 0 Brokerage/Rate Difference  ,Shortage = 79.5 ,Greenish= 0 ,Moisture= 0</v>
      </c>
      <c r="BN1181" s="69"/>
      <c r="BO1181" s="70" t="str">
        <f t="shared" si="817"/>
        <v xml:space="preserve"> Party Condition 42  ,F.M% 0.2 ,Greenish 5.67 ,Moisture 4.2 ,Shortage in KG= 1  ,Oil% 40.31</v>
      </c>
      <c r="BP1181" s="71">
        <f t="shared" si="818"/>
        <v>7645.1125518672206</v>
      </c>
      <c r="BQ1181" s="55"/>
      <c r="BR1181" s="55"/>
      <c r="BS1181" s="41"/>
      <c r="BT1181" s="41"/>
      <c r="BU1181" s="41"/>
      <c r="BV1181" s="41"/>
      <c r="BW1181" s="85"/>
      <c r="BX1181" s="27">
        <v>40.409999999999997</v>
      </c>
      <c r="BY1181" s="27">
        <v>40.130000000000003</v>
      </c>
    </row>
    <row r="1182" spans="1:83" ht="14.1" hidden="1" customHeight="1" x14ac:dyDescent="0.3">
      <c r="A1182" s="281" t="s">
        <v>2450</v>
      </c>
      <c r="B1182" s="146">
        <v>46210</v>
      </c>
      <c r="C1182" s="138">
        <v>1148</v>
      </c>
      <c r="D1182" s="138" t="s">
        <v>2496</v>
      </c>
      <c r="E1182" s="129">
        <v>46212</v>
      </c>
      <c r="F1182" s="128" t="s">
        <v>2497</v>
      </c>
      <c r="G1182" s="128" t="s">
        <v>2498</v>
      </c>
      <c r="H1182" s="281" t="s">
        <v>100</v>
      </c>
      <c r="I1182" s="136"/>
      <c r="J1182" s="138" t="s">
        <v>1146</v>
      </c>
      <c r="K1182" s="136"/>
      <c r="L1182" s="146">
        <v>46210</v>
      </c>
      <c r="M1182" s="136"/>
      <c r="N1182" s="281" t="s">
        <v>2537</v>
      </c>
      <c r="O1182" s="146">
        <v>46212</v>
      </c>
      <c r="P1182" s="138">
        <v>0</v>
      </c>
      <c r="Q1182" s="138">
        <v>140</v>
      </c>
      <c r="R1182" s="138">
        <v>20</v>
      </c>
      <c r="S1182" s="138">
        <v>160</v>
      </c>
      <c r="T1182" s="138">
        <v>160</v>
      </c>
      <c r="U1182" s="136"/>
      <c r="V1182" s="136"/>
      <c r="W1182" s="147">
        <v>96.3</v>
      </c>
      <c r="X1182" s="147">
        <v>96.1</v>
      </c>
      <c r="Y1182" s="147">
        <v>765585</v>
      </c>
      <c r="Z1182" s="372">
        <v>40.340000000000003</v>
      </c>
      <c r="AA1182" s="147">
        <v>19139.63</v>
      </c>
      <c r="AB1182" s="147">
        <v>19139.63</v>
      </c>
      <c r="AC1182" s="147">
        <v>803864.25</v>
      </c>
      <c r="AD1182" s="315">
        <f t="shared" si="769"/>
        <v>803060.38575000002</v>
      </c>
      <c r="AE1182" s="147">
        <v>40.340000000000003</v>
      </c>
      <c r="AF1182" s="147">
        <v>42</v>
      </c>
      <c r="AG1182" s="147">
        <v>40.340000000000003</v>
      </c>
      <c r="AH1182" s="287">
        <v>2.2000000000000001E-3</v>
      </c>
      <c r="AI1182" s="287">
        <v>5.8299999999999998E-2</v>
      </c>
      <c r="AJ1182" s="287">
        <v>4.2999999999999997E-2</v>
      </c>
      <c r="AK1182" s="318">
        <f t="shared" si="802"/>
        <v>30258.835714285651</v>
      </c>
      <c r="AL1182" s="193">
        <v>0</v>
      </c>
      <c r="AM1182" s="319">
        <v>0</v>
      </c>
      <c r="AN1182" s="319"/>
      <c r="AO1182" s="320">
        <f t="shared" si="803"/>
        <v>79.5</v>
      </c>
      <c r="AP1182" s="193">
        <v>0</v>
      </c>
      <c r="AQ1182" s="318">
        <v>0</v>
      </c>
      <c r="AR1182" s="318">
        <f t="shared" si="804"/>
        <v>30338.335714285651</v>
      </c>
      <c r="AS1182" s="318">
        <f t="shared" si="805"/>
        <v>31855</v>
      </c>
      <c r="AT1182" s="321">
        <v>1</v>
      </c>
      <c r="AU1182" s="157"/>
      <c r="AV1182" s="136"/>
      <c r="AW1182" s="318">
        <f t="shared" si="806"/>
        <v>9630</v>
      </c>
      <c r="AX1182" s="193"/>
      <c r="AY1182" s="318">
        <f t="shared" si="807"/>
        <v>9630</v>
      </c>
      <c r="AZ1182" s="318">
        <f t="shared" si="808"/>
        <v>9610</v>
      </c>
      <c r="BA1182" s="318">
        <f t="shared" si="809"/>
        <v>20</v>
      </c>
      <c r="BB1182" s="318">
        <f t="shared" si="810"/>
        <v>19.260000000000002</v>
      </c>
      <c r="BC1182" s="318">
        <v>0</v>
      </c>
      <c r="BD1182" s="136"/>
      <c r="BE1182" s="138">
        <v>96.3</v>
      </c>
      <c r="BF1182" s="321">
        <f t="shared" si="811"/>
        <v>0.14445</v>
      </c>
      <c r="BG1182" s="197">
        <f t="shared" si="812"/>
        <v>96.155549999999991</v>
      </c>
      <c r="BH1182" s="321">
        <f t="shared" si="813"/>
        <v>96.1</v>
      </c>
      <c r="BI1182" s="322">
        <f t="shared" si="814"/>
        <v>20.000000000000284</v>
      </c>
      <c r="BJ1182" s="322">
        <v>0</v>
      </c>
      <c r="BK1182" s="318">
        <f t="shared" si="815"/>
        <v>20.000000000000284</v>
      </c>
      <c r="BL1182" s="67"/>
      <c r="BM1182" s="68" t="str">
        <f t="shared" si="816"/>
        <v>Unloading no. 1148 Bill No HA/26-27/0363 ,Deduction For Oil Deduction= 30258.8357142857 ,Bardana= 0 ,F.M= 0 Brokerage/Rate Difference  ,Shortage = 79.5 ,Greenish= 0 ,Moisture= 0</v>
      </c>
      <c r="BN1182" s="69"/>
      <c r="BO1182" s="70" t="str">
        <f t="shared" si="817"/>
        <v xml:space="preserve"> Party Condition 42  ,F.M% 0.22 ,Greenish 5.83 ,Moisture 4.3 ,Shortage in KG= 1  ,Oil% 40.34</v>
      </c>
      <c r="BP1182" s="71">
        <f t="shared" si="818"/>
        <v>7650.8497844507228</v>
      </c>
      <c r="BQ1182" s="55"/>
      <c r="BR1182" s="55"/>
      <c r="BS1182" s="41"/>
      <c r="BT1182" s="41"/>
      <c r="BU1182" s="41"/>
      <c r="BV1182" s="41"/>
      <c r="BW1182" s="85"/>
      <c r="BX1182" s="27">
        <v>40.200000000000003</v>
      </c>
      <c r="BY1182" s="27">
        <v>39.9</v>
      </c>
    </row>
    <row r="1183" spans="1:83" ht="14.1" hidden="1" customHeight="1" x14ac:dyDescent="0.3">
      <c r="A1183" s="128" t="s">
        <v>2450</v>
      </c>
      <c r="B1183" s="146">
        <v>46210</v>
      </c>
      <c r="C1183" s="138">
        <v>1149</v>
      </c>
      <c r="D1183" s="138" t="s">
        <v>2540</v>
      </c>
      <c r="E1183" s="129">
        <v>46212</v>
      </c>
      <c r="F1183" s="128" t="s">
        <v>2497</v>
      </c>
      <c r="G1183" s="128" t="s">
        <v>2498</v>
      </c>
      <c r="H1183" s="281" t="s">
        <v>100</v>
      </c>
      <c r="I1183" s="136"/>
      <c r="J1183" s="138" t="s">
        <v>1146</v>
      </c>
      <c r="K1183" s="136"/>
      <c r="L1183" s="146">
        <v>46210</v>
      </c>
      <c r="M1183" s="136"/>
      <c r="N1183" s="281" t="s">
        <v>2557</v>
      </c>
      <c r="O1183" s="146">
        <v>46212</v>
      </c>
      <c r="P1183" s="138">
        <v>0</v>
      </c>
      <c r="Q1183" s="138">
        <v>140</v>
      </c>
      <c r="R1183" s="138">
        <v>20</v>
      </c>
      <c r="S1183" s="138">
        <v>160</v>
      </c>
      <c r="T1183" s="138">
        <v>160</v>
      </c>
      <c r="U1183" s="136"/>
      <c r="V1183" s="136"/>
      <c r="W1183" s="147">
        <v>96.4</v>
      </c>
      <c r="X1183" s="147">
        <v>96.4</v>
      </c>
      <c r="Y1183" s="147">
        <v>766380</v>
      </c>
      <c r="Z1183" s="372">
        <v>40.81</v>
      </c>
      <c r="AA1183" s="147">
        <v>19159.5</v>
      </c>
      <c r="AB1183" s="147">
        <v>19159.5</v>
      </c>
      <c r="AC1183" s="147">
        <v>804699</v>
      </c>
      <c r="AD1183" s="315">
        <f t="shared" si="769"/>
        <v>803894.30099999998</v>
      </c>
      <c r="AE1183" s="147">
        <v>40.81</v>
      </c>
      <c r="AF1183" s="147">
        <v>42</v>
      </c>
      <c r="AG1183" s="147">
        <v>40.81</v>
      </c>
      <c r="AH1183" s="287">
        <v>1.4E-3</v>
      </c>
      <c r="AI1183" s="287">
        <v>0.05</v>
      </c>
      <c r="AJ1183" s="287">
        <v>4.1000000000000002E-2</v>
      </c>
      <c r="AK1183" s="318">
        <f t="shared" si="802"/>
        <v>21714.099999999959</v>
      </c>
      <c r="AL1183" s="193">
        <v>0</v>
      </c>
      <c r="AM1183" s="319">
        <v>0</v>
      </c>
      <c r="AN1183" s="319"/>
      <c r="AO1183" s="320">
        <f t="shared" si="803"/>
        <v>0</v>
      </c>
      <c r="AP1183" s="193">
        <v>0</v>
      </c>
      <c r="AQ1183" s="318">
        <v>0</v>
      </c>
      <c r="AR1183" s="318">
        <f t="shared" si="804"/>
        <v>21714.099999999959</v>
      </c>
      <c r="AS1183" s="318">
        <f t="shared" si="805"/>
        <v>22800</v>
      </c>
      <c r="AT1183" s="321">
        <v>0</v>
      </c>
      <c r="AU1183" s="157"/>
      <c r="AV1183" s="136"/>
      <c r="AW1183" s="318">
        <f t="shared" si="806"/>
        <v>9640</v>
      </c>
      <c r="AX1183" s="193"/>
      <c r="AY1183" s="318">
        <f t="shared" si="807"/>
        <v>9640</v>
      </c>
      <c r="AZ1183" s="318">
        <f t="shared" si="808"/>
        <v>9640</v>
      </c>
      <c r="BA1183" s="318">
        <f t="shared" si="809"/>
        <v>0</v>
      </c>
      <c r="BB1183" s="318">
        <f t="shared" si="810"/>
        <v>19.28</v>
      </c>
      <c r="BC1183" s="318">
        <v>0</v>
      </c>
      <c r="BD1183" s="136"/>
      <c r="BE1183" s="138">
        <v>96.4</v>
      </c>
      <c r="BF1183" s="321">
        <f t="shared" si="811"/>
        <v>0.14460000000000001</v>
      </c>
      <c r="BG1183" s="197">
        <f t="shared" si="812"/>
        <v>96.255400000000009</v>
      </c>
      <c r="BH1183" s="321">
        <f t="shared" si="813"/>
        <v>96.4</v>
      </c>
      <c r="BI1183" s="322">
        <f t="shared" si="814"/>
        <v>0</v>
      </c>
      <c r="BJ1183" s="322">
        <v>0</v>
      </c>
      <c r="BK1183" s="318">
        <f t="shared" si="815"/>
        <v>0</v>
      </c>
      <c r="BL1183" s="67"/>
      <c r="BM1183" s="68" t="str">
        <f t="shared" si="816"/>
        <v>Unloading no. 1149 Bill No HA/26-27/0364 ,Deduction For Oil Deduction= 21714.1 ,Bardana= 0 ,F.M= 0 Brokerage/Rate Difference  ,Shortage = 0 ,Greenish= 0 ,Moisture= 0</v>
      </c>
      <c r="BN1183" s="69"/>
      <c r="BO1183" s="70" t="str">
        <f t="shared" si="817"/>
        <v xml:space="preserve"> Party Condition 42  ,F.M% 0.14 ,Greenish 5 ,Moisture 4.1 ,Shortage in KG= 0  ,Oil% 40.81</v>
      </c>
      <c r="BP1183" s="71">
        <f t="shared" si="818"/>
        <v>7724.75</v>
      </c>
      <c r="BQ1183" s="55"/>
      <c r="BR1183" s="55"/>
      <c r="BS1183" s="41"/>
      <c r="BT1183" s="41"/>
      <c r="BU1183" s="41"/>
      <c r="BV1183" s="41"/>
      <c r="BW1183" s="85"/>
      <c r="BX1183" s="27">
        <v>40.78</v>
      </c>
      <c r="BY1183" s="27">
        <v>40.520000000000003</v>
      </c>
    </row>
    <row r="1184" spans="1:83" ht="14.1" hidden="1" customHeight="1" x14ac:dyDescent="0.3">
      <c r="A1184" s="281" t="s">
        <v>2538</v>
      </c>
      <c r="B1184" s="146">
        <v>46211</v>
      </c>
      <c r="C1184" s="138">
        <v>1150</v>
      </c>
      <c r="D1184" s="138" t="s">
        <v>2541</v>
      </c>
      <c r="E1184" s="129">
        <v>46213</v>
      </c>
      <c r="F1184" s="128" t="s">
        <v>1450</v>
      </c>
      <c r="G1184" s="128" t="s">
        <v>1451</v>
      </c>
      <c r="H1184" s="281" t="s">
        <v>199</v>
      </c>
      <c r="I1184" s="136"/>
      <c r="J1184" s="138" t="s">
        <v>2499</v>
      </c>
      <c r="K1184" s="136"/>
      <c r="L1184" s="146">
        <v>46211</v>
      </c>
      <c r="M1184" s="136"/>
      <c r="N1184" s="128" t="s">
        <v>2558</v>
      </c>
      <c r="O1184" s="146">
        <v>46212</v>
      </c>
      <c r="P1184" s="138">
        <v>0</v>
      </c>
      <c r="Q1184" s="138">
        <v>380</v>
      </c>
      <c r="R1184" s="138">
        <v>115</v>
      </c>
      <c r="S1184" s="138">
        <v>495</v>
      </c>
      <c r="T1184" s="138">
        <v>495</v>
      </c>
      <c r="U1184" s="136"/>
      <c r="V1184" s="136"/>
      <c r="W1184" s="147">
        <v>299.45</v>
      </c>
      <c r="X1184" s="147">
        <v>299.2</v>
      </c>
      <c r="Y1184" s="147">
        <v>2388113.75</v>
      </c>
      <c r="Z1184" s="169"/>
      <c r="AA1184" s="147">
        <v>59702.84</v>
      </c>
      <c r="AB1184" s="147">
        <v>59702.84</v>
      </c>
      <c r="AC1184" s="147">
        <v>2507519.44</v>
      </c>
      <c r="AD1184" s="315">
        <f t="shared" si="769"/>
        <v>2505011.92056</v>
      </c>
      <c r="AE1184" s="147">
        <v>40.119999999999997</v>
      </c>
      <c r="AF1184" s="147">
        <v>42</v>
      </c>
      <c r="AG1184" s="147">
        <v>40.020000000000003</v>
      </c>
      <c r="AH1184" s="287">
        <v>1.4E-3</v>
      </c>
      <c r="AI1184" s="287">
        <v>3.2000000000000001E-2</v>
      </c>
      <c r="AJ1184" s="397">
        <v>5.2200000000000003E-2</v>
      </c>
      <c r="AK1184" s="318">
        <f>+IF(AF1184=42,IF(MIN(AE1184,AG1184)&lt;AF1184,Y1184*((AF1184-MIN(AE1184,AG1184))/AF1184)),IF(MIN(AE1184,AG1184)&lt;AF1184,Y1184*((AF1184-MIN(AE1184,AG1184))/AF1184),0))-45.53</f>
        <v>112536.97535714268</v>
      </c>
      <c r="AL1184" s="193">
        <f>380*10+115*15</f>
        <v>5525</v>
      </c>
      <c r="AM1184" s="319">
        <f>Y1184*AH1184</f>
        <v>3343.35925</v>
      </c>
      <c r="AN1184" s="319"/>
      <c r="AO1184" s="320">
        <f t="shared" si="803"/>
        <v>1993.75</v>
      </c>
      <c r="AP1184" s="193">
        <v>0</v>
      </c>
      <c r="AQ1184" s="318">
        <f>Y1184*0.22/100</f>
        <v>5253.8502500000004</v>
      </c>
      <c r="AR1184" s="318">
        <f t="shared" si="804"/>
        <v>128652.93485714268</v>
      </c>
      <c r="AS1184" s="318">
        <f t="shared" si="805"/>
        <v>135086</v>
      </c>
      <c r="AT1184" s="321">
        <v>25</v>
      </c>
      <c r="AU1184" s="157"/>
      <c r="AV1184" s="136"/>
      <c r="AW1184" s="318">
        <f t="shared" si="806"/>
        <v>29945</v>
      </c>
      <c r="AX1184" s="193"/>
      <c r="AY1184" s="318">
        <f t="shared" si="807"/>
        <v>29945</v>
      </c>
      <c r="AZ1184" s="318">
        <f t="shared" si="808"/>
        <v>29920</v>
      </c>
      <c r="BA1184" s="318">
        <f t="shared" si="809"/>
        <v>25</v>
      </c>
      <c r="BB1184" s="318">
        <f t="shared" si="810"/>
        <v>59.89</v>
      </c>
      <c r="BC1184" s="318">
        <v>0</v>
      </c>
      <c r="BD1184" s="136"/>
      <c r="BE1184" s="138">
        <v>299.45</v>
      </c>
      <c r="BF1184" s="321">
        <f t="shared" si="811"/>
        <v>0.44917499999999999</v>
      </c>
      <c r="BG1184" s="197">
        <f t="shared" si="812"/>
        <v>299.00082499999996</v>
      </c>
      <c r="BH1184" s="321">
        <f t="shared" si="813"/>
        <v>299.2</v>
      </c>
      <c r="BI1184" s="322">
        <f t="shared" si="814"/>
        <v>25</v>
      </c>
      <c r="BJ1184" s="322">
        <v>0</v>
      </c>
      <c r="BK1184" s="318">
        <f t="shared" si="815"/>
        <v>25</v>
      </c>
      <c r="BL1184" s="67"/>
      <c r="BM1184" s="68" t="str">
        <f t="shared" si="816"/>
        <v>Unloading no. 1150 Bill No ST-61 ,Deduction For Oil Deduction= 112536.975357143 ,Bardana= 5525 ,F.M= 3343.35925 Brokerage/Rate Difference  ,Shortage = 1993.75 ,Greenish= 0 ,Moisture= 5253.85025</v>
      </c>
      <c r="BN1184" s="69"/>
      <c r="BO1184" s="70" t="str">
        <f t="shared" si="817"/>
        <v xml:space="preserve"> Party Condition 42  ,F.M% 0.14 ,Greenish 3.2 ,Moisture 5.22 ,Shortage in KG= 25  ,Oil% 40.02</v>
      </c>
      <c r="BP1184" s="71">
        <f t="shared" si="818"/>
        <v>7551.6738474025988</v>
      </c>
      <c r="BQ1184" s="55"/>
      <c r="BR1184" s="55"/>
      <c r="BS1184" s="41"/>
      <c r="BT1184" s="41"/>
      <c r="BU1184" s="41"/>
      <c r="BV1184" s="41"/>
      <c r="BW1184" s="85"/>
      <c r="BX1184" s="27">
        <v>40.119999999999997</v>
      </c>
      <c r="BY1184" s="27">
        <v>40.020000000000003</v>
      </c>
      <c r="CA1184" s="56">
        <v>132992.68</v>
      </c>
      <c r="CC1184" s="57">
        <f t="shared" ref="CC1184:CC1185" si="823">AS1184-CA1184</f>
        <v>2093.320000000007</v>
      </c>
      <c r="CE1184" s="88">
        <f t="shared" ref="CE1184:CE1185" si="824">CC1184/105%</f>
        <v>1993.6380952381019</v>
      </c>
    </row>
    <row r="1185" spans="1:83" ht="14.1" hidden="1" customHeight="1" x14ac:dyDescent="0.3">
      <c r="A1185" s="281" t="s">
        <v>2539</v>
      </c>
      <c r="B1185" s="146">
        <v>46212</v>
      </c>
      <c r="C1185" s="138">
        <v>1151</v>
      </c>
      <c r="D1185" s="138" t="s">
        <v>2542</v>
      </c>
      <c r="E1185" s="129">
        <v>46213</v>
      </c>
      <c r="F1185" s="128" t="s">
        <v>2555</v>
      </c>
      <c r="G1185" s="160" t="s">
        <v>2556</v>
      </c>
      <c r="H1185" s="281" t="s">
        <v>2081</v>
      </c>
      <c r="I1185" s="136"/>
      <c r="J1185" s="138" t="s">
        <v>2499</v>
      </c>
      <c r="K1185" s="136"/>
      <c r="L1185" s="146">
        <v>46212</v>
      </c>
      <c r="M1185" s="136"/>
      <c r="N1185" s="128" t="s">
        <v>2559</v>
      </c>
      <c r="O1185" s="146">
        <v>46212</v>
      </c>
      <c r="P1185" s="138">
        <v>0</v>
      </c>
      <c r="Q1185" s="138">
        <v>400</v>
      </c>
      <c r="R1185" s="138">
        <v>186</v>
      </c>
      <c r="S1185" s="138">
        <v>586</v>
      </c>
      <c r="T1185" s="138">
        <v>586</v>
      </c>
      <c r="U1185" s="136"/>
      <c r="V1185" s="136"/>
      <c r="W1185" s="147">
        <v>365</v>
      </c>
      <c r="X1185" s="147">
        <v>354.7</v>
      </c>
      <c r="Y1185" s="196">
        <f>2929125-82657.5</f>
        <v>2846467.5</v>
      </c>
      <c r="Z1185" s="169"/>
      <c r="AA1185" s="147">
        <v>73228.13</v>
      </c>
      <c r="AB1185" s="147">
        <v>73228.13</v>
      </c>
      <c r="AC1185" s="147">
        <v>3075581.25</v>
      </c>
      <c r="AD1185" s="315">
        <f t="shared" si="769"/>
        <v>3072505.6687500002</v>
      </c>
      <c r="AE1185" s="173">
        <v>38.619999999999997</v>
      </c>
      <c r="AF1185" s="147">
        <v>42</v>
      </c>
      <c r="AG1185" s="147">
        <v>38.57</v>
      </c>
      <c r="AH1185" s="287">
        <v>4.0000000000000001E-3</v>
      </c>
      <c r="AI1185" s="287">
        <v>3.4000000000000002E-2</v>
      </c>
      <c r="AJ1185" s="397">
        <v>5.1999999999999998E-2</v>
      </c>
      <c r="AK1185" s="318">
        <f t="shared" si="802"/>
        <v>232461.51249999998</v>
      </c>
      <c r="AL1185" s="193">
        <f>400*10+186*15</f>
        <v>6790</v>
      </c>
      <c r="AM1185" s="319">
        <f>Y1185*AH1185</f>
        <v>11385.87</v>
      </c>
      <c r="AN1185" s="319">
        <f>X1185*15</f>
        <v>5320.5</v>
      </c>
      <c r="AO1185" s="320">
        <f t="shared" si="803"/>
        <v>0</v>
      </c>
      <c r="AP1185" s="193">
        <v>0</v>
      </c>
      <c r="AQ1185" s="318">
        <f>Y1185*0.2/100</f>
        <v>5692.9350000000004</v>
      </c>
      <c r="AR1185" s="318">
        <f t="shared" si="804"/>
        <v>261650.81749999998</v>
      </c>
      <c r="AS1185" s="318">
        <f t="shared" si="805"/>
        <v>274733</v>
      </c>
      <c r="AT1185" s="321">
        <v>0</v>
      </c>
      <c r="AU1185" s="157" t="s">
        <v>2572</v>
      </c>
      <c r="AV1185" s="136"/>
      <c r="AW1185" s="318">
        <f t="shared" si="806"/>
        <v>36500</v>
      </c>
      <c r="AX1185" s="193"/>
      <c r="AY1185" s="318">
        <f t="shared" si="807"/>
        <v>36500</v>
      </c>
      <c r="AZ1185" s="318">
        <f t="shared" si="808"/>
        <v>35470</v>
      </c>
      <c r="BA1185" s="318">
        <f t="shared" si="809"/>
        <v>1030</v>
      </c>
      <c r="BB1185" s="318">
        <f t="shared" si="810"/>
        <v>73</v>
      </c>
      <c r="BC1185" s="318">
        <v>0</v>
      </c>
      <c r="BD1185" s="136"/>
      <c r="BE1185" s="138">
        <v>365</v>
      </c>
      <c r="BF1185" s="321">
        <f t="shared" si="811"/>
        <v>0.54749999999999999</v>
      </c>
      <c r="BG1185" s="197">
        <f t="shared" si="812"/>
        <v>364.45249999999999</v>
      </c>
      <c r="BH1185" s="321">
        <f t="shared" si="813"/>
        <v>354.7</v>
      </c>
      <c r="BI1185" s="322">
        <f t="shared" si="814"/>
        <v>1030.0000000000011</v>
      </c>
      <c r="BJ1185" s="322">
        <v>0</v>
      </c>
      <c r="BK1185" s="318">
        <f t="shared" si="815"/>
        <v>1030.0000000000011</v>
      </c>
      <c r="BL1185" s="67"/>
      <c r="BM1185" s="68" t="str">
        <f t="shared" si="816"/>
        <v>Unloading no. 1151 Bill No STRJ/27-27/170 ,Deduction For Oil Deduction= 232461.5125 ,Bardana= 6790 ,F.M= 11385.87 Brokerage/Rate Difference 5320.5 ,Shortage = 0 ,Greenish= 0 ,Moisture= 5692.935</v>
      </c>
      <c r="BN1185" s="69"/>
      <c r="BO1185" s="70" t="str">
        <f t="shared" si="817"/>
        <v xml:space="preserve"> Party Condition 42  ,F.M% 0.4 ,Greenish 3.4 ,Moisture 5.2 ,Shortage in KG= 0  ,Oil% 38.57</v>
      </c>
      <c r="BP1185" s="71">
        <f t="shared" si="818"/>
        <v>7287.3320623061745</v>
      </c>
      <c r="BQ1185" s="55"/>
      <c r="BR1185" s="55"/>
      <c r="BS1185" s="41"/>
      <c r="BT1185" s="41"/>
      <c r="BU1185" s="41"/>
      <c r="BV1185" s="41"/>
      <c r="BW1185" s="85"/>
      <c r="BX1185" s="30">
        <v>38.619999999999997</v>
      </c>
      <c r="BY1185" s="27">
        <v>38.57</v>
      </c>
      <c r="CA1185" s="56">
        <v>0</v>
      </c>
      <c r="CC1185" s="57">
        <f t="shared" si="823"/>
        <v>274733</v>
      </c>
      <c r="CE1185" s="88">
        <f t="shared" si="824"/>
        <v>261650.47619047618</v>
      </c>
    </row>
    <row r="1186" spans="1:83" ht="14.1" hidden="1" customHeight="1" x14ac:dyDescent="0.3">
      <c r="A1186" s="281" t="s">
        <v>2450</v>
      </c>
      <c r="B1186" s="146">
        <v>46210</v>
      </c>
      <c r="C1186" s="138">
        <v>1152</v>
      </c>
      <c r="D1186" s="138" t="s">
        <v>2543</v>
      </c>
      <c r="E1186" s="129">
        <v>46213</v>
      </c>
      <c r="F1186" s="128" t="s">
        <v>2497</v>
      </c>
      <c r="G1186" s="128" t="s">
        <v>2498</v>
      </c>
      <c r="H1186" s="281" t="s">
        <v>100</v>
      </c>
      <c r="I1186" s="136"/>
      <c r="J1186" s="138" t="s">
        <v>1146</v>
      </c>
      <c r="K1186" s="136"/>
      <c r="L1186" s="146">
        <v>46210</v>
      </c>
      <c r="M1186" s="136"/>
      <c r="N1186" s="128" t="s">
        <v>2560</v>
      </c>
      <c r="O1186" s="146">
        <v>46213</v>
      </c>
      <c r="P1186" s="138">
        <v>0</v>
      </c>
      <c r="Q1186" s="138">
        <v>115</v>
      </c>
      <c r="R1186" s="138">
        <v>40</v>
      </c>
      <c r="S1186" s="138">
        <v>155</v>
      </c>
      <c r="T1186" s="138">
        <v>155</v>
      </c>
      <c r="U1186" s="136"/>
      <c r="V1186" s="136"/>
      <c r="W1186" s="147">
        <v>94.2</v>
      </c>
      <c r="X1186" s="147">
        <v>94</v>
      </c>
      <c r="Y1186" s="147">
        <v>748890</v>
      </c>
      <c r="Z1186" s="372">
        <v>39.78</v>
      </c>
      <c r="AA1186" s="147">
        <v>18722.25</v>
      </c>
      <c r="AB1186" s="147">
        <v>18722.25</v>
      </c>
      <c r="AC1186" s="147">
        <v>786334.5</v>
      </c>
      <c r="AD1186" s="315">
        <f t="shared" si="769"/>
        <v>785548.1655</v>
      </c>
      <c r="AE1186" s="147">
        <v>39.78</v>
      </c>
      <c r="AF1186" s="147">
        <v>42</v>
      </c>
      <c r="AG1186" s="147">
        <v>39.78</v>
      </c>
      <c r="AH1186" s="287">
        <v>2E-3</v>
      </c>
      <c r="AI1186" s="287">
        <v>0.06</v>
      </c>
      <c r="AJ1186" s="287">
        <v>4.4999999999999998E-2</v>
      </c>
      <c r="AK1186" s="318">
        <f t="shared" si="802"/>
        <v>39584.185714285697</v>
      </c>
      <c r="AL1186" s="193">
        <v>0</v>
      </c>
      <c r="AM1186" s="319">
        <v>0</v>
      </c>
      <c r="AN1186" s="319"/>
      <c r="AO1186" s="320">
        <f t="shared" si="803"/>
        <v>79.5</v>
      </c>
      <c r="AP1186" s="193">
        <v>0</v>
      </c>
      <c r="AQ1186" s="318">
        <v>0</v>
      </c>
      <c r="AR1186" s="318">
        <f t="shared" si="804"/>
        <v>39663.685714285697</v>
      </c>
      <c r="AS1186" s="318">
        <f t="shared" si="805"/>
        <v>41647</v>
      </c>
      <c r="AT1186" s="321">
        <v>1</v>
      </c>
      <c r="AU1186" s="157"/>
      <c r="AV1186" s="136"/>
      <c r="AW1186" s="318">
        <f t="shared" si="806"/>
        <v>9420</v>
      </c>
      <c r="AX1186" s="193"/>
      <c r="AY1186" s="318">
        <f t="shared" si="807"/>
        <v>9420</v>
      </c>
      <c r="AZ1186" s="318">
        <f t="shared" si="808"/>
        <v>9400</v>
      </c>
      <c r="BA1186" s="318">
        <f t="shared" si="809"/>
        <v>20</v>
      </c>
      <c r="BB1186" s="318">
        <f t="shared" si="810"/>
        <v>18.84</v>
      </c>
      <c r="BC1186" s="318">
        <v>0</v>
      </c>
      <c r="BD1186" s="136"/>
      <c r="BE1186" s="138">
        <v>94.2</v>
      </c>
      <c r="BF1186" s="321">
        <f t="shared" si="811"/>
        <v>0.14130000000000001</v>
      </c>
      <c r="BG1186" s="197">
        <f t="shared" si="812"/>
        <v>94.058700000000002</v>
      </c>
      <c r="BH1186" s="321">
        <f t="shared" si="813"/>
        <v>94</v>
      </c>
      <c r="BI1186" s="322">
        <f t="shared" si="814"/>
        <v>20.000000000000284</v>
      </c>
      <c r="BJ1186" s="322">
        <v>0</v>
      </c>
      <c r="BK1186" s="318">
        <f t="shared" si="815"/>
        <v>20.000000000000284</v>
      </c>
      <c r="BL1186" s="67"/>
      <c r="BM1186" s="68" t="str">
        <f t="shared" si="816"/>
        <v>Unloading no. 1152 Bill No HR/26-27/0366 ,Deduction For Oil Deduction= 39584.1857142857 ,Bardana= 0 ,F.M= 0 Brokerage/Rate Difference  ,Shortage = 79.5 ,Greenish= 0 ,Moisture= 0</v>
      </c>
      <c r="BN1186" s="69"/>
      <c r="BO1186" s="70" t="str">
        <f t="shared" si="817"/>
        <v xml:space="preserve"> Party Condition 42  ,F.M% 0.2 ,Greenish 6 ,Moisture 4.5 ,Shortage in KG= 1  ,Oil% 39.78</v>
      </c>
      <c r="BP1186" s="71">
        <f t="shared" si="818"/>
        <v>7544.9607902735561</v>
      </c>
      <c r="BQ1186" s="55"/>
      <c r="BR1186" s="55"/>
      <c r="BS1186" s="41"/>
      <c r="BT1186" s="41"/>
      <c r="BU1186" s="41"/>
      <c r="BV1186" s="41"/>
      <c r="BW1186" s="85"/>
      <c r="BX1186" s="27">
        <v>39.68</v>
      </c>
      <c r="BY1186" s="27">
        <v>39.53</v>
      </c>
    </row>
    <row r="1187" spans="1:83" ht="14.1" hidden="1" customHeight="1" x14ac:dyDescent="0.3">
      <c r="A1187" s="281" t="s">
        <v>2450</v>
      </c>
      <c r="B1187" s="146">
        <v>46210</v>
      </c>
      <c r="C1187" s="138">
        <v>1153</v>
      </c>
      <c r="D1187" s="138" t="s">
        <v>2544</v>
      </c>
      <c r="E1187" s="129">
        <v>46213</v>
      </c>
      <c r="F1187" s="128" t="s">
        <v>2497</v>
      </c>
      <c r="G1187" s="128" t="s">
        <v>2498</v>
      </c>
      <c r="H1187" s="281" t="s">
        <v>100</v>
      </c>
      <c r="I1187" s="136"/>
      <c r="J1187" s="138" t="s">
        <v>1146</v>
      </c>
      <c r="K1187" s="136"/>
      <c r="L1187" s="146">
        <v>46210</v>
      </c>
      <c r="M1187" s="136"/>
      <c r="N1187" s="128" t="s">
        <v>2561</v>
      </c>
      <c r="O1187" s="146">
        <v>46213</v>
      </c>
      <c r="P1187" s="138">
        <v>0</v>
      </c>
      <c r="Q1187" s="138">
        <v>130</v>
      </c>
      <c r="R1187" s="138">
        <v>25</v>
      </c>
      <c r="S1187" s="138">
        <v>155</v>
      </c>
      <c r="T1187" s="138">
        <v>155</v>
      </c>
      <c r="U1187" s="136"/>
      <c r="V1187" s="136"/>
      <c r="W1187" s="147">
        <v>94.4</v>
      </c>
      <c r="X1187" s="147">
        <v>94.2</v>
      </c>
      <c r="Y1187" s="147">
        <v>750480</v>
      </c>
      <c r="Z1187" s="372">
        <v>39.9</v>
      </c>
      <c r="AA1187" s="147">
        <v>18762</v>
      </c>
      <c r="AB1187" s="147">
        <v>18762</v>
      </c>
      <c r="AC1187" s="147">
        <v>788004</v>
      </c>
      <c r="AD1187" s="315">
        <f t="shared" si="769"/>
        <v>787215.99600000004</v>
      </c>
      <c r="AE1187" s="147">
        <v>39.9</v>
      </c>
      <c r="AF1187" s="147">
        <v>42</v>
      </c>
      <c r="AG1187" s="147">
        <v>39.9</v>
      </c>
      <c r="AH1187" s="287">
        <v>1.5E-3</v>
      </c>
      <c r="AI1187" s="287">
        <v>3.9800000000000002E-2</v>
      </c>
      <c r="AJ1187" s="287">
        <v>4.3999999999999997E-2</v>
      </c>
      <c r="AK1187" s="318">
        <f t="shared" si="802"/>
        <v>37524.000000000022</v>
      </c>
      <c r="AL1187" s="193">
        <v>0</v>
      </c>
      <c r="AM1187" s="319">
        <v>0</v>
      </c>
      <c r="AN1187" s="319"/>
      <c r="AO1187" s="320">
        <f t="shared" si="803"/>
        <v>79.5</v>
      </c>
      <c r="AP1187" s="193">
        <v>0</v>
      </c>
      <c r="AQ1187" s="318">
        <v>0</v>
      </c>
      <c r="AR1187" s="318">
        <f t="shared" si="804"/>
        <v>37603.500000000022</v>
      </c>
      <c r="AS1187" s="318">
        <f t="shared" si="805"/>
        <v>39484</v>
      </c>
      <c r="AT1187" s="321">
        <v>1</v>
      </c>
      <c r="AU1187" s="157"/>
      <c r="AV1187" s="136"/>
      <c r="AW1187" s="318">
        <f t="shared" si="806"/>
        <v>9440</v>
      </c>
      <c r="AX1187" s="193"/>
      <c r="AY1187" s="318">
        <f t="shared" si="807"/>
        <v>9440</v>
      </c>
      <c r="AZ1187" s="318">
        <f t="shared" si="808"/>
        <v>9420</v>
      </c>
      <c r="BA1187" s="318">
        <f t="shared" si="809"/>
        <v>20</v>
      </c>
      <c r="BB1187" s="318">
        <f t="shared" si="810"/>
        <v>18.88</v>
      </c>
      <c r="BC1187" s="318">
        <v>0</v>
      </c>
      <c r="BD1187" s="136"/>
      <c r="BE1187" s="138">
        <v>94.4</v>
      </c>
      <c r="BF1187" s="321">
        <f t="shared" si="811"/>
        <v>0.1416</v>
      </c>
      <c r="BG1187" s="197">
        <f t="shared" si="812"/>
        <v>94.258400000000009</v>
      </c>
      <c r="BH1187" s="321">
        <f t="shared" si="813"/>
        <v>94.2</v>
      </c>
      <c r="BI1187" s="322">
        <f t="shared" si="814"/>
        <v>20.000000000000284</v>
      </c>
      <c r="BJ1187" s="322">
        <v>0</v>
      </c>
      <c r="BK1187" s="318">
        <f t="shared" si="815"/>
        <v>20.000000000000284</v>
      </c>
      <c r="BL1187" s="67"/>
      <c r="BM1187" s="68" t="str">
        <f t="shared" si="816"/>
        <v>Unloading no. 1153 Bill No HA/26-27/0367 ,Deduction For Oil Deduction= 37524 ,Bardana= 0 ,F.M= 0 Brokerage/Rate Difference  ,Shortage = 79.5 ,Greenish= 0 ,Moisture= 0</v>
      </c>
      <c r="BN1187" s="69"/>
      <c r="BO1187" s="70" t="str">
        <f t="shared" si="817"/>
        <v xml:space="preserve"> Party Condition 42  ,F.M% 0.15 ,Greenish 3.98 ,Moisture 4.4 ,Shortage in KG= 1  ,Oil% 39.9</v>
      </c>
      <c r="BP1187" s="71">
        <f t="shared" si="818"/>
        <v>7567.6910828025475</v>
      </c>
      <c r="BQ1187" s="55"/>
      <c r="BR1187" s="55"/>
      <c r="BS1187" s="41"/>
      <c r="BT1187" s="41"/>
      <c r="BU1187" s="41"/>
      <c r="BV1187" s="41"/>
      <c r="BW1187" s="85"/>
      <c r="BX1187" s="27">
        <v>39.82</v>
      </c>
      <c r="BY1187" s="27">
        <v>39.76</v>
      </c>
    </row>
    <row r="1188" spans="1:83" ht="14.1" hidden="1" customHeight="1" x14ac:dyDescent="0.3">
      <c r="A1188" s="281" t="s">
        <v>2450</v>
      </c>
      <c r="B1188" s="146">
        <v>46210</v>
      </c>
      <c r="C1188" s="138">
        <v>1154</v>
      </c>
      <c r="D1188" s="138" t="s">
        <v>2545</v>
      </c>
      <c r="E1188" s="129">
        <v>46213</v>
      </c>
      <c r="F1188" s="128" t="s">
        <v>2497</v>
      </c>
      <c r="G1188" s="128" t="s">
        <v>2498</v>
      </c>
      <c r="H1188" s="281" t="s">
        <v>100</v>
      </c>
      <c r="I1188" s="136"/>
      <c r="J1188" s="138" t="s">
        <v>1146</v>
      </c>
      <c r="K1188" s="136"/>
      <c r="L1188" s="146">
        <v>46210</v>
      </c>
      <c r="M1188" s="136"/>
      <c r="N1188" s="128" t="s">
        <v>2562</v>
      </c>
      <c r="O1188" s="146">
        <v>46213</v>
      </c>
      <c r="P1188" s="138">
        <v>0</v>
      </c>
      <c r="Q1188" s="138">
        <v>130</v>
      </c>
      <c r="R1188" s="138">
        <v>32</v>
      </c>
      <c r="S1188" s="138">
        <v>162</v>
      </c>
      <c r="T1188" s="138">
        <v>162</v>
      </c>
      <c r="U1188" s="136"/>
      <c r="V1188" s="136"/>
      <c r="W1188" s="147">
        <v>97.2</v>
      </c>
      <c r="X1188" s="147">
        <v>97</v>
      </c>
      <c r="Y1188" s="147">
        <v>772740</v>
      </c>
      <c r="Z1188" s="372">
        <v>39.01</v>
      </c>
      <c r="AA1188" s="147">
        <v>19318.5</v>
      </c>
      <c r="AB1188" s="147">
        <v>19318.5</v>
      </c>
      <c r="AC1188" s="147">
        <v>811377</v>
      </c>
      <c r="AD1188" s="315">
        <f t="shared" si="769"/>
        <v>810565.62300000002</v>
      </c>
      <c r="AE1188" s="173">
        <v>39.01</v>
      </c>
      <c r="AF1188" s="147">
        <v>42</v>
      </c>
      <c r="AG1188" s="147">
        <v>39.01</v>
      </c>
      <c r="AH1188" s="287">
        <v>1.9E-3</v>
      </c>
      <c r="AI1188" s="287">
        <v>0.03</v>
      </c>
      <c r="AJ1188" s="287">
        <v>4.2999999999999997E-2</v>
      </c>
      <c r="AK1188" s="318">
        <f t="shared" si="802"/>
        <v>55011.728571428604</v>
      </c>
      <c r="AL1188" s="193">
        <v>0</v>
      </c>
      <c r="AM1188" s="319">
        <v>0</v>
      </c>
      <c r="AN1188" s="319"/>
      <c r="AO1188" s="320">
        <f t="shared" si="803"/>
        <v>79.5</v>
      </c>
      <c r="AP1188" s="193">
        <v>0</v>
      </c>
      <c r="AQ1188" s="318">
        <v>0</v>
      </c>
      <c r="AR1188" s="318">
        <f t="shared" si="804"/>
        <v>55091.228571428604</v>
      </c>
      <c r="AS1188" s="318">
        <f t="shared" si="805"/>
        <v>57846</v>
      </c>
      <c r="AT1188" s="321">
        <v>1</v>
      </c>
      <c r="AU1188" s="157"/>
      <c r="AV1188" s="136"/>
      <c r="AW1188" s="318">
        <f t="shared" si="806"/>
        <v>9720</v>
      </c>
      <c r="AX1188" s="193"/>
      <c r="AY1188" s="318">
        <f t="shared" si="807"/>
        <v>9720</v>
      </c>
      <c r="AZ1188" s="318">
        <f t="shared" si="808"/>
        <v>9700</v>
      </c>
      <c r="BA1188" s="318">
        <f t="shared" si="809"/>
        <v>20</v>
      </c>
      <c r="BB1188" s="318">
        <f t="shared" si="810"/>
        <v>19.440000000000001</v>
      </c>
      <c r="BC1188" s="318">
        <v>0</v>
      </c>
      <c r="BD1188" s="136"/>
      <c r="BE1188" s="138">
        <v>97.2</v>
      </c>
      <c r="BF1188" s="321">
        <f t="shared" si="811"/>
        <v>0.14580000000000001</v>
      </c>
      <c r="BG1188" s="197">
        <f t="shared" si="812"/>
        <v>97.054200000000009</v>
      </c>
      <c r="BH1188" s="321">
        <f t="shared" si="813"/>
        <v>97</v>
      </c>
      <c r="BI1188" s="322">
        <f t="shared" si="814"/>
        <v>20.000000000000284</v>
      </c>
      <c r="BJ1188" s="322">
        <v>0</v>
      </c>
      <c r="BK1188" s="318">
        <f t="shared" si="815"/>
        <v>20.000000000000284</v>
      </c>
      <c r="BL1188" s="67"/>
      <c r="BM1188" s="68" t="str">
        <f t="shared" si="816"/>
        <v>Unloading no. 1154 Bill No HA/26-27/0369 ,Deduction For Oil Deduction= 55011.7285714286 ,Bardana= 0 ,F.M= 0 Brokerage/Rate Difference  ,Shortage = 79.5 ,Greenish= 0 ,Moisture= 0</v>
      </c>
      <c r="BN1188" s="69"/>
      <c r="BO1188" s="70" t="str">
        <f t="shared" si="817"/>
        <v xml:space="preserve"> Party Condition 42  ,F.M% 0.19 ,Greenish 3 ,Moisture 4.3 ,Shortage in KG= 1  ,Oil% 39.01</v>
      </c>
      <c r="BP1188" s="71">
        <f t="shared" si="818"/>
        <v>7398.4409425625918</v>
      </c>
      <c r="BQ1188" s="55"/>
      <c r="BR1188" s="55"/>
      <c r="BS1188" s="41"/>
      <c r="BT1188" s="41"/>
      <c r="BU1188" s="41"/>
      <c r="BV1188" s="41"/>
      <c r="BW1188" s="85"/>
      <c r="BX1188" s="30">
        <v>39.11</v>
      </c>
      <c r="BY1188" s="27">
        <v>39.06</v>
      </c>
    </row>
    <row r="1189" spans="1:83" ht="14.1" hidden="1" customHeight="1" x14ac:dyDescent="0.3">
      <c r="A1189" s="281" t="s">
        <v>2450</v>
      </c>
      <c r="B1189" s="146">
        <v>46210</v>
      </c>
      <c r="C1189" s="138">
        <v>1155</v>
      </c>
      <c r="D1189" s="138" t="s">
        <v>2546</v>
      </c>
      <c r="E1189" s="129">
        <v>46213</v>
      </c>
      <c r="F1189" s="128" t="s">
        <v>2497</v>
      </c>
      <c r="G1189" s="128" t="s">
        <v>2498</v>
      </c>
      <c r="H1189" s="281" t="s">
        <v>100</v>
      </c>
      <c r="I1189" s="136"/>
      <c r="J1189" s="138" t="s">
        <v>1146</v>
      </c>
      <c r="K1189" s="136"/>
      <c r="L1189" s="146">
        <v>46210</v>
      </c>
      <c r="M1189" s="136"/>
      <c r="N1189" s="128" t="s">
        <v>2563</v>
      </c>
      <c r="O1189" s="146">
        <v>46213</v>
      </c>
      <c r="P1189" s="138">
        <v>0</v>
      </c>
      <c r="Q1189" s="138">
        <v>140</v>
      </c>
      <c r="R1189" s="138">
        <v>20</v>
      </c>
      <c r="S1189" s="138">
        <v>160</v>
      </c>
      <c r="T1189" s="138">
        <v>160</v>
      </c>
      <c r="U1189" s="136"/>
      <c r="V1189" s="136"/>
      <c r="W1189" s="147">
        <v>96.5</v>
      </c>
      <c r="X1189" s="147">
        <v>96.2</v>
      </c>
      <c r="Y1189" s="147">
        <v>767175</v>
      </c>
      <c r="Z1189" s="372">
        <v>39.81</v>
      </c>
      <c r="AA1189" s="147">
        <v>19179.38</v>
      </c>
      <c r="AB1189" s="147">
        <v>19179.38</v>
      </c>
      <c r="AC1189" s="147">
        <v>805533.75</v>
      </c>
      <c r="AD1189" s="315">
        <f t="shared" si="769"/>
        <v>804728.21625000006</v>
      </c>
      <c r="AE1189" s="173">
        <v>39.81</v>
      </c>
      <c r="AF1189" s="147">
        <v>42</v>
      </c>
      <c r="AG1189" s="147">
        <v>39.81</v>
      </c>
      <c r="AH1189" s="287">
        <v>1.5E-3</v>
      </c>
      <c r="AI1189" s="287">
        <v>2.3E-2</v>
      </c>
      <c r="AJ1189" s="287">
        <v>4.5999999999999999E-2</v>
      </c>
      <c r="AK1189" s="318">
        <f t="shared" si="802"/>
        <v>40002.696428571384</v>
      </c>
      <c r="AL1189" s="193">
        <v>0</v>
      </c>
      <c r="AM1189" s="319">
        <v>0</v>
      </c>
      <c r="AN1189" s="319"/>
      <c r="AO1189" s="320">
        <f t="shared" si="803"/>
        <v>874.5</v>
      </c>
      <c r="AP1189" s="193">
        <v>0</v>
      </c>
      <c r="AQ1189" s="318">
        <v>0</v>
      </c>
      <c r="AR1189" s="318">
        <f t="shared" si="804"/>
        <v>40877.196428571384</v>
      </c>
      <c r="AS1189" s="318">
        <f t="shared" si="805"/>
        <v>42921</v>
      </c>
      <c r="AT1189" s="321">
        <v>11</v>
      </c>
      <c r="AU1189" s="157"/>
      <c r="AV1189" s="136"/>
      <c r="AW1189" s="318">
        <f t="shared" si="806"/>
        <v>9650</v>
      </c>
      <c r="AX1189" s="193"/>
      <c r="AY1189" s="318">
        <f t="shared" si="807"/>
        <v>9650</v>
      </c>
      <c r="AZ1189" s="318">
        <f t="shared" si="808"/>
        <v>9620</v>
      </c>
      <c r="BA1189" s="318">
        <f t="shared" si="809"/>
        <v>30</v>
      </c>
      <c r="BB1189" s="318">
        <f t="shared" si="810"/>
        <v>19.3</v>
      </c>
      <c r="BC1189" s="318">
        <v>0</v>
      </c>
      <c r="BD1189" s="136"/>
      <c r="BE1189" s="138">
        <v>96.5</v>
      </c>
      <c r="BF1189" s="321">
        <f t="shared" si="811"/>
        <v>0.14474999999999999</v>
      </c>
      <c r="BG1189" s="197">
        <f t="shared" si="812"/>
        <v>96.355249999999998</v>
      </c>
      <c r="BH1189" s="321">
        <f t="shared" si="813"/>
        <v>96.2</v>
      </c>
      <c r="BI1189" s="322">
        <f t="shared" si="814"/>
        <v>29.999999999999716</v>
      </c>
      <c r="BJ1189" s="322">
        <v>0</v>
      </c>
      <c r="BK1189" s="318">
        <f t="shared" si="815"/>
        <v>29.999999999999716</v>
      </c>
      <c r="BL1189" s="67"/>
      <c r="BM1189" s="68" t="str">
        <f t="shared" si="816"/>
        <v>Unloading no. 1155 Bill No HA/26-27/0370 ,Deduction For Oil Deduction= 40002.6964285714 ,Bardana= 0 ,F.M= 0 Brokerage/Rate Difference  ,Shortage = 874.5 ,Greenish= 0 ,Moisture= 0</v>
      </c>
      <c r="BN1189" s="69"/>
      <c r="BO1189" s="70" t="str">
        <f t="shared" si="817"/>
        <v xml:space="preserve"> Party Condition 42  ,F.M% 0.15 ,Greenish 2.3 ,Moisture 4.6 ,Shortage in KG= 11  ,Oil% 39.81</v>
      </c>
      <c r="BP1189" s="71">
        <f t="shared" si="818"/>
        <v>7549.873217998218</v>
      </c>
      <c r="BQ1189" s="55"/>
      <c r="BR1189" s="55"/>
      <c r="BS1189" s="41"/>
      <c r="BT1189" s="41"/>
      <c r="BU1189" s="41"/>
      <c r="BV1189" s="41"/>
      <c r="BW1189" s="85"/>
      <c r="BX1189" s="30">
        <v>39.65</v>
      </c>
      <c r="BY1189" s="27">
        <v>39.57</v>
      </c>
    </row>
    <row r="1190" spans="1:83" ht="14.1" hidden="1" customHeight="1" x14ac:dyDescent="0.3">
      <c r="A1190" s="281" t="s">
        <v>2450</v>
      </c>
      <c r="B1190" s="146">
        <v>46210</v>
      </c>
      <c r="C1190" s="138">
        <v>1156</v>
      </c>
      <c r="D1190" s="138" t="s">
        <v>2547</v>
      </c>
      <c r="E1190" s="129">
        <v>46213</v>
      </c>
      <c r="F1190" s="128" t="s">
        <v>2497</v>
      </c>
      <c r="G1190" s="128" t="s">
        <v>2498</v>
      </c>
      <c r="H1190" s="281" t="s">
        <v>100</v>
      </c>
      <c r="I1190" s="136"/>
      <c r="J1190" s="138" t="s">
        <v>1146</v>
      </c>
      <c r="K1190" s="136"/>
      <c r="L1190" s="146">
        <v>46210</v>
      </c>
      <c r="M1190" s="136"/>
      <c r="N1190" s="128" t="s">
        <v>2564</v>
      </c>
      <c r="O1190" s="146">
        <v>46213</v>
      </c>
      <c r="P1190" s="138">
        <v>0</v>
      </c>
      <c r="Q1190" s="138">
        <v>162</v>
      </c>
      <c r="R1190" s="138">
        <v>0</v>
      </c>
      <c r="S1190" s="138">
        <v>162</v>
      </c>
      <c r="T1190" s="138">
        <v>162</v>
      </c>
      <c r="U1190" s="136"/>
      <c r="V1190" s="136"/>
      <c r="W1190" s="147">
        <v>97.2</v>
      </c>
      <c r="X1190" s="147">
        <v>96.9</v>
      </c>
      <c r="Y1190" s="147">
        <v>772740</v>
      </c>
      <c r="Z1190" s="372">
        <v>39.46</v>
      </c>
      <c r="AA1190" s="147">
        <v>19318.5</v>
      </c>
      <c r="AB1190" s="147">
        <v>19318.5</v>
      </c>
      <c r="AC1190" s="147">
        <v>811377</v>
      </c>
      <c r="AD1190" s="315">
        <f t="shared" si="769"/>
        <v>810565.62300000002</v>
      </c>
      <c r="AE1190" s="173">
        <v>39.46</v>
      </c>
      <c r="AF1190" s="147">
        <v>42</v>
      </c>
      <c r="AG1190" s="147">
        <v>39.46</v>
      </c>
      <c r="AH1190" s="287">
        <v>1.6999999999999999E-3</v>
      </c>
      <c r="AI1190" s="287">
        <v>2.5000000000000001E-2</v>
      </c>
      <c r="AJ1190" s="287">
        <v>4.4999999999999998E-2</v>
      </c>
      <c r="AK1190" s="318">
        <f t="shared" si="802"/>
        <v>46732.371428571409</v>
      </c>
      <c r="AL1190" s="193">
        <v>0</v>
      </c>
      <c r="AM1190" s="319">
        <v>0</v>
      </c>
      <c r="AN1190" s="319"/>
      <c r="AO1190" s="320">
        <f t="shared" si="803"/>
        <v>874.5</v>
      </c>
      <c r="AP1190" s="193">
        <v>0</v>
      </c>
      <c r="AQ1190" s="318">
        <v>0</v>
      </c>
      <c r="AR1190" s="318">
        <f t="shared" si="804"/>
        <v>47606.871428571409</v>
      </c>
      <c r="AS1190" s="318">
        <f t="shared" si="805"/>
        <v>49987</v>
      </c>
      <c r="AT1190" s="321">
        <v>11</v>
      </c>
      <c r="AU1190" s="157"/>
      <c r="AV1190" s="136"/>
      <c r="AW1190" s="318">
        <f t="shared" si="806"/>
        <v>9720</v>
      </c>
      <c r="AX1190" s="193"/>
      <c r="AY1190" s="318">
        <f t="shared" si="807"/>
        <v>9720</v>
      </c>
      <c r="AZ1190" s="318">
        <f t="shared" si="808"/>
        <v>9690</v>
      </c>
      <c r="BA1190" s="318">
        <f t="shared" si="809"/>
        <v>30</v>
      </c>
      <c r="BB1190" s="318">
        <f t="shared" si="810"/>
        <v>19.440000000000001</v>
      </c>
      <c r="BC1190" s="318">
        <v>0</v>
      </c>
      <c r="BD1190" s="136"/>
      <c r="BE1190" s="138">
        <v>97.2</v>
      </c>
      <c r="BF1190" s="321">
        <f t="shared" si="811"/>
        <v>0.14580000000000001</v>
      </c>
      <c r="BG1190" s="197">
        <f t="shared" si="812"/>
        <v>97.054200000000009</v>
      </c>
      <c r="BH1190" s="321">
        <f t="shared" si="813"/>
        <v>96.9</v>
      </c>
      <c r="BI1190" s="322">
        <f t="shared" si="814"/>
        <v>29.999999999999716</v>
      </c>
      <c r="BJ1190" s="322">
        <v>0</v>
      </c>
      <c r="BK1190" s="318">
        <f t="shared" si="815"/>
        <v>29.999999999999716</v>
      </c>
      <c r="BL1190" s="67"/>
      <c r="BM1190" s="68" t="str">
        <f t="shared" si="816"/>
        <v>Unloading no. 1156 Bill No HA/26-27/0371 ,Deduction For Oil Deduction= 46732.3714285714 ,Bardana= 0 ,F.M= 0 Brokerage/Rate Difference  ,Shortage = 874.5 ,Greenish= 0 ,Moisture= 0</v>
      </c>
      <c r="BN1190" s="69"/>
      <c r="BO1190" s="70" t="str">
        <f t="shared" si="817"/>
        <v xml:space="preserve"> Party Condition 42  ,F.M% 0.17 ,Greenish 2.5 ,Moisture 4.5 ,Shortage in KG= 11  ,Oil% 39.46</v>
      </c>
      <c r="BP1190" s="71">
        <f t="shared" si="818"/>
        <v>7483.3140203449802</v>
      </c>
      <c r="BQ1190" s="55"/>
      <c r="BR1190" s="55"/>
      <c r="BS1190" s="41"/>
      <c r="BT1190" s="41"/>
      <c r="BU1190" s="41"/>
      <c r="BV1190" s="41"/>
      <c r="BW1190" s="85"/>
      <c r="BX1190" s="30">
        <v>39.479999999999997</v>
      </c>
      <c r="BY1190" s="27">
        <v>39.380000000000003</v>
      </c>
    </row>
    <row r="1191" spans="1:83" ht="14.1" hidden="1" customHeight="1" x14ac:dyDescent="0.3">
      <c r="A1191" s="281" t="s">
        <v>2450</v>
      </c>
      <c r="B1191" s="146">
        <v>46210</v>
      </c>
      <c r="C1191" s="138">
        <v>1157</v>
      </c>
      <c r="D1191" s="138" t="s">
        <v>2548</v>
      </c>
      <c r="E1191" s="129">
        <v>46213</v>
      </c>
      <c r="F1191" s="128" t="s">
        <v>2497</v>
      </c>
      <c r="G1191" s="128" t="s">
        <v>2498</v>
      </c>
      <c r="H1191" s="281" t="s">
        <v>100</v>
      </c>
      <c r="I1191" s="136"/>
      <c r="J1191" s="138" t="s">
        <v>1146</v>
      </c>
      <c r="K1191" s="136"/>
      <c r="L1191" s="146">
        <v>46210</v>
      </c>
      <c r="M1191" s="136"/>
      <c r="N1191" s="128" t="s">
        <v>2565</v>
      </c>
      <c r="O1191" s="146">
        <v>46213</v>
      </c>
      <c r="P1191" s="138">
        <v>0</v>
      </c>
      <c r="Q1191" s="138">
        <v>153</v>
      </c>
      <c r="R1191" s="138">
        <v>0</v>
      </c>
      <c r="S1191" s="138">
        <v>153</v>
      </c>
      <c r="T1191" s="138">
        <v>153</v>
      </c>
      <c r="U1191" s="136"/>
      <c r="V1191" s="136"/>
      <c r="W1191" s="147">
        <v>92.2</v>
      </c>
      <c r="X1191" s="147">
        <v>92</v>
      </c>
      <c r="Y1191" s="147">
        <v>732990</v>
      </c>
      <c r="Z1191" s="372">
        <v>39.729999999999997</v>
      </c>
      <c r="AA1191" s="147">
        <v>18324.75</v>
      </c>
      <c r="AB1191" s="147">
        <v>18324.75</v>
      </c>
      <c r="AC1191" s="147">
        <v>769639.5</v>
      </c>
      <c r="AD1191" s="315">
        <f t="shared" si="769"/>
        <v>768869.86049999995</v>
      </c>
      <c r="AE1191" s="147">
        <v>39.729999999999997</v>
      </c>
      <c r="AF1191" s="147">
        <v>42</v>
      </c>
      <c r="AG1191" s="147">
        <v>39.729999999999997</v>
      </c>
      <c r="AH1191" s="287">
        <v>1.6000000000000001E-3</v>
      </c>
      <c r="AI1191" s="287">
        <v>3.9E-2</v>
      </c>
      <c r="AJ1191" s="287">
        <v>0.05</v>
      </c>
      <c r="AK1191" s="318">
        <f t="shared" si="802"/>
        <v>39616.364285714342</v>
      </c>
      <c r="AL1191" s="193">
        <v>0</v>
      </c>
      <c r="AM1191" s="319">
        <v>0</v>
      </c>
      <c r="AN1191" s="319"/>
      <c r="AO1191" s="320">
        <f t="shared" si="803"/>
        <v>79.5</v>
      </c>
      <c r="AP1191" s="193">
        <v>0</v>
      </c>
      <c r="AQ1191" s="318">
        <v>0</v>
      </c>
      <c r="AR1191" s="318">
        <f t="shared" si="804"/>
        <v>39695.864285714342</v>
      </c>
      <c r="AS1191" s="318">
        <f t="shared" si="805"/>
        <v>41681</v>
      </c>
      <c r="AT1191" s="321">
        <v>1</v>
      </c>
      <c r="AU1191" s="157"/>
      <c r="AV1191" s="136"/>
      <c r="AW1191" s="318">
        <f t="shared" si="806"/>
        <v>9220</v>
      </c>
      <c r="AX1191" s="193"/>
      <c r="AY1191" s="318">
        <f t="shared" si="807"/>
        <v>9220</v>
      </c>
      <c r="AZ1191" s="318">
        <f t="shared" si="808"/>
        <v>9200</v>
      </c>
      <c r="BA1191" s="318">
        <f t="shared" si="809"/>
        <v>20</v>
      </c>
      <c r="BB1191" s="318">
        <f t="shared" si="810"/>
        <v>18.440000000000001</v>
      </c>
      <c r="BC1191" s="318">
        <v>0</v>
      </c>
      <c r="BD1191" s="136"/>
      <c r="BE1191" s="138">
        <v>92.2</v>
      </c>
      <c r="BF1191" s="321">
        <f t="shared" si="811"/>
        <v>0.13830000000000001</v>
      </c>
      <c r="BG1191" s="197">
        <f t="shared" si="812"/>
        <v>92.061700000000002</v>
      </c>
      <c r="BH1191" s="321">
        <f t="shared" si="813"/>
        <v>92</v>
      </c>
      <c r="BI1191" s="322">
        <f t="shared" si="814"/>
        <v>20.000000000000284</v>
      </c>
      <c r="BJ1191" s="322">
        <v>0</v>
      </c>
      <c r="BK1191" s="318">
        <f t="shared" si="815"/>
        <v>20.000000000000284</v>
      </c>
      <c r="BL1191" s="67"/>
      <c r="BM1191" s="68" t="str">
        <f t="shared" si="816"/>
        <v>Unloading no. 1157 Bill No HA/26-27/0368 ,Deduction For Oil Deduction= 39616.3642857143 ,Bardana= 0 ,F.M= 0 Brokerage/Rate Difference  ,Shortage = 79.5 ,Greenish= 0 ,Moisture= 0</v>
      </c>
      <c r="BN1191" s="69"/>
      <c r="BO1191" s="70" t="str">
        <f t="shared" si="817"/>
        <v xml:space="preserve"> Party Condition 42  ,F.M% 0.16 ,Greenish 3.9 ,Moisture 5 ,Shortage in KG= 1  ,Oil% 39.73</v>
      </c>
      <c r="BP1191" s="71">
        <f t="shared" si="818"/>
        <v>7535.805822981366</v>
      </c>
      <c r="BQ1191" s="55"/>
      <c r="BR1191" s="55"/>
      <c r="BS1191" s="41"/>
      <c r="BT1191" s="41"/>
      <c r="BU1191" s="41"/>
      <c r="BV1191" s="41"/>
      <c r="BW1191" s="85"/>
      <c r="BX1191" s="27">
        <v>39.549999999999997</v>
      </c>
      <c r="BY1191" s="27">
        <v>39.32</v>
      </c>
    </row>
    <row r="1192" spans="1:83" ht="14.1" hidden="1" customHeight="1" x14ac:dyDescent="0.3">
      <c r="A1192" s="281" t="s">
        <v>2450</v>
      </c>
      <c r="B1192" s="146">
        <v>46210</v>
      </c>
      <c r="C1192" s="138">
        <v>1158</v>
      </c>
      <c r="D1192" s="138" t="s">
        <v>2549</v>
      </c>
      <c r="E1192" s="129">
        <v>46213</v>
      </c>
      <c r="F1192" s="128" t="s">
        <v>2497</v>
      </c>
      <c r="G1192" s="128" t="s">
        <v>2498</v>
      </c>
      <c r="H1192" s="281" t="s">
        <v>100</v>
      </c>
      <c r="I1192" s="136"/>
      <c r="J1192" s="138" t="s">
        <v>1146</v>
      </c>
      <c r="K1192" s="136"/>
      <c r="L1192" s="146">
        <v>46210</v>
      </c>
      <c r="M1192" s="136"/>
      <c r="N1192" s="128" t="s">
        <v>2566</v>
      </c>
      <c r="O1192" s="146">
        <v>46213</v>
      </c>
      <c r="P1192" s="138">
        <v>0</v>
      </c>
      <c r="Q1192" s="138">
        <v>162</v>
      </c>
      <c r="R1192" s="138">
        <v>0</v>
      </c>
      <c r="S1192" s="138">
        <v>162</v>
      </c>
      <c r="T1192" s="138">
        <v>162</v>
      </c>
      <c r="U1192" s="136"/>
      <c r="V1192" s="136"/>
      <c r="W1192" s="147">
        <v>97.4</v>
      </c>
      <c r="X1192" s="147">
        <v>97.2</v>
      </c>
      <c r="Y1192" s="147">
        <v>774330</v>
      </c>
      <c r="Z1192" s="372">
        <v>39.74</v>
      </c>
      <c r="AA1192" s="147">
        <v>19358.25</v>
      </c>
      <c r="AB1192" s="147">
        <v>19358.25</v>
      </c>
      <c r="AC1192" s="147">
        <v>813046.5</v>
      </c>
      <c r="AD1192" s="315">
        <f t="shared" ref="AD1192:AD1255" si="825">SUM(AC1192-AC1192*0.1%)</f>
        <v>812233.45349999995</v>
      </c>
      <c r="AE1192" s="173">
        <v>39.74</v>
      </c>
      <c r="AF1192" s="147">
        <v>42</v>
      </c>
      <c r="AG1192" s="147">
        <v>39.74</v>
      </c>
      <c r="AH1192" s="287">
        <v>1.9E-3</v>
      </c>
      <c r="AI1192" s="287">
        <v>2.5999999999999999E-2</v>
      </c>
      <c r="AJ1192" s="287">
        <v>4.3999999999999997E-2</v>
      </c>
      <c r="AK1192" s="318">
        <f t="shared" si="802"/>
        <v>41666.328571428538</v>
      </c>
      <c r="AL1192" s="193">
        <v>0</v>
      </c>
      <c r="AM1192" s="319">
        <v>0</v>
      </c>
      <c r="AN1192" s="319"/>
      <c r="AO1192" s="320">
        <f t="shared" si="803"/>
        <v>79.5</v>
      </c>
      <c r="AP1192" s="193">
        <v>0</v>
      </c>
      <c r="AQ1192" s="318">
        <v>0</v>
      </c>
      <c r="AR1192" s="318">
        <f t="shared" si="804"/>
        <v>41745.828571428538</v>
      </c>
      <c r="AS1192" s="318">
        <f t="shared" si="805"/>
        <v>43833</v>
      </c>
      <c r="AT1192" s="321">
        <v>1</v>
      </c>
      <c r="AU1192" s="157"/>
      <c r="AV1192" s="136"/>
      <c r="AW1192" s="318">
        <f t="shared" si="806"/>
        <v>9740</v>
      </c>
      <c r="AX1192" s="193"/>
      <c r="AY1192" s="318">
        <f t="shared" si="807"/>
        <v>9740</v>
      </c>
      <c r="AZ1192" s="318">
        <f t="shared" si="808"/>
        <v>9720</v>
      </c>
      <c r="BA1192" s="318">
        <f t="shared" si="809"/>
        <v>20</v>
      </c>
      <c r="BB1192" s="318">
        <f t="shared" si="810"/>
        <v>19.48</v>
      </c>
      <c r="BC1192" s="318">
        <v>0</v>
      </c>
      <c r="BD1192" s="136"/>
      <c r="BE1192" s="138">
        <v>97.4</v>
      </c>
      <c r="BF1192" s="321">
        <f t="shared" si="811"/>
        <v>0.14610000000000001</v>
      </c>
      <c r="BG1192" s="197">
        <f t="shared" si="812"/>
        <v>97.253900000000002</v>
      </c>
      <c r="BH1192" s="321">
        <f t="shared" si="813"/>
        <v>97.2</v>
      </c>
      <c r="BI1192" s="322">
        <f t="shared" si="814"/>
        <v>20.000000000000284</v>
      </c>
      <c r="BJ1192" s="322">
        <v>0</v>
      </c>
      <c r="BK1192" s="318">
        <f t="shared" si="815"/>
        <v>20.000000000000284</v>
      </c>
      <c r="BL1192" s="67"/>
      <c r="BM1192" s="68" t="str">
        <f t="shared" si="816"/>
        <v>Unloading no. 1158 Bill No HA/26-27/0372 ,Deduction For Oil Deduction= 41666.3285714285 ,Bardana= 0 ,F.M= 0 Brokerage/Rate Difference  ,Shortage = 79.5 ,Greenish= 0 ,Moisture= 0</v>
      </c>
      <c r="BN1192" s="69"/>
      <c r="BO1192" s="70" t="str">
        <f t="shared" si="817"/>
        <v xml:space="preserve"> Party Condition 42  ,F.M% 0.19 ,Greenish 2.6 ,Moisture 4.4 ,Shortage in KG= 1  ,Oil% 39.74</v>
      </c>
      <c r="BP1192" s="71">
        <f t="shared" si="818"/>
        <v>7536.8741916519693</v>
      </c>
      <c r="BQ1192" s="55"/>
      <c r="BR1192" s="55"/>
      <c r="BS1192" s="41"/>
      <c r="BT1192" s="41"/>
      <c r="BU1192" s="41"/>
      <c r="BV1192" s="41"/>
      <c r="BW1192" s="85"/>
      <c r="BX1192" s="30">
        <v>39.549999999999997</v>
      </c>
      <c r="BY1192" s="27">
        <v>39.42</v>
      </c>
    </row>
    <row r="1193" spans="1:83" ht="14.1" hidden="1" customHeight="1" x14ac:dyDescent="0.3">
      <c r="A1193" s="281" t="s">
        <v>2450</v>
      </c>
      <c r="B1193" s="146">
        <v>46210</v>
      </c>
      <c r="C1193" s="138">
        <v>1159</v>
      </c>
      <c r="D1193" s="138" t="s">
        <v>2550</v>
      </c>
      <c r="E1193" s="129">
        <v>46213</v>
      </c>
      <c r="F1193" s="128" t="s">
        <v>2497</v>
      </c>
      <c r="G1193" s="128" t="s">
        <v>2498</v>
      </c>
      <c r="H1193" s="281" t="s">
        <v>100</v>
      </c>
      <c r="I1193" s="136"/>
      <c r="J1193" s="138" t="s">
        <v>1146</v>
      </c>
      <c r="K1193" s="136"/>
      <c r="L1193" s="146">
        <v>46210</v>
      </c>
      <c r="M1193" s="136"/>
      <c r="N1193" s="128" t="s">
        <v>2567</v>
      </c>
      <c r="O1193" s="146">
        <v>46213</v>
      </c>
      <c r="P1193" s="138">
        <v>0</v>
      </c>
      <c r="Q1193" s="138">
        <v>130</v>
      </c>
      <c r="R1193" s="138">
        <v>32</v>
      </c>
      <c r="S1193" s="138">
        <v>162</v>
      </c>
      <c r="T1193" s="138">
        <v>162</v>
      </c>
      <c r="U1193" s="136"/>
      <c r="V1193" s="136"/>
      <c r="W1193" s="147">
        <v>97.8</v>
      </c>
      <c r="X1193" s="147">
        <v>97.6</v>
      </c>
      <c r="Y1193" s="147">
        <v>777510</v>
      </c>
      <c r="Z1193" s="372">
        <v>40.06</v>
      </c>
      <c r="AA1193" s="147">
        <v>19437.75</v>
      </c>
      <c r="AB1193" s="147">
        <v>19437.75</v>
      </c>
      <c r="AC1193" s="147">
        <v>816385.5</v>
      </c>
      <c r="AD1193" s="315">
        <f t="shared" si="825"/>
        <v>815569.11450000003</v>
      </c>
      <c r="AE1193" s="173">
        <v>40.06</v>
      </c>
      <c r="AF1193" s="147">
        <v>42</v>
      </c>
      <c r="AG1193" s="147">
        <v>40.06</v>
      </c>
      <c r="AH1193" s="287">
        <v>2E-3</v>
      </c>
      <c r="AI1193" s="287">
        <v>3.2000000000000001E-2</v>
      </c>
      <c r="AJ1193" s="287">
        <v>4.2999999999999997E-2</v>
      </c>
      <c r="AK1193" s="318">
        <f t="shared" si="802"/>
        <v>35913.557142857098</v>
      </c>
      <c r="AL1193" s="193">
        <v>0</v>
      </c>
      <c r="AM1193" s="319">
        <v>0</v>
      </c>
      <c r="AN1193" s="319"/>
      <c r="AO1193" s="320">
        <f t="shared" si="803"/>
        <v>0</v>
      </c>
      <c r="AP1193" s="193">
        <v>0</v>
      </c>
      <c r="AQ1193" s="318">
        <v>0</v>
      </c>
      <c r="AR1193" s="318">
        <f t="shared" si="804"/>
        <v>35913.557142857098</v>
      </c>
      <c r="AS1193" s="318">
        <f t="shared" si="805"/>
        <v>37709</v>
      </c>
      <c r="AT1193" s="321">
        <v>0</v>
      </c>
      <c r="AU1193" s="157"/>
      <c r="AV1193" s="136"/>
      <c r="AW1193" s="318">
        <f t="shared" si="806"/>
        <v>9780</v>
      </c>
      <c r="AX1193" s="193"/>
      <c r="AY1193" s="318">
        <f t="shared" si="807"/>
        <v>9780</v>
      </c>
      <c r="AZ1193" s="318">
        <f t="shared" si="808"/>
        <v>9760</v>
      </c>
      <c r="BA1193" s="318">
        <f t="shared" si="809"/>
        <v>20</v>
      </c>
      <c r="BB1193" s="318">
        <f t="shared" si="810"/>
        <v>19.559999999999999</v>
      </c>
      <c r="BC1193" s="318">
        <v>0</v>
      </c>
      <c r="BD1193" s="136"/>
      <c r="BE1193" s="138">
        <v>97.8</v>
      </c>
      <c r="BF1193" s="321">
        <f t="shared" si="811"/>
        <v>0.14669999999999997</v>
      </c>
      <c r="BG1193" s="197">
        <f t="shared" si="812"/>
        <v>97.653300000000002</v>
      </c>
      <c r="BH1193" s="321">
        <f t="shared" si="813"/>
        <v>97.6</v>
      </c>
      <c r="BI1193" s="322">
        <f t="shared" si="814"/>
        <v>20.000000000000284</v>
      </c>
      <c r="BJ1193" s="322">
        <v>0</v>
      </c>
      <c r="BK1193" s="318">
        <f t="shared" si="815"/>
        <v>20.000000000000284</v>
      </c>
      <c r="BL1193" s="67"/>
      <c r="BM1193" s="68" t="str">
        <f t="shared" si="816"/>
        <v>Unloading no. 1159 Bill No HA/26-27/0373 ,Deduction For Oil Deduction= 35913.5571428571 ,Bardana= 0 ,F.M= 0 Brokerage/Rate Difference  ,Shortage = 0 ,Greenish= 0 ,Moisture= 0</v>
      </c>
      <c r="BN1193" s="69"/>
      <c r="BO1193" s="70" t="str">
        <f t="shared" si="817"/>
        <v xml:space="preserve"> Party Condition 42  ,F.M% 0.2 ,Greenish 3.2 ,Moisture 4.3 ,Shortage in KG= 0  ,Oil% 40.06</v>
      </c>
      <c r="BP1193" s="71">
        <f t="shared" si="818"/>
        <v>7598.3242096018739</v>
      </c>
      <c r="BQ1193" s="55"/>
      <c r="BR1193" s="55"/>
      <c r="BS1193" s="41"/>
      <c r="BT1193" s="41"/>
      <c r="BU1193" s="41"/>
      <c r="BV1193" s="41"/>
      <c r="BW1193" s="85"/>
      <c r="BX1193" s="30">
        <v>40.049999999999997</v>
      </c>
      <c r="BY1193" s="27">
        <v>39.9</v>
      </c>
    </row>
    <row r="1194" spans="1:83" ht="14.1" hidden="1" customHeight="1" x14ac:dyDescent="0.3">
      <c r="A1194" s="281" t="s">
        <v>2450</v>
      </c>
      <c r="B1194" s="146">
        <v>46210</v>
      </c>
      <c r="C1194" s="138">
        <v>1160</v>
      </c>
      <c r="D1194" s="138" t="s">
        <v>2551</v>
      </c>
      <c r="E1194" s="129">
        <v>46213</v>
      </c>
      <c r="F1194" s="128" t="s">
        <v>2497</v>
      </c>
      <c r="G1194" s="128" t="s">
        <v>2498</v>
      </c>
      <c r="H1194" s="281" t="s">
        <v>100</v>
      </c>
      <c r="I1194" s="136"/>
      <c r="J1194" s="138" t="s">
        <v>1146</v>
      </c>
      <c r="K1194" s="136"/>
      <c r="L1194" s="146">
        <v>46210</v>
      </c>
      <c r="M1194" s="136"/>
      <c r="N1194" s="128" t="s">
        <v>2568</v>
      </c>
      <c r="O1194" s="146">
        <v>46213</v>
      </c>
      <c r="P1194" s="138">
        <v>0</v>
      </c>
      <c r="Q1194" s="138">
        <v>140</v>
      </c>
      <c r="R1194" s="138">
        <v>22</v>
      </c>
      <c r="S1194" s="138">
        <v>162</v>
      </c>
      <c r="T1194" s="138">
        <v>162</v>
      </c>
      <c r="U1194" s="136"/>
      <c r="V1194" s="136"/>
      <c r="W1194" s="147">
        <v>96.7</v>
      </c>
      <c r="X1194" s="147">
        <v>96.5</v>
      </c>
      <c r="Y1194" s="147">
        <v>768765</v>
      </c>
      <c r="Z1194" s="372">
        <v>39.81</v>
      </c>
      <c r="AA1194" s="147">
        <v>19219.13</v>
      </c>
      <c r="AB1194" s="147">
        <v>19219.13</v>
      </c>
      <c r="AC1194" s="147">
        <v>807203.25</v>
      </c>
      <c r="AD1194" s="315">
        <f t="shared" si="825"/>
        <v>806396.04674999998</v>
      </c>
      <c r="AE1194" s="173">
        <v>39.81</v>
      </c>
      <c r="AF1194" s="147">
        <v>42</v>
      </c>
      <c r="AG1194" s="147">
        <v>39.81</v>
      </c>
      <c r="AH1194" s="287">
        <v>1.6000000000000001E-3</v>
      </c>
      <c r="AI1194" s="287">
        <v>2.1999999999999999E-2</v>
      </c>
      <c r="AJ1194" s="287">
        <v>4.9000000000000002E-2</v>
      </c>
      <c r="AK1194" s="318">
        <f t="shared" si="802"/>
        <v>40085.603571428532</v>
      </c>
      <c r="AL1194" s="193">
        <v>0</v>
      </c>
      <c r="AM1194" s="319">
        <v>0</v>
      </c>
      <c r="AN1194" s="319"/>
      <c r="AO1194" s="320">
        <f t="shared" si="803"/>
        <v>79.5</v>
      </c>
      <c r="AP1194" s="193">
        <v>0</v>
      </c>
      <c r="AQ1194" s="318">
        <v>0</v>
      </c>
      <c r="AR1194" s="318">
        <f t="shared" si="804"/>
        <v>40165.103571428532</v>
      </c>
      <c r="AS1194" s="318">
        <f t="shared" si="805"/>
        <v>42173</v>
      </c>
      <c r="AT1194" s="321">
        <v>1</v>
      </c>
      <c r="AU1194" s="157"/>
      <c r="AV1194" s="136"/>
      <c r="AW1194" s="318">
        <f t="shared" si="806"/>
        <v>9670</v>
      </c>
      <c r="AX1194" s="193"/>
      <c r="AY1194" s="318">
        <f t="shared" si="807"/>
        <v>9670</v>
      </c>
      <c r="AZ1194" s="318">
        <f t="shared" si="808"/>
        <v>9650</v>
      </c>
      <c r="BA1194" s="318">
        <f t="shared" si="809"/>
        <v>20</v>
      </c>
      <c r="BB1194" s="318">
        <f t="shared" si="810"/>
        <v>19.34</v>
      </c>
      <c r="BC1194" s="318">
        <v>0</v>
      </c>
      <c r="BD1194" s="136"/>
      <c r="BE1194" s="138">
        <v>96.7</v>
      </c>
      <c r="BF1194" s="321">
        <f t="shared" si="811"/>
        <v>0.14504999999999998</v>
      </c>
      <c r="BG1194" s="197">
        <f t="shared" si="812"/>
        <v>96.554950000000005</v>
      </c>
      <c r="BH1194" s="321">
        <f t="shared" si="813"/>
        <v>96.5</v>
      </c>
      <c r="BI1194" s="322">
        <f t="shared" si="814"/>
        <v>20.000000000000284</v>
      </c>
      <c r="BJ1194" s="322">
        <v>0</v>
      </c>
      <c r="BK1194" s="318">
        <f t="shared" si="815"/>
        <v>20.000000000000284</v>
      </c>
      <c r="BL1194" s="67"/>
      <c r="BM1194" s="68" t="str">
        <f t="shared" si="816"/>
        <v>Unloading no. 1160 Bill No HA/26-27/0374 ,Deduction For Oil Deduction= 40085.6035714285 ,Bardana= 0 ,F.M= 0 Brokerage/Rate Difference  ,Shortage = 79.5 ,Greenish= 0 ,Moisture= 0</v>
      </c>
      <c r="BN1194" s="69"/>
      <c r="BO1194" s="70" t="str">
        <f t="shared" si="817"/>
        <v xml:space="preserve"> Party Condition 42  ,F.M% 0.16 ,Greenish 2.2 ,Moisture 4.9 ,Shortage in KG= 1  ,Oil% 39.81</v>
      </c>
      <c r="BP1194" s="71">
        <f t="shared" si="818"/>
        <v>7550.2579940784608</v>
      </c>
      <c r="BQ1194" s="55"/>
      <c r="BR1194" s="55"/>
      <c r="BS1194" s="41"/>
      <c r="BT1194" s="41"/>
      <c r="BU1194" s="41"/>
      <c r="BV1194" s="41"/>
      <c r="BW1194" s="85"/>
      <c r="BX1194" s="30">
        <v>39.590000000000003</v>
      </c>
      <c r="BY1194" s="27">
        <v>39.520000000000003</v>
      </c>
    </row>
    <row r="1195" spans="1:83" ht="14.1" hidden="1" customHeight="1" x14ac:dyDescent="0.3">
      <c r="A1195" s="281" t="s">
        <v>2450</v>
      </c>
      <c r="B1195" s="146">
        <v>46210</v>
      </c>
      <c r="C1195" s="138">
        <v>1161</v>
      </c>
      <c r="D1195" s="138" t="s">
        <v>2552</v>
      </c>
      <c r="E1195" s="129">
        <v>46213</v>
      </c>
      <c r="F1195" s="128" t="s">
        <v>2497</v>
      </c>
      <c r="G1195" s="128" t="s">
        <v>2498</v>
      </c>
      <c r="H1195" s="281" t="s">
        <v>100</v>
      </c>
      <c r="I1195" s="136"/>
      <c r="J1195" s="138" t="s">
        <v>1146</v>
      </c>
      <c r="K1195" s="136"/>
      <c r="L1195" s="146">
        <v>46210</v>
      </c>
      <c r="M1195" s="136"/>
      <c r="N1195" s="128" t="s">
        <v>2569</v>
      </c>
      <c r="O1195" s="146">
        <v>46213</v>
      </c>
      <c r="P1195" s="138">
        <v>0</v>
      </c>
      <c r="Q1195" s="138">
        <v>150</v>
      </c>
      <c r="R1195" s="138">
        <v>12</v>
      </c>
      <c r="S1195" s="138">
        <v>162</v>
      </c>
      <c r="T1195" s="138">
        <v>162</v>
      </c>
      <c r="U1195" s="136"/>
      <c r="V1195" s="136"/>
      <c r="W1195" s="147">
        <v>97.2</v>
      </c>
      <c r="X1195" s="147">
        <v>97</v>
      </c>
      <c r="Y1195" s="147">
        <v>772740</v>
      </c>
      <c r="Z1195" s="372">
        <v>40.01</v>
      </c>
      <c r="AA1195" s="147">
        <v>19318.5</v>
      </c>
      <c r="AB1195" s="147">
        <v>19318.5</v>
      </c>
      <c r="AC1195" s="147">
        <v>811377</v>
      </c>
      <c r="AD1195" s="315">
        <f t="shared" si="825"/>
        <v>810565.62300000002</v>
      </c>
      <c r="AE1195" s="173">
        <v>40.01</v>
      </c>
      <c r="AF1195" s="147">
        <v>42</v>
      </c>
      <c r="AG1195" s="147">
        <v>40.01</v>
      </c>
      <c r="AH1195" s="287">
        <v>2E-3</v>
      </c>
      <c r="AI1195" s="287">
        <v>2.5999999999999999E-2</v>
      </c>
      <c r="AJ1195" s="287">
        <v>4.2000000000000003E-2</v>
      </c>
      <c r="AK1195" s="318">
        <f t="shared" si="802"/>
        <v>36613.157142857177</v>
      </c>
      <c r="AL1195" s="193">
        <v>0</v>
      </c>
      <c r="AM1195" s="319">
        <v>0</v>
      </c>
      <c r="AN1195" s="319"/>
      <c r="AO1195" s="320">
        <f t="shared" si="803"/>
        <v>79.5</v>
      </c>
      <c r="AP1195" s="193">
        <v>0</v>
      </c>
      <c r="AQ1195" s="318">
        <v>0</v>
      </c>
      <c r="AR1195" s="318">
        <f t="shared" si="804"/>
        <v>36692.657142857177</v>
      </c>
      <c r="AS1195" s="318">
        <f t="shared" si="805"/>
        <v>38527</v>
      </c>
      <c r="AT1195" s="321">
        <v>1</v>
      </c>
      <c r="AU1195" s="157"/>
      <c r="AV1195" s="136"/>
      <c r="AW1195" s="318">
        <f t="shared" si="806"/>
        <v>9720</v>
      </c>
      <c r="AX1195" s="193"/>
      <c r="AY1195" s="318">
        <f t="shared" si="807"/>
        <v>9720</v>
      </c>
      <c r="AZ1195" s="318">
        <f t="shared" si="808"/>
        <v>9700</v>
      </c>
      <c r="BA1195" s="318">
        <f t="shared" si="809"/>
        <v>20</v>
      </c>
      <c r="BB1195" s="318">
        <f t="shared" si="810"/>
        <v>19.440000000000001</v>
      </c>
      <c r="BC1195" s="318">
        <v>0</v>
      </c>
      <c r="BD1195" s="136"/>
      <c r="BE1195" s="138">
        <v>97.2</v>
      </c>
      <c r="BF1195" s="321">
        <f t="shared" si="811"/>
        <v>0.14580000000000001</v>
      </c>
      <c r="BG1195" s="197">
        <f t="shared" si="812"/>
        <v>97.054200000000009</v>
      </c>
      <c r="BH1195" s="321">
        <f t="shared" si="813"/>
        <v>97</v>
      </c>
      <c r="BI1195" s="322">
        <f t="shared" si="814"/>
        <v>20.000000000000284</v>
      </c>
      <c r="BJ1195" s="322">
        <v>0</v>
      </c>
      <c r="BK1195" s="318">
        <f t="shared" si="815"/>
        <v>20.000000000000284</v>
      </c>
      <c r="BL1195" s="67"/>
      <c r="BM1195" s="68" t="str">
        <f t="shared" si="816"/>
        <v>Unloading no. 1161 Bill No HA/26-27/0375 ,Deduction For Oil Deduction= 36613.1571428572 ,Bardana= 0 ,F.M= 0 Brokerage/Rate Difference  ,Shortage = 79.5 ,Greenish= 0 ,Moisture= 0</v>
      </c>
      <c r="BN1195" s="69"/>
      <c r="BO1195" s="70" t="str">
        <f t="shared" si="817"/>
        <v xml:space="preserve"> Party Condition 42  ,F.M% 0.2 ,Greenish 2.6 ,Moisture 4.2 ,Shortage in KG= 1  ,Oil% 40.01</v>
      </c>
      <c r="BP1195" s="71">
        <f t="shared" si="818"/>
        <v>7588.1169366715749</v>
      </c>
      <c r="BQ1195" s="55"/>
      <c r="BR1195" s="55"/>
      <c r="BS1195" s="41"/>
      <c r="BT1195" s="41"/>
      <c r="BU1195" s="41"/>
      <c r="BV1195" s="41"/>
      <c r="BW1195" s="85"/>
      <c r="BX1195" s="30">
        <v>39.700000000000003</v>
      </c>
      <c r="BY1195" s="27">
        <v>39.67</v>
      </c>
    </row>
    <row r="1196" spans="1:83" ht="14.1" hidden="1" customHeight="1" x14ac:dyDescent="0.3">
      <c r="A1196" s="281" t="s">
        <v>2450</v>
      </c>
      <c r="B1196" s="146">
        <v>46210</v>
      </c>
      <c r="C1196" s="138">
        <v>1162</v>
      </c>
      <c r="D1196" s="138" t="s">
        <v>2553</v>
      </c>
      <c r="E1196" s="129">
        <v>46213</v>
      </c>
      <c r="F1196" s="128" t="s">
        <v>2497</v>
      </c>
      <c r="G1196" s="128" t="s">
        <v>2498</v>
      </c>
      <c r="H1196" s="281" t="s">
        <v>100</v>
      </c>
      <c r="I1196" s="136"/>
      <c r="J1196" s="138" t="s">
        <v>1146</v>
      </c>
      <c r="K1196" s="136"/>
      <c r="L1196" s="146">
        <v>46210</v>
      </c>
      <c r="M1196" s="136"/>
      <c r="N1196" s="128" t="s">
        <v>2570</v>
      </c>
      <c r="O1196" s="146">
        <v>46213</v>
      </c>
      <c r="P1196" s="138">
        <v>0</v>
      </c>
      <c r="Q1196" s="138">
        <v>140</v>
      </c>
      <c r="R1196" s="138">
        <v>22</v>
      </c>
      <c r="S1196" s="138">
        <v>162</v>
      </c>
      <c r="T1196" s="138">
        <v>162</v>
      </c>
      <c r="U1196" s="136"/>
      <c r="V1196" s="136"/>
      <c r="W1196" s="147">
        <v>96.9</v>
      </c>
      <c r="X1196" s="147">
        <v>96.8</v>
      </c>
      <c r="Y1196" s="147">
        <v>770355</v>
      </c>
      <c r="Z1196" s="372">
        <v>39.950000000000003</v>
      </c>
      <c r="AA1196" s="147">
        <v>19258.88</v>
      </c>
      <c r="AB1196" s="147">
        <v>19258.88</v>
      </c>
      <c r="AC1196" s="147">
        <v>808872.75</v>
      </c>
      <c r="AD1196" s="315">
        <f t="shared" si="825"/>
        <v>808063.87725000002</v>
      </c>
      <c r="AE1196" s="173">
        <v>39.950000000000003</v>
      </c>
      <c r="AF1196" s="147">
        <v>42</v>
      </c>
      <c r="AG1196" s="147">
        <v>39.950000000000003</v>
      </c>
      <c r="AH1196" s="287">
        <v>2.0999999999999999E-3</v>
      </c>
      <c r="AI1196" s="287">
        <v>0.03</v>
      </c>
      <c r="AJ1196" s="287">
        <v>4.8000000000000001E-2</v>
      </c>
      <c r="AK1196" s="318">
        <f t="shared" si="802"/>
        <v>37600.660714285659</v>
      </c>
      <c r="AL1196" s="193">
        <v>0</v>
      </c>
      <c r="AM1196" s="319">
        <v>0</v>
      </c>
      <c r="AN1196" s="319"/>
      <c r="AO1196" s="320">
        <f t="shared" si="803"/>
        <v>0</v>
      </c>
      <c r="AP1196" s="193">
        <v>0</v>
      </c>
      <c r="AQ1196" s="318">
        <v>0</v>
      </c>
      <c r="AR1196" s="318">
        <f t="shared" si="804"/>
        <v>37600.660714285659</v>
      </c>
      <c r="AS1196" s="318">
        <f t="shared" si="805"/>
        <v>39481</v>
      </c>
      <c r="AT1196" s="321">
        <v>0</v>
      </c>
      <c r="AU1196" s="157"/>
      <c r="AV1196" s="136"/>
      <c r="AW1196" s="318">
        <f t="shared" si="806"/>
        <v>9690</v>
      </c>
      <c r="AX1196" s="193"/>
      <c r="AY1196" s="318">
        <f t="shared" si="807"/>
        <v>9690</v>
      </c>
      <c r="AZ1196" s="318">
        <f t="shared" si="808"/>
        <v>9680</v>
      </c>
      <c r="BA1196" s="318">
        <f t="shared" si="809"/>
        <v>10</v>
      </c>
      <c r="BB1196" s="318">
        <f t="shared" si="810"/>
        <v>19.38</v>
      </c>
      <c r="BC1196" s="318">
        <v>0</v>
      </c>
      <c r="BD1196" s="136"/>
      <c r="BE1196" s="138">
        <v>96.9</v>
      </c>
      <c r="BF1196" s="321">
        <f t="shared" si="811"/>
        <v>0.14535000000000001</v>
      </c>
      <c r="BG1196" s="197">
        <f t="shared" si="812"/>
        <v>96.754650000000012</v>
      </c>
      <c r="BH1196" s="321">
        <f t="shared" si="813"/>
        <v>96.8</v>
      </c>
      <c r="BI1196" s="322">
        <f t="shared" si="814"/>
        <v>10.000000000000853</v>
      </c>
      <c r="BJ1196" s="322">
        <v>0</v>
      </c>
      <c r="BK1196" s="318">
        <f t="shared" si="815"/>
        <v>10.000000000000853</v>
      </c>
      <c r="BL1196" s="67"/>
      <c r="BM1196" s="68" t="str">
        <f t="shared" si="816"/>
        <v>Unloading no. 1162 Bill No HA/26-27/0376 ,Deduction For Oil Deduction= 37600.6607142857 ,Bardana= 0 ,F.M= 0 Brokerage/Rate Difference  ,Shortage = 0 ,Greenish= 0 ,Moisture= 0</v>
      </c>
      <c r="BN1196" s="69"/>
      <c r="BO1196" s="70" t="str">
        <f t="shared" si="817"/>
        <v xml:space="preserve"> Party Condition 42  ,F.M% 0.21 ,Greenish 3 ,Moisture 4.8 ,Shortage in KG= 0  ,Oil% 39.95</v>
      </c>
      <c r="BP1196" s="71">
        <f t="shared" si="818"/>
        <v>7569.7762322904373</v>
      </c>
      <c r="BQ1196" s="55"/>
      <c r="BR1196" s="55"/>
      <c r="BS1196" s="41"/>
      <c r="BT1196" s="41"/>
      <c r="BU1196" s="41"/>
      <c r="BV1196" s="41"/>
      <c r="BW1196" s="85"/>
      <c r="BX1196" s="30">
        <v>39.72</v>
      </c>
      <c r="BY1196" s="27">
        <v>39.58</v>
      </c>
    </row>
    <row r="1197" spans="1:83" ht="14.1" hidden="1" customHeight="1" x14ac:dyDescent="0.3">
      <c r="A1197" s="284" t="s">
        <v>2450</v>
      </c>
      <c r="B1197" s="376">
        <v>46210</v>
      </c>
      <c r="C1197" s="275">
        <v>1163</v>
      </c>
      <c r="D1197" s="275" t="s">
        <v>2554</v>
      </c>
      <c r="E1197" s="231">
        <v>46213</v>
      </c>
      <c r="F1197" s="174" t="s">
        <v>2497</v>
      </c>
      <c r="G1197" s="174" t="s">
        <v>2498</v>
      </c>
      <c r="H1197" s="284" t="s">
        <v>100</v>
      </c>
      <c r="I1197" s="176"/>
      <c r="J1197" s="275" t="s">
        <v>1146</v>
      </c>
      <c r="K1197" s="176"/>
      <c r="L1197" s="376">
        <v>46210</v>
      </c>
      <c r="M1197" s="176"/>
      <c r="N1197" s="174" t="s">
        <v>2571</v>
      </c>
      <c r="O1197" s="376">
        <v>46213</v>
      </c>
      <c r="P1197" s="275">
        <v>0</v>
      </c>
      <c r="Q1197" s="275">
        <v>140</v>
      </c>
      <c r="R1197" s="275">
        <v>22</v>
      </c>
      <c r="S1197" s="275">
        <v>162</v>
      </c>
      <c r="T1197" s="275">
        <v>162</v>
      </c>
      <c r="U1197" s="176"/>
      <c r="V1197" s="176"/>
      <c r="W1197" s="178">
        <v>96.6</v>
      </c>
      <c r="X1197" s="178">
        <v>96.5</v>
      </c>
      <c r="Y1197" s="178">
        <v>767970</v>
      </c>
      <c r="Z1197" s="401">
        <v>40.049999999999997</v>
      </c>
      <c r="AA1197" s="178">
        <v>19199.25</v>
      </c>
      <c r="AB1197" s="178">
        <v>19199.25</v>
      </c>
      <c r="AC1197" s="178">
        <v>806368.5</v>
      </c>
      <c r="AD1197" s="339">
        <f t="shared" si="825"/>
        <v>805562.13150000002</v>
      </c>
      <c r="AE1197" s="178">
        <v>40.049999999999997</v>
      </c>
      <c r="AF1197" s="178">
        <v>42</v>
      </c>
      <c r="AG1197" s="178">
        <v>40.049999999999997</v>
      </c>
      <c r="AH1197" s="308">
        <v>1.9E-3</v>
      </c>
      <c r="AI1197" s="308">
        <v>2.8000000000000001E-2</v>
      </c>
      <c r="AJ1197" s="308">
        <v>4.8000000000000001E-2</v>
      </c>
      <c r="AK1197" s="342">
        <f t="shared" si="802"/>
        <v>35655.750000000051</v>
      </c>
      <c r="AL1197" s="335">
        <v>0</v>
      </c>
      <c r="AM1197" s="343">
        <v>0</v>
      </c>
      <c r="AN1197" s="343"/>
      <c r="AO1197" s="344">
        <f t="shared" si="803"/>
        <v>0</v>
      </c>
      <c r="AP1197" s="335">
        <v>0</v>
      </c>
      <c r="AQ1197" s="342">
        <v>0</v>
      </c>
      <c r="AR1197" s="342">
        <f t="shared" si="804"/>
        <v>35655.750000000051</v>
      </c>
      <c r="AS1197" s="342">
        <f t="shared" si="805"/>
        <v>37439</v>
      </c>
      <c r="AT1197" s="345">
        <v>0</v>
      </c>
      <c r="AU1197" s="208"/>
      <c r="AV1197" s="176"/>
      <c r="AW1197" s="342">
        <f t="shared" si="806"/>
        <v>9660</v>
      </c>
      <c r="AX1197" s="335"/>
      <c r="AY1197" s="342">
        <f t="shared" si="807"/>
        <v>9660</v>
      </c>
      <c r="AZ1197" s="342">
        <f t="shared" si="808"/>
        <v>9650</v>
      </c>
      <c r="BA1197" s="342">
        <f t="shared" si="809"/>
        <v>10</v>
      </c>
      <c r="BB1197" s="342">
        <f t="shared" si="810"/>
        <v>19.32</v>
      </c>
      <c r="BC1197" s="342">
        <v>0</v>
      </c>
      <c r="BD1197" s="176"/>
      <c r="BE1197" s="275">
        <v>96.6</v>
      </c>
      <c r="BF1197" s="345">
        <f t="shared" si="811"/>
        <v>0.14489999999999997</v>
      </c>
      <c r="BG1197" s="210">
        <f t="shared" si="812"/>
        <v>96.455099999999987</v>
      </c>
      <c r="BH1197" s="345">
        <f t="shared" si="813"/>
        <v>96.5</v>
      </c>
      <c r="BI1197" s="346">
        <f t="shared" si="814"/>
        <v>9.9999999999994316</v>
      </c>
      <c r="BJ1197" s="346">
        <v>0</v>
      </c>
      <c r="BK1197" s="342">
        <f t="shared" si="815"/>
        <v>9.9999999999994316</v>
      </c>
      <c r="BL1197" s="73"/>
      <c r="BM1197" s="74" t="str">
        <f t="shared" si="816"/>
        <v>Unloading no. 1163 Bill No HA/26-27/0377 ,Deduction For Oil Deduction= 35655.7500000001 ,Bardana= 0 ,F.M= 0 Brokerage/Rate Difference  ,Shortage = 0 ,Greenish= 0 ,Moisture= 0</v>
      </c>
      <c r="BN1197" s="72"/>
      <c r="BO1197" s="77" t="str">
        <f t="shared" si="817"/>
        <v xml:space="preserve"> Party Condition 42  ,F.M% 0.19 ,Greenish 2.8 ,Moisture 4.8 ,Shortage in KG= 0  ,Oil% 40.05</v>
      </c>
      <c r="BP1197" s="78">
        <f t="shared" si="818"/>
        <v>7588.7487046632123</v>
      </c>
      <c r="BQ1197" s="60"/>
      <c r="BR1197" s="60"/>
      <c r="BS1197" s="52"/>
      <c r="BT1197" s="52"/>
      <c r="BU1197" s="52"/>
      <c r="BV1197" s="52"/>
      <c r="BW1197" s="86"/>
      <c r="BX1197" s="30">
        <v>39.74</v>
      </c>
      <c r="BY1197" s="30">
        <v>39.659999999999997</v>
      </c>
    </row>
    <row r="1198" spans="1:83" ht="14.1" hidden="1" customHeight="1" x14ac:dyDescent="0.3">
      <c r="A1198" s="281" t="s">
        <v>2574</v>
      </c>
      <c r="B1198" s="146">
        <v>46212</v>
      </c>
      <c r="C1198" s="138">
        <v>1164</v>
      </c>
      <c r="D1198" s="138" t="s">
        <v>2589</v>
      </c>
      <c r="E1198" s="129">
        <v>46214</v>
      </c>
      <c r="F1198" s="128" t="s">
        <v>98</v>
      </c>
      <c r="G1198" s="160" t="s">
        <v>99</v>
      </c>
      <c r="H1198" s="138" t="s">
        <v>100</v>
      </c>
      <c r="I1198" s="136"/>
      <c r="J1198" s="138" t="s">
        <v>113</v>
      </c>
      <c r="K1198" s="136"/>
      <c r="L1198" s="146">
        <v>46212</v>
      </c>
      <c r="M1198" s="136"/>
      <c r="N1198" s="128">
        <v>144</v>
      </c>
      <c r="O1198" s="130">
        <v>46212</v>
      </c>
      <c r="P1198" s="138">
        <v>0</v>
      </c>
      <c r="Q1198" s="138">
        <v>100</v>
      </c>
      <c r="R1198" s="138">
        <v>255</v>
      </c>
      <c r="S1198" s="138">
        <v>355</v>
      </c>
      <c r="T1198" s="138">
        <v>355</v>
      </c>
      <c r="U1198" s="136"/>
      <c r="V1198" s="136"/>
      <c r="W1198" s="147">
        <v>213</v>
      </c>
      <c r="X1198" s="147">
        <v>215.4</v>
      </c>
      <c r="Y1198" s="147">
        <v>1664971.31</v>
      </c>
      <c r="Z1198" s="165"/>
      <c r="AA1198" s="147">
        <v>41624.28</v>
      </c>
      <c r="AB1198" s="147">
        <v>41624.28</v>
      </c>
      <c r="AC1198" s="147">
        <v>1748219.88</v>
      </c>
      <c r="AD1198" s="315">
        <f t="shared" si="825"/>
        <v>1746471.6601199999</v>
      </c>
      <c r="AE1198" s="147">
        <v>40.29</v>
      </c>
      <c r="AF1198" s="147">
        <v>40.5</v>
      </c>
      <c r="AG1198" s="147">
        <v>40.130000000000003</v>
      </c>
      <c r="AH1198" s="287">
        <v>1.8E-3</v>
      </c>
      <c r="AI1198" s="287">
        <v>0.04</v>
      </c>
      <c r="AJ1198" s="287">
        <v>5.2999999999999999E-2</v>
      </c>
      <c r="AK1198" s="318">
        <f t="shared" ref="AK1198:AK1238" si="826">+IF(AF1198=42,IF(MIN(AE1198,AG1198)&lt;AF1198,Y1198*((AF1198-MIN(AE1198,AG1198))/AF1198)),IF(MIN(AE1198,AG1198)&lt;AF1198,Y1198*((AF1198-MIN(AE1198,AG1198))/AF1198),0))</f>
        <v>15210.849004938167</v>
      </c>
      <c r="AL1198" s="193">
        <f>355*1</f>
        <v>355</v>
      </c>
      <c r="AM1198" s="319">
        <v>0</v>
      </c>
      <c r="AN1198" s="319"/>
      <c r="AO1198" s="320">
        <f t="shared" ref="AO1198:AO1238" si="827">AT1198*Y1198/AW1198</f>
        <v>0</v>
      </c>
      <c r="AP1198" s="193">
        <v>0</v>
      </c>
      <c r="AQ1198" s="318">
        <v>0</v>
      </c>
      <c r="AR1198" s="318">
        <f t="shared" ref="AR1198:AR1238" si="828">SUM(AK1198:AQ1198)</f>
        <v>15565.849004938167</v>
      </c>
      <c r="AS1198" s="318">
        <f t="shared" ref="AS1198:AS1238" si="829">ROUND(AR1198*1.05,0)</f>
        <v>16344</v>
      </c>
      <c r="AT1198" s="321">
        <v>0</v>
      </c>
      <c r="AU1198" s="206" t="s">
        <v>664</v>
      </c>
      <c r="AV1198" s="136"/>
      <c r="AW1198" s="318">
        <f t="shared" ref="AW1198:AW1238" si="830">W1198*100</f>
        <v>21300</v>
      </c>
      <c r="AX1198" s="193"/>
      <c r="AY1198" s="318">
        <f t="shared" ref="AY1198:AY1238" si="831">+AW1198+AX1198</f>
        <v>21300</v>
      </c>
      <c r="AZ1198" s="318">
        <f t="shared" ref="AZ1198:AZ1238" si="832">X1198*100</f>
        <v>21540</v>
      </c>
      <c r="BA1198" s="318">
        <f t="shared" ref="BA1198:BA1238" si="833">AY1198-AZ1198</f>
        <v>-240</v>
      </c>
      <c r="BB1198" s="318">
        <f t="shared" ref="BB1198:BB1238" si="834">AW1198*2/1000</f>
        <v>42.6</v>
      </c>
      <c r="BC1198" s="318">
        <v>0</v>
      </c>
      <c r="BD1198" s="136"/>
      <c r="BE1198" s="138">
        <v>215.75</v>
      </c>
      <c r="BF1198" s="321">
        <f t="shared" ref="BF1198:BF1238" si="835">+BE1198*0.15/100</f>
        <v>0.323625</v>
      </c>
      <c r="BG1198" s="197">
        <f t="shared" ref="BG1198:BG1238" si="836">BE1198-BF1198</f>
        <v>215.42637500000001</v>
      </c>
      <c r="BH1198" s="321">
        <f t="shared" ref="BH1198:BH1238" si="837">X1198</f>
        <v>215.4</v>
      </c>
      <c r="BI1198" s="322">
        <f t="shared" ref="BI1198:BI1238" si="838">(BE1198-BH1198)*100</f>
        <v>34.999999999999432</v>
      </c>
      <c r="BJ1198" s="322">
        <v>0</v>
      </c>
      <c r="BK1198" s="318">
        <f t="shared" ref="BK1198:BK1238" si="839">BI1198</f>
        <v>34.999999999999432</v>
      </c>
      <c r="BL1198" s="67"/>
      <c r="BM1198" s="68" t="str">
        <f t="shared" ref="BM1198:BM1238" si="840">+$C$1&amp;" "&amp;C1198 &amp;" "&amp;$N$1&amp;" "&amp;N1198&amp;" "&amp;$BM$1&amp;" "&amp;$AK$1&amp;" "&amp;AK1198&amp;" "&amp;$AL$1&amp;" "&amp;AL1198&amp;" "&amp;$AM$1&amp;" "&amp;AM1198&amp;" "&amp;$AN$1&amp;" "&amp;AN1198&amp;" "&amp;$AO$1&amp;" "&amp;AO1198&amp;" "&amp;$AP$1&amp;" "&amp;AP1198&amp;" "&amp;$AQ$1&amp;" "&amp;AQ1198</f>
        <v>Unloading no. 1164 Bill No 144 ,Deduction For Oil Deduction= 15210.8490049382 ,Bardana= 355 ,F.M= 0 Brokerage/Rate Difference  ,Shortage = 0 ,Greenish= 0 ,Moisture= 0</v>
      </c>
      <c r="BN1198" s="69"/>
      <c r="BO1198" s="70" t="str">
        <f t="shared" ref="BO1198:BO1238" si="841">+" "&amp;$AF$1&amp;" "&amp;AF1198&amp;" "&amp;" "&amp;$AH$1&amp;" "&amp;AH1198*100&amp;" "&amp;$AI$1&amp;" "&amp;AI1198*100&amp;" "&amp;$AJ$1&amp;" "&amp;AJ1198*100&amp;" ,"&amp;$AT$1&amp;" "&amp;AT1198&amp;" "&amp;IF(AE1198&gt;AG1198," ,Oil%"&amp;" "&amp;AG1198," ,Oil%"&amp;" "&amp;AE1198)</f>
        <v xml:space="preserve"> Party Condition 40.5  ,F.M% 0.18 ,Greenish 4 ,Moisture 5.3 ,Shortage in KG= 0  ,Oil% 40.13</v>
      </c>
      <c r="BP1198" s="71">
        <f t="shared" ref="BP1198:BP1238" si="842">(Y1198-AR1198)/X1198</f>
        <v>7657.4069684079004</v>
      </c>
      <c r="BQ1198" s="55"/>
      <c r="BR1198" s="55"/>
      <c r="BS1198" s="41"/>
      <c r="BT1198" s="41"/>
      <c r="BU1198" s="41"/>
      <c r="BV1198" s="41"/>
      <c r="BW1198" s="85"/>
      <c r="BX1198" s="27">
        <v>40.29</v>
      </c>
      <c r="BY1198" s="27">
        <v>40.130000000000003</v>
      </c>
    </row>
    <row r="1199" spans="1:83" ht="14.1" hidden="1" customHeight="1" x14ac:dyDescent="0.3">
      <c r="A1199" s="281" t="s">
        <v>2575</v>
      </c>
      <c r="B1199" s="146">
        <v>46212</v>
      </c>
      <c r="C1199" s="138">
        <v>1165</v>
      </c>
      <c r="D1199" s="138" t="s">
        <v>2590</v>
      </c>
      <c r="E1199" s="129">
        <v>46214</v>
      </c>
      <c r="F1199" s="128" t="s">
        <v>2079</v>
      </c>
      <c r="G1199" s="128" t="s">
        <v>2080</v>
      </c>
      <c r="H1199" s="138" t="s">
        <v>2081</v>
      </c>
      <c r="I1199" s="136"/>
      <c r="J1199" s="138" t="s">
        <v>2499</v>
      </c>
      <c r="K1199" s="136"/>
      <c r="L1199" s="146">
        <v>46212</v>
      </c>
      <c r="M1199" s="136"/>
      <c r="N1199" s="128" t="s">
        <v>2632</v>
      </c>
      <c r="O1199" s="130">
        <v>46213</v>
      </c>
      <c r="P1199" s="138">
        <v>0</v>
      </c>
      <c r="Q1199" s="138">
        <v>114</v>
      </c>
      <c r="R1199" s="138">
        <v>300</v>
      </c>
      <c r="S1199" s="138">
        <v>414</v>
      </c>
      <c r="T1199" s="138">
        <v>414</v>
      </c>
      <c r="U1199" s="136"/>
      <c r="V1199" s="136"/>
      <c r="W1199" s="147">
        <v>252.9</v>
      </c>
      <c r="X1199" s="147">
        <v>252.2</v>
      </c>
      <c r="Y1199" s="147">
        <v>2030787</v>
      </c>
      <c r="Z1199" s="165"/>
      <c r="AA1199" s="147">
        <v>50769.68</v>
      </c>
      <c r="AB1199" s="147">
        <v>50769.68</v>
      </c>
      <c r="AC1199" s="147">
        <v>2132326.35</v>
      </c>
      <c r="AD1199" s="315">
        <f t="shared" si="825"/>
        <v>2130194.0236499999</v>
      </c>
      <c r="AE1199" s="147">
        <v>40.08</v>
      </c>
      <c r="AF1199" s="147">
        <v>42</v>
      </c>
      <c r="AG1199" s="147">
        <v>39.93</v>
      </c>
      <c r="AH1199" s="287">
        <v>2.8E-3</v>
      </c>
      <c r="AI1199" s="287">
        <v>3.49E-2</v>
      </c>
      <c r="AJ1199" s="397">
        <v>5.62E-2</v>
      </c>
      <c r="AK1199" s="318">
        <f>+IF(AF1199=42,IF(MIN(AE1199,AG1199)&lt;AF1199,Y1199*((AF1199-MIN(AE1199,AG1199))/AF1199)),IF(MIN(AE1199,AG1199)&lt;AF1199,Y1199*((AF1199-MIN(AE1199,AG1199))/AF1199),0))-40.25</f>
        <v>100048.53785714287</v>
      </c>
      <c r="AL1199" s="193">
        <f>114*10+300*15</f>
        <v>5640</v>
      </c>
      <c r="AM1199" s="319">
        <f t="shared" ref="AM1199:AM1204" si="843">Y1199*AH1199</f>
        <v>5686.2035999999998</v>
      </c>
      <c r="AN1199" s="319"/>
      <c r="AO1199" s="320">
        <f t="shared" si="827"/>
        <v>5621</v>
      </c>
      <c r="AP1199" s="193">
        <v>0</v>
      </c>
      <c r="AQ1199" s="439">
        <f>Y1199*0.62/100</f>
        <v>12590.8794</v>
      </c>
      <c r="AR1199" s="318">
        <f t="shared" si="828"/>
        <v>129586.62085714287</v>
      </c>
      <c r="AS1199" s="318">
        <f t="shared" si="829"/>
        <v>136066</v>
      </c>
      <c r="AT1199" s="321">
        <v>70</v>
      </c>
      <c r="AU1199" s="157"/>
      <c r="AV1199" s="136"/>
      <c r="AW1199" s="318">
        <f t="shared" si="830"/>
        <v>25290</v>
      </c>
      <c r="AX1199" s="193"/>
      <c r="AY1199" s="318">
        <f t="shared" si="831"/>
        <v>25290</v>
      </c>
      <c r="AZ1199" s="318">
        <f t="shared" si="832"/>
        <v>25220</v>
      </c>
      <c r="BA1199" s="318">
        <f t="shared" si="833"/>
        <v>70</v>
      </c>
      <c r="BB1199" s="318">
        <f t="shared" si="834"/>
        <v>50.58</v>
      </c>
      <c r="BC1199" s="318">
        <v>0</v>
      </c>
      <c r="BD1199" s="136"/>
      <c r="BE1199" s="138">
        <v>252.9</v>
      </c>
      <c r="BF1199" s="321">
        <f t="shared" si="835"/>
        <v>0.37935000000000002</v>
      </c>
      <c r="BG1199" s="197">
        <f t="shared" si="836"/>
        <v>252.52065000000002</v>
      </c>
      <c r="BH1199" s="321">
        <f t="shared" si="837"/>
        <v>252.2</v>
      </c>
      <c r="BI1199" s="322">
        <f t="shared" si="838"/>
        <v>70.000000000001705</v>
      </c>
      <c r="BJ1199" s="322">
        <v>0</v>
      </c>
      <c r="BK1199" s="318">
        <f t="shared" si="839"/>
        <v>70.000000000001705</v>
      </c>
      <c r="BL1199" s="67"/>
      <c r="BM1199" s="68" t="str">
        <f t="shared" si="840"/>
        <v>Unloading no. 1165 Bill No FMT27MLRJ001968 ,Deduction For Oil Deduction= 100048.537857143 ,Bardana= 5640 ,F.M= 5686.2036 Brokerage/Rate Difference  ,Shortage = 5621 ,Greenish= 0 ,Moisture= 12590.8794</v>
      </c>
      <c r="BN1199" s="69"/>
      <c r="BO1199" s="70" t="str">
        <f t="shared" si="841"/>
        <v xml:space="preserve"> Party Condition 42  ,F.M% 0.28 ,Greenish 3.49 ,Moisture 5.62 ,Shortage in KG= 70  ,Oil% 39.93</v>
      </c>
      <c r="BP1199" s="71">
        <f t="shared" si="842"/>
        <v>7538.4630418035576</v>
      </c>
      <c r="BQ1199" s="55"/>
      <c r="BR1199" s="55"/>
      <c r="BS1199" s="41"/>
      <c r="BT1199" s="41"/>
      <c r="BU1199" s="41"/>
      <c r="BV1199" s="41"/>
      <c r="BW1199" s="85"/>
      <c r="BX1199" s="27">
        <v>40.08</v>
      </c>
      <c r="BY1199" s="27">
        <v>39.93</v>
      </c>
      <c r="CA1199" s="56">
        <v>130164.13</v>
      </c>
      <c r="CC1199" s="57">
        <f t="shared" ref="CC1199" si="844">AS1199-CA1199</f>
        <v>5901.8699999999953</v>
      </c>
      <c r="CE1199" s="88">
        <f t="shared" ref="CE1199" si="845">CC1199/105%</f>
        <v>5620.8285714285666</v>
      </c>
    </row>
    <row r="1200" spans="1:83" ht="14.1" hidden="1" customHeight="1" x14ac:dyDescent="0.3">
      <c r="A1200" s="281" t="s">
        <v>2539</v>
      </c>
      <c r="B1200" s="146">
        <v>46212</v>
      </c>
      <c r="C1200" s="138">
        <v>1166</v>
      </c>
      <c r="D1200" s="138" t="s">
        <v>2591</v>
      </c>
      <c r="E1200" s="129">
        <v>46214</v>
      </c>
      <c r="F1200" s="128" t="s">
        <v>2555</v>
      </c>
      <c r="G1200" s="128" t="s">
        <v>2556</v>
      </c>
      <c r="H1200" s="138" t="s">
        <v>2081</v>
      </c>
      <c r="I1200" s="136"/>
      <c r="J1200" s="138" t="s">
        <v>2499</v>
      </c>
      <c r="K1200" s="136"/>
      <c r="L1200" s="146">
        <v>46212</v>
      </c>
      <c r="M1200" s="136"/>
      <c r="N1200" s="128" t="s">
        <v>2633</v>
      </c>
      <c r="O1200" s="130">
        <v>46213</v>
      </c>
      <c r="P1200" s="138">
        <v>0</v>
      </c>
      <c r="Q1200" s="138">
        <v>0</v>
      </c>
      <c r="R1200" s="138">
        <v>330</v>
      </c>
      <c r="S1200" s="138">
        <v>330</v>
      </c>
      <c r="T1200" s="138">
        <v>330</v>
      </c>
      <c r="U1200" s="136"/>
      <c r="V1200" s="136"/>
      <c r="W1200" s="147">
        <v>231.8</v>
      </c>
      <c r="X1200" s="147">
        <v>228.9</v>
      </c>
      <c r="Y1200" s="147">
        <v>1860195</v>
      </c>
      <c r="Z1200" s="165"/>
      <c r="AA1200" s="147">
        <v>46504.88</v>
      </c>
      <c r="AB1200" s="147">
        <v>46504.88</v>
      </c>
      <c r="AC1200" s="147">
        <v>1953204.75</v>
      </c>
      <c r="AD1200" s="315">
        <f t="shared" si="825"/>
        <v>1951251.54525</v>
      </c>
      <c r="AE1200" s="147">
        <v>38.25</v>
      </c>
      <c r="AF1200" s="147">
        <v>42</v>
      </c>
      <c r="AG1200" s="147">
        <v>38.17</v>
      </c>
      <c r="AH1200" s="287">
        <v>9.4999999999999998E-3</v>
      </c>
      <c r="AI1200" s="287">
        <v>3.2500000000000001E-2</v>
      </c>
      <c r="AJ1200" s="397">
        <v>5.1499999999999997E-2</v>
      </c>
      <c r="AK1200" s="318">
        <f>+IF(AF1200=42,IF(MIN(AE1200,AG1200)&lt;AF1200,Y1200*((AF1200-MIN(AE1200,AG1200))/AF1200)),IF(MIN(AE1200,AG1200)&lt;AF1200,Y1200*((AF1200-MIN(AE1200,AG1200))/AF1200),0))-67.78</f>
        <v>169564.2878571428</v>
      </c>
      <c r="AL1200" s="193">
        <f>330*15</f>
        <v>4950</v>
      </c>
      <c r="AM1200" s="319">
        <f t="shared" si="843"/>
        <v>17671.852500000001</v>
      </c>
      <c r="AN1200" s="319">
        <f>X1200*15</f>
        <v>3433.5</v>
      </c>
      <c r="AO1200" s="320">
        <f t="shared" si="827"/>
        <v>15247.5</v>
      </c>
      <c r="AP1200" s="193">
        <v>0</v>
      </c>
      <c r="AQ1200" s="439">
        <f>Y1200*0.15/100</f>
        <v>2790.2925</v>
      </c>
      <c r="AR1200" s="318">
        <f t="shared" si="828"/>
        <v>213657.43285714282</v>
      </c>
      <c r="AS1200" s="318">
        <f t="shared" si="829"/>
        <v>224340</v>
      </c>
      <c r="AT1200" s="321">
        <v>190</v>
      </c>
      <c r="AU1200" s="157"/>
      <c r="AV1200" s="136"/>
      <c r="AW1200" s="318">
        <f t="shared" si="830"/>
        <v>23180</v>
      </c>
      <c r="AX1200" s="193"/>
      <c r="AY1200" s="318">
        <f t="shared" si="831"/>
        <v>23180</v>
      </c>
      <c r="AZ1200" s="318">
        <f t="shared" si="832"/>
        <v>22890</v>
      </c>
      <c r="BA1200" s="318">
        <f t="shared" si="833"/>
        <v>290</v>
      </c>
      <c r="BB1200" s="318">
        <f t="shared" si="834"/>
        <v>46.36</v>
      </c>
      <c r="BC1200" s="318">
        <v>0</v>
      </c>
      <c r="BD1200" s="136"/>
      <c r="BE1200" s="138">
        <v>230.8</v>
      </c>
      <c r="BF1200" s="321">
        <f t="shared" si="835"/>
        <v>0.34619999999999995</v>
      </c>
      <c r="BG1200" s="197">
        <f t="shared" si="836"/>
        <v>230.4538</v>
      </c>
      <c r="BH1200" s="321">
        <f t="shared" si="837"/>
        <v>228.9</v>
      </c>
      <c r="BI1200" s="322">
        <f t="shared" si="838"/>
        <v>190.00000000000057</v>
      </c>
      <c r="BJ1200" s="322">
        <v>0</v>
      </c>
      <c r="BK1200" s="318">
        <f t="shared" si="839"/>
        <v>190.00000000000057</v>
      </c>
      <c r="BL1200" s="67"/>
      <c r="BM1200" s="68" t="str">
        <f t="shared" si="840"/>
        <v>Unloading no. 1166 Bill No STRJ/26-27/173 ,Deduction For Oil Deduction= 169564.287857143 ,Bardana= 4950 ,F.M= 17671.8525 Brokerage/Rate Difference 3433.5 ,Shortage = 15247.5 ,Greenish= 0 ,Moisture= 2790.2925</v>
      </c>
      <c r="BN1200" s="69"/>
      <c r="BO1200" s="70" t="str">
        <f t="shared" si="841"/>
        <v xml:space="preserve"> Party Condition 42  ,F.M% 0.95 ,Greenish 3.25 ,Moisture 5.15 ,Shortage in KG= 190  ,Oil% 38.17</v>
      </c>
      <c r="BP1200" s="71">
        <f t="shared" si="842"/>
        <v>7193.2615427822511</v>
      </c>
      <c r="BQ1200" s="55"/>
      <c r="BR1200" s="55"/>
      <c r="BS1200" s="41"/>
      <c r="BT1200" s="41"/>
      <c r="BU1200" s="41"/>
      <c r="BV1200" s="41"/>
      <c r="BW1200" s="85"/>
      <c r="BX1200" s="27">
        <v>38.25</v>
      </c>
      <c r="BY1200" s="27">
        <v>38.17</v>
      </c>
      <c r="CA1200" s="56">
        <v>208204.38</v>
      </c>
      <c r="CC1200" s="57">
        <f t="shared" ref="CC1200" si="846">AS1200-CA1200</f>
        <v>16135.619999999995</v>
      </c>
      <c r="CE1200" s="88">
        <f t="shared" ref="CE1200" si="847">CC1200/105%</f>
        <v>15367.257142857137</v>
      </c>
    </row>
    <row r="1201" spans="1:86" ht="14.1" hidden="1" customHeight="1" x14ac:dyDescent="0.3">
      <c r="A1201" s="281" t="s">
        <v>2576</v>
      </c>
      <c r="B1201" s="146">
        <v>46212</v>
      </c>
      <c r="C1201" s="138">
        <v>1167</v>
      </c>
      <c r="D1201" s="138" t="s">
        <v>2592</v>
      </c>
      <c r="E1201" s="129">
        <v>46214</v>
      </c>
      <c r="F1201" s="128" t="s">
        <v>1382</v>
      </c>
      <c r="G1201" s="128" t="s">
        <v>1383</v>
      </c>
      <c r="H1201" s="138" t="s">
        <v>1384</v>
      </c>
      <c r="I1201" s="136"/>
      <c r="J1201" s="138" t="s">
        <v>2499</v>
      </c>
      <c r="K1201" s="136"/>
      <c r="L1201" s="146">
        <v>46212</v>
      </c>
      <c r="M1201" s="136"/>
      <c r="N1201" s="128">
        <v>27</v>
      </c>
      <c r="O1201" s="130">
        <v>46212</v>
      </c>
      <c r="P1201" s="138">
        <v>0</v>
      </c>
      <c r="Q1201" s="138">
        <v>0</v>
      </c>
      <c r="R1201" s="138">
        <v>567</v>
      </c>
      <c r="S1201" s="138">
        <v>567</v>
      </c>
      <c r="T1201" s="138">
        <v>567</v>
      </c>
      <c r="U1201" s="136"/>
      <c r="V1201" s="136"/>
      <c r="W1201" s="147">
        <v>349.4</v>
      </c>
      <c r="X1201" s="147">
        <v>348.7</v>
      </c>
      <c r="Y1201" s="147">
        <v>2805682</v>
      </c>
      <c r="Z1201" s="165"/>
      <c r="AA1201" s="147">
        <v>70142.05</v>
      </c>
      <c r="AB1201" s="147">
        <v>70142.05</v>
      </c>
      <c r="AC1201" s="147">
        <v>2945966.1</v>
      </c>
      <c r="AD1201" s="315">
        <f t="shared" si="825"/>
        <v>2943020.1339000002</v>
      </c>
      <c r="AE1201" s="147">
        <v>39.619999999999997</v>
      </c>
      <c r="AF1201" s="147">
        <v>42</v>
      </c>
      <c r="AG1201" s="147">
        <v>39.51</v>
      </c>
      <c r="AH1201" s="418">
        <v>2.3E-3</v>
      </c>
      <c r="AI1201" s="287">
        <v>3.3000000000000002E-2</v>
      </c>
      <c r="AJ1201" s="287">
        <v>4.3999999999999997E-2</v>
      </c>
      <c r="AK1201" s="318">
        <f>+IF(AF1201=42,IF(MIN(AE1201,AG1201)&lt;AF1201,Y1201*((AF1201-MIN(AE1201,AG1201))/AF1201)),IF(MIN(AE1201,AG1201)&lt;AF1201,Y1201*((AF1201-MIN(AE1201,AG1201))/AF1201),0))-66.67</f>
        <v>166270.19142857153</v>
      </c>
      <c r="AL1201" s="193">
        <f>567*15</f>
        <v>8505</v>
      </c>
      <c r="AM1201" s="319">
        <f t="shared" si="843"/>
        <v>6453.0685999999996</v>
      </c>
      <c r="AN1201" s="319"/>
      <c r="AO1201" s="320">
        <f t="shared" si="827"/>
        <v>5621</v>
      </c>
      <c r="AP1201" s="193">
        <v>0</v>
      </c>
      <c r="AQ1201" s="318">
        <v>0</v>
      </c>
      <c r="AR1201" s="318">
        <f t="shared" si="828"/>
        <v>186849.26002857153</v>
      </c>
      <c r="AS1201" s="318">
        <f t="shared" si="829"/>
        <v>196192</v>
      </c>
      <c r="AT1201" s="321">
        <v>70</v>
      </c>
      <c r="AU1201" s="157"/>
      <c r="AV1201" s="136"/>
      <c r="AW1201" s="318">
        <f t="shared" si="830"/>
        <v>34940</v>
      </c>
      <c r="AX1201" s="193"/>
      <c r="AY1201" s="318">
        <f t="shared" si="831"/>
        <v>34940</v>
      </c>
      <c r="AZ1201" s="318">
        <f t="shared" si="832"/>
        <v>34870</v>
      </c>
      <c r="BA1201" s="318">
        <f t="shared" si="833"/>
        <v>70</v>
      </c>
      <c r="BB1201" s="318">
        <f t="shared" si="834"/>
        <v>69.88</v>
      </c>
      <c r="BC1201" s="318">
        <v>0</v>
      </c>
      <c r="BD1201" s="136"/>
      <c r="BE1201" s="138">
        <v>349.4</v>
      </c>
      <c r="BF1201" s="321">
        <f t="shared" si="835"/>
        <v>0.52410000000000001</v>
      </c>
      <c r="BG1201" s="197">
        <f t="shared" si="836"/>
        <v>348.8759</v>
      </c>
      <c r="BH1201" s="321">
        <f t="shared" si="837"/>
        <v>348.7</v>
      </c>
      <c r="BI1201" s="322">
        <f t="shared" si="838"/>
        <v>69.999999999998863</v>
      </c>
      <c r="BJ1201" s="322">
        <v>0</v>
      </c>
      <c r="BK1201" s="318">
        <f t="shared" si="839"/>
        <v>69.999999999998863</v>
      </c>
      <c r="BL1201" s="67"/>
      <c r="BM1201" s="68" t="str">
        <f t="shared" si="840"/>
        <v>Unloading no. 1167 Bill No 27 ,Deduction For Oil Deduction= 166270.191428572 ,Bardana= 8505 ,F.M= 6453.0686 Brokerage/Rate Difference  ,Shortage = 5621 ,Greenish= 0 ,Moisture= 0</v>
      </c>
      <c r="BN1201" s="69"/>
      <c r="BO1201" s="70" t="str">
        <f t="shared" si="841"/>
        <v xml:space="preserve"> Party Condition 42  ,F.M% 0.23 ,Greenish 3.3 ,Moisture 4.4 ,Shortage in KG= 70  ,Oil% 39.51</v>
      </c>
      <c r="BP1201" s="71">
        <f t="shared" si="842"/>
        <v>7510.2745625793768</v>
      </c>
      <c r="BQ1201" s="55"/>
      <c r="BR1201" s="55"/>
      <c r="BS1201" s="41"/>
      <c r="BT1201" s="41"/>
      <c r="BU1201" s="41"/>
      <c r="BV1201" s="41"/>
      <c r="BW1201" s="85"/>
      <c r="BX1201" s="27">
        <v>39.619999999999997</v>
      </c>
      <c r="BY1201" s="27">
        <v>39.51</v>
      </c>
      <c r="CA1201" s="56">
        <v>190289.84</v>
      </c>
      <c r="CC1201" s="57">
        <f t="shared" ref="CC1201:CC1203" si="848">AS1201-CA1201</f>
        <v>5902.1600000000035</v>
      </c>
      <c r="CE1201" s="88">
        <f t="shared" ref="CE1201:CE1203" si="849">CC1201/105%</f>
        <v>5621.1047619047649</v>
      </c>
    </row>
    <row r="1202" spans="1:86" ht="14.1" hidden="1" customHeight="1" x14ac:dyDescent="0.3">
      <c r="A1202" s="281" t="s">
        <v>2577</v>
      </c>
      <c r="B1202" s="146">
        <v>46213</v>
      </c>
      <c r="C1202" s="138">
        <v>1168</v>
      </c>
      <c r="D1202" s="138" t="s">
        <v>2593</v>
      </c>
      <c r="E1202" s="129">
        <v>46214</v>
      </c>
      <c r="F1202" s="128" t="s">
        <v>2629</v>
      </c>
      <c r="G1202" s="128" t="s">
        <v>2630</v>
      </c>
      <c r="H1202" s="138" t="s">
        <v>2631</v>
      </c>
      <c r="I1202" s="136"/>
      <c r="J1202" s="138" t="s">
        <v>2499</v>
      </c>
      <c r="K1202" s="136"/>
      <c r="L1202" s="146">
        <v>46213</v>
      </c>
      <c r="M1202" s="136"/>
      <c r="N1202" s="128">
        <v>417</v>
      </c>
      <c r="O1202" s="130">
        <v>46213</v>
      </c>
      <c r="P1202" s="138">
        <v>0</v>
      </c>
      <c r="Q1202" s="138">
        <v>272</v>
      </c>
      <c r="R1202" s="138">
        <v>0</v>
      </c>
      <c r="S1202" s="138">
        <v>272</v>
      </c>
      <c r="T1202" s="138">
        <v>272</v>
      </c>
      <c r="U1202" s="136"/>
      <c r="V1202" s="136"/>
      <c r="W1202" s="147">
        <v>151.25</v>
      </c>
      <c r="X1202" s="147">
        <v>151.19999999999999</v>
      </c>
      <c r="Y1202" s="147">
        <v>1210000</v>
      </c>
      <c r="Z1202" s="165"/>
      <c r="AA1202" s="147">
        <v>30250</v>
      </c>
      <c r="AB1202" s="147">
        <v>30250</v>
      </c>
      <c r="AC1202" s="147">
        <v>1270500</v>
      </c>
      <c r="AD1202" s="315">
        <f t="shared" si="825"/>
        <v>1269229.5</v>
      </c>
      <c r="AE1202" s="147">
        <v>40.1</v>
      </c>
      <c r="AF1202" s="147">
        <v>42</v>
      </c>
      <c r="AG1202" s="147">
        <v>39.799999999999997</v>
      </c>
      <c r="AH1202" s="418">
        <v>1.6000000000000001E-3</v>
      </c>
      <c r="AI1202" s="287">
        <v>3.4500000000000003E-2</v>
      </c>
      <c r="AJ1202" s="397">
        <v>5.0500000000000003E-2</v>
      </c>
      <c r="AK1202" s="318">
        <f>+IF(AF1202=42,IF(MIN(AE1202,AG1202)&lt;AF1202,Y1202*((AF1202-MIN(AE1202,AG1202))/AF1202)),IF(MIN(AE1202,AG1202)&lt;AF1202,Y1202*((AF1202-MIN(AE1202,AG1202))/AF1202),0))-25.4</f>
        <v>63355.552380952468</v>
      </c>
      <c r="AL1202" s="193">
        <f>272*10</f>
        <v>2720</v>
      </c>
      <c r="AM1202" s="319">
        <f t="shared" si="843"/>
        <v>1936</v>
      </c>
      <c r="AN1202" s="319"/>
      <c r="AO1202" s="320">
        <f t="shared" si="827"/>
        <v>400</v>
      </c>
      <c r="AP1202" s="193">
        <v>0</v>
      </c>
      <c r="AQ1202" s="439">
        <f>Y1202*0.05/100</f>
        <v>605</v>
      </c>
      <c r="AR1202" s="318">
        <f t="shared" si="828"/>
        <v>69016.55238095246</v>
      </c>
      <c r="AS1202" s="318">
        <f t="shared" si="829"/>
        <v>72467</v>
      </c>
      <c r="AT1202" s="321">
        <v>5</v>
      </c>
      <c r="AU1202" s="157"/>
      <c r="AV1202" s="136"/>
      <c r="AW1202" s="318">
        <f t="shared" si="830"/>
        <v>15125</v>
      </c>
      <c r="AX1202" s="193"/>
      <c r="AY1202" s="318">
        <f t="shared" si="831"/>
        <v>15125</v>
      </c>
      <c r="AZ1202" s="318">
        <f t="shared" si="832"/>
        <v>15119.999999999998</v>
      </c>
      <c r="BA1202" s="318">
        <f t="shared" si="833"/>
        <v>5.000000000001819</v>
      </c>
      <c r="BB1202" s="318">
        <f t="shared" si="834"/>
        <v>30.25</v>
      </c>
      <c r="BC1202" s="318">
        <v>0</v>
      </c>
      <c r="BD1202" s="136"/>
      <c r="BE1202" s="138">
        <v>151.25</v>
      </c>
      <c r="BF1202" s="321">
        <f t="shared" si="835"/>
        <v>0.22687499999999999</v>
      </c>
      <c r="BG1202" s="197">
        <f t="shared" si="836"/>
        <v>151.02312499999999</v>
      </c>
      <c r="BH1202" s="321">
        <f t="shared" si="837"/>
        <v>151.19999999999999</v>
      </c>
      <c r="BI1202" s="322">
        <f t="shared" si="838"/>
        <v>5.0000000000011369</v>
      </c>
      <c r="BJ1202" s="322">
        <v>0</v>
      </c>
      <c r="BK1202" s="318">
        <f t="shared" si="839"/>
        <v>5.0000000000011369</v>
      </c>
      <c r="BL1202" s="67"/>
      <c r="BM1202" s="68" t="str">
        <f t="shared" si="840"/>
        <v>Unloading no. 1168 Bill No 417 ,Deduction For Oil Deduction= 63355.5523809525 ,Bardana= 2720 ,F.M= 1936 Brokerage/Rate Difference  ,Shortage = 400 ,Greenish= 0 ,Moisture= 605</v>
      </c>
      <c r="BN1202" s="69"/>
      <c r="BO1202" s="70" t="str">
        <f t="shared" si="841"/>
        <v xml:space="preserve"> Party Condition 42  ,F.M% 0.16 ,Greenish 3.45 ,Moisture 5.05 ,Shortage in KG= 5  ,Oil% 39.8</v>
      </c>
      <c r="BP1202" s="71">
        <f t="shared" si="842"/>
        <v>7546.1868228772992</v>
      </c>
      <c r="BQ1202" s="55"/>
      <c r="BR1202" s="55"/>
      <c r="BS1202" s="41"/>
      <c r="BT1202" s="41"/>
      <c r="BU1202" s="41"/>
      <c r="BV1202" s="41"/>
      <c r="BW1202" s="85"/>
      <c r="BX1202" s="27">
        <v>40.1</v>
      </c>
      <c r="BY1202" s="27">
        <v>39.799999999999997</v>
      </c>
      <c r="CA1202" s="56">
        <v>72047.44</v>
      </c>
      <c r="CC1202" s="57">
        <f t="shared" si="848"/>
        <v>419.55999999999767</v>
      </c>
      <c r="CE1202" s="88">
        <f t="shared" si="849"/>
        <v>399.58095238095012</v>
      </c>
    </row>
    <row r="1203" spans="1:86" ht="14.1" hidden="1" customHeight="1" x14ac:dyDescent="0.3">
      <c r="A1203" s="281" t="s">
        <v>2539</v>
      </c>
      <c r="B1203" s="146">
        <v>46212</v>
      </c>
      <c r="C1203" s="138">
        <v>1169</v>
      </c>
      <c r="D1203" s="138" t="s">
        <v>2594</v>
      </c>
      <c r="E1203" s="129">
        <v>46214</v>
      </c>
      <c r="F1203" s="128" t="s">
        <v>2555</v>
      </c>
      <c r="G1203" s="128" t="s">
        <v>2556</v>
      </c>
      <c r="H1203" s="138" t="s">
        <v>2081</v>
      </c>
      <c r="I1203" s="136"/>
      <c r="J1203" s="138" t="s">
        <v>2499</v>
      </c>
      <c r="K1203" s="136"/>
      <c r="L1203" s="146">
        <v>46212</v>
      </c>
      <c r="M1203" s="136"/>
      <c r="N1203" s="128" t="s">
        <v>2634</v>
      </c>
      <c r="O1203" s="130">
        <v>46213</v>
      </c>
      <c r="P1203" s="138">
        <v>0</v>
      </c>
      <c r="Q1203" s="138">
        <v>479</v>
      </c>
      <c r="R1203" s="138">
        <v>100</v>
      </c>
      <c r="S1203" s="138">
        <v>579</v>
      </c>
      <c r="T1203" s="138">
        <v>579</v>
      </c>
      <c r="U1203" s="136"/>
      <c r="V1203" s="136"/>
      <c r="W1203" s="147">
        <v>355</v>
      </c>
      <c r="X1203" s="147">
        <v>352.1</v>
      </c>
      <c r="Y1203" s="147">
        <v>2848875</v>
      </c>
      <c r="Z1203" s="165"/>
      <c r="AA1203" s="147">
        <v>71221.88</v>
      </c>
      <c r="AB1203" s="147">
        <v>71221.88</v>
      </c>
      <c r="AC1203" s="147">
        <v>2991318.75</v>
      </c>
      <c r="AD1203" s="315">
        <f t="shared" si="825"/>
        <v>2988327.4312499999</v>
      </c>
      <c r="AE1203" s="173">
        <v>39.4</v>
      </c>
      <c r="AF1203" s="147">
        <v>42</v>
      </c>
      <c r="AG1203" s="173">
        <v>39.28</v>
      </c>
      <c r="AH1203" s="287">
        <v>1.61E-2</v>
      </c>
      <c r="AI1203" s="397">
        <v>6.6799999999999998E-2</v>
      </c>
      <c r="AJ1203" s="287">
        <v>4.7E-2</v>
      </c>
      <c r="AK1203" s="318">
        <f>+IF(AF1203=42,IF(MIN(AE1203,AG1203)&lt;AF1203,Y1203*((AF1203-MIN(AE1203,AG1203))/AF1203)),IF(MIN(AE1203,AG1203)&lt;AF1203,Y1203*((AF1203-MIN(AE1203,AG1203))/AF1203),0))-74.23</f>
        <v>184424.34142857132</v>
      </c>
      <c r="AL1203" s="193">
        <f>479*10+100*15</f>
        <v>6290</v>
      </c>
      <c r="AM1203" s="319">
        <f t="shared" si="843"/>
        <v>45866.887499999997</v>
      </c>
      <c r="AN1203" s="319">
        <f>X1203*15</f>
        <v>5281.5</v>
      </c>
      <c r="AO1203" s="320">
        <f t="shared" si="827"/>
        <v>23272.5</v>
      </c>
      <c r="AP1203" s="413">
        <f>Y1203*1.18/100</f>
        <v>33616.724999999999</v>
      </c>
      <c r="AQ1203" s="318">
        <v>0</v>
      </c>
      <c r="AR1203" s="318">
        <f t="shared" si="828"/>
        <v>298751.95392857131</v>
      </c>
      <c r="AS1203" s="318">
        <f t="shared" si="829"/>
        <v>313690</v>
      </c>
      <c r="AT1203" s="321">
        <v>290</v>
      </c>
      <c r="AU1203" s="157"/>
      <c r="AV1203" s="136"/>
      <c r="AW1203" s="318">
        <f t="shared" si="830"/>
        <v>35500</v>
      </c>
      <c r="AX1203" s="193"/>
      <c r="AY1203" s="318">
        <f t="shared" si="831"/>
        <v>35500</v>
      </c>
      <c r="AZ1203" s="318">
        <f t="shared" si="832"/>
        <v>35210</v>
      </c>
      <c r="BA1203" s="318">
        <f t="shared" si="833"/>
        <v>290</v>
      </c>
      <c r="BB1203" s="318">
        <f t="shared" si="834"/>
        <v>71</v>
      </c>
      <c r="BC1203" s="318">
        <v>0</v>
      </c>
      <c r="BD1203" s="136"/>
      <c r="BE1203" s="138">
        <v>355</v>
      </c>
      <c r="BF1203" s="321">
        <f t="shared" si="835"/>
        <v>0.53249999999999997</v>
      </c>
      <c r="BG1203" s="197">
        <f t="shared" si="836"/>
        <v>354.46749999999997</v>
      </c>
      <c r="BH1203" s="321">
        <f t="shared" si="837"/>
        <v>352.1</v>
      </c>
      <c r="BI1203" s="322">
        <f t="shared" si="838"/>
        <v>289.99999999999773</v>
      </c>
      <c r="BJ1203" s="322">
        <v>0</v>
      </c>
      <c r="BK1203" s="318">
        <f t="shared" si="839"/>
        <v>289.99999999999773</v>
      </c>
      <c r="BL1203" s="67"/>
      <c r="BM1203" s="68" t="str">
        <f t="shared" si="840"/>
        <v>Unloading no. 1169 Bill No STRJ/26-27/175 ,Deduction For Oil Deduction= 184424.341428571 ,Bardana= 6290 ,F.M= 45866.8875 Brokerage/Rate Difference 5281.5 ,Shortage = 23272.5 ,Greenish= 33616.725 ,Moisture= 0</v>
      </c>
      <c r="BN1203" s="69"/>
      <c r="BO1203" s="70" t="str">
        <f t="shared" si="841"/>
        <v xml:space="preserve"> Party Condition 42  ,F.M% 1.61 ,Greenish 6.68 ,Moisture 4.7 ,Shortage in KG= 290  ,Oil% 39.28</v>
      </c>
      <c r="BP1203" s="71">
        <f t="shared" si="842"/>
        <v>7242.6101848095104</v>
      </c>
      <c r="BQ1203" s="55"/>
      <c r="BR1203" s="55"/>
      <c r="BS1203" s="41"/>
      <c r="BT1203" s="41"/>
      <c r="BU1203" s="41"/>
      <c r="BV1203" s="41"/>
      <c r="BW1203" s="85"/>
      <c r="BX1203" s="30">
        <v>39.4</v>
      </c>
      <c r="BY1203" s="30">
        <v>39.28</v>
      </c>
      <c r="CA1203" s="56">
        <v>266818.98</v>
      </c>
      <c r="CC1203" s="57">
        <f t="shared" si="848"/>
        <v>46871.020000000019</v>
      </c>
      <c r="CE1203" s="88">
        <f t="shared" si="849"/>
        <v>44639.06666666668</v>
      </c>
    </row>
    <row r="1204" spans="1:86" ht="14.1" hidden="1" customHeight="1" x14ac:dyDescent="0.3">
      <c r="A1204" s="281" t="s">
        <v>2578</v>
      </c>
      <c r="B1204" s="146">
        <v>46212</v>
      </c>
      <c r="C1204" s="138">
        <v>1170</v>
      </c>
      <c r="D1204" s="138" t="s">
        <v>2595</v>
      </c>
      <c r="E1204" s="129">
        <v>46214</v>
      </c>
      <c r="F1204" s="128" t="s">
        <v>1691</v>
      </c>
      <c r="G1204" s="128" t="s">
        <v>1692</v>
      </c>
      <c r="H1204" s="138" t="s">
        <v>1693</v>
      </c>
      <c r="I1204" s="136"/>
      <c r="J1204" s="138" t="s">
        <v>2499</v>
      </c>
      <c r="K1204" s="136"/>
      <c r="L1204" s="146">
        <v>46212</v>
      </c>
      <c r="M1204" s="136"/>
      <c r="N1204" s="128" t="s">
        <v>1318</v>
      </c>
      <c r="O1204" s="130">
        <v>46213</v>
      </c>
      <c r="P1204" s="138">
        <v>0</v>
      </c>
      <c r="Q1204" s="138">
        <v>208</v>
      </c>
      <c r="R1204" s="138">
        <v>60</v>
      </c>
      <c r="S1204" s="138">
        <v>268</v>
      </c>
      <c r="T1204" s="138">
        <v>268</v>
      </c>
      <c r="U1204" s="136"/>
      <c r="V1204" s="136"/>
      <c r="W1204" s="147">
        <v>163.1</v>
      </c>
      <c r="X1204" s="147">
        <v>163.1</v>
      </c>
      <c r="Y1204" s="147">
        <v>1308877.5</v>
      </c>
      <c r="Z1204" s="165"/>
      <c r="AA1204" s="147">
        <v>32721.94</v>
      </c>
      <c r="AB1204" s="147">
        <v>32721.94</v>
      </c>
      <c r="AC1204" s="147">
        <v>1374321.38</v>
      </c>
      <c r="AD1204" s="315">
        <f t="shared" si="825"/>
        <v>1372947.0586199998</v>
      </c>
      <c r="AE1204" s="173">
        <v>40.299999999999997</v>
      </c>
      <c r="AF1204" s="147">
        <v>42</v>
      </c>
      <c r="AG1204" s="173">
        <v>40.06</v>
      </c>
      <c r="AH1204" s="287">
        <v>1.4E-3</v>
      </c>
      <c r="AI1204" s="287">
        <v>3.5999999999999997E-2</v>
      </c>
      <c r="AJ1204" s="397">
        <v>5.28E-2</v>
      </c>
      <c r="AK1204" s="318">
        <f>+IF(AF1204=42,IF(MIN(AE1204,AG1204)&lt;AF1204,Y1204*((AF1204-MIN(AE1204,AG1204))/AF1204)),IF(MIN(AE1204,AG1204)&lt;AF1204,Y1204*((AF1204-MIN(AE1204,AG1204))/AF1204),0))-24.51</f>
        <v>60433.164999999928</v>
      </c>
      <c r="AL1204" s="193">
        <f>208*10</f>
        <v>2080</v>
      </c>
      <c r="AM1204" s="319">
        <f t="shared" si="843"/>
        <v>1832.4285</v>
      </c>
      <c r="AN1204" s="319"/>
      <c r="AO1204" s="320">
        <f t="shared" si="827"/>
        <v>0</v>
      </c>
      <c r="AP1204" s="193">
        <v>0</v>
      </c>
      <c r="AQ1204" s="439">
        <f>Y1204*0.28/100</f>
        <v>3664.857</v>
      </c>
      <c r="AR1204" s="318">
        <f t="shared" si="828"/>
        <v>68010.450499999934</v>
      </c>
      <c r="AS1204" s="318">
        <f t="shared" si="829"/>
        <v>71411</v>
      </c>
      <c r="AT1204" s="321">
        <v>0</v>
      </c>
      <c r="AU1204" s="206" t="s">
        <v>2665</v>
      </c>
      <c r="AV1204" s="136"/>
      <c r="AW1204" s="318">
        <f t="shared" si="830"/>
        <v>16310</v>
      </c>
      <c r="AX1204" s="193"/>
      <c r="AY1204" s="318">
        <f t="shared" si="831"/>
        <v>16310</v>
      </c>
      <c r="AZ1204" s="318">
        <f t="shared" si="832"/>
        <v>16310</v>
      </c>
      <c r="BA1204" s="318">
        <f t="shared" si="833"/>
        <v>0</v>
      </c>
      <c r="BB1204" s="318">
        <f t="shared" si="834"/>
        <v>32.619999999999997</v>
      </c>
      <c r="BC1204" s="318">
        <v>0</v>
      </c>
      <c r="BD1204" s="136"/>
      <c r="BE1204" s="138">
        <v>163.1</v>
      </c>
      <c r="BF1204" s="321">
        <f t="shared" si="835"/>
        <v>0.24465000000000001</v>
      </c>
      <c r="BG1204" s="197">
        <f t="shared" si="836"/>
        <v>162.85534999999999</v>
      </c>
      <c r="BH1204" s="321">
        <f t="shared" si="837"/>
        <v>163.1</v>
      </c>
      <c r="BI1204" s="322">
        <f t="shared" si="838"/>
        <v>0</v>
      </c>
      <c r="BJ1204" s="322">
        <v>0</v>
      </c>
      <c r="BK1204" s="318">
        <f t="shared" si="839"/>
        <v>0</v>
      </c>
      <c r="BL1204" s="67"/>
      <c r="BM1204" s="68" t="str">
        <f t="shared" si="840"/>
        <v>Unloading no. 1170 Bill No 2026-27/77 ,Deduction For Oil Deduction= 60433.1649999999 ,Bardana= 2080 ,F.M= 1832.4285 Brokerage/Rate Difference  ,Shortage = 0 ,Greenish= 0 ,Moisture= 3664.857</v>
      </c>
      <c r="BN1204" s="69"/>
      <c r="BO1204" s="70" t="str">
        <f t="shared" si="841"/>
        <v xml:space="preserve"> Party Condition 42  ,F.M% 0.14 ,Greenish 3.6 ,Moisture 5.28 ,Shortage in KG= 0  ,Oil% 40.06</v>
      </c>
      <c r="BP1204" s="71">
        <f t="shared" si="842"/>
        <v>7608.0137921520536</v>
      </c>
      <c r="BQ1204" s="55"/>
      <c r="BR1204" s="55"/>
      <c r="BS1204" s="41"/>
      <c r="BT1204" s="41"/>
      <c r="BU1204" s="41"/>
      <c r="BV1204" s="41"/>
      <c r="BW1204" s="85"/>
      <c r="BX1204" s="30">
        <v>40.299999999999997</v>
      </c>
      <c r="BY1204" s="30">
        <v>40.06</v>
      </c>
      <c r="CA1204" s="56">
        <v>72218.89</v>
      </c>
      <c r="CC1204" s="57">
        <f t="shared" ref="CC1204:CC1209" si="850">AS1204-CA1204</f>
        <v>-807.88999999999942</v>
      </c>
      <c r="CE1204" s="88">
        <f t="shared" ref="CE1204:CE1209" si="851">CC1204/105%</f>
        <v>-769.41904761904698</v>
      </c>
    </row>
    <row r="1205" spans="1:86" ht="14.1" hidden="1" customHeight="1" x14ac:dyDescent="0.3">
      <c r="A1205" s="281" t="s">
        <v>2579</v>
      </c>
      <c r="B1205" s="146">
        <v>46210</v>
      </c>
      <c r="C1205" s="138">
        <v>1171</v>
      </c>
      <c r="D1205" s="190" t="s">
        <v>2596</v>
      </c>
      <c r="E1205" s="129">
        <v>46214</v>
      </c>
      <c r="F1205" s="128" t="s">
        <v>110</v>
      </c>
      <c r="G1205" s="160" t="s">
        <v>111</v>
      </c>
      <c r="H1205" s="138" t="s">
        <v>112</v>
      </c>
      <c r="I1205" s="136"/>
      <c r="J1205" s="138" t="s">
        <v>113</v>
      </c>
      <c r="K1205" s="136"/>
      <c r="L1205" s="146">
        <v>46210</v>
      </c>
      <c r="M1205" s="136"/>
      <c r="N1205" s="128" t="s">
        <v>2635</v>
      </c>
      <c r="O1205" s="130">
        <v>46213</v>
      </c>
      <c r="P1205" s="138">
        <v>0</v>
      </c>
      <c r="Q1205" s="138">
        <v>56</v>
      </c>
      <c r="R1205" s="138">
        <v>0</v>
      </c>
      <c r="S1205" s="138">
        <v>56</v>
      </c>
      <c r="T1205" s="138">
        <v>56</v>
      </c>
      <c r="U1205" s="136"/>
      <c r="V1205" s="136"/>
      <c r="W1205" s="147">
        <v>33.6</v>
      </c>
      <c r="X1205" s="147">
        <f>86.3-51.6</f>
        <v>34.699999999999996</v>
      </c>
      <c r="Y1205" s="147">
        <v>265641.59999999998</v>
      </c>
      <c r="Z1205" s="165"/>
      <c r="AA1205" s="147">
        <v>6641.04</v>
      </c>
      <c r="AB1205" s="147">
        <v>6641.04</v>
      </c>
      <c r="AC1205" s="147">
        <v>278923.68</v>
      </c>
      <c r="AD1205" s="315">
        <f t="shared" si="825"/>
        <v>278644.75631999999</v>
      </c>
      <c r="AE1205" s="173">
        <v>41.5</v>
      </c>
      <c r="AF1205" s="147">
        <v>41.09</v>
      </c>
      <c r="AG1205" s="173">
        <v>41.27</v>
      </c>
      <c r="AH1205" s="287">
        <v>1.6999999999999999E-3</v>
      </c>
      <c r="AI1205" s="287">
        <v>3.2000000000000001E-2</v>
      </c>
      <c r="AJ1205" s="287">
        <v>4.7E-2</v>
      </c>
      <c r="AK1205" s="318">
        <f t="shared" si="826"/>
        <v>0</v>
      </c>
      <c r="AL1205" s="193">
        <v>0</v>
      </c>
      <c r="AM1205" s="319">
        <v>0</v>
      </c>
      <c r="AN1205" s="319"/>
      <c r="AO1205" s="320">
        <f t="shared" si="827"/>
        <v>0</v>
      </c>
      <c r="AP1205" s="193">
        <v>0</v>
      </c>
      <c r="AQ1205" s="318">
        <v>0</v>
      </c>
      <c r="AR1205" s="325">
        <f t="shared" si="828"/>
        <v>0</v>
      </c>
      <c r="AS1205" s="318">
        <f t="shared" si="829"/>
        <v>0</v>
      </c>
      <c r="AT1205" s="321">
        <v>0</v>
      </c>
      <c r="AU1205" s="157" t="s">
        <v>2017</v>
      </c>
      <c r="AV1205" s="136"/>
      <c r="AW1205" s="318">
        <f t="shared" si="830"/>
        <v>3360</v>
      </c>
      <c r="AX1205" s="193"/>
      <c r="AY1205" s="318">
        <f t="shared" si="831"/>
        <v>3360</v>
      </c>
      <c r="AZ1205" s="318">
        <f t="shared" si="832"/>
        <v>3469.9999999999995</v>
      </c>
      <c r="BA1205" s="318">
        <f t="shared" si="833"/>
        <v>-109.99999999999955</v>
      </c>
      <c r="BB1205" s="318">
        <f t="shared" si="834"/>
        <v>6.72</v>
      </c>
      <c r="BC1205" s="318">
        <v>0</v>
      </c>
      <c r="BD1205" s="136"/>
      <c r="BE1205" s="138">
        <v>34.65</v>
      </c>
      <c r="BF1205" s="321">
        <f t="shared" si="835"/>
        <v>5.1975E-2</v>
      </c>
      <c r="BG1205" s="197">
        <f t="shared" si="836"/>
        <v>34.598025</v>
      </c>
      <c r="BH1205" s="321">
        <f t="shared" si="837"/>
        <v>34.699999999999996</v>
      </c>
      <c r="BI1205" s="322">
        <f t="shared" si="838"/>
        <v>-4.9999999999997158</v>
      </c>
      <c r="BJ1205" s="322">
        <v>0</v>
      </c>
      <c r="BK1205" s="318">
        <f t="shared" si="839"/>
        <v>-4.9999999999997158</v>
      </c>
      <c r="BL1205" s="67"/>
      <c r="BM1205" s="68" t="str">
        <f t="shared" si="840"/>
        <v>Unloading no. 1171 Bill No G1732/1733 ,Deduction For Oil Deduction= 0 ,Bardana= 0 ,F.M= 0 Brokerage/Rate Difference  ,Shortage = 0 ,Greenish= 0 ,Moisture= 0</v>
      </c>
      <c r="BN1205" s="69"/>
      <c r="BO1205" s="70" t="str">
        <f t="shared" si="841"/>
        <v xml:space="preserve"> Party Condition 41.09  ,F.M% 0.17 ,Greenish 3.2 ,Moisture 4.7 ,Shortage in KG= 0  ,Oil% 41.27</v>
      </c>
      <c r="BP1205" s="71">
        <f t="shared" si="842"/>
        <v>7655.3775216138329</v>
      </c>
      <c r="BQ1205" s="55"/>
      <c r="BR1205" s="55"/>
      <c r="BS1205" s="41"/>
      <c r="BT1205" s="41"/>
      <c r="BU1205" s="41"/>
      <c r="BV1205" s="41"/>
      <c r="BW1205" s="85"/>
      <c r="BX1205" s="30">
        <v>41.5</v>
      </c>
      <c r="BY1205" s="30">
        <v>41.27</v>
      </c>
      <c r="CA1205" s="56">
        <v>0</v>
      </c>
      <c r="CC1205" s="57">
        <f t="shared" si="850"/>
        <v>0</v>
      </c>
      <c r="CE1205" s="88">
        <f t="shared" si="851"/>
        <v>0</v>
      </c>
    </row>
    <row r="1206" spans="1:86" ht="14.1" hidden="1" customHeight="1" x14ac:dyDescent="0.3">
      <c r="A1206" s="281" t="s">
        <v>2580</v>
      </c>
      <c r="B1206" s="146">
        <v>46211</v>
      </c>
      <c r="C1206" s="138">
        <v>1171</v>
      </c>
      <c r="D1206" s="190" t="s">
        <v>2596</v>
      </c>
      <c r="E1206" s="129">
        <v>46214</v>
      </c>
      <c r="F1206" s="128" t="s">
        <v>110</v>
      </c>
      <c r="G1206" s="160" t="s">
        <v>111</v>
      </c>
      <c r="H1206" s="138" t="s">
        <v>112</v>
      </c>
      <c r="I1206" s="136"/>
      <c r="J1206" s="138" t="s">
        <v>113</v>
      </c>
      <c r="K1206" s="136"/>
      <c r="L1206" s="146">
        <v>46211</v>
      </c>
      <c r="M1206" s="136"/>
      <c r="N1206" s="128" t="s">
        <v>2635</v>
      </c>
      <c r="O1206" s="130">
        <v>46213</v>
      </c>
      <c r="P1206" s="138">
        <v>0</v>
      </c>
      <c r="Q1206" s="138">
        <v>44</v>
      </c>
      <c r="R1206" s="138">
        <v>42</v>
      </c>
      <c r="S1206" s="138">
        <v>86</v>
      </c>
      <c r="T1206" s="138">
        <v>86</v>
      </c>
      <c r="U1206" s="136"/>
      <c r="V1206" s="136"/>
      <c r="W1206" s="147">
        <v>51.6</v>
      </c>
      <c r="X1206" s="147">
        <v>51.6</v>
      </c>
      <c r="Y1206" s="147">
        <v>407485.2</v>
      </c>
      <c r="Z1206" s="165"/>
      <c r="AA1206" s="147">
        <v>10187.129999999999</v>
      </c>
      <c r="AB1206" s="147">
        <v>10187.129999999999</v>
      </c>
      <c r="AC1206" s="147">
        <v>427859.46</v>
      </c>
      <c r="AD1206" s="315">
        <f t="shared" si="825"/>
        <v>427431.60054000001</v>
      </c>
      <c r="AE1206" s="173">
        <v>41.5</v>
      </c>
      <c r="AF1206" s="147">
        <v>41.12</v>
      </c>
      <c r="AG1206" s="173">
        <v>41.27</v>
      </c>
      <c r="AH1206" s="287">
        <v>1.6999999999999999E-3</v>
      </c>
      <c r="AI1206" s="287">
        <v>3.2000000000000001E-2</v>
      </c>
      <c r="AJ1206" s="287">
        <v>4.7E-2</v>
      </c>
      <c r="AK1206" s="318">
        <f t="shared" si="826"/>
        <v>0</v>
      </c>
      <c r="AL1206" s="193">
        <v>0</v>
      </c>
      <c r="AM1206" s="319">
        <v>0</v>
      </c>
      <c r="AN1206" s="319"/>
      <c r="AO1206" s="320">
        <f t="shared" si="827"/>
        <v>0</v>
      </c>
      <c r="AP1206" s="193">
        <v>0</v>
      </c>
      <c r="AQ1206" s="318">
        <v>0</v>
      </c>
      <c r="AR1206" s="325">
        <f t="shared" si="828"/>
        <v>0</v>
      </c>
      <c r="AS1206" s="318">
        <f t="shared" si="829"/>
        <v>0</v>
      </c>
      <c r="AT1206" s="321">
        <v>0</v>
      </c>
      <c r="AU1206" s="157" t="s">
        <v>2017</v>
      </c>
      <c r="AV1206" s="136"/>
      <c r="AW1206" s="318">
        <f t="shared" si="830"/>
        <v>5160</v>
      </c>
      <c r="AX1206" s="193"/>
      <c r="AY1206" s="318">
        <f t="shared" si="831"/>
        <v>5160</v>
      </c>
      <c r="AZ1206" s="318">
        <f t="shared" si="832"/>
        <v>5160</v>
      </c>
      <c r="BA1206" s="318">
        <f t="shared" si="833"/>
        <v>0</v>
      </c>
      <c r="BB1206" s="318">
        <f t="shared" si="834"/>
        <v>10.32</v>
      </c>
      <c r="BC1206" s="318">
        <v>0</v>
      </c>
      <c r="BD1206" s="136"/>
      <c r="BE1206" s="138">
        <v>51.6</v>
      </c>
      <c r="BF1206" s="321">
        <f t="shared" si="835"/>
        <v>7.7399999999999997E-2</v>
      </c>
      <c r="BG1206" s="197">
        <f t="shared" si="836"/>
        <v>51.522600000000004</v>
      </c>
      <c r="BH1206" s="321">
        <f t="shared" si="837"/>
        <v>51.6</v>
      </c>
      <c r="BI1206" s="322">
        <f t="shared" si="838"/>
        <v>0</v>
      </c>
      <c r="BJ1206" s="322">
        <v>0</v>
      </c>
      <c r="BK1206" s="318">
        <f t="shared" si="839"/>
        <v>0</v>
      </c>
      <c r="BL1206" s="67"/>
      <c r="BM1206" s="68" t="str">
        <f t="shared" si="840"/>
        <v>Unloading no. 1171 Bill No G1732/1733 ,Deduction For Oil Deduction= 0 ,Bardana= 0 ,F.M= 0 Brokerage/Rate Difference  ,Shortage = 0 ,Greenish= 0 ,Moisture= 0</v>
      </c>
      <c r="BN1206" s="69"/>
      <c r="BO1206" s="70" t="str">
        <f t="shared" si="841"/>
        <v xml:space="preserve"> Party Condition 41.12  ,F.M% 0.17 ,Greenish 3.2 ,Moisture 4.7 ,Shortage in KG= 0  ,Oil% 41.27</v>
      </c>
      <c r="BP1206" s="71">
        <f t="shared" si="842"/>
        <v>7897</v>
      </c>
      <c r="BQ1206" s="55"/>
      <c r="BR1206" s="55"/>
      <c r="BS1206" s="41"/>
      <c r="BT1206" s="41"/>
      <c r="BU1206" s="41"/>
      <c r="BV1206" s="41"/>
      <c r="BW1206" s="85"/>
      <c r="BX1206" s="30">
        <v>41.5</v>
      </c>
      <c r="BY1206" s="30">
        <v>41.27</v>
      </c>
      <c r="CA1206" s="56">
        <v>0</v>
      </c>
      <c r="CC1206" s="57">
        <f t="shared" si="850"/>
        <v>0</v>
      </c>
      <c r="CE1206" s="88">
        <f t="shared" si="851"/>
        <v>0</v>
      </c>
    </row>
    <row r="1207" spans="1:86" ht="14.1" hidden="1" customHeight="1" x14ac:dyDescent="0.3">
      <c r="A1207" s="281" t="s">
        <v>2581</v>
      </c>
      <c r="B1207" s="146">
        <v>46213</v>
      </c>
      <c r="C1207" s="138">
        <v>1172</v>
      </c>
      <c r="D1207" s="138" t="s">
        <v>2597</v>
      </c>
      <c r="E1207" s="129">
        <v>46214</v>
      </c>
      <c r="F1207" s="128" t="s">
        <v>1450</v>
      </c>
      <c r="G1207" s="128" t="s">
        <v>1451</v>
      </c>
      <c r="H1207" s="138" t="s">
        <v>199</v>
      </c>
      <c r="I1207" s="136"/>
      <c r="J1207" s="138" t="s">
        <v>2499</v>
      </c>
      <c r="K1207" s="136"/>
      <c r="L1207" s="146">
        <v>46213</v>
      </c>
      <c r="M1207" s="136"/>
      <c r="N1207" s="128" t="s">
        <v>2636</v>
      </c>
      <c r="O1207" s="130">
        <v>46213</v>
      </c>
      <c r="P1207" s="138">
        <v>0</v>
      </c>
      <c r="Q1207" s="138">
        <v>161</v>
      </c>
      <c r="R1207" s="138">
        <v>100</v>
      </c>
      <c r="S1207" s="138">
        <v>261</v>
      </c>
      <c r="T1207" s="138">
        <v>261</v>
      </c>
      <c r="U1207" s="136"/>
      <c r="V1207" s="136"/>
      <c r="W1207" s="147">
        <v>158.19999999999999</v>
      </c>
      <c r="X1207" s="147">
        <v>157.80000000000001</v>
      </c>
      <c r="Y1207" s="147">
        <v>1265600</v>
      </c>
      <c r="Z1207" s="165"/>
      <c r="AA1207" s="147">
        <v>31640</v>
      </c>
      <c r="AB1207" s="147">
        <v>31640</v>
      </c>
      <c r="AC1207" s="147">
        <v>1328880</v>
      </c>
      <c r="AD1207" s="315">
        <f t="shared" si="825"/>
        <v>1327551.1200000001</v>
      </c>
      <c r="AE1207" s="173">
        <v>39.369999999999997</v>
      </c>
      <c r="AF1207" s="147">
        <v>42</v>
      </c>
      <c r="AG1207" s="173">
        <v>39.340000000000003</v>
      </c>
      <c r="AH1207" s="287">
        <v>1.9E-3</v>
      </c>
      <c r="AI1207" s="287">
        <v>3.0800000000000001E-2</v>
      </c>
      <c r="AJ1207" s="397">
        <v>5.0599999999999999E-2</v>
      </c>
      <c r="AK1207" s="318">
        <f>+IF(AF1207=42,IF(MIN(AE1207,AG1207)&lt;AF1207,Y1207*((AF1207-MIN(AE1207,AG1207))/AF1207)),IF(MIN(AE1207,AG1207)&lt;AF1207,Y1207*((AF1207-MIN(AE1207,AG1207))/AF1207),0))-32.4</f>
        <v>80122.266666666575</v>
      </c>
      <c r="AL1207" s="193">
        <f>161*10+100*15</f>
        <v>3110</v>
      </c>
      <c r="AM1207" s="319">
        <f>Y1207*AH1207</f>
        <v>2404.64</v>
      </c>
      <c r="AN1207" s="319"/>
      <c r="AO1207" s="320">
        <f t="shared" si="827"/>
        <v>3200.0000000000005</v>
      </c>
      <c r="AP1207" s="193">
        <v>0</v>
      </c>
      <c r="AQ1207" s="439">
        <f>Y1207*0.06/100</f>
        <v>759.36</v>
      </c>
      <c r="AR1207" s="318">
        <f t="shared" si="828"/>
        <v>89596.266666666575</v>
      </c>
      <c r="AS1207" s="318">
        <f t="shared" si="829"/>
        <v>94076</v>
      </c>
      <c r="AT1207" s="321">
        <v>40</v>
      </c>
      <c r="AU1207" s="157"/>
      <c r="AV1207" s="136"/>
      <c r="AW1207" s="318">
        <f t="shared" si="830"/>
        <v>15819.999999999998</v>
      </c>
      <c r="AX1207" s="193"/>
      <c r="AY1207" s="318">
        <f t="shared" si="831"/>
        <v>15819.999999999998</v>
      </c>
      <c r="AZ1207" s="318">
        <f t="shared" si="832"/>
        <v>15780.000000000002</v>
      </c>
      <c r="BA1207" s="318">
        <f t="shared" si="833"/>
        <v>39.999999999996362</v>
      </c>
      <c r="BB1207" s="318">
        <f t="shared" si="834"/>
        <v>31.639999999999997</v>
      </c>
      <c r="BC1207" s="318">
        <v>0</v>
      </c>
      <c r="BD1207" s="136"/>
      <c r="BE1207" s="138">
        <v>158.19999999999999</v>
      </c>
      <c r="BF1207" s="321">
        <f t="shared" si="835"/>
        <v>0.23729999999999996</v>
      </c>
      <c r="BG1207" s="197">
        <f t="shared" si="836"/>
        <v>157.96269999999998</v>
      </c>
      <c r="BH1207" s="321">
        <f t="shared" si="837"/>
        <v>157.80000000000001</v>
      </c>
      <c r="BI1207" s="322">
        <f t="shared" si="838"/>
        <v>39.999999999997726</v>
      </c>
      <c r="BJ1207" s="322">
        <v>0</v>
      </c>
      <c r="BK1207" s="318">
        <f t="shared" si="839"/>
        <v>39.999999999997726</v>
      </c>
      <c r="BL1207" s="67"/>
      <c r="BM1207" s="68" t="str">
        <f t="shared" si="840"/>
        <v>Unloading no. 1172 Bill No ST-62 ,Deduction For Oil Deduction= 80122.2666666666 ,Bardana= 3110 ,F.M= 2404.64 Brokerage/Rate Difference  ,Shortage = 3200 ,Greenish= 0 ,Moisture= 759.36</v>
      </c>
      <c r="BN1207" s="69"/>
      <c r="BO1207" s="70" t="str">
        <f t="shared" si="841"/>
        <v xml:space="preserve"> Party Condition 42  ,F.M% 0.19 ,Greenish 3.08 ,Moisture 5.06 ,Shortage in KG= 40  ,Oil% 39.34</v>
      </c>
      <c r="BP1207" s="71">
        <f t="shared" si="842"/>
        <v>7452.4951415293617</v>
      </c>
      <c r="BQ1207" s="55"/>
      <c r="BR1207" s="55"/>
      <c r="BS1207" s="41"/>
      <c r="BT1207" s="41"/>
      <c r="BU1207" s="41"/>
      <c r="BV1207" s="41"/>
      <c r="BW1207" s="85"/>
      <c r="BX1207" s="30">
        <v>39.369999999999997</v>
      </c>
      <c r="BY1207" s="30">
        <v>39.340000000000003</v>
      </c>
      <c r="CA1207" s="56">
        <v>90450.66</v>
      </c>
      <c r="CC1207" s="57">
        <f t="shared" si="850"/>
        <v>3625.3399999999965</v>
      </c>
      <c r="CE1207" s="88">
        <f t="shared" si="851"/>
        <v>3452.7047619047585</v>
      </c>
    </row>
    <row r="1208" spans="1:86" ht="14.1" hidden="1" customHeight="1" x14ac:dyDescent="0.3">
      <c r="A1208" s="281" t="s">
        <v>2582</v>
      </c>
      <c r="B1208" s="146">
        <v>46212</v>
      </c>
      <c r="C1208" s="138">
        <v>1173</v>
      </c>
      <c r="D1208" s="138" t="s">
        <v>2598</v>
      </c>
      <c r="E1208" s="129">
        <v>46214</v>
      </c>
      <c r="F1208" s="128" t="s">
        <v>1144</v>
      </c>
      <c r="G1208" s="160" t="s">
        <v>1145</v>
      </c>
      <c r="H1208" s="138" t="s">
        <v>100</v>
      </c>
      <c r="I1208" s="136"/>
      <c r="J1208" s="138" t="s">
        <v>1146</v>
      </c>
      <c r="K1208" s="136"/>
      <c r="L1208" s="146">
        <v>46212</v>
      </c>
      <c r="M1208" s="136"/>
      <c r="N1208" s="128" t="s">
        <v>2637</v>
      </c>
      <c r="O1208" s="130">
        <v>46214</v>
      </c>
      <c r="P1208" s="138">
        <v>0</v>
      </c>
      <c r="Q1208" s="138">
        <v>150</v>
      </c>
      <c r="R1208" s="138">
        <v>30</v>
      </c>
      <c r="S1208" s="138">
        <v>180</v>
      </c>
      <c r="T1208" s="138">
        <v>180</v>
      </c>
      <c r="U1208" s="136"/>
      <c r="V1208" s="136"/>
      <c r="W1208" s="147">
        <v>90.8</v>
      </c>
      <c r="X1208" s="147">
        <v>90.7</v>
      </c>
      <c r="Y1208" s="147">
        <v>728670</v>
      </c>
      <c r="Z1208" s="441">
        <v>40.369999999999997</v>
      </c>
      <c r="AA1208" s="147">
        <v>18216.75</v>
      </c>
      <c r="AB1208" s="147">
        <v>18216.75</v>
      </c>
      <c r="AC1208" s="147">
        <v>765103.5</v>
      </c>
      <c r="AD1208" s="315">
        <f t="shared" si="825"/>
        <v>764338.39650000003</v>
      </c>
      <c r="AE1208" s="173">
        <v>40.369999999999997</v>
      </c>
      <c r="AF1208" s="147">
        <v>42</v>
      </c>
      <c r="AG1208" s="173">
        <v>40.369999999999997</v>
      </c>
      <c r="AH1208" s="287">
        <v>2E-3</v>
      </c>
      <c r="AI1208" s="287">
        <v>2.3199999999999998E-2</v>
      </c>
      <c r="AJ1208" s="287">
        <v>5.5E-2</v>
      </c>
      <c r="AK1208" s="318">
        <f t="shared" si="826"/>
        <v>28279.335714285757</v>
      </c>
      <c r="AL1208" s="193">
        <v>0</v>
      </c>
      <c r="AM1208" s="319">
        <v>0</v>
      </c>
      <c r="AN1208" s="319"/>
      <c r="AO1208" s="320">
        <f t="shared" si="827"/>
        <v>0</v>
      </c>
      <c r="AP1208" s="193">
        <v>0</v>
      </c>
      <c r="AQ1208" s="318">
        <v>0</v>
      </c>
      <c r="AR1208" s="318">
        <f t="shared" si="828"/>
        <v>28279.335714285757</v>
      </c>
      <c r="AS1208" s="318">
        <f t="shared" si="829"/>
        <v>29693</v>
      </c>
      <c r="AT1208" s="321">
        <v>0</v>
      </c>
      <c r="AU1208" s="157"/>
      <c r="AV1208" s="136"/>
      <c r="AW1208" s="318">
        <f t="shared" si="830"/>
        <v>9080</v>
      </c>
      <c r="AX1208" s="193"/>
      <c r="AY1208" s="318">
        <f t="shared" si="831"/>
        <v>9080</v>
      </c>
      <c r="AZ1208" s="318">
        <f t="shared" si="832"/>
        <v>9070</v>
      </c>
      <c r="BA1208" s="318">
        <f t="shared" si="833"/>
        <v>10</v>
      </c>
      <c r="BB1208" s="318">
        <f t="shared" si="834"/>
        <v>18.16</v>
      </c>
      <c r="BC1208" s="318">
        <v>0</v>
      </c>
      <c r="BD1208" s="136"/>
      <c r="BE1208" s="138">
        <v>90.8</v>
      </c>
      <c r="BF1208" s="321">
        <f t="shared" si="835"/>
        <v>0.13619999999999999</v>
      </c>
      <c r="BG1208" s="197">
        <f t="shared" si="836"/>
        <v>90.663799999999995</v>
      </c>
      <c r="BH1208" s="321">
        <f t="shared" si="837"/>
        <v>90.7</v>
      </c>
      <c r="BI1208" s="322">
        <f t="shared" si="838"/>
        <v>9.9999999999994316</v>
      </c>
      <c r="BJ1208" s="322">
        <v>0</v>
      </c>
      <c r="BK1208" s="318">
        <f t="shared" si="839"/>
        <v>9.9999999999994316</v>
      </c>
      <c r="BL1208" s="67"/>
      <c r="BM1208" s="68" t="str">
        <f t="shared" si="840"/>
        <v>Unloading no. 1173 Bill No 2026-27/349 ,Deduction For Oil Deduction= 28279.3357142858 ,Bardana= 0 ,F.M= 0 Brokerage/Rate Difference  ,Shortage = 0 ,Greenish= 0 ,Moisture= 0</v>
      </c>
      <c r="BN1208" s="69"/>
      <c r="BO1208" s="70" t="str">
        <f t="shared" si="841"/>
        <v xml:space="preserve"> Party Condition 42  ,F.M% 0.2 ,Greenish 2.32 ,Moisture 5.5 ,Shortage in KG= 0  ,Oil% 40.37</v>
      </c>
      <c r="BP1208" s="71">
        <f t="shared" si="842"/>
        <v>7722.0580406363206</v>
      </c>
      <c r="BQ1208" s="55"/>
      <c r="BR1208" s="55"/>
      <c r="BS1208" s="41"/>
      <c r="BT1208" s="41"/>
      <c r="BU1208" s="41"/>
      <c r="BV1208" s="41"/>
      <c r="BW1208" s="85"/>
      <c r="BX1208" s="30">
        <v>40.35</v>
      </c>
      <c r="BY1208" s="30">
        <v>40.130000000000003</v>
      </c>
      <c r="CA1208" s="56">
        <v>0</v>
      </c>
      <c r="CC1208" s="57">
        <f t="shared" si="850"/>
        <v>29693</v>
      </c>
      <c r="CE1208" s="88">
        <f t="shared" si="851"/>
        <v>28279.047619047618</v>
      </c>
    </row>
    <row r="1209" spans="1:86" ht="14.1" hidden="1" customHeight="1" x14ac:dyDescent="0.3">
      <c r="A1209" s="281" t="s">
        <v>2582</v>
      </c>
      <c r="B1209" s="146">
        <v>46212</v>
      </c>
      <c r="C1209" s="138">
        <v>1174</v>
      </c>
      <c r="D1209" s="138" t="s">
        <v>2599</v>
      </c>
      <c r="E1209" s="129">
        <v>46214</v>
      </c>
      <c r="F1209" s="128" t="s">
        <v>1144</v>
      </c>
      <c r="G1209" s="160" t="s">
        <v>1145</v>
      </c>
      <c r="H1209" s="138" t="s">
        <v>100</v>
      </c>
      <c r="I1209" s="136"/>
      <c r="J1209" s="138" t="s">
        <v>1146</v>
      </c>
      <c r="K1209" s="136"/>
      <c r="L1209" s="146">
        <v>46212</v>
      </c>
      <c r="M1209" s="136"/>
      <c r="N1209" s="128" t="s">
        <v>2638</v>
      </c>
      <c r="O1209" s="130">
        <v>46214</v>
      </c>
      <c r="P1209" s="138">
        <v>0</v>
      </c>
      <c r="Q1209" s="138">
        <v>160</v>
      </c>
      <c r="R1209" s="138">
        <v>20</v>
      </c>
      <c r="S1209" s="138">
        <v>180</v>
      </c>
      <c r="T1209" s="138">
        <v>180</v>
      </c>
      <c r="U1209" s="136"/>
      <c r="V1209" s="136"/>
      <c r="W1209" s="147">
        <v>90.2</v>
      </c>
      <c r="X1209" s="147">
        <v>90.3</v>
      </c>
      <c r="Y1209" s="147">
        <v>723855</v>
      </c>
      <c r="Z1209" s="441">
        <v>40.31</v>
      </c>
      <c r="AA1209" s="147">
        <v>18096.38</v>
      </c>
      <c r="AB1209" s="147">
        <v>18096.38</v>
      </c>
      <c r="AC1209" s="147">
        <v>760047.75</v>
      </c>
      <c r="AD1209" s="315">
        <f t="shared" si="825"/>
        <v>759287.70224999997</v>
      </c>
      <c r="AE1209" s="173">
        <v>40.31</v>
      </c>
      <c r="AF1209" s="147">
        <v>42</v>
      </c>
      <c r="AG1209" s="173">
        <v>40.31</v>
      </c>
      <c r="AH1209" s="287">
        <v>2.2000000000000001E-3</v>
      </c>
      <c r="AI1209" s="287">
        <v>2.4400000000000002E-2</v>
      </c>
      <c r="AJ1209" s="287">
        <v>4.9000000000000002E-2</v>
      </c>
      <c r="AK1209" s="318">
        <f t="shared" si="826"/>
        <v>29126.54642857139</v>
      </c>
      <c r="AL1209" s="193">
        <v>0</v>
      </c>
      <c r="AM1209" s="319">
        <v>0</v>
      </c>
      <c r="AN1209" s="319"/>
      <c r="AO1209" s="320">
        <f t="shared" si="827"/>
        <v>0</v>
      </c>
      <c r="AP1209" s="193">
        <v>0</v>
      </c>
      <c r="AQ1209" s="318">
        <v>0</v>
      </c>
      <c r="AR1209" s="318">
        <f t="shared" si="828"/>
        <v>29126.54642857139</v>
      </c>
      <c r="AS1209" s="318">
        <f t="shared" si="829"/>
        <v>30583</v>
      </c>
      <c r="AT1209" s="321">
        <v>0</v>
      </c>
      <c r="AU1209" s="157"/>
      <c r="AV1209" s="136"/>
      <c r="AW1209" s="318">
        <f t="shared" si="830"/>
        <v>9020</v>
      </c>
      <c r="AX1209" s="193"/>
      <c r="AY1209" s="318">
        <f t="shared" si="831"/>
        <v>9020</v>
      </c>
      <c r="AZ1209" s="318">
        <f t="shared" si="832"/>
        <v>9030</v>
      </c>
      <c r="BA1209" s="318">
        <f t="shared" si="833"/>
        <v>-10</v>
      </c>
      <c r="BB1209" s="318">
        <f t="shared" si="834"/>
        <v>18.04</v>
      </c>
      <c r="BC1209" s="318">
        <v>0</v>
      </c>
      <c r="BD1209" s="136"/>
      <c r="BE1209" s="138">
        <v>90.2</v>
      </c>
      <c r="BF1209" s="321">
        <f t="shared" si="835"/>
        <v>0.1353</v>
      </c>
      <c r="BG1209" s="197">
        <f t="shared" si="836"/>
        <v>90.064700000000002</v>
      </c>
      <c r="BH1209" s="321">
        <f t="shared" si="837"/>
        <v>90.3</v>
      </c>
      <c r="BI1209" s="322">
        <f t="shared" si="838"/>
        <v>-9.9999999999994316</v>
      </c>
      <c r="BJ1209" s="322">
        <v>0</v>
      </c>
      <c r="BK1209" s="318">
        <f t="shared" si="839"/>
        <v>-9.9999999999994316</v>
      </c>
      <c r="BL1209" s="67"/>
      <c r="BM1209" s="68" t="str">
        <f t="shared" si="840"/>
        <v>Unloading no. 1174 Bill No 2026-27/350 ,Deduction For Oil Deduction= 29126.5464285714 ,Bardana= 0 ,F.M= 0 Brokerage/Rate Difference  ,Shortage = 0 ,Greenish= 0 ,Moisture= 0</v>
      </c>
      <c r="BN1209" s="69"/>
      <c r="BO1209" s="70" t="str">
        <f t="shared" si="841"/>
        <v xml:space="preserve"> Party Condition 42  ,F.M% 0.22 ,Greenish 2.44 ,Moisture 4.9 ,Shortage in KG= 0  ,Oil% 40.31</v>
      </c>
      <c r="BP1209" s="71">
        <f t="shared" si="842"/>
        <v>7693.5598402151572</v>
      </c>
      <c r="BQ1209" s="55"/>
      <c r="BR1209" s="55"/>
      <c r="BS1209" s="41"/>
      <c r="BT1209" s="41"/>
      <c r="BU1209" s="41"/>
      <c r="BV1209" s="41"/>
      <c r="BW1209" s="85"/>
      <c r="BX1209" s="30">
        <v>40.090000000000003</v>
      </c>
      <c r="BY1209" s="30">
        <v>39.86</v>
      </c>
      <c r="CA1209" s="56">
        <v>0</v>
      </c>
      <c r="CC1209" s="57">
        <f t="shared" si="850"/>
        <v>30583</v>
      </c>
      <c r="CE1209" s="88">
        <f t="shared" si="851"/>
        <v>29126.666666666664</v>
      </c>
    </row>
    <row r="1210" spans="1:86" ht="14.1" hidden="1" customHeight="1" x14ac:dyDescent="0.3">
      <c r="A1210" s="281" t="s">
        <v>2582</v>
      </c>
      <c r="B1210" s="146">
        <v>46212</v>
      </c>
      <c r="C1210" s="138">
        <v>1175</v>
      </c>
      <c r="D1210" s="138" t="s">
        <v>2600</v>
      </c>
      <c r="E1210" s="129">
        <v>46215</v>
      </c>
      <c r="F1210" s="128" t="s">
        <v>1144</v>
      </c>
      <c r="G1210" s="128" t="s">
        <v>1145</v>
      </c>
      <c r="H1210" s="138" t="s">
        <v>100</v>
      </c>
      <c r="I1210" s="136"/>
      <c r="J1210" s="138" t="s">
        <v>1146</v>
      </c>
      <c r="K1210" s="136"/>
      <c r="L1210" s="146">
        <v>46212</v>
      </c>
      <c r="M1210" s="136"/>
      <c r="N1210" s="128" t="s">
        <v>2639</v>
      </c>
      <c r="O1210" s="146">
        <v>46214</v>
      </c>
      <c r="P1210" s="138">
        <v>0</v>
      </c>
      <c r="Q1210" s="138">
        <v>150</v>
      </c>
      <c r="R1210" s="138">
        <v>30</v>
      </c>
      <c r="S1210" s="138">
        <v>180</v>
      </c>
      <c r="T1210" s="138">
        <v>180</v>
      </c>
      <c r="U1210" s="136"/>
      <c r="V1210" s="136"/>
      <c r="W1210" s="147">
        <v>90.1</v>
      </c>
      <c r="X1210" s="147">
        <v>89.9</v>
      </c>
      <c r="Y1210" s="147">
        <v>723052.5</v>
      </c>
      <c r="Z1210" s="441">
        <v>39.93</v>
      </c>
      <c r="AA1210" s="147">
        <v>18076.310000000001</v>
      </c>
      <c r="AB1210" s="147">
        <v>18076.310000000001</v>
      </c>
      <c r="AC1210" s="147">
        <v>759205.13</v>
      </c>
      <c r="AD1210" s="315">
        <f t="shared" si="825"/>
        <v>758445.92486999999</v>
      </c>
      <c r="AE1210" s="147">
        <v>39.93</v>
      </c>
      <c r="AF1210" s="147">
        <v>42</v>
      </c>
      <c r="AG1210" s="147">
        <v>39.93</v>
      </c>
      <c r="AH1210" s="287">
        <v>1.6999999999999999E-3</v>
      </c>
      <c r="AI1210" s="287">
        <v>2.6200000000000001E-2</v>
      </c>
      <c r="AJ1210" s="287">
        <v>5.1999999999999998E-2</v>
      </c>
      <c r="AK1210" s="318">
        <f t="shared" si="826"/>
        <v>35636.158928571436</v>
      </c>
      <c r="AL1210" s="193">
        <v>0</v>
      </c>
      <c r="AM1210" s="319">
        <v>0</v>
      </c>
      <c r="AN1210" s="319"/>
      <c r="AO1210" s="320">
        <f t="shared" si="827"/>
        <v>160.5</v>
      </c>
      <c r="AP1210" s="193">
        <v>0</v>
      </c>
      <c r="AQ1210" s="318">
        <v>0</v>
      </c>
      <c r="AR1210" s="318">
        <f t="shared" si="828"/>
        <v>35796.658928571436</v>
      </c>
      <c r="AS1210" s="318">
        <f t="shared" si="829"/>
        <v>37586</v>
      </c>
      <c r="AT1210" s="321">
        <v>2</v>
      </c>
      <c r="AU1210" s="157"/>
      <c r="AV1210" s="136"/>
      <c r="AW1210" s="318">
        <f t="shared" si="830"/>
        <v>9010</v>
      </c>
      <c r="AX1210" s="193"/>
      <c r="AY1210" s="318">
        <f t="shared" si="831"/>
        <v>9010</v>
      </c>
      <c r="AZ1210" s="318">
        <f t="shared" si="832"/>
        <v>8990</v>
      </c>
      <c r="BA1210" s="318">
        <f t="shared" si="833"/>
        <v>20</v>
      </c>
      <c r="BB1210" s="318">
        <f t="shared" si="834"/>
        <v>18.02</v>
      </c>
      <c r="BC1210" s="318">
        <v>0</v>
      </c>
      <c r="BD1210" s="136"/>
      <c r="BE1210" s="138">
        <v>90.1</v>
      </c>
      <c r="BF1210" s="321">
        <f t="shared" si="835"/>
        <v>0.13514999999999999</v>
      </c>
      <c r="BG1210" s="197">
        <f t="shared" si="836"/>
        <v>89.964849999999998</v>
      </c>
      <c r="BH1210" s="321">
        <f t="shared" si="837"/>
        <v>89.9</v>
      </c>
      <c r="BI1210" s="322">
        <f t="shared" si="838"/>
        <v>19.999999999998863</v>
      </c>
      <c r="BJ1210" s="322">
        <v>0</v>
      </c>
      <c r="BK1210" s="318">
        <f t="shared" si="839"/>
        <v>19.999999999998863</v>
      </c>
      <c r="BL1210" s="67"/>
      <c r="BM1210" s="68" t="str">
        <f t="shared" si="840"/>
        <v>Unloading no. 1175 Bill No 2026-27/351 ,Deduction For Oil Deduction= 35636.1589285714 ,Bardana= 0 ,F.M= 0 Brokerage/Rate Difference  ,Shortage = 160.5 ,Greenish= 0 ,Moisture= 0</v>
      </c>
      <c r="BN1210" s="69"/>
      <c r="BO1210" s="70" t="str">
        <f t="shared" si="841"/>
        <v xml:space="preserve"> Party Condition 42  ,F.M% 0.17 ,Greenish 2.62 ,Moisture 5.2 ,Shortage in KG= 2  ,Oil% 39.93</v>
      </c>
      <c r="BP1210" s="71">
        <f t="shared" si="842"/>
        <v>7644.6700897822975</v>
      </c>
      <c r="BQ1210" s="55"/>
      <c r="BR1210" s="55"/>
      <c r="BS1210" s="41"/>
      <c r="BT1210" s="41"/>
      <c r="BU1210" s="41"/>
      <c r="BV1210" s="41"/>
      <c r="BW1210" s="85"/>
      <c r="BX1210" s="27">
        <v>39.880000000000003</v>
      </c>
      <c r="BY1210" s="27">
        <v>39.630000000000003</v>
      </c>
    </row>
    <row r="1211" spans="1:86" ht="14.1" hidden="1" customHeight="1" x14ac:dyDescent="0.3">
      <c r="A1211" s="281" t="s">
        <v>2582</v>
      </c>
      <c r="B1211" s="146">
        <v>46212</v>
      </c>
      <c r="C1211" s="138">
        <v>1176</v>
      </c>
      <c r="D1211" s="138" t="s">
        <v>2601</v>
      </c>
      <c r="E1211" s="129">
        <v>46215</v>
      </c>
      <c r="F1211" s="128" t="s">
        <v>1144</v>
      </c>
      <c r="G1211" s="128" t="s">
        <v>1145</v>
      </c>
      <c r="H1211" s="138" t="s">
        <v>100</v>
      </c>
      <c r="I1211" s="136"/>
      <c r="J1211" s="138" t="s">
        <v>1146</v>
      </c>
      <c r="K1211" s="136"/>
      <c r="L1211" s="146">
        <v>46212</v>
      </c>
      <c r="M1211" s="136"/>
      <c r="N1211" s="128" t="s">
        <v>2640</v>
      </c>
      <c r="O1211" s="146">
        <v>46214</v>
      </c>
      <c r="P1211" s="138">
        <v>0</v>
      </c>
      <c r="Q1211" s="138">
        <v>140</v>
      </c>
      <c r="R1211" s="138">
        <v>40</v>
      </c>
      <c r="S1211" s="138">
        <v>180</v>
      </c>
      <c r="T1211" s="138">
        <v>180</v>
      </c>
      <c r="U1211" s="136"/>
      <c r="V1211" s="136"/>
      <c r="W1211" s="147">
        <v>91</v>
      </c>
      <c r="X1211" s="147">
        <v>91.1</v>
      </c>
      <c r="Y1211" s="147">
        <v>730275</v>
      </c>
      <c r="Z1211" s="441">
        <v>40.119999999999997</v>
      </c>
      <c r="AA1211" s="147">
        <v>18256.88</v>
      </c>
      <c r="AB1211" s="147">
        <v>18256.88</v>
      </c>
      <c r="AC1211" s="147">
        <v>766788.75</v>
      </c>
      <c r="AD1211" s="315">
        <f t="shared" si="825"/>
        <v>766021.96125000005</v>
      </c>
      <c r="AE1211" s="147">
        <v>40.119999999999997</v>
      </c>
      <c r="AF1211" s="147">
        <v>42</v>
      </c>
      <c r="AG1211" s="147">
        <v>40.119999999999997</v>
      </c>
      <c r="AH1211" s="287">
        <v>1.4E-3</v>
      </c>
      <c r="AI1211" s="287">
        <v>2.5499999999999998E-2</v>
      </c>
      <c r="AJ1211" s="287">
        <v>0.05</v>
      </c>
      <c r="AK1211" s="318">
        <f t="shared" si="826"/>
        <v>32688.500000000044</v>
      </c>
      <c r="AL1211" s="193">
        <v>0</v>
      </c>
      <c r="AM1211" s="319">
        <v>0</v>
      </c>
      <c r="AN1211" s="319"/>
      <c r="AO1211" s="320">
        <f t="shared" si="827"/>
        <v>0</v>
      </c>
      <c r="AP1211" s="193">
        <v>0</v>
      </c>
      <c r="AQ1211" s="318">
        <v>0</v>
      </c>
      <c r="AR1211" s="318">
        <f t="shared" si="828"/>
        <v>32688.500000000044</v>
      </c>
      <c r="AS1211" s="318">
        <f t="shared" si="829"/>
        <v>34323</v>
      </c>
      <c r="AT1211" s="321">
        <v>0</v>
      </c>
      <c r="AU1211" s="157"/>
      <c r="AV1211" s="136"/>
      <c r="AW1211" s="318">
        <f t="shared" si="830"/>
        <v>9100</v>
      </c>
      <c r="AX1211" s="193"/>
      <c r="AY1211" s="318">
        <f t="shared" si="831"/>
        <v>9100</v>
      </c>
      <c r="AZ1211" s="318">
        <f t="shared" si="832"/>
        <v>9110</v>
      </c>
      <c r="BA1211" s="318">
        <f t="shared" si="833"/>
        <v>-10</v>
      </c>
      <c r="BB1211" s="318">
        <f t="shared" si="834"/>
        <v>18.2</v>
      </c>
      <c r="BC1211" s="318">
        <v>0</v>
      </c>
      <c r="BD1211" s="136"/>
      <c r="BE1211" s="138">
        <v>91</v>
      </c>
      <c r="BF1211" s="321">
        <f t="shared" si="835"/>
        <v>0.13650000000000001</v>
      </c>
      <c r="BG1211" s="197">
        <f t="shared" si="836"/>
        <v>90.863500000000002</v>
      </c>
      <c r="BH1211" s="321">
        <f t="shared" si="837"/>
        <v>91.1</v>
      </c>
      <c r="BI1211" s="322">
        <f t="shared" si="838"/>
        <v>-9.9999999999994316</v>
      </c>
      <c r="BJ1211" s="322">
        <v>0</v>
      </c>
      <c r="BK1211" s="318">
        <f t="shared" si="839"/>
        <v>-9.9999999999994316</v>
      </c>
      <c r="BL1211" s="67"/>
      <c r="BM1211" s="68" t="str">
        <f t="shared" si="840"/>
        <v>Unloading no. 1176 Bill No 2026-27/352 ,Deduction For Oil Deduction= 32688.5 ,Bardana= 0 ,F.M= 0 Brokerage/Rate Difference  ,Shortage = 0 ,Greenish= 0 ,Moisture= 0</v>
      </c>
      <c r="BN1211" s="69"/>
      <c r="BO1211" s="70" t="str">
        <f t="shared" si="841"/>
        <v xml:space="preserve"> Party Condition 42  ,F.M% 0.14 ,Greenish 2.55 ,Moisture 5 ,Shortage in KG= 0  ,Oil% 40.12</v>
      </c>
      <c r="BP1211" s="71">
        <f t="shared" si="842"/>
        <v>7657.3710208562024</v>
      </c>
      <c r="BQ1211" s="55"/>
      <c r="BR1211" s="55"/>
      <c r="BS1211" s="41"/>
      <c r="BT1211" s="41"/>
      <c r="BU1211" s="41"/>
      <c r="BV1211" s="41"/>
      <c r="BW1211" s="85"/>
      <c r="BX1211" s="27">
        <v>40</v>
      </c>
      <c r="BY1211" s="27">
        <v>39.729999999999997</v>
      </c>
    </row>
    <row r="1212" spans="1:86" ht="14.1" hidden="1" customHeight="1" x14ac:dyDescent="0.3">
      <c r="A1212" s="281" t="s">
        <v>2582</v>
      </c>
      <c r="B1212" s="146">
        <v>46212</v>
      </c>
      <c r="C1212" s="138">
        <v>1177</v>
      </c>
      <c r="D1212" s="138" t="s">
        <v>2602</v>
      </c>
      <c r="E1212" s="129">
        <v>46215</v>
      </c>
      <c r="F1212" s="128" t="s">
        <v>1144</v>
      </c>
      <c r="G1212" s="128" t="s">
        <v>1145</v>
      </c>
      <c r="H1212" s="138" t="s">
        <v>100</v>
      </c>
      <c r="I1212" s="136"/>
      <c r="J1212" s="138" t="s">
        <v>1146</v>
      </c>
      <c r="K1212" s="136"/>
      <c r="L1212" s="146">
        <v>46212</v>
      </c>
      <c r="M1212" s="136"/>
      <c r="N1212" s="128" t="s">
        <v>2641</v>
      </c>
      <c r="O1212" s="146">
        <v>46214</v>
      </c>
      <c r="P1212" s="138">
        <v>0</v>
      </c>
      <c r="Q1212" s="138">
        <v>150</v>
      </c>
      <c r="R1212" s="138">
        <v>30</v>
      </c>
      <c r="S1212" s="138">
        <v>180</v>
      </c>
      <c r="T1212" s="138">
        <v>180</v>
      </c>
      <c r="U1212" s="136"/>
      <c r="V1212" s="136"/>
      <c r="W1212" s="147">
        <v>91.1</v>
      </c>
      <c r="X1212" s="147">
        <v>91</v>
      </c>
      <c r="Y1212" s="147">
        <v>731077.5</v>
      </c>
      <c r="Z1212" s="441">
        <v>40.43</v>
      </c>
      <c r="AA1212" s="147">
        <v>18276.939999999999</v>
      </c>
      <c r="AB1212" s="147">
        <v>18276.939999999999</v>
      </c>
      <c r="AC1212" s="147">
        <v>767631.38</v>
      </c>
      <c r="AD1212" s="315">
        <f t="shared" si="825"/>
        <v>766863.74861999997</v>
      </c>
      <c r="AE1212" s="147">
        <v>40.43</v>
      </c>
      <c r="AF1212" s="147">
        <v>42</v>
      </c>
      <c r="AG1212" s="147">
        <v>40.43</v>
      </c>
      <c r="AH1212" s="287">
        <v>1.6000000000000001E-3</v>
      </c>
      <c r="AI1212" s="287">
        <v>2.1999999999999999E-2</v>
      </c>
      <c r="AJ1212" s="287">
        <v>4.5999999999999999E-2</v>
      </c>
      <c r="AK1212" s="318">
        <f t="shared" si="826"/>
        <v>27328.373214285722</v>
      </c>
      <c r="AL1212" s="193">
        <v>0</v>
      </c>
      <c r="AM1212" s="319">
        <v>0</v>
      </c>
      <c r="AN1212" s="319"/>
      <c r="AO1212" s="320">
        <f t="shared" si="827"/>
        <v>0</v>
      </c>
      <c r="AP1212" s="193">
        <v>0</v>
      </c>
      <c r="AQ1212" s="318">
        <v>0</v>
      </c>
      <c r="AR1212" s="318">
        <f t="shared" si="828"/>
        <v>27328.373214285722</v>
      </c>
      <c r="AS1212" s="318">
        <f t="shared" si="829"/>
        <v>28695</v>
      </c>
      <c r="AT1212" s="321">
        <v>0</v>
      </c>
      <c r="AU1212" s="157"/>
      <c r="AV1212" s="136"/>
      <c r="AW1212" s="318">
        <f t="shared" si="830"/>
        <v>9110</v>
      </c>
      <c r="AX1212" s="193"/>
      <c r="AY1212" s="318">
        <f t="shared" si="831"/>
        <v>9110</v>
      </c>
      <c r="AZ1212" s="318">
        <f t="shared" si="832"/>
        <v>9100</v>
      </c>
      <c r="BA1212" s="318">
        <f t="shared" si="833"/>
        <v>10</v>
      </c>
      <c r="BB1212" s="318">
        <f t="shared" si="834"/>
        <v>18.22</v>
      </c>
      <c r="BC1212" s="318">
        <v>0</v>
      </c>
      <c r="BD1212" s="136"/>
      <c r="BE1212" s="138">
        <v>91.1</v>
      </c>
      <c r="BF1212" s="321">
        <f t="shared" si="835"/>
        <v>0.13664999999999999</v>
      </c>
      <c r="BG1212" s="197">
        <f t="shared" si="836"/>
        <v>90.963349999999991</v>
      </c>
      <c r="BH1212" s="321">
        <f t="shared" si="837"/>
        <v>91</v>
      </c>
      <c r="BI1212" s="322">
        <f t="shared" si="838"/>
        <v>9.9999999999994316</v>
      </c>
      <c r="BJ1212" s="322">
        <v>0</v>
      </c>
      <c r="BK1212" s="318">
        <f t="shared" si="839"/>
        <v>9.9999999999994316</v>
      </c>
      <c r="BL1212" s="67"/>
      <c r="BM1212" s="68" t="str">
        <f t="shared" si="840"/>
        <v>Unloading no. 1177 Bill No 2026-27/353 ,Deduction For Oil Deduction= 27328.3732142857 ,Bardana= 0 ,F.M= 0 Brokerage/Rate Difference  ,Shortage = 0 ,Greenish= 0 ,Moisture= 0</v>
      </c>
      <c r="BN1212" s="69"/>
      <c r="BO1212" s="70" t="str">
        <f t="shared" si="841"/>
        <v xml:space="preserve"> Party Condition 42  ,F.M% 0.16 ,Greenish 2.2 ,Moisture 4.6 ,Shortage in KG= 0  ,Oil% 40.43</v>
      </c>
      <c r="BP1212" s="71">
        <f t="shared" si="842"/>
        <v>7733.5068877551021</v>
      </c>
      <c r="BQ1212" s="55"/>
      <c r="BR1212" s="55"/>
      <c r="BS1212" s="41"/>
      <c r="BT1212" s="41"/>
      <c r="BU1212" s="41"/>
      <c r="BV1212" s="41"/>
      <c r="BW1212" s="85"/>
      <c r="BX1212" s="27">
        <v>40.299999999999997</v>
      </c>
      <c r="BY1212" s="27">
        <v>40.21</v>
      </c>
    </row>
    <row r="1213" spans="1:86" ht="14.1" hidden="1" customHeight="1" x14ac:dyDescent="0.3">
      <c r="A1213" s="281" t="s">
        <v>2583</v>
      </c>
      <c r="B1213" s="146">
        <v>46212</v>
      </c>
      <c r="C1213" s="138">
        <v>1178</v>
      </c>
      <c r="D1213" s="138" t="s">
        <v>2603</v>
      </c>
      <c r="E1213" s="129">
        <v>46215</v>
      </c>
      <c r="F1213" s="128" t="s">
        <v>1689</v>
      </c>
      <c r="G1213" s="128" t="s">
        <v>1690</v>
      </c>
      <c r="H1213" s="138" t="s">
        <v>1511</v>
      </c>
      <c r="I1213" s="136"/>
      <c r="J1213" s="138" t="s">
        <v>2499</v>
      </c>
      <c r="K1213" s="136"/>
      <c r="L1213" s="146">
        <v>46212</v>
      </c>
      <c r="M1213" s="136"/>
      <c r="N1213" s="128" t="s">
        <v>2642</v>
      </c>
      <c r="O1213" s="146">
        <v>46214</v>
      </c>
      <c r="P1213" s="138">
        <v>0</v>
      </c>
      <c r="Q1213" s="138">
        <v>300</v>
      </c>
      <c r="R1213" s="138">
        <v>112</v>
      </c>
      <c r="S1213" s="138">
        <v>412</v>
      </c>
      <c r="T1213" s="138">
        <v>412</v>
      </c>
      <c r="U1213" s="136"/>
      <c r="V1213" s="136"/>
      <c r="W1213" s="147">
        <v>251</v>
      </c>
      <c r="X1213" s="147">
        <v>250.7</v>
      </c>
      <c r="Y1213" s="147">
        <v>2020550</v>
      </c>
      <c r="Z1213" s="165"/>
      <c r="AA1213" s="147">
        <v>50513.75</v>
      </c>
      <c r="AB1213" s="147">
        <v>50513.75</v>
      </c>
      <c r="AC1213" s="147">
        <v>2121577.5</v>
      </c>
      <c r="AD1213" s="315">
        <f t="shared" si="825"/>
        <v>2119455.9224999999</v>
      </c>
      <c r="AE1213" s="147">
        <v>39.909999999999997</v>
      </c>
      <c r="AF1213" s="147">
        <v>42</v>
      </c>
      <c r="AG1213" s="147">
        <v>39.770000000000003</v>
      </c>
      <c r="AH1213" s="418">
        <v>2E-3</v>
      </c>
      <c r="AI1213" s="287">
        <v>0.04</v>
      </c>
      <c r="AJ1213" s="397">
        <v>5.7000000000000002E-2</v>
      </c>
      <c r="AK1213" s="318">
        <f>+IF(AF1213=42,IF(MIN(AE1213,AG1213)&lt;AF1213,Y1213*((AF1213-MIN(AE1213,AG1213))/AF1213)),IF(MIN(AE1213,AG1213)&lt;AF1213,Y1213*((AF1213-MIN(AE1213,AG1213))/AF1213),0))-43.33</f>
        <v>107238.25333333318</v>
      </c>
      <c r="AL1213" s="193">
        <f>300*10+112*15</f>
        <v>4680</v>
      </c>
      <c r="AM1213" s="319">
        <f>Y1213*AH1213</f>
        <v>4041.1</v>
      </c>
      <c r="AN1213" s="319"/>
      <c r="AO1213" s="320">
        <f t="shared" si="827"/>
        <v>2415</v>
      </c>
      <c r="AP1213" s="193">
        <v>0</v>
      </c>
      <c r="AQ1213" s="318">
        <f>Y1213*0.7/100</f>
        <v>14143.85</v>
      </c>
      <c r="AR1213" s="318">
        <f t="shared" si="828"/>
        <v>132518.20333333319</v>
      </c>
      <c r="AS1213" s="318">
        <f t="shared" si="829"/>
        <v>139144</v>
      </c>
      <c r="AT1213" s="321">
        <v>30</v>
      </c>
      <c r="AU1213" s="157"/>
      <c r="AV1213" s="136"/>
      <c r="AW1213" s="318">
        <f t="shared" si="830"/>
        <v>25100</v>
      </c>
      <c r="AX1213" s="193"/>
      <c r="AY1213" s="318">
        <f t="shared" si="831"/>
        <v>25100</v>
      </c>
      <c r="AZ1213" s="318">
        <f t="shared" si="832"/>
        <v>25070</v>
      </c>
      <c r="BA1213" s="318">
        <f t="shared" si="833"/>
        <v>30</v>
      </c>
      <c r="BB1213" s="318">
        <f t="shared" si="834"/>
        <v>50.2</v>
      </c>
      <c r="BC1213" s="318">
        <v>0</v>
      </c>
      <c r="BD1213" s="136"/>
      <c r="BE1213" s="138">
        <v>251</v>
      </c>
      <c r="BF1213" s="321">
        <f t="shared" si="835"/>
        <v>0.3765</v>
      </c>
      <c r="BG1213" s="197">
        <f t="shared" si="836"/>
        <v>250.62350000000001</v>
      </c>
      <c r="BH1213" s="321">
        <f t="shared" si="837"/>
        <v>250.7</v>
      </c>
      <c r="BI1213" s="322">
        <f t="shared" si="838"/>
        <v>30.000000000001137</v>
      </c>
      <c r="BJ1213" s="322">
        <v>0</v>
      </c>
      <c r="BK1213" s="318">
        <f t="shared" si="839"/>
        <v>30.000000000001137</v>
      </c>
      <c r="BL1213" s="67"/>
      <c r="BM1213" s="68" t="str">
        <f t="shared" si="840"/>
        <v>Unloading no. 1178 Bill No GST42 ,Deduction For Oil Deduction= 107238.253333333 ,Bardana= 4680 ,F.M= 4041.1 Brokerage/Rate Difference  ,Shortage = 2415 ,Greenish= 0 ,Moisture= 14143.85</v>
      </c>
      <c r="BN1213" s="69"/>
      <c r="BO1213" s="70" t="str">
        <f t="shared" si="841"/>
        <v xml:space="preserve"> Party Condition 42  ,F.M% 0.2 ,Greenish 4 ,Moisture 5.7 ,Shortage in KG= 30  ,Oil% 39.77</v>
      </c>
      <c r="BP1213" s="71">
        <f t="shared" si="842"/>
        <v>7531.0402738997482</v>
      </c>
      <c r="BQ1213" s="55"/>
      <c r="BR1213" s="55"/>
      <c r="BS1213" s="41"/>
      <c r="BT1213" s="41"/>
      <c r="BU1213" s="41"/>
      <c r="BV1213" s="41"/>
      <c r="BW1213" s="85"/>
      <c r="BX1213" s="27">
        <v>39.909999999999997</v>
      </c>
      <c r="BY1213" s="27">
        <v>39.770000000000003</v>
      </c>
      <c r="CA1213" s="56">
        <v>136608.82</v>
      </c>
      <c r="CC1213" s="57">
        <f t="shared" ref="CC1213:CC1214" si="852">AS1213-CA1213</f>
        <v>2535.179999999993</v>
      </c>
      <c r="CE1213" s="88">
        <f t="shared" ref="CE1213:CE1214" si="853">CC1213/105%</f>
        <v>2414.4571428571362</v>
      </c>
    </row>
    <row r="1214" spans="1:86" ht="14.1" hidden="1" customHeight="1" x14ac:dyDescent="0.3">
      <c r="A1214" s="281" t="s">
        <v>2584</v>
      </c>
      <c r="B1214" s="146">
        <v>46212</v>
      </c>
      <c r="C1214" s="138">
        <v>1179</v>
      </c>
      <c r="D1214" s="138" t="s">
        <v>2604</v>
      </c>
      <c r="E1214" s="129">
        <v>46215</v>
      </c>
      <c r="F1214" s="128" t="s">
        <v>2555</v>
      </c>
      <c r="G1214" s="128" t="s">
        <v>2556</v>
      </c>
      <c r="H1214" s="138" t="s">
        <v>2081</v>
      </c>
      <c r="I1214" s="136"/>
      <c r="J1214" s="138" t="s">
        <v>2499</v>
      </c>
      <c r="K1214" s="136"/>
      <c r="L1214" s="146">
        <v>46212</v>
      </c>
      <c r="M1214" s="136"/>
      <c r="N1214" s="128" t="s">
        <v>2643</v>
      </c>
      <c r="O1214" s="146">
        <v>46213</v>
      </c>
      <c r="P1214" s="138">
        <v>0</v>
      </c>
      <c r="Q1214" s="138">
        <v>0</v>
      </c>
      <c r="R1214" s="138">
        <v>448</v>
      </c>
      <c r="S1214" s="138">
        <v>448</v>
      </c>
      <c r="T1214" s="138">
        <v>448</v>
      </c>
      <c r="U1214" s="136"/>
      <c r="V1214" s="136"/>
      <c r="W1214" s="147">
        <v>307.8</v>
      </c>
      <c r="X1214" s="147">
        <v>306.60000000000002</v>
      </c>
      <c r="Y1214" s="147">
        <v>2471634</v>
      </c>
      <c r="Z1214" s="165"/>
      <c r="AA1214" s="147">
        <v>61790.85</v>
      </c>
      <c r="AB1214" s="147">
        <v>61790.85</v>
      </c>
      <c r="AC1214" s="147">
        <v>2595215.7000000002</v>
      </c>
      <c r="AD1214" s="315">
        <f t="shared" si="825"/>
        <v>2592620.4843000001</v>
      </c>
      <c r="AE1214" s="147">
        <v>39.28</v>
      </c>
      <c r="AF1214" s="147">
        <v>42</v>
      </c>
      <c r="AG1214" s="147">
        <v>39.340000000000003</v>
      </c>
      <c r="AH1214" s="418">
        <v>5.0000000000000001E-3</v>
      </c>
      <c r="AI1214" s="287">
        <v>3.2000000000000001E-2</v>
      </c>
      <c r="AJ1214" s="397">
        <v>5.11E-2</v>
      </c>
      <c r="AK1214" s="318">
        <f t="shared" si="826"/>
        <v>160067.72571428563</v>
      </c>
      <c r="AL1214" s="193">
        <f>416*15</f>
        <v>6240</v>
      </c>
      <c r="AM1214" s="319">
        <f>Y1214*AH1214</f>
        <v>12358.17</v>
      </c>
      <c r="AN1214" s="319">
        <f>X1214*15</f>
        <v>4599</v>
      </c>
      <c r="AO1214" s="320">
        <f t="shared" si="827"/>
        <v>9636</v>
      </c>
      <c r="AP1214" s="193">
        <v>0</v>
      </c>
      <c r="AQ1214" s="318">
        <f>Y1214*0.11/100</f>
        <v>2718.7973999999999</v>
      </c>
      <c r="AR1214" s="318">
        <f t="shared" si="828"/>
        <v>195619.69311428565</v>
      </c>
      <c r="AS1214" s="318">
        <f t="shared" si="829"/>
        <v>205401</v>
      </c>
      <c r="AT1214" s="321">
        <v>120</v>
      </c>
      <c r="AU1214" s="157"/>
      <c r="AV1214" s="136"/>
      <c r="AW1214" s="318">
        <f t="shared" si="830"/>
        <v>30780</v>
      </c>
      <c r="AX1214" s="193"/>
      <c r="AY1214" s="318">
        <f t="shared" si="831"/>
        <v>30780</v>
      </c>
      <c r="AZ1214" s="318">
        <f t="shared" si="832"/>
        <v>30660.000000000004</v>
      </c>
      <c r="BA1214" s="318">
        <f t="shared" si="833"/>
        <v>119.99999999999636</v>
      </c>
      <c r="BB1214" s="318">
        <f t="shared" si="834"/>
        <v>61.56</v>
      </c>
      <c r="BC1214" s="318">
        <v>0</v>
      </c>
      <c r="BD1214" s="136"/>
      <c r="BE1214" s="138">
        <v>307.8</v>
      </c>
      <c r="BF1214" s="321">
        <f t="shared" si="835"/>
        <v>0.4617</v>
      </c>
      <c r="BG1214" s="197">
        <f t="shared" si="836"/>
        <v>307.3383</v>
      </c>
      <c r="BH1214" s="321">
        <f t="shared" si="837"/>
        <v>306.60000000000002</v>
      </c>
      <c r="BI1214" s="322">
        <f t="shared" si="838"/>
        <v>119.99999999999886</v>
      </c>
      <c r="BJ1214" s="322">
        <v>0</v>
      </c>
      <c r="BK1214" s="318">
        <f t="shared" si="839"/>
        <v>119.99999999999886</v>
      </c>
      <c r="BL1214" s="67"/>
      <c r="BM1214" s="68" t="str">
        <f t="shared" si="840"/>
        <v>Unloading no. 1179 Bill No STRJ/26-27/174 ,Deduction For Oil Deduction= 160067.725714286 ,Bardana= 6240 ,F.M= 12358.17 Brokerage/Rate Difference 4599 ,Shortage = 9636 ,Greenish= 0 ,Moisture= 2718.7974</v>
      </c>
      <c r="BN1214" s="69"/>
      <c r="BO1214" s="70" t="str">
        <f t="shared" si="841"/>
        <v xml:space="preserve"> Party Condition 42  ,F.M% 0.5 ,Greenish 3.2 ,Moisture 5.11 ,Shortage in KG= 120  ,Oil% 39.28</v>
      </c>
      <c r="BP1214" s="71">
        <f t="shared" si="842"/>
        <v>7423.3995658372933</v>
      </c>
      <c r="BQ1214" s="55"/>
      <c r="BR1214" s="55"/>
      <c r="BS1214" s="41"/>
      <c r="BT1214" s="41"/>
      <c r="BU1214" s="41"/>
      <c r="BV1214" s="41"/>
      <c r="BW1214" s="85"/>
      <c r="BX1214" s="27">
        <v>39.28</v>
      </c>
      <c r="BY1214" s="27">
        <v>39.340000000000003</v>
      </c>
      <c r="CA1214" s="56">
        <v>201627.5</v>
      </c>
      <c r="CC1214" s="57">
        <f t="shared" si="852"/>
        <v>3773.5</v>
      </c>
      <c r="CE1214" s="88">
        <f t="shared" si="853"/>
        <v>3593.8095238095239</v>
      </c>
      <c r="CH1214" s="56">
        <v>156474.21</v>
      </c>
    </row>
    <row r="1215" spans="1:86" ht="14.1" hidden="1" customHeight="1" x14ac:dyDescent="0.3">
      <c r="A1215" s="281" t="s">
        <v>2582</v>
      </c>
      <c r="B1215" s="146">
        <v>46212</v>
      </c>
      <c r="C1215" s="138">
        <v>1180</v>
      </c>
      <c r="D1215" s="138" t="s">
        <v>2605</v>
      </c>
      <c r="E1215" s="129">
        <v>46215</v>
      </c>
      <c r="F1215" s="128" t="s">
        <v>1144</v>
      </c>
      <c r="G1215" s="128" t="s">
        <v>1145</v>
      </c>
      <c r="H1215" s="138" t="s">
        <v>100</v>
      </c>
      <c r="I1215" s="136"/>
      <c r="J1215" s="138" t="s">
        <v>1146</v>
      </c>
      <c r="K1215" s="136"/>
      <c r="L1215" s="146">
        <v>46212</v>
      </c>
      <c r="M1215" s="136"/>
      <c r="N1215" s="128" t="s">
        <v>2644</v>
      </c>
      <c r="O1215" s="146">
        <v>46215</v>
      </c>
      <c r="P1215" s="138">
        <v>0</v>
      </c>
      <c r="Q1215" s="138">
        <v>160</v>
      </c>
      <c r="R1215" s="138">
        <v>40</v>
      </c>
      <c r="S1215" s="138">
        <v>200</v>
      </c>
      <c r="T1215" s="138">
        <v>200</v>
      </c>
      <c r="U1215" s="136"/>
      <c r="V1215" s="136"/>
      <c r="W1215" s="147">
        <v>100.6</v>
      </c>
      <c r="X1215" s="147">
        <v>100.5</v>
      </c>
      <c r="Y1215" s="147">
        <v>807315</v>
      </c>
      <c r="Z1215" s="441">
        <v>40.58</v>
      </c>
      <c r="AA1215" s="147">
        <v>20182.88</v>
      </c>
      <c r="AB1215" s="147">
        <v>20182.88</v>
      </c>
      <c r="AC1215" s="147">
        <v>847680.75</v>
      </c>
      <c r="AD1215" s="315">
        <f t="shared" si="825"/>
        <v>846833.06924999994</v>
      </c>
      <c r="AE1215" s="147">
        <v>40.58</v>
      </c>
      <c r="AF1215" s="147">
        <v>42</v>
      </c>
      <c r="AG1215" s="147">
        <v>40.58</v>
      </c>
      <c r="AH1215" s="287">
        <v>2E-3</v>
      </c>
      <c r="AI1215" s="287">
        <v>3.1E-2</v>
      </c>
      <c r="AJ1215" s="287">
        <v>4.4999999999999998E-2</v>
      </c>
      <c r="AK1215" s="318">
        <f t="shared" si="826"/>
        <v>27294.935714285748</v>
      </c>
      <c r="AL1215" s="193">
        <v>0</v>
      </c>
      <c r="AM1215" s="319">
        <v>0</v>
      </c>
      <c r="AN1215" s="319"/>
      <c r="AO1215" s="320">
        <f t="shared" si="827"/>
        <v>0</v>
      </c>
      <c r="AP1215" s="193">
        <v>0</v>
      </c>
      <c r="AQ1215" s="318">
        <v>0</v>
      </c>
      <c r="AR1215" s="318">
        <f t="shared" si="828"/>
        <v>27294.935714285748</v>
      </c>
      <c r="AS1215" s="318">
        <f t="shared" si="829"/>
        <v>28660</v>
      </c>
      <c r="AT1215" s="321">
        <v>0</v>
      </c>
      <c r="AU1215" s="157"/>
      <c r="AV1215" s="136"/>
      <c r="AW1215" s="318">
        <f t="shared" si="830"/>
        <v>10060</v>
      </c>
      <c r="AX1215" s="193"/>
      <c r="AY1215" s="318">
        <f t="shared" si="831"/>
        <v>10060</v>
      </c>
      <c r="AZ1215" s="318">
        <f t="shared" si="832"/>
        <v>10050</v>
      </c>
      <c r="BA1215" s="318">
        <f t="shared" si="833"/>
        <v>10</v>
      </c>
      <c r="BB1215" s="318">
        <f t="shared" si="834"/>
        <v>20.12</v>
      </c>
      <c r="BC1215" s="318">
        <v>0</v>
      </c>
      <c r="BD1215" s="136"/>
      <c r="BE1215" s="138">
        <v>100.6</v>
      </c>
      <c r="BF1215" s="321">
        <f t="shared" si="835"/>
        <v>0.15089999999999998</v>
      </c>
      <c r="BG1215" s="197">
        <f t="shared" si="836"/>
        <v>100.4491</v>
      </c>
      <c r="BH1215" s="321">
        <f t="shared" si="837"/>
        <v>100.5</v>
      </c>
      <c r="BI1215" s="322">
        <f t="shared" si="838"/>
        <v>9.9999999999994316</v>
      </c>
      <c r="BJ1215" s="322">
        <v>0</v>
      </c>
      <c r="BK1215" s="318">
        <f t="shared" si="839"/>
        <v>9.9999999999994316</v>
      </c>
      <c r="BL1215" s="67"/>
      <c r="BM1215" s="68" t="str">
        <f t="shared" si="840"/>
        <v>Unloading no. 1180 Bill No 2026-27/354 ,Deduction For Oil Deduction= 27294.9357142857 ,Bardana= 0 ,F.M= 0 Brokerage/Rate Difference  ,Shortage = 0 ,Greenish= 0 ,Moisture= 0</v>
      </c>
      <c r="BN1215" s="69"/>
      <c r="BO1215" s="70" t="str">
        <f t="shared" si="841"/>
        <v xml:space="preserve"> Party Condition 42  ,F.M% 0.2 ,Greenish 3.1 ,Moisture 4.5 ,Shortage in KG= 0  ,Oil% 40.58</v>
      </c>
      <c r="BP1215" s="71">
        <f t="shared" si="842"/>
        <v>7761.3936744847197</v>
      </c>
      <c r="BQ1215" s="55"/>
      <c r="BR1215" s="55"/>
      <c r="BS1215" s="41"/>
      <c r="BT1215" s="41"/>
      <c r="BU1215" s="41"/>
      <c r="BV1215" s="41"/>
      <c r="BW1215" s="85"/>
      <c r="BX1215" s="27">
        <v>40.270000000000003</v>
      </c>
      <c r="BY1215" s="27">
        <v>40.229999999999997</v>
      </c>
    </row>
    <row r="1216" spans="1:86" ht="14.1" hidden="1" customHeight="1" x14ac:dyDescent="0.3">
      <c r="A1216" s="281" t="s">
        <v>2582</v>
      </c>
      <c r="B1216" s="146">
        <v>46212</v>
      </c>
      <c r="C1216" s="138">
        <v>1181</v>
      </c>
      <c r="D1216" s="138" t="s">
        <v>2606</v>
      </c>
      <c r="E1216" s="129">
        <v>46215</v>
      </c>
      <c r="F1216" s="128" t="s">
        <v>1144</v>
      </c>
      <c r="G1216" s="128" t="s">
        <v>1145</v>
      </c>
      <c r="H1216" s="138" t="s">
        <v>100</v>
      </c>
      <c r="I1216" s="136"/>
      <c r="J1216" s="138" t="s">
        <v>1146</v>
      </c>
      <c r="K1216" s="136"/>
      <c r="L1216" s="146">
        <v>46212</v>
      </c>
      <c r="M1216" s="136"/>
      <c r="N1216" s="128" t="s">
        <v>2645</v>
      </c>
      <c r="O1216" s="146">
        <v>46215</v>
      </c>
      <c r="P1216" s="138">
        <v>0</v>
      </c>
      <c r="Q1216" s="138">
        <v>150</v>
      </c>
      <c r="R1216" s="138">
        <v>34</v>
      </c>
      <c r="S1216" s="138">
        <v>184</v>
      </c>
      <c r="T1216" s="138">
        <v>184</v>
      </c>
      <c r="U1216" s="136"/>
      <c r="V1216" s="136"/>
      <c r="W1216" s="147">
        <v>92.1</v>
      </c>
      <c r="X1216" s="147">
        <v>92.1</v>
      </c>
      <c r="Y1216" s="147">
        <v>739102.5</v>
      </c>
      <c r="Z1216" s="441">
        <v>39.78</v>
      </c>
      <c r="AA1216" s="147">
        <v>18477.560000000001</v>
      </c>
      <c r="AB1216" s="147">
        <v>18477.560000000001</v>
      </c>
      <c r="AC1216" s="147">
        <v>776057.63</v>
      </c>
      <c r="AD1216" s="315">
        <f t="shared" si="825"/>
        <v>775281.57236999995</v>
      </c>
      <c r="AE1216" s="212">
        <v>39.78</v>
      </c>
      <c r="AF1216" s="147">
        <v>42</v>
      </c>
      <c r="AG1216" s="212">
        <v>39.78</v>
      </c>
      <c r="AH1216" s="287">
        <v>1.8E-3</v>
      </c>
      <c r="AI1216" s="287">
        <v>3.4000000000000002E-2</v>
      </c>
      <c r="AJ1216" s="287">
        <v>4.2999999999999997E-2</v>
      </c>
      <c r="AK1216" s="318">
        <f t="shared" si="826"/>
        <v>39066.846428571407</v>
      </c>
      <c r="AL1216" s="193">
        <v>0</v>
      </c>
      <c r="AM1216" s="319">
        <v>0</v>
      </c>
      <c r="AN1216" s="319"/>
      <c r="AO1216" s="320">
        <f t="shared" si="827"/>
        <v>0</v>
      </c>
      <c r="AP1216" s="193">
        <v>0</v>
      </c>
      <c r="AQ1216" s="318">
        <v>0</v>
      </c>
      <c r="AR1216" s="318">
        <f t="shared" si="828"/>
        <v>39066.846428571407</v>
      </c>
      <c r="AS1216" s="318">
        <f t="shared" si="829"/>
        <v>41020</v>
      </c>
      <c r="AT1216" s="321">
        <v>0</v>
      </c>
      <c r="AU1216" s="157"/>
      <c r="AV1216" s="136"/>
      <c r="AW1216" s="318">
        <f t="shared" si="830"/>
        <v>9210</v>
      </c>
      <c r="AX1216" s="193"/>
      <c r="AY1216" s="318">
        <f t="shared" si="831"/>
        <v>9210</v>
      </c>
      <c r="AZ1216" s="318">
        <f t="shared" si="832"/>
        <v>9210</v>
      </c>
      <c r="BA1216" s="318">
        <f t="shared" si="833"/>
        <v>0</v>
      </c>
      <c r="BB1216" s="318">
        <f t="shared" si="834"/>
        <v>18.420000000000002</v>
      </c>
      <c r="BC1216" s="318">
        <v>0</v>
      </c>
      <c r="BD1216" s="136"/>
      <c r="BE1216" s="138">
        <v>92.1</v>
      </c>
      <c r="BF1216" s="321">
        <f t="shared" si="835"/>
        <v>0.13815</v>
      </c>
      <c r="BG1216" s="197">
        <f t="shared" si="836"/>
        <v>91.961849999999998</v>
      </c>
      <c r="BH1216" s="321">
        <f t="shared" si="837"/>
        <v>92.1</v>
      </c>
      <c r="BI1216" s="322">
        <f t="shared" si="838"/>
        <v>0</v>
      </c>
      <c r="BJ1216" s="322">
        <v>0</v>
      </c>
      <c r="BK1216" s="318">
        <f t="shared" si="839"/>
        <v>0</v>
      </c>
      <c r="BL1216" s="67"/>
      <c r="BM1216" s="68" t="str">
        <f t="shared" si="840"/>
        <v>Unloading no. 1181 Bill No 2026-27/355 ,Deduction For Oil Deduction= 39066.8464285714 ,Bardana= 0 ,F.M= 0 Brokerage/Rate Difference  ,Shortage = 0 ,Greenish= 0 ,Moisture= 0</v>
      </c>
      <c r="BN1216" s="69"/>
      <c r="BO1216" s="70" t="str">
        <f t="shared" si="841"/>
        <v xml:space="preserve"> Party Condition 42  ,F.M% 0.18 ,Greenish 3.4 ,Moisture 4.3 ,Shortage in KG= 0  ,Oil% 39.78</v>
      </c>
      <c r="BP1216" s="71">
        <f t="shared" si="842"/>
        <v>7600.8214285714294</v>
      </c>
      <c r="BQ1216" s="55"/>
      <c r="BR1216" s="55"/>
      <c r="BS1216" s="41"/>
      <c r="BT1216" s="41"/>
      <c r="BU1216" s="41"/>
      <c r="BV1216" s="41"/>
      <c r="BW1216" s="85"/>
      <c r="BX1216" s="27">
        <v>39.19</v>
      </c>
      <c r="BY1216" s="27">
        <v>39.31</v>
      </c>
    </row>
    <row r="1217" spans="1:77" ht="14.1" hidden="1" customHeight="1" x14ac:dyDescent="0.3">
      <c r="A1217" s="281" t="s">
        <v>2582</v>
      </c>
      <c r="B1217" s="146">
        <v>46212</v>
      </c>
      <c r="C1217" s="138">
        <v>1182</v>
      </c>
      <c r="D1217" s="138" t="s">
        <v>2607</v>
      </c>
      <c r="E1217" s="129">
        <v>46215</v>
      </c>
      <c r="F1217" s="128" t="s">
        <v>1144</v>
      </c>
      <c r="G1217" s="128" t="s">
        <v>1145</v>
      </c>
      <c r="H1217" s="138" t="s">
        <v>100</v>
      </c>
      <c r="I1217" s="136"/>
      <c r="J1217" s="138" t="s">
        <v>1146</v>
      </c>
      <c r="K1217" s="136"/>
      <c r="L1217" s="146">
        <v>46212</v>
      </c>
      <c r="M1217" s="136"/>
      <c r="N1217" s="128" t="s">
        <v>2646</v>
      </c>
      <c r="O1217" s="146">
        <v>46215</v>
      </c>
      <c r="P1217" s="138">
        <v>0</v>
      </c>
      <c r="Q1217" s="138">
        <v>150</v>
      </c>
      <c r="R1217" s="138">
        <v>20</v>
      </c>
      <c r="S1217" s="138">
        <v>170</v>
      </c>
      <c r="T1217" s="138">
        <v>170</v>
      </c>
      <c r="U1217" s="136"/>
      <c r="V1217" s="136"/>
      <c r="W1217" s="147">
        <v>85.9</v>
      </c>
      <c r="X1217" s="147">
        <v>85.9</v>
      </c>
      <c r="Y1217" s="147">
        <v>689347.5</v>
      </c>
      <c r="Z1217" s="441">
        <v>39.85</v>
      </c>
      <c r="AA1217" s="147">
        <v>17233.689999999999</v>
      </c>
      <c r="AB1217" s="147">
        <v>17233.689999999999</v>
      </c>
      <c r="AC1217" s="147">
        <v>723814.88</v>
      </c>
      <c r="AD1217" s="315">
        <f t="shared" si="825"/>
        <v>723091.06512000004</v>
      </c>
      <c r="AE1217" s="212">
        <v>39.85</v>
      </c>
      <c r="AF1217" s="147">
        <v>42</v>
      </c>
      <c r="AG1217" s="212">
        <v>39.85</v>
      </c>
      <c r="AH1217" s="287">
        <v>4.0000000000000001E-3</v>
      </c>
      <c r="AI1217" s="287">
        <v>3.49E-2</v>
      </c>
      <c r="AJ1217" s="287">
        <v>4.5999999999999999E-2</v>
      </c>
      <c r="AK1217" s="318">
        <f t="shared" si="826"/>
        <v>35288.026785714261</v>
      </c>
      <c r="AL1217" s="193">
        <v>0</v>
      </c>
      <c r="AM1217" s="319">
        <v>0</v>
      </c>
      <c r="AN1217" s="319"/>
      <c r="AO1217" s="320">
        <f t="shared" si="827"/>
        <v>0</v>
      </c>
      <c r="AP1217" s="193">
        <v>0</v>
      </c>
      <c r="AQ1217" s="318">
        <v>0</v>
      </c>
      <c r="AR1217" s="318">
        <f t="shared" si="828"/>
        <v>35288.026785714261</v>
      </c>
      <c r="AS1217" s="318">
        <f t="shared" si="829"/>
        <v>37052</v>
      </c>
      <c r="AT1217" s="321">
        <v>0</v>
      </c>
      <c r="AU1217" s="157"/>
      <c r="AV1217" s="136"/>
      <c r="AW1217" s="318">
        <f t="shared" si="830"/>
        <v>8590</v>
      </c>
      <c r="AX1217" s="193"/>
      <c r="AY1217" s="318">
        <f t="shared" si="831"/>
        <v>8590</v>
      </c>
      <c r="AZ1217" s="318">
        <f t="shared" si="832"/>
        <v>8590</v>
      </c>
      <c r="BA1217" s="318">
        <f t="shared" si="833"/>
        <v>0</v>
      </c>
      <c r="BB1217" s="318">
        <f t="shared" si="834"/>
        <v>17.18</v>
      </c>
      <c r="BC1217" s="318">
        <v>0</v>
      </c>
      <c r="BD1217" s="136"/>
      <c r="BE1217" s="138">
        <v>85.9</v>
      </c>
      <c r="BF1217" s="321">
        <f t="shared" si="835"/>
        <v>0.12884999999999999</v>
      </c>
      <c r="BG1217" s="197">
        <f t="shared" si="836"/>
        <v>85.771150000000006</v>
      </c>
      <c r="BH1217" s="321">
        <f t="shared" si="837"/>
        <v>85.9</v>
      </c>
      <c r="BI1217" s="322">
        <f t="shared" si="838"/>
        <v>0</v>
      </c>
      <c r="BJ1217" s="322">
        <v>0</v>
      </c>
      <c r="BK1217" s="318">
        <f t="shared" si="839"/>
        <v>0</v>
      </c>
      <c r="BL1217" s="67"/>
      <c r="BM1217" s="68" t="str">
        <f t="shared" si="840"/>
        <v>Unloading no. 1182 Bill No 2026-27/356 ,Deduction For Oil Deduction= 35288.0267857143 ,Bardana= 0 ,F.M= 0 Brokerage/Rate Difference  ,Shortage = 0 ,Greenish= 0 ,Moisture= 0</v>
      </c>
      <c r="BN1217" s="69"/>
      <c r="BO1217" s="70" t="str">
        <f t="shared" si="841"/>
        <v xml:space="preserve"> Party Condition 42  ,F.M% 0.4 ,Greenish 3.49 ,Moisture 4.6 ,Shortage in KG= 0  ,Oil% 39.85</v>
      </c>
      <c r="BP1217" s="71">
        <f t="shared" si="842"/>
        <v>7614.1964285714275</v>
      </c>
      <c r="BQ1217" s="55"/>
      <c r="BR1217" s="55"/>
      <c r="BS1217" s="41"/>
      <c r="BT1217" s="41"/>
      <c r="BU1217" s="41"/>
      <c r="BV1217" s="41"/>
      <c r="BW1217" s="85"/>
      <c r="BX1217" s="27">
        <v>39.479999999999997</v>
      </c>
      <c r="BY1217" s="27">
        <v>39.5</v>
      </c>
    </row>
    <row r="1218" spans="1:77" ht="14.1" hidden="1" customHeight="1" x14ac:dyDescent="0.3">
      <c r="A1218" s="281" t="s">
        <v>2582</v>
      </c>
      <c r="B1218" s="146">
        <v>46212</v>
      </c>
      <c r="C1218" s="138">
        <v>1183</v>
      </c>
      <c r="D1218" s="138" t="s">
        <v>2608</v>
      </c>
      <c r="E1218" s="129">
        <v>46215</v>
      </c>
      <c r="F1218" s="128" t="s">
        <v>1144</v>
      </c>
      <c r="G1218" s="128" t="s">
        <v>1145</v>
      </c>
      <c r="H1218" s="138" t="s">
        <v>100</v>
      </c>
      <c r="I1218" s="136"/>
      <c r="J1218" s="138" t="s">
        <v>1146</v>
      </c>
      <c r="K1218" s="136"/>
      <c r="L1218" s="146">
        <v>46212</v>
      </c>
      <c r="M1218" s="136"/>
      <c r="N1218" s="128" t="s">
        <v>2647</v>
      </c>
      <c r="O1218" s="146">
        <v>46215</v>
      </c>
      <c r="P1218" s="138">
        <v>0</v>
      </c>
      <c r="Q1218" s="138">
        <v>184</v>
      </c>
      <c r="R1218" s="138">
        <v>0</v>
      </c>
      <c r="S1218" s="138">
        <v>184</v>
      </c>
      <c r="T1218" s="138">
        <v>184</v>
      </c>
      <c r="U1218" s="136"/>
      <c r="V1218" s="136"/>
      <c r="W1218" s="147">
        <v>92.6</v>
      </c>
      <c r="X1218" s="147">
        <v>92.5</v>
      </c>
      <c r="Y1218" s="147">
        <v>743115</v>
      </c>
      <c r="Z1218" s="441">
        <v>39.950000000000003</v>
      </c>
      <c r="AA1218" s="147">
        <v>18577.88</v>
      </c>
      <c r="AB1218" s="147">
        <v>18577.88</v>
      </c>
      <c r="AC1218" s="147">
        <v>780270.75</v>
      </c>
      <c r="AD1218" s="315">
        <f t="shared" si="825"/>
        <v>779490.47924999997</v>
      </c>
      <c r="AE1218" s="212">
        <v>39.950000000000003</v>
      </c>
      <c r="AF1218" s="147">
        <v>42</v>
      </c>
      <c r="AG1218" s="212">
        <v>39.950000000000003</v>
      </c>
      <c r="AH1218" s="287">
        <v>3.8E-3</v>
      </c>
      <c r="AI1218" s="287">
        <v>3.5499999999999997E-2</v>
      </c>
      <c r="AJ1218" s="287">
        <v>4.3999999999999997E-2</v>
      </c>
      <c r="AK1218" s="318">
        <f t="shared" si="826"/>
        <v>36271.089285714232</v>
      </c>
      <c r="AL1218" s="193">
        <v>0</v>
      </c>
      <c r="AM1218" s="319">
        <v>0</v>
      </c>
      <c r="AN1218" s="319"/>
      <c r="AO1218" s="320">
        <f t="shared" si="827"/>
        <v>0</v>
      </c>
      <c r="AP1218" s="193">
        <v>0</v>
      </c>
      <c r="AQ1218" s="318">
        <v>0</v>
      </c>
      <c r="AR1218" s="318">
        <f t="shared" si="828"/>
        <v>36271.089285714232</v>
      </c>
      <c r="AS1218" s="318">
        <f t="shared" si="829"/>
        <v>38085</v>
      </c>
      <c r="AT1218" s="321">
        <v>0</v>
      </c>
      <c r="AU1218" s="157"/>
      <c r="AV1218" s="136"/>
      <c r="AW1218" s="318">
        <f t="shared" si="830"/>
        <v>9260</v>
      </c>
      <c r="AX1218" s="193"/>
      <c r="AY1218" s="318">
        <f t="shared" si="831"/>
        <v>9260</v>
      </c>
      <c r="AZ1218" s="318">
        <f t="shared" si="832"/>
        <v>9250</v>
      </c>
      <c r="BA1218" s="318">
        <f t="shared" si="833"/>
        <v>10</v>
      </c>
      <c r="BB1218" s="318">
        <f t="shared" si="834"/>
        <v>18.52</v>
      </c>
      <c r="BC1218" s="318">
        <v>0</v>
      </c>
      <c r="BD1218" s="136"/>
      <c r="BE1218" s="138">
        <v>92.6</v>
      </c>
      <c r="BF1218" s="321">
        <f t="shared" si="835"/>
        <v>0.1389</v>
      </c>
      <c r="BG1218" s="197">
        <f t="shared" si="836"/>
        <v>92.461099999999988</v>
      </c>
      <c r="BH1218" s="321">
        <f t="shared" si="837"/>
        <v>92.5</v>
      </c>
      <c r="BI1218" s="322">
        <f t="shared" si="838"/>
        <v>9.9999999999994316</v>
      </c>
      <c r="BJ1218" s="322">
        <v>0</v>
      </c>
      <c r="BK1218" s="318">
        <f t="shared" si="839"/>
        <v>9.9999999999994316</v>
      </c>
      <c r="BL1218" s="67"/>
      <c r="BM1218" s="68" t="str">
        <f t="shared" si="840"/>
        <v>Unloading no. 1183 Bill No 2026-27/357 ,Deduction For Oil Deduction= 36271.0892857142 ,Bardana= 0 ,F.M= 0 Brokerage/Rate Difference  ,Shortage = 0 ,Greenish= 0 ,Moisture= 0</v>
      </c>
      <c r="BN1218" s="69"/>
      <c r="BO1218" s="70" t="str">
        <f t="shared" si="841"/>
        <v xml:space="preserve"> Party Condition 42  ,F.M% 0.38 ,Greenish 3.55 ,Moisture 4.4 ,Shortage in KG= 0  ,Oil% 39.95</v>
      </c>
      <c r="BP1218" s="71">
        <f t="shared" si="842"/>
        <v>7641.5557915057925</v>
      </c>
      <c r="BQ1218" s="55"/>
      <c r="BR1218" s="55"/>
      <c r="BS1218" s="41"/>
      <c r="BT1218" s="41"/>
      <c r="BU1218" s="41"/>
      <c r="BV1218" s="41"/>
      <c r="BW1218" s="85"/>
      <c r="BX1218" s="27">
        <v>39.880000000000003</v>
      </c>
      <c r="BY1218" s="27">
        <v>39.869999999999997</v>
      </c>
    </row>
    <row r="1219" spans="1:77" ht="14.1" hidden="1" customHeight="1" x14ac:dyDescent="0.3">
      <c r="A1219" s="281" t="s">
        <v>2582</v>
      </c>
      <c r="B1219" s="146">
        <v>46212</v>
      </c>
      <c r="C1219" s="138">
        <v>1184</v>
      </c>
      <c r="D1219" s="138" t="s">
        <v>2609</v>
      </c>
      <c r="E1219" s="129">
        <v>46215</v>
      </c>
      <c r="F1219" s="128" t="s">
        <v>1144</v>
      </c>
      <c r="G1219" s="128" t="s">
        <v>1145</v>
      </c>
      <c r="H1219" s="138" t="s">
        <v>100</v>
      </c>
      <c r="I1219" s="136"/>
      <c r="J1219" s="138" t="s">
        <v>1146</v>
      </c>
      <c r="K1219" s="136"/>
      <c r="L1219" s="146">
        <v>46212</v>
      </c>
      <c r="M1219" s="136"/>
      <c r="N1219" s="128" t="s">
        <v>2648</v>
      </c>
      <c r="O1219" s="146">
        <v>46215</v>
      </c>
      <c r="P1219" s="138">
        <v>0</v>
      </c>
      <c r="Q1219" s="138">
        <v>160</v>
      </c>
      <c r="R1219" s="138">
        <v>24</v>
      </c>
      <c r="S1219" s="138">
        <v>184</v>
      </c>
      <c r="T1219" s="138">
        <v>184</v>
      </c>
      <c r="U1219" s="136"/>
      <c r="V1219" s="136"/>
      <c r="W1219" s="147">
        <v>91.9</v>
      </c>
      <c r="X1219" s="147">
        <v>91.9</v>
      </c>
      <c r="Y1219" s="147">
        <v>737497.5</v>
      </c>
      <c r="Z1219" s="441">
        <v>40.35</v>
      </c>
      <c r="AA1219" s="147">
        <v>18437.439999999999</v>
      </c>
      <c r="AB1219" s="147">
        <v>18437.439999999999</v>
      </c>
      <c r="AC1219" s="147">
        <v>774372.38</v>
      </c>
      <c r="AD1219" s="315">
        <f t="shared" si="825"/>
        <v>773598.00762000005</v>
      </c>
      <c r="AE1219" s="212">
        <v>40.35</v>
      </c>
      <c r="AF1219" s="147">
        <v>42</v>
      </c>
      <c r="AG1219" s="212">
        <v>40.35</v>
      </c>
      <c r="AH1219" s="287">
        <v>1.9E-3</v>
      </c>
      <c r="AI1219" s="287">
        <v>2.8000000000000001E-2</v>
      </c>
      <c r="AJ1219" s="287">
        <v>4.7E-2</v>
      </c>
      <c r="AK1219" s="318">
        <f t="shared" si="826"/>
        <v>28973.116071428547</v>
      </c>
      <c r="AL1219" s="193">
        <v>0</v>
      </c>
      <c r="AM1219" s="319">
        <v>0</v>
      </c>
      <c r="AN1219" s="319"/>
      <c r="AO1219" s="320">
        <f t="shared" si="827"/>
        <v>0</v>
      </c>
      <c r="AP1219" s="193">
        <v>0</v>
      </c>
      <c r="AQ1219" s="318">
        <v>0</v>
      </c>
      <c r="AR1219" s="318">
        <f t="shared" si="828"/>
        <v>28973.116071428547</v>
      </c>
      <c r="AS1219" s="318">
        <f t="shared" si="829"/>
        <v>30422</v>
      </c>
      <c r="AT1219" s="321">
        <v>0</v>
      </c>
      <c r="AU1219" s="157"/>
      <c r="AV1219" s="136"/>
      <c r="AW1219" s="318">
        <f t="shared" si="830"/>
        <v>9190</v>
      </c>
      <c r="AX1219" s="193"/>
      <c r="AY1219" s="318">
        <f t="shared" si="831"/>
        <v>9190</v>
      </c>
      <c r="AZ1219" s="318">
        <f t="shared" si="832"/>
        <v>9190</v>
      </c>
      <c r="BA1219" s="318">
        <f t="shared" si="833"/>
        <v>0</v>
      </c>
      <c r="BB1219" s="318">
        <f t="shared" si="834"/>
        <v>18.38</v>
      </c>
      <c r="BC1219" s="318">
        <v>0</v>
      </c>
      <c r="BD1219" s="136"/>
      <c r="BE1219" s="138">
        <v>91.9</v>
      </c>
      <c r="BF1219" s="321">
        <f t="shared" si="835"/>
        <v>0.13785</v>
      </c>
      <c r="BG1219" s="197">
        <f t="shared" si="836"/>
        <v>91.762150000000005</v>
      </c>
      <c r="BH1219" s="321">
        <f t="shared" si="837"/>
        <v>91.9</v>
      </c>
      <c r="BI1219" s="322">
        <f t="shared" si="838"/>
        <v>0</v>
      </c>
      <c r="BJ1219" s="322">
        <v>0</v>
      </c>
      <c r="BK1219" s="318">
        <f t="shared" si="839"/>
        <v>0</v>
      </c>
      <c r="BL1219" s="67"/>
      <c r="BM1219" s="68" t="str">
        <f t="shared" si="840"/>
        <v>Unloading no. 1184 Bill No 2026-27/358 ,Deduction For Oil Deduction= 28973.1160714285 ,Bardana= 0 ,F.M= 0 Brokerage/Rate Difference  ,Shortage = 0 ,Greenish= 0 ,Moisture= 0</v>
      </c>
      <c r="BN1219" s="69"/>
      <c r="BO1219" s="70" t="str">
        <f t="shared" si="841"/>
        <v xml:space="preserve"> Party Condition 42  ,F.M% 0.19 ,Greenish 2.8 ,Moisture 4.7 ,Shortage in KG= 0  ,Oil% 40.35</v>
      </c>
      <c r="BP1219" s="71">
        <f t="shared" si="842"/>
        <v>7709.7321428571431</v>
      </c>
      <c r="BQ1219" s="55"/>
      <c r="BR1219" s="55"/>
      <c r="BS1219" s="41"/>
      <c r="BT1219" s="41"/>
      <c r="BU1219" s="41"/>
      <c r="BV1219" s="41"/>
      <c r="BW1219" s="85"/>
      <c r="BX1219" s="27">
        <v>40.020000000000003</v>
      </c>
      <c r="BY1219" s="27">
        <v>39.86</v>
      </c>
    </row>
    <row r="1220" spans="1:77" ht="14.1" hidden="1" customHeight="1" x14ac:dyDescent="0.3">
      <c r="A1220" s="281" t="s">
        <v>2582</v>
      </c>
      <c r="B1220" s="146">
        <v>46212</v>
      </c>
      <c r="C1220" s="138">
        <v>1185</v>
      </c>
      <c r="D1220" s="138" t="s">
        <v>2610</v>
      </c>
      <c r="E1220" s="129">
        <v>46215</v>
      </c>
      <c r="F1220" s="128" t="s">
        <v>1144</v>
      </c>
      <c r="G1220" s="128" t="s">
        <v>1145</v>
      </c>
      <c r="H1220" s="138" t="s">
        <v>100</v>
      </c>
      <c r="I1220" s="136"/>
      <c r="J1220" s="138" t="s">
        <v>1146</v>
      </c>
      <c r="K1220" s="136"/>
      <c r="L1220" s="146">
        <v>46212</v>
      </c>
      <c r="M1220" s="136"/>
      <c r="N1220" s="128" t="s">
        <v>2649</v>
      </c>
      <c r="O1220" s="146">
        <v>46215</v>
      </c>
      <c r="P1220" s="138">
        <v>0</v>
      </c>
      <c r="Q1220" s="138">
        <v>150</v>
      </c>
      <c r="R1220" s="138">
        <v>34</v>
      </c>
      <c r="S1220" s="138">
        <v>184</v>
      </c>
      <c r="T1220" s="138">
        <v>184</v>
      </c>
      <c r="U1220" s="136"/>
      <c r="V1220" s="136"/>
      <c r="W1220" s="147">
        <v>92.7</v>
      </c>
      <c r="X1220" s="147">
        <v>92.7</v>
      </c>
      <c r="Y1220" s="147">
        <v>743917.5</v>
      </c>
      <c r="Z1220" s="441">
        <v>40.08</v>
      </c>
      <c r="AA1220" s="147">
        <v>18597.939999999999</v>
      </c>
      <c r="AB1220" s="147">
        <v>18597.939999999999</v>
      </c>
      <c r="AC1220" s="147">
        <v>781113.38</v>
      </c>
      <c r="AD1220" s="315">
        <f t="shared" si="825"/>
        <v>780332.26662000001</v>
      </c>
      <c r="AE1220" s="212">
        <v>40.08</v>
      </c>
      <c r="AF1220" s="147">
        <v>42</v>
      </c>
      <c r="AG1220" s="212">
        <v>40.08</v>
      </c>
      <c r="AH1220" s="287">
        <v>2E-3</v>
      </c>
      <c r="AI1220" s="287">
        <v>2.6800000000000001E-2</v>
      </c>
      <c r="AJ1220" s="287">
        <v>4.9000000000000002E-2</v>
      </c>
      <c r="AK1220" s="318">
        <f t="shared" si="826"/>
        <v>34007.657142857177</v>
      </c>
      <c r="AL1220" s="193">
        <v>0</v>
      </c>
      <c r="AM1220" s="319">
        <v>0</v>
      </c>
      <c r="AN1220" s="319"/>
      <c r="AO1220" s="320">
        <f t="shared" si="827"/>
        <v>0</v>
      </c>
      <c r="AP1220" s="193">
        <v>0</v>
      </c>
      <c r="AQ1220" s="318">
        <v>0</v>
      </c>
      <c r="AR1220" s="318">
        <f t="shared" si="828"/>
        <v>34007.657142857177</v>
      </c>
      <c r="AS1220" s="318">
        <f t="shared" si="829"/>
        <v>35708</v>
      </c>
      <c r="AT1220" s="321">
        <v>0</v>
      </c>
      <c r="AU1220" s="157"/>
      <c r="AV1220" s="136"/>
      <c r="AW1220" s="318">
        <f t="shared" si="830"/>
        <v>9270</v>
      </c>
      <c r="AX1220" s="193"/>
      <c r="AY1220" s="318">
        <f t="shared" si="831"/>
        <v>9270</v>
      </c>
      <c r="AZ1220" s="318">
        <f t="shared" si="832"/>
        <v>9270</v>
      </c>
      <c r="BA1220" s="318">
        <f t="shared" si="833"/>
        <v>0</v>
      </c>
      <c r="BB1220" s="318">
        <f t="shared" si="834"/>
        <v>18.54</v>
      </c>
      <c r="BC1220" s="318">
        <v>0</v>
      </c>
      <c r="BD1220" s="136"/>
      <c r="BE1220" s="138">
        <v>92.7</v>
      </c>
      <c r="BF1220" s="321">
        <f t="shared" si="835"/>
        <v>0.13905000000000001</v>
      </c>
      <c r="BG1220" s="197">
        <f t="shared" si="836"/>
        <v>92.560950000000005</v>
      </c>
      <c r="BH1220" s="321">
        <f t="shared" si="837"/>
        <v>92.7</v>
      </c>
      <c r="BI1220" s="322">
        <f t="shared" si="838"/>
        <v>0</v>
      </c>
      <c r="BJ1220" s="322">
        <v>0</v>
      </c>
      <c r="BK1220" s="318">
        <f t="shared" si="839"/>
        <v>0</v>
      </c>
      <c r="BL1220" s="67"/>
      <c r="BM1220" s="68" t="str">
        <f t="shared" si="840"/>
        <v>Unloading no. 1185 Bill No 2026-27/359 ,Deduction For Oil Deduction= 34007.6571428572 ,Bardana= 0 ,F.M= 0 Brokerage/Rate Difference  ,Shortage = 0 ,Greenish= 0 ,Moisture= 0</v>
      </c>
      <c r="BN1220" s="69"/>
      <c r="BO1220" s="70" t="str">
        <f t="shared" si="841"/>
        <v xml:space="preserve"> Party Condition 42  ,F.M% 0.2 ,Greenish 2.68 ,Moisture 4.9 ,Shortage in KG= 0  ,Oil% 40.08</v>
      </c>
      <c r="BP1220" s="71">
        <f t="shared" si="842"/>
        <v>7658.142857142856</v>
      </c>
      <c r="BQ1220" s="55"/>
      <c r="BR1220" s="55"/>
      <c r="BS1220" s="41"/>
      <c r="BT1220" s="41"/>
      <c r="BU1220" s="41"/>
      <c r="BV1220" s="41"/>
      <c r="BW1220" s="85"/>
      <c r="BX1220" s="27">
        <v>40.090000000000003</v>
      </c>
      <c r="BY1220" s="27">
        <v>40.08</v>
      </c>
    </row>
    <row r="1221" spans="1:77" ht="14.1" hidden="1" customHeight="1" x14ac:dyDescent="0.3">
      <c r="A1221" s="281" t="s">
        <v>2585</v>
      </c>
      <c r="B1221" s="146">
        <v>46212</v>
      </c>
      <c r="C1221" s="138">
        <v>1186</v>
      </c>
      <c r="D1221" s="138" t="s">
        <v>2611</v>
      </c>
      <c r="E1221" s="129">
        <v>46215</v>
      </c>
      <c r="F1221" s="128" t="s">
        <v>1144</v>
      </c>
      <c r="G1221" s="128" t="s">
        <v>1145</v>
      </c>
      <c r="H1221" s="138" t="s">
        <v>100</v>
      </c>
      <c r="I1221" s="136"/>
      <c r="J1221" s="138" t="s">
        <v>1146</v>
      </c>
      <c r="K1221" s="136"/>
      <c r="L1221" s="146">
        <v>46212</v>
      </c>
      <c r="M1221" s="136"/>
      <c r="N1221" s="128" t="s">
        <v>2650</v>
      </c>
      <c r="O1221" s="146">
        <v>46215</v>
      </c>
      <c r="P1221" s="138">
        <v>0</v>
      </c>
      <c r="Q1221" s="138">
        <v>150</v>
      </c>
      <c r="R1221" s="138">
        <v>34</v>
      </c>
      <c r="S1221" s="138">
        <v>184</v>
      </c>
      <c r="T1221" s="138">
        <v>184</v>
      </c>
      <c r="U1221" s="136"/>
      <c r="V1221" s="136"/>
      <c r="W1221" s="147">
        <v>91.2</v>
      </c>
      <c r="X1221" s="147">
        <v>91.2</v>
      </c>
      <c r="Y1221" s="147">
        <v>731880</v>
      </c>
      <c r="Z1221" s="441">
        <v>40.08</v>
      </c>
      <c r="AA1221" s="147">
        <v>18297</v>
      </c>
      <c r="AB1221" s="147">
        <v>18297</v>
      </c>
      <c r="AC1221" s="147">
        <v>768474</v>
      </c>
      <c r="AD1221" s="315">
        <f t="shared" si="825"/>
        <v>767705.52599999995</v>
      </c>
      <c r="AE1221" s="212">
        <v>40.08</v>
      </c>
      <c r="AF1221" s="147">
        <v>42</v>
      </c>
      <c r="AG1221" s="212">
        <v>40.08</v>
      </c>
      <c r="AH1221" s="287">
        <v>2.8E-3</v>
      </c>
      <c r="AI1221" s="287">
        <v>3.04E-2</v>
      </c>
      <c r="AJ1221" s="287">
        <v>4.7E-2</v>
      </c>
      <c r="AK1221" s="318">
        <f t="shared" si="826"/>
        <v>33457.37142857146</v>
      </c>
      <c r="AL1221" s="193">
        <v>0</v>
      </c>
      <c r="AM1221" s="319">
        <v>0</v>
      </c>
      <c r="AN1221" s="319"/>
      <c r="AO1221" s="320">
        <f t="shared" si="827"/>
        <v>0</v>
      </c>
      <c r="AP1221" s="193">
        <v>0</v>
      </c>
      <c r="AQ1221" s="318">
        <v>0</v>
      </c>
      <c r="AR1221" s="318">
        <f t="shared" si="828"/>
        <v>33457.37142857146</v>
      </c>
      <c r="AS1221" s="318">
        <f t="shared" si="829"/>
        <v>35130</v>
      </c>
      <c r="AT1221" s="321">
        <v>0</v>
      </c>
      <c r="AU1221" s="157"/>
      <c r="AV1221" s="136"/>
      <c r="AW1221" s="318">
        <f t="shared" si="830"/>
        <v>9120</v>
      </c>
      <c r="AX1221" s="193"/>
      <c r="AY1221" s="318">
        <f t="shared" si="831"/>
        <v>9120</v>
      </c>
      <c r="AZ1221" s="318">
        <f t="shared" si="832"/>
        <v>9120</v>
      </c>
      <c r="BA1221" s="318">
        <f t="shared" si="833"/>
        <v>0</v>
      </c>
      <c r="BB1221" s="318">
        <f t="shared" si="834"/>
        <v>18.239999999999998</v>
      </c>
      <c r="BC1221" s="318">
        <v>0</v>
      </c>
      <c r="BD1221" s="136"/>
      <c r="BE1221" s="138">
        <v>91.2</v>
      </c>
      <c r="BF1221" s="321">
        <f t="shared" si="835"/>
        <v>0.1368</v>
      </c>
      <c r="BG1221" s="197">
        <f t="shared" si="836"/>
        <v>91.063200000000009</v>
      </c>
      <c r="BH1221" s="321">
        <f t="shared" si="837"/>
        <v>91.2</v>
      </c>
      <c r="BI1221" s="322">
        <f t="shared" si="838"/>
        <v>0</v>
      </c>
      <c r="BJ1221" s="322">
        <v>0</v>
      </c>
      <c r="BK1221" s="318">
        <f t="shared" si="839"/>
        <v>0</v>
      </c>
      <c r="BL1221" s="67"/>
      <c r="BM1221" s="68" t="str">
        <f t="shared" si="840"/>
        <v>Unloading no. 1186 Bill No 2026-27/361 ,Deduction For Oil Deduction= 33457.3714285715 ,Bardana= 0 ,F.M= 0 Brokerage/Rate Difference  ,Shortage = 0 ,Greenish= 0 ,Moisture= 0</v>
      </c>
      <c r="BN1221" s="69"/>
      <c r="BO1221" s="70" t="str">
        <f t="shared" si="841"/>
        <v xml:space="preserve"> Party Condition 42  ,F.M% 0.28 ,Greenish 3.04 ,Moisture 4.7 ,Shortage in KG= 0  ,Oil% 40.08</v>
      </c>
      <c r="BP1221" s="71">
        <f t="shared" si="842"/>
        <v>7658.1428571428569</v>
      </c>
      <c r="BQ1221" s="55"/>
      <c r="BR1221" s="55"/>
      <c r="BS1221" s="41"/>
      <c r="BT1221" s="41"/>
      <c r="BU1221" s="41"/>
      <c r="BV1221" s="41"/>
      <c r="BW1221" s="85"/>
      <c r="BX1221" s="27">
        <v>40.22</v>
      </c>
      <c r="BY1221" s="27">
        <v>39.92</v>
      </c>
    </row>
    <row r="1222" spans="1:77" ht="14.1" hidden="1" customHeight="1" x14ac:dyDescent="0.3">
      <c r="A1222" s="281" t="s">
        <v>2585</v>
      </c>
      <c r="B1222" s="146">
        <v>46212</v>
      </c>
      <c r="C1222" s="138">
        <v>1187</v>
      </c>
      <c r="D1222" s="138" t="s">
        <v>2612</v>
      </c>
      <c r="E1222" s="129">
        <v>46215</v>
      </c>
      <c r="F1222" s="128" t="s">
        <v>1144</v>
      </c>
      <c r="G1222" s="128" t="s">
        <v>1145</v>
      </c>
      <c r="H1222" s="138" t="s">
        <v>100</v>
      </c>
      <c r="I1222" s="136"/>
      <c r="J1222" s="138" t="s">
        <v>1146</v>
      </c>
      <c r="K1222" s="136"/>
      <c r="L1222" s="146">
        <v>46212</v>
      </c>
      <c r="M1222" s="136"/>
      <c r="N1222" s="128" t="s">
        <v>2651</v>
      </c>
      <c r="O1222" s="146">
        <v>46215</v>
      </c>
      <c r="P1222" s="138">
        <v>0</v>
      </c>
      <c r="Q1222" s="138">
        <v>150</v>
      </c>
      <c r="R1222" s="138">
        <v>34</v>
      </c>
      <c r="S1222" s="138">
        <v>184</v>
      </c>
      <c r="T1222" s="138">
        <v>184</v>
      </c>
      <c r="U1222" s="136"/>
      <c r="V1222" s="136"/>
      <c r="W1222" s="147">
        <v>92.3</v>
      </c>
      <c r="X1222" s="147">
        <v>92.3</v>
      </c>
      <c r="Y1222" s="147">
        <v>740707.5</v>
      </c>
      <c r="Z1222" s="441">
        <v>39.99</v>
      </c>
      <c r="AA1222" s="147">
        <v>18517.689999999999</v>
      </c>
      <c r="AB1222" s="147">
        <v>18517.689999999999</v>
      </c>
      <c r="AC1222" s="147">
        <v>777742.88</v>
      </c>
      <c r="AD1222" s="315">
        <f t="shared" si="825"/>
        <v>776965.13711999997</v>
      </c>
      <c r="AE1222" s="212">
        <v>39.99</v>
      </c>
      <c r="AF1222" s="147">
        <v>42</v>
      </c>
      <c r="AG1222" s="212">
        <v>39.99</v>
      </c>
      <c r="AH1222" s="287">
        <v>2.8999999999999998E-3</v>
      </c>
      <c r="AI1222" s="287">
        <v>3.1E-2</v>
      </c>
      <c r="AJ1222" s="287">
        <v>4.8000000000000001E-2</v>
      </c>
      <c r="AK1222" s="318">
        <f t="shared" si="826"/>
        <v>35448.144642857107</v>
      </c>
      <c r="AL1222" s="193">
        <v>0</v>
      </c>
      <c r="AM1222" s="319">
        <v>0</v>
      </c>
      <c r="AN1222" s="319"/>
      <c r="AO1222" s="320">
        <f t="shared" si="827"/>
        <v>0</v>
      </c>
      <c r="AP1222" s="193">
        <v>0</v>
      </c>
      <c r="AQ1222" s="318">
        <v>0</v>
      </c>
      <c r="AR1222" s="318">
        <f t="shared" si="828"/>
        <v>35448.144642857107</v>
      </c>
      <c r="AS1222" s="318">
        <f t="shared" si="829"/>
        <v>37221</v>
      </c>
      <c r="AT1222" s="321">
        <v>0</v>
      </c>
      <c r="AU1222" s="157"/>
      <c r="AV1222" s="136"/>
      <c r="AW1222" s="318">
        <f t="shared" si="830"/>
        <v>9230</v>
      </c>
      <c r="AX1222" s="193"/>
      <c r="AY1222" s="318">
        <f t="shared" si="831"/>
        <v>9230</v>
      </c>
      <c r="AZ1222" s="318">
        <f t="shared" si="832"/>
        <v>9230</v>
      </c>
      <c r="BA1222" s="318">
        <f t="shared" si="833"/>
        <v>0</v>
      </c>
      <c r="BB1222" s="318">
        <f t="shared" si="834"/>
        <v>18.46</v>
      </c>
      <c r="BC1222" s="318">
        <v>0</v>
      </c>
      <c r="BD1222" s="136"/>
      <c r="BE1222" s="138">
        <v>92.3</v>
      </c>
      <c r="BF1222" s="321">
        <f t="shared" si="835"/>
        <v>0.13844999999999999</v>
      </c>
      <c r="BG1222" s="197">
        <f t="shared" si="836"/>
        <v>92.161549999999991</v>
      </c>
      <c r="BH1222" s="321">
        <f t="shared" si="837"/>
        <v>92.3</v>
      </c>
      <c r="BI1222" s="322">
        <f t="shared" si="838"/>
        <v>0</v>
      </c>
      <c r="BJ1222" s="322">
        <v>0</v>
      </c>
      <c r="BK1222" s="318">
        <f t="shared" si="839"/>
        <v>0</v>
      </c>
      <c r="BL1222" s="67"/>
      <c r="BM1222" s="68" t="str">
        <f t="shared" si="840"/>
        <v>Unloading no. 1187 Bill No 2026-27/362 ,Deduction For Oil Deduction= 35448.1446428571 ,Bardana= 0 ,F.M= 0 Brokerage/Rate Difference  ,Shortage = 0 ,Greenish= 0 ,Moisture= 0</v>
      </c>
      <c r="BN1222" s="69"/>
      <c r="BO1222" s="70" t="str">
        <f t="shared" si="841"/>
        <v xml:space="preserve"> Party Condition 42  ,F.M% 0.29 ,Greenish 3.1 ,Moisture 4.8 ,Shortage in KG= 0  ,Oil% 39.99</v>
      </c>
      <c r="BP1222" s="71">
        <f t="shared" si="842"/>
        <v>7640.9464285714284</v>
      </c>
      <c r="BQ1222" s="55"/>
      <c r="BR1222" s="55"/>
      <c r="BS1222" s="41"/>
      <c r="BT1222" s="41"/>
      <c r="BU1222" s="41"/>
      <c r="BV1222" s="41"/>
      <c r="BW1222" s="85"/>
      <c r="BX1222" s="27">
        <v>39.770000000000003</v>
      </c>
      <c r="BY1222" s="27">
        <v>39.64</v>
      </c>
    </row>
    <row r="1223" spans="1:77" ht="14.1" hidden="1" customHeight="1" x14ac:dyDescent="0.3">
      <c r="A1223" s="281" t="s">
        <v>2585</v>
      </c>
      <c r="B1223" s="146">
        <v>46212</v>
      </c>
      <c r="C1223" s="138">
        <v>1188</v>
      </c>
      <c r="D1223" s="138" t="s">
        <v>2613</v>
      </c>
      <c r="E1223" s="129">
        <v>46215</v>
      </c>
      <c r="F1223" s="128" t="s">
        <v>1144</v>
      </c>
      <c r="G1223" s="128" t="s">
        <v>1145</v>
      </c>
      <c r="H1223" s="138" t="s">
        <v>100</v>
      </c>
      <c r="I1223" s="136"/>
      <c r="J1223" s="138" t="s">
        <v>1146</v>
      </c>
      <c r="K1223" s="136"/>
      <c r="L1223" s="146">
        <v>46212</v>
      </c>
      <c r="M1223" s="136"/>
      <c r="N1223" s="128" t="s">
        <v>2652</v>
      </c>
      <c r="O1223" s="146">
        <v>46215</v>
      </c>
      <c r="P1223" s="138">
        <v>0</v>
      </c>
      <c r="Q1223" s="138">
        <v>154</v>
      </c>
      <c r="R1223" s="138">
        <v>30</v>
      </c>
      <c r="S1223" s="138">
        <v>184</v>
      </c>
      <c r="T1223" s="138">
        <v>184</v>
      </c>
      <c r="U1223" s="136"/>
      <c r="V1223" s="136"/>
      <c r="W1223" s="147">
        <v>92.4</v>
      </c>
      <c r="X1223" s="147">
        <v>92.4</v>
      </c>
      <c r="Y1223" s="147">
        <v>741510</v>
      </c>
      <c r="Z1223" s="441">
        <v>40.39</v>
      </c>
      <c r="AA1223" s="147">
        <v>18537.75</v>
      </c>
      <c r="AB1223" s="147">
        <v>18537.75</v>
      </c>
      <c r="AC1223" s="147">
        <v>778585.5</v>
      </c>
      <c r="AD1223" s="315">
        <f t="shared" si="825"/>
        <v>777806.91449999996</v>
      </c>
      <c r="AE1223" s="212">
        <v>40.39</v>
      </c>
      <c r="AF1223" s="147">
        <v>42</v>
      </c>
      <c r="AG1223" s="212">
        <v>40.39</v>
      </c>
      <c r="AH1223" s="287">
        <v>2E-3</v>
      </c>
      <c r="AI1223" s="287">
        <v>2.64E-2</v>
      </c>
      <c r="AJ1223" s="287">
        <v>4.9000000000000002E-2</v>
      </c>
      <c r="AK1223" s="318">
        <f t="shared" si="826"/>
        <v>28424.549999999988</v>
      </c>
      <c r="AL1223" s="193">
        <v>0</v>
      </c>
      <c r="AM1223" s="319">
        <v>0</v>
      </c>
      <c r="AN1223" s="319"/>
      <c r="AO1223" s="320">
        <f t="shared" si="827"/>
        <v>0</v>
      </c>
      <c r="AP1223" s="193">
        <v>0</v>
      </c>
      <c r="AQ1223" s="318">
        <v>0</v>
      </c>
      <c r="AR1223" s="318">
        <f t="shared" si="828"/>
        <v>28424.549999999988</v>
      </c>
      <c r="AS1223" s="318">
        <f t="shared" si="829"/>
        <v>29846</v>
      </c>
      <c r="AT1223" s="321">
        <v>0</v>
      </c>
      <c r="AU1223" s="157"/>
      <c r="AV1223" s="136"/>
      <c r="AW1223" s="318">
        <f t="shared" si="830"/>
        <v>9240</v>
      </c>
      <c r="AX1223" s="193"/>
      <c r="AY1223" s="318">
        <f t="shared" si="831"/>
        <v>9240</v>
      </c>
      <c r="AZ1223" s="318">
        <f t="shared" si="832"/>
        <v>9240</v>
      </c>
      <c r="BA1223" s="318">
        <f t="shared" si="833"/>
        <v>0</v>
      </c>
      <c r="BB1223" s="318">
        <f t="shared" si="834"/>
        <v>18.48</v>
      </c>
      <c r="BC1223" s="318">
        <v>0</v>
      </c>
      <c r="BD1223" s="136"/>
      <c r="BE1223" s="138">
        <v>92.4</v>
      </c>
      <c r="BF1223" s="321">
        <f t="shared" si="835"/>
        <v>0.1386</v>
      </c>
      <c r="BG1223" s="197">
        <f t="shared" si="836"/>
        <v>92.261400000000009</v>
      </c>
      <c r="BH1223" s="321">
        <f t="shared" si="837"/>
        <v>92.4</v>
      </c>
      <c r="BI1223" s="322">
        <f t="shared" si="838"/>
        <v>0</v>
      </c>
      <c r="BJ1223" s="322">
        <v>0</v>
      </c>
      <c r="BK1223" s="318">
        <f t="shared" si="839"/>
        <v>0</v>
      </c>
      <c r="BL1223" s="67"/>
      <c r="BM1223" s="68" t="str">
        <f t="shared" si="840"/>
        <v>Unloading no. 1188 Bill No 2026-27/360 ,Deduction For Oil Deduction= 28424.55 ,Bardana= 0 ,F.M= 0 Brokerage/Rate Difference  ,Shortage = 0 ,Greenish= 0 ,Moisture= 0</v>
      </c>
      <c r="BN1223" s="69"/>
      <c r="BO1223" s="70" t="str">
        <f t="shared" si="841"/>
        <v xml:space="preserve"> Party Condition 42  ,F.M% 0.2 ,Greenish 2.64 ,Moisture 4.9 ,Shortage in KG= 0  ,Oil% 40.39</v>
      </c>
      <c r="BP1223" s="71">
        <f t="shared" si="842"/>
        <v>7717.3749999999991</v>
      </c>
      <c r="BQ1223" s="55"/>
      <c r="BR1223" s="55"/>
      <c r="BS1223" s="41"/>
      <c r="BT1223" s="41"/>
      <c r="BU1223" s="41"/>
      <c r="BV1223" s="41"/>
      <c r="BW1223" s="85"/>
      <c r="BX1223" s="27">
        <v>40.43</v>
      </c>
      <c r="BY1223" s="27">
        <v>40.11</v>
      </c>
    </row>
    <row r="1224" spans="1:77" ht="14.1" hidden="1" customHeight="1" x14ac:dyDescent="0.3">
      <c r="A1224" s="281" t="s">
        <v>2585</v>
      </c>
      <c r="B1224" s="146">
        <v>46212</v>
      </c>
      <c r="C1224" s="138">
        <v>1189</v>
      </c>
      <c r="D1224" s="138" t="s">
        <v>2614</v>
      </c>
      <c r="E1224" s="129">
        <v>46215</v>
      </c>
      <c r="F1224" s="128" t="s">
        <v>1144</v>
      </c>
      <c r="G1224" s="128" t="s">
        <v>1145</v>
      </c>
      <c r="H1224" s="138" t="s">
        <v>100</v>
      </c>
      <c r="I1224" s="136"/>
      <c r="J1224" s="138" t="s">
        <v>1146</v>
      </c>
      <c r="K1224" s="136"/>
      <c r="L1224" s="146">
        <v>46212</v>
      </c>
      <c r="M1224" s="136"/>
      <c r="N1224" s="128" t="s">
        <v>2653</v>
      </c>
      <c r="O1224" s="146">
        <v>46215</v>
      </c>
      <c r="P1224" s="138">
        <v>0</v>
      </c>
      <c r="Q1224" s="138">
        <v>144</v>
      </c>
      <c r="R1224" s="138">
        <v>40</v>
      </c>
      <c r="S1224" s="138">
        <v>184</v>
      </c>
      <c r="T1224" s="138">
        <v>184</v>
      </c>
      <c r="U1224" s="136"/>
      <c r="V1224" s="136"/>
      <c r="W1224" s="147">
        <v>92.5</v>
      </c>
      <c r="X1224" s="147">
        <v>92.5</v>
      </c>
      <c r="Y1224" s="147">
        <v>742312.5</v>
      </c>
      <c r="Z1224" s="441">
        <v>40.44</v>
      </c>
      <c r="AA1224" s="147">
        <v>18557.810000000001</v>
      </c>
      <c r="AB1224" s="147">
        <v>18557.810000000001</v>
      </c>
      <c r="AC1224" s="147">
        <v>779428.13</v>
      </c>
      <c r="AD1224" s="315">
        <f t="shared" si="825"/>
        <v>778648.70186999999</v>
      </c>
      <c r="AE1224" s="212">
        <v>40.44</v>
      </c>
      <c r="AF1224" s="147">
        <v>42</v>
      </c>
      <c r="AG1224" s="212">
        <v>40.44</v>
      </c>
      <c r="AH1224" s="287">
        <v>1.6000000000000001E-3</v>
      </c>
      <c r="AI1224" s="287">
        <v>2.1000000000000001E-2</v>
      </c>
      <c r="AJ1224" s="287">
        <v>4.7E-2</v>
      </c>
      <c r="AK1224" s="318">
        <f t="shared" si="826"/>
        <v>27571.607142857185</v>
      </c>
      <c r="AL1224" s="193">
        <v>0</v>
      </c>
      <c r="AM1224" s="319">
        <v>0</v>
      </c>
      <c r="AN1224" s="319"/>
      <c r="AO1224" s="320">
        <f t="shared" si="827"/>
        <v>0</v>
      </c>
      <c r="AP1224" s="193">
        <v>0</v>
      </c>
      <c r="AQ1224" s="318">
        <v>0</v>
      </c>
      <c r="AR1224" s="318">
        <f t="shared" si="828"/>
        <v>27571.607142857185</v>
      </c>
      <c r="AS1224" s="318">
        <f t="shared" si="829"/>
        <v>28950</v>
      </c>
      <c r="AT1224" s="321">
        <v>0</v>
      </c>
      <c r="AU1224" s="157"/>
      <c r="AV1224" s="136"/>
      <c r="AW1224" s="318">
        <f t="shared" si="830"/>
        <v>9250</v>
      </c>
      <c r="AX1224" s="193"/>
      <c r="AY1224" s="318">
        <f t="shared" si="831"/>
        <v>9250</v>
      </c>
      <c r="AZ1224" s="318">
        <f t="shared" si="832"/>
        <v>9250</v>
      </c>
      <c r="BA1224" s="318">
        <f t="shared" si="833"/>
        <v>0</v>
      </c>
      <c r="BB1224" s="318">
        <f t="shared" si="834"/>
        <v>18.5</v>
      </c>
      <c r="BC1224" s="318">
        <v>0</v>
      </c>
      <c r="BD1224" s="136"/>
      <c r="BE1224" s="138">
        <v>92.5</v>
      </c>
      <c r="BF1224" s="321">
        <f t="shared" si="835"/>
        <v>0.13875000000000001</v>
      </c>
      <c r="BG1224" s="197">
        <f t="shared" si="836"/>
        <v>92.361249999999998</v>
      </c>
      <c r="BH1224" s="321">
        <f t="shared" si="837"/>
        <v>92.5</v>
      </c>
      <c r="BI1224" s="322">
        <f t="shared" si="838"/>
        <v>0</v>
      </c>
      <c r="BJ1224" s="322">
        <v>0</v>
      </c>
      <c r="BK1224" s="318">
        <f t="shared" si="839"/>
        <v>0</v>
      </c>
      <c r="BL1224" s="67"/>
      <c r="BM1224" s="68" t="str">
        <f t="shared" si="840"/>
        <v>Unloading no. 1189 Bill No 2026-27/363 ,Deduction For Oil Deduction= 27571.6071428572 ,Bardana= 0 ,F.M= 0 Brokerage/Rate Difference  ,Shortage = 0 ,Greenish= 0 ,Moisture= 0</v>
      </c>
      <c r="BN1224" s="69"/>
      <c r="BO1224" s="70" t="str">
        <f t="shared" si="841"/>
        <v xml:space="preserve"> Party Condition 42  ,F.M% 0.16 ,Greenish 2.1 ,Moisture 4.7 ,Shortage in KG= 0  ,Oil% 40.44</v>
      </c>
      <c r="BP1224" s="71">
        <f t="shared" si="842"/>
        <v>7726.9285714285716</v>
      </c>
      <c r="BQ1224" s="55"/>
      <c r="BR1224" s="55"/>
      <c r="BS1224" s="41"/>
      <c r="BT1224" s="41"/>
      <c r="BU1224" s="41"/>
      <c r="BV1224" s="41"/>
      <c r="BW1224" s="85"/>
      <c r="BX1224" s="27">
        <v>40.32</v>
      </c>
      <c r="BY1224" s="27">
        <v>40.020000000000003</v>
      </c>
    </row>
    <row r="1225" spans="1:77" ht="14.1" hidden="1" customHeight="1" x14ac:dyDescent="0.3">
      <c r="A1225" s="281" t="s">
        <v>2585</v>
      </c>
      <c r="B1225" s="146">
        <v>46212</v>
      </c>
      <c r="C1225" s="138">
        <v>1190</v>
      </c>
      <c r="D1225" s="138" t="s">
        <v>2615</v>
      </c>
      <c r="E1225" s="129">
        <v>46215</v>
      </c>
      <c r="F1225" s="128" t="s">
        <v>1144</v>
      </c>
      <c r="G1225" s="128" t="s">
        <v>1145</v>
      </c>
      <c r="H1225" s="138" t="s">
        <v>100</v>
      </c>
      <c r="I1225" s="136"/>
      <c r="J1225" s="138" t="s">
        <v>1146</v>
      </c>
      <c r="K1225" s="136"/>
      <c r="L1225" s="146">
        <v>46212</v>
      </c>
      <c r="M1225" s="136"/>
      <c r="N1225" s="128" t="s">
        <v>2654</v>
      </c>
      <c r="O1225" s="146">
        <v>46215</v>
      </c>
      <c r="P1225" s="138">
        <v>0</v>
      </c>
      <c r="Q1225" s="138">
        <v>160</v>
      </c>
      <c r="R1225" s="138">
        <v>24</v>
      </c>
      <c r="S1225" s="138">
        <v>184</v>
      </c>
      <c r="T1225" s="138">
        <v>184</v>
      </c>
      <c r="U1225" s="136"/>
      <c r="V1225" s="136"/>
      <c r="W1225" s="147">
        <v>93</v>
      </c>
      <c r="X1225" s="147">
        <v>93</v>
      </c>
      <c r="Y1225" s="147">
        <v>746325</v>
      </c>
      <c r="Z1225" s="441">
        <v>40.21</v>
      </c>
      <c r="AA1225" s="147">
        <v>18658.13</v>
      </c>
      <c r="AB1225" s="147">
        <v>18658.13</v>
      </c>
      <c r="AC1225" s="147">
        <v>783641.25</v>
      </c>
      <c r="AD1225" s="315">
        <f t="shared" si="825"/>
        <v>782857.60875000001</v>
      </c>
      <c r="AE1225" s="212">
        <v>40.21</v>
      </c>
      <c r="AF1225" s="147">
        <v>42</v>
      </c>
      <c r="AG1225" s="212">
        <v>40.21</v>
      </c>
      <c r="AH1225" s="287">
        <v>2.0999999999999999E-3</v>
      </c>
      <c r="AI1225" s="287">
        <v>0.03</v>
      </c>
      <c r="AJ1225" s="287">
        <v>4.3999999999999997E-2</v>
      </c>
      <c r="AK1225" s="318">
        <f t="shared" si="826"/>
        <v>31807.660714285699</v>
      </c>
      <c r="AL1225" s="193">
        <v>0</v>
      </c>
      <c r="AM1225" s="319">
        <v>0</v>
      </c>
      <c r="AN1225" s="319"/>
      <c r="AO1225" s="320">
        <f t="shared" si="827"/>
        <v>0</v>
      </c>
      <c r="AP1225" s="193">
        <v>0</v>
      </c>
      <c r="AQ1225" s="318">
        <v>0</v>
      </c>
      <c r="AR1225" s="318">
        <f t="shared" si="828"/>
        <v>31807.660714285699</v>
      </c>
      <c r="AS1225" s="318">
        <f t="shared" si="829"/>
        <v>33398</v>
      </c>
      <c r="AT1225" s="321">
        <v>0</v>
      </c>
      <c r="AU1225" s="157"/>
      <c r="AV1225" s="136"/>
      <c r="AW1225" s="318">
        <f t="shared" si="830"/>
        <v>9300</v>
      </c>
      <c r="AX1225" s="193"/>
      <c r="AY1225" s="318">
        <f t="shared" si="831"/>
        <v>9300</v>
      </c>
      <c r="AZ1225" s="318">
        <f t="shared" si="832"/>
        <v>9300</v>
      </c>
      <c r="BA1225" s="318">
        <f t="shared" si="833"/>
        <v>0</v>
      </c>
      <c r="BB1225" s="318">
        <f t="shared" si="834"/>
        <v>18.600000000000001</v>
      </c>
      <c r="BC1225" s="318">
        <v>0</v>
      </c>
      <c r="BD1225" s="136"/>
      <c r="BE1225" s="138">
        <v>93</v>
      </c>
      <c r="BF1225" s="321">
        <f t="shared" si="835"/>
        <v>0.13949999999999999</v>
      </c>
      <c r="BG1225" s="197">
        <f t="shared" si="836"/>
        <v>92.860500000000002</v>
      </c>
      <c r="BH1225" s="321">
        <f t="shared" si="837"/>
        <v>93</v>
      </c>
      <c r="BI1225" s="322">
        <f t="shared" si="838"/>
        <v>0</v>
      </c>
      <c r="BJ1225" s="322">
        <v>0</v>
      </c>
      <c r="BK1225" s="318">
        <f t="shared" si="839"/>
        <v>0</v>
      </c>
      <c r="BL1225" s="67"/>
      <c r="BM1225" s="68" t="str">
        <f t="shared" si="840"/>
        <v>Unloading no. 1190 Bill No 2026-27/364 ,Deduction For Oil Deduction= 31807.6607142857 ,Bardana= 0 ,F.M= 0 Brokerage/Rate Difference  ,Shortage = 0 ,Greenish= 0 ,Moisture= 0</v>
      </c>
      <c r="BN1225" s="69"/>
      <c r="BO1225" s="70" t="str">
        <f t="shared" si="841"/>
        <v xml:space="preserve"> Party Condition 42  ,F.M% 0.21 ,Greenish 3 ,Moisture 4.4 ,Shortage in KG= 0  ,Oil% 40.21</v>
      </c>
      <c r="BP1225" s="71">
        <f t="shared" si="842"/>
        <v>7682.9821428571431</v>
      </c>
      <c r="BQ1225" s="55"/>
      <c r="BR1225" s="55"/>
      <c r="BS1225" s="41"/>
      <c r="BT1225" s="41"/>
      <c r="BU1225" s="41"/>
      <c r="BV1225" s="41"/>
      <c r="BW1225" s="85"/>
      <c r="BX1225" s="27">
        <v>40.25</v>
      </c>
      <c r="BY1225" s="27">
        <v>39.950000000000003</v>
      </c>
    </row>
    <row r="1226" spans="1:77" ht="14.1" hidden="1" customHeight="1" x14ac:dyDescent="0.3">
      <c r="A1226" s="281" t="s">
        <v>2585</v>
      </c>
      <c r="B1226" s="146">
        <v>46212</v>
      </c>
      <c r="C1226" s="138">
        <v>1191</v>
      </c>
      <c r="D1226" s="138" t="s">
        <v>2616</v>
      </c>
      <c r="E1226" s="129">
        <v>46215</v>
      </c>
      <c r="F1226" s="128" t="s">
        <v>1144</v>
      </c>
      <c r="G1226" s="128" t="s">
        <v>1145</v>
      </c>
      <c r="H1226" s="138" t="s">
        <v>100</v>
      </c>
      <c r="I1226" s="136"/>
      <c r="J1226" s="138" t="s">
        <v>1146</v>
      </c>
      <c r="K1226" s="136"/>
      <c r="L1226" s="146">
        <v>46212</v>
      </c>
      <c r="M1226" s="136"/>
      <c r="N1226" s="128" t="s">
        <v>2655</v>
      </c>
      <c r="O1226" s="146">
        <v>46215</v>
      </c>
      <c r="P1226" s="138">
        <v>0</v>
      </c>
      <c r="Q1226" s="138">
        <v>184</v>
      </c>
      <c r="R1226" s="138">
        <v>0</v>
      </c>
      <c r="S1226" s="138">
        <v>184</v>
      </c>
      <c r="T1226" s="138">
        <v>184</v>
      </c>
      <c r="U1226" s="136"/>
      <c r="V1226" s="136"/>
      <c r="W1226" s="147">
        <v>91.9</v>
      </c>
      <c r="X1226" s="147">
        <v>91.9</v>
      </c>
      <c r="Y1226" s="147">
        <v>737497.5</v>
      </c>
      <c r="Z1226" s="441">
        <v>39.96</v>
      </c>
      <c r="AA1226" s="147">
        <v>18437.439999999999</v>
      </c>
      <c r="AB1226" s="147">
        <v>18437.439999999999</v>
      </c>
      <c r="AC1226" s="147">
        <v>774372.38</v>
      </c>
      <c r="AD1226" s="315">
        <f t="shared" si="825"/>
        <v>773598.00762000005</v>
      </c>
      <c r="AE1226" s="212">
        <v>39.96</v>
      </c>
      <c r="AF1226" s="147">
        <v>42</v>
      </c>
      <c r="AG1226" s="212">
        <v>39.96</v>
      </c>
      <c r="AH1226" s="287">
        <v>2E-3</v>
      </c>
      <c r="AI1226" s="287">
        <v>2.4E-2</v>
      </c>
      <c r="AJ1226" s="287">
        <v>4.3999999999999997E-2</v>
      </c>
      <c r="AK1226" s="318">
        <f t="shared" si="826"/>
        <v>35821.307142857127</v>
      </c>
      <c r="AL1226" s="193">
        <v>0</v>
      </c>
      <c r="AM1226" s="319">
        <v>0</v>
      </c>
      <c r="AN1226" s="319"/>
      <c r="AO1226" s="320">
        <f t="shared" si="827"/>
        <v>0</v>
      </c>
      <c r="AP1226" s="193">
        <v>0</v>
      </c>
      <c r="AQ1226" s="318">
        <v>0</v>
      </c>
      <c r="AR1226" s="318">
        <f t="shared" si="828"/>
        <v>35821.307142857127</v>
      </c>
      <c r="AS1226" s="318">
        <f t="shared" si="829"/>
        <v>37612</v>
      </c>
      <c r="AT1226" s="321">
        <v>0</v>
      </c>
      <c r="AU1226" s="157"/>
      <c r="AV1226" s="136"/>
      <c r="AW1226" s="318">
        <f t="shared" si="830"/>
        <v>9190</v>
      </c>
      <c r="AX1226" s="193"/>
      <c r="AY1226" s="318">
        <f t="shared" si="831"/>
        <v>9190</v>
      </c>
      <c r="AZ1226" s="318">
        <f t="shared" si="832"/>
        <v>9190</v>
      </c>
      <c r="BA1226" s="318">
        <f t="shared" si="833"/>
        <v>0</v>
      </c>
      <c r="BB1226" s="318">
        <f t="shared" si="834"/>
        <v>18.38</v>
      </c>
      <c r="BC1226" s="318">
        <v>0</v>
      </c>
      <c r="BD1226" s="136"/>
      <c r="BE1226" s="138">
        <v>91.9</v>
      </c>
      <c r="BF1226" s="321">
        <f t="shared" si="835"/>
        <v>0.13785</v>
      </c>
      <c r="BG1226" s="197">
        <f t="shared" si="836"/>
        <v>91.762150000000005</v>
      </c>
      <c r="BH1226" s="321">
        <f t="shared" si="837"/>
        <v>91.9</v>
      </c>
      <c r="BI1226" s="322">
        <f t="shared" si="838"/>
        <v>0</v>
      </c>
      <c r="BJ1226" s="322">
        <v>0</v>
      </c>
      <c r="BK1226" s="318">
        <f t="shared" si="839"/>
        <v>0</v>
      </c>
      <c r="BL1226" s="67"/>
      <c r="BM1226" s="68" t="str">
        <f t="shared" si="840"/>
        <v>Unloading no. 1191 Bill No 2026-27/365 ,Deduction For Oil Deduction= 35821.3071428571 ,Bardana= 0 ,F.M= 0 Brokerage/Rate Difference  ,Shortage = 0 ,Greenish= 0 ,Moisture= 0</v>
      </c>
      <c r="BN1226" s="69"/>
      <c r="BO1226" s="70" t="str">
        <f t="shared" si="841"/>
        <v xml:space="preserve"> Party Condition 42  ,F.M% 0.2 ,Greenish 2.4 ,Moisture 4.4 ,Shortage in KG= 0  ,Oil% 39.96</v>
      </c>
      <c r="BP1226" s="71">
        <f t="shared" si="842"/>
        <v>7635.2142857142853</v>
      </c>
      <c r="BQ1226" s="55"/>
      <c r="BR1226" s="55"/>
      <c r="BS1226" s="41"/>
      <c r="BT1226" s="41"/>
      <c r="BU1226" s="41"/>
      <c r="BV1226" s="41"/>
      <c r="BW1226" s="85"/>
      <c r="BX1226" s="27">
        <v>39.6</v>
      </c>
      <c r="BY1226" s="27">
        <v>39.51</v>
      </c>
    </row>
    <row r="1227" spans="1:77" ht="14.1" hidden="1" customHeight="1" x14ac:dyDescent="0.3">
      <c r="A1227" s="281" t="s">
        <v>2585</v>
      </c>
      <c r="B1227" s="146">
        <v>46212</v>
      </c>
      <c r="C1227" s="138">
        <v>1192</v>
      </c>
      <c r="D1227" s="138" t="s">
        <v>2617</v>
      </c>
      <c r="E1227" s="129">
        <v>46215</v>
      </c>
      <c r="F1227" s="128" t="s">
        <v>1144</v>
      </c>
      <c r="G1227" s="128" t="s">
        <v>1145</v>
      </c>
      <c r="H1227" s="138" t="s">
        <v>100</v>
      </c>
      <c r="I1227" s="136"/>
      <c r="J1227" s="138" t="s">
        <v>1146</v>
      </c>
      <c r="K1227" s="136"/>
      <c r="L1227" s="146">
        <v>46212</v>
      </c>
      <c r="M1227" s="136"/>
      <c r="N1227" s="128" t="s">
        <v>2656</v>
      </c>
      <c r="O1227" s="146">
        <v>46215</v>
      </c>
      <c r="P1227" s="138">
        <v>0</v>
      </c>
      <c r="Q1227" s="138">
        <v>160</v>
      </c>
      <c r="R1227" s="138">
        <v>24</v>
      </c>
      <c r="S1227" s="138">
        <v>184</v>
      </c>
      <c r="T1227" s="138">
        <v>184</v>
      </c>
      <c r="U1227" s="136"/>
      <c r="V1227" s="136"/>
      <c r="W1227" s="147">
        <v>92.4</v>
      </c>
      <c r="X1227" s="147">
        <v>92.4</v>
      </c>
      <c r="Y1227" s="147">
        <v>741510</v>
      </c>
      <c r="Z1227" s="441">
        <v>40.28</v>
      </c>
      <c r="AA1227" s="147">
        <v>18537.75</v>
      </c>
      <c r="AB1227" s="147">
        <v>18537.75</v>
      </c>
      <c r="AC1227" s="147">
        <v>778585.5</v>
      </c>
      <c r="AD1227" s="315">
        <f t="shared" si="825"/>
        <v>777806.91449999996</v>
      </c>
      <c r="AE1227" s="212">
        <v>40.28</v>
      </c>
      <c r="AF1227" s="147">
        <v>42</v>
      </c>
      <c r="AG1227" s="212">
        <v>40.28</v>
      </c>
      <c r="AH1227" s="287">
        <v>1.6000000000000001E-3</v>
      </c>
      <c r="AI1227" s="287">
        <v>2.06E-2</v>
      </c>
      <c r="AJ1227" s="287">
        <v>4.4999999999999998E-2</v>
      </c>
      <c r="AK1227" s="318">
        <f t="shared" si="826"/>
        <v>30366.59999999998</v>
      </c>
      <c r="AL1227" s="193">
        <v>0</v>
      </c>
      <c r="AM1227" s="319">
        <v>0</v>
      </c>
      <c r="AN1227" s="319"/>
      <c r="AO1227" s="320">
        <f t="shared" si="827"/>
        <v>0</v>
      </c>
      <c r="AP1227" s="193">
        <v>0</v>
      </c>
      <c r="AQ1227" s="318">
        <v>0</v>
      </c>
      <c r="AR1227" s="318">
        <f t="shared" si="828"/>
        <v>30366.59999999998</v>
      </c>
      <c r="AS1227" s="318">
        <f t="shared" si="829"/>
        <v>31885</v>
      </c>
      <c r="AT1227" s="321">
        <v>0</v>
      </c>
      <c r="AU1227" s="157"/>
      <c r="AV1227" s="136"/>
      <c r="AW1227" s="318">
        <f t="shared" si="830"/>
        <v>9240</v>
      </c>
      <c r="AX1227" s="193"/>
      <c r="AY1227" s="318">
        <f t="shared" si="831"/>
        <v>9240</v>
      </c>
      <c r="AZ1227" s="318">
        <f t="shared" si="832"/>
        <v>9240</v>
      </c>
      <c r="BA1227" s="318">
        <f t="shared" si="833"/>
        <v>0</v>
      </c>
      <c r="BB1227" s="318">
        <f t="shared" si="834"/>
        <v>18.48</v>
      </c>
      <c r="BC1227" s="318">
        <v>0</v>
      </c>
      <c r="BD1227" s="136"/>
      <c r="BE1227" s="138">
        <v>92.4</v>
      </c>
      <c r="BF1227" s="321">
        <f t="shared" si="835"/>
        <v>0.1386</v>
      </c>
      <c r="BG1227" s="197">
        <f t="shared" si="836"/>
        <v>92.261400000000009</v>
      </c>
      <c r="BH1227" s="321">
        <f t="shared" si="837"/>
        <v>92.4</v>
      </c>
      <c r="BI1227" s="322">
        <f t="shared" si="838"/>
        <v>0</v>
      </c>
      <c r="BJ1227" s="322">
        <v>0</v>
      </c>
      <c r="BK1227" s="318">
        <f t="shared" si="839"/>
        <v>0</v>
      </c>
      <c r="BL1227" s="67"/>
      <c r="BM1227" s="68" t="str">
        <f t="shared" si="840"/>
        <v>Unloading no. 1192 Bill No 2026-27/368 ,Deduction For Oil Deduction= 30366.6 ,Bardana= 0 ,F.M= 0 Brokerage/Rate Difference  ,Shortage = 0 ,Greenish= 0 ,Moisture= 0</v>
      </c>
      <c r="BN1227" s="69"/>
      <c r="BO1227" s="70" t="str">
        <f t="shared" si="841"/>
        <v xml:space="preserve"> Party Condition 42  ,F.M% 0.16 ,Greenish 2.06 ,Moisture 4.5 ,Shortage in KG= 0  ,Oil% 40.28</v>
      </c>
      <c r="BP1227" s="71">
        <f t="shared" si="842"/>
        <v>7696.3571428571422</v>
      </c>
      <c r="BQ1227" s="55"/>
      <c r="BR1227" s="55"/>
      <c r="BS1227" s="41"/>
      <c r="BT1227" s="41"/>
      <c r="BU1227" s="41"/>
      <c r="BV1227" s="41"/>
      <c r="BW1227" s="85"/>
      <c r="BX1227" s="27">
        <v>40.5</v>
      </c>
      <c r="BY1227" s="27">
        <v>40.21</v>
      </c>
    </row>
    <row r="1228" spans="1:77" ht="14.1" hidden="1" customHeight="1" x14ac:dyDescent="0.3">
      <c r="A1228" s="281" t="s">
        <v>2585</v>
      </c>
      <c r="B1228" s="146">
        <v>46212</v>
      </c>
      <c r="C1228" s="138">
        <v>1193</v>
      </c>
      <c r="D1228" s="138" t="s">
        <v>2618</v>
      </c>
      <c r="E1228" s="129">
        <v>46215</v>
      </c>
      <c r="F1228" s="128" t="s">
        <v>1144</v>
      </c>
      <c r="G1228" s="128" t="s">
        <v>1145</v>
      </c>
      <c r="H1228" s="138" t="s">
        <v>100</v>
      </c>
      <c r="I1228" s="136"/>
      <c r="J1228" s="138" t="s">
        <v>1146</v>
      </c>
      <c r="K1228" s="136"/>
      <c r="L1228" s="146">
        <v>46212</v>
      </c>
      <c r="M1228" s="136"/>
      <c r="N1228" s="128" t="s">
        <v>2657</v>
      </c>
      <c r="O1228" s="146">
        <v>46215</v>
      </c>
      <c r="P1228" s="138">
        <v>0</v>
      </c>
      <c r="Q1228" s="138">
        <v>154</v>
      </c>
      <c r="R1228" s="138">
        <v>30</v>
      </c>
      <c r="S1228" s="138">
        <v>184</v>
      </c>
      <c r="T1228" s="138">
        <v>184</v>
      </c>
      <c r="U1228" s="136"/>
      <c r="V1228" s="136"/>
      <c r="W1228" s="147">
        <v>92.8</v>
      </c>
      <c r="X1228" s="147">
        <v>92.8</v>
      </c>
      <c r="Y1228" s="147">
        <v>744720</v>
      </c>
      <c r="Z1228" s="441">
        <v>40.1</v>
      </c>
      <c r="AA1228" s="147">
        <v>18618</v>
      </c>
      <c r="AB1228" s="147">
        <v>18618</v>
      </c>
      <c r="AC1228" s="147">
        <v>781956</v>
      </c>
      <c r="AD1228" s="315">
        <f t="shared" si="825"/>
        <v>781174.04399999999</v>
      </c>
      <c r="AE1228" s="212">
        <v>40.1</v>
      </c>
      <c r="AF1228" s="147">
        <v>42</v>
      </c>
      <c r="AG1228" s="212">
        <v>40.1</v>
      </c>
      <c r="AH1228" s="287">
        <v>2E-3</v>
      </c>
      <c r="AI1228" s="287">
        <v>2.4E-2</v>
      </c>
      <c r="AJ1228" s="287">
        <v>4.4999999999999998E-2</v>
      </c>
      <c r="AK1228" s="318">
        <f t="shared" si="826"/>
        <v>33689.714285714261</v>
      </c>
      <c r="AL1228" s="193">
        <v>0</v>
      </c>
      <c r="AM1228" s="319">
        <v>0</v>
      </c>
      <c r="AN1228" s="319"/>
      <c r="AO1228" s="320">
        <f t="shared" si="827"/>
        <v>0</v>
      </c>
      <c r="AP1228" s="193">
        <v>0</v>
      </c>
      <c r="AQ1228" s="318">
        <v>0</v>
      </c>
      <c r="AR1228" s="318">
        <f t="shared" si="828"/>
        <v>33689.714285714261</v>
      </c>
      <c r="AS1228" s="318">
        <f t="shared" si="829"/>
        <v>35374</v>
      </c>
      <c r="AT1228" s="321">
        <v>0</v>
      </c>
      <c r="AU1228" s="157"/>
      <c r="AV1228" s="136"/>
      <c r="AW1228" s="318">
        <f t="shared" si="830"/>
        <v>9280</v>
      </c>
      <c r="AX1228" s="193"/>
      <c r="AY1228" s="318">
        <f t="shared" si="831"/>
        <v>9280</v>
      </c>
      <c r="AZ1228" s="318">
        <f t="shared" si="832"/>
        <v>9280</v>
      </c>
      <c r="BA1228" s="318">
        <f t="shared" si="833"/>
        <v>0</v>
      </c>
      <c r="BB1228" s="318">
        <f t="shared" si="834"/>
        <v>18.559999999999999</v>
      </c>
      <c r="BC1228" s="318">
        <v>0</v>
      </c>
      <c r="BD1228" s="136"/>
      <c r="BE1228" s="138">
        <v>92.8</v>
      </c>
      <c r="BF1228" s="321">
        <f t="shared" si="835"/>
        <v>0.13919999999999999</v>
      </c>
      <c r="BG1228" s="197">
        <f t="shared" si="836"/>
        <v>92.660799999999995</v>
      </c>
      <c r="BH1228" s="321">
        <f t="shared" si="837"/>
        <v>92.8</v>
      </c>
      <c r="BI1228" s="322">
        <f t="shared" si="838"/>
        <v>0</v>
      </c>
      <c r="BJ1228" s="322">
        <v>0</v>
      </c>
      <c r="BK1228" s="318">
        <f t="shared" si="839"/>
        <v>0</v>
      </c>
      <c r="BL1228" s="67"/>
      <c r="BM1228" s="68" t="str">
        <f t="shared" si="840"/>
        <v>Unloading no. 1193 Bill No 2026-27/366 ,Deduction For Oil Deduction= 33689.7142857143 ,Bardana= 0 ,F.M= 0 Brokerage/Rate Difference  ,Shortage = 0 ,Greenish= 0 ,Moisture= 0</v>
      </c>
      <c r="BN1228" s="69"/>
      <c r="BO1228" s="70" t="str">
        <f t="shared" si="841"/>
        <v xml:space="preserve"> Party Condition 42  ,F.M% 0.2 ,Greenish 2.4 ,Moisture 4.5 ,Shortage in KG= 0  ,Oil% 40.1</v>
      </c>
      <c r="BP1228" s="71">
        <f t="shared" si="842"/>
        <v>7661.9642857142853</v>
      </c>
      <c r="BQ1228" s="55"/>
      <c r="BR1228" s="55"/>
      <c r="BS1228" s="41"/>
      <c r="BT1228" s="41"/>
      <c r="BU1228" s="41"/>
      <c r="BV1228" s="41"/>
      <c r="BW1228" s="85"/>
      <c r="BX1228" s="27">
        <v>40.06</v>
      </c>
      <c r="BY1228" s="27">
        <v>39.799999999999997</v>
      </c>
    </row>
    <row r="1229" spans="1:77" ht="14.1" hidden="1" customHeight="1" x14ac:dyDescent="0.3">
      <c r="A1229" s="281" t="s">
        <v>2585</v>
      </c>
      <c r="B1229" s="146">
        <v>46212</v>
      </c>
      <c r="C1229" s="138">
        <v>1194</v>
      </c>
      <c r="D1229" s="138" t="s">
        <v>2619</v>
      </c>
      <c r="E1229" s="129">
        <v>46215</v>
      </c>
      <c r="F1229" s="128" t="s">
        <v>1144</v>
      </c>
      <c r="G1229" s="128" t="s">
        <v>1145</v>
      </c>
      <c r="H1229" s="138" t="s">
        <v>100</v>
      </c>
      <c r="I1229" s="136"/>
      <c r="J1229" s="138" t="s">
        <v>1146</v>
      </c>
      <c r="K1229" s="136"/>
      <c r="L1229" s="146">
        <v>46212</v>
      </c>
      <c r="M1229" s="136"/>
      <c r="N1229" s="128" t="s">
        <v>2658</v>
      </c>
      <c r="O1229" s="146">
        <v>46215</v>
      </c>
      <c r="P1229" s="138">
        <v>0</v>
      </c>
      <c r="Q1229" s="138">
        <v>186</v>
      </c>
      <c r="R1229" s="138">
        <v>0</v>
      </c>
      <c r="S1229" s="138">
        <v>186</v>
      </c>
      <c r="T1229" s="138">
        <v>186</v>
      </c>
      <c r="U1229" s="136"/>
      <c r="V1229" s="136"/>
      <c r="W1229" s="147">
        <v>93.6</v>
      </c>
      <c r="X1229" s="147">
        <v>93.5</v>
      </c>
      <c r="Y1229" s="147">
        <v>751140</v>
      </c>
      <c r="Z1229" s="441">
        <v>39.450000000000003</v>
      </c>
      <c r="AA1229" s="147">
        <v>18778.5</v>
      </c>
      <c r="AB1229" s="147">
        <v>18778.5</v>
      </c>
      <c r="AC1229" s="147">
        <v>788697</v>
      </c>
      <c r="AD1229" s="315">
        <f t="shared" si="825"/>
        <v>787908.30299999996</v>
      </c>
      <c r="AE1229" s="212">
        <v>39.450000000000003</v>
      </c>
      <c r="AF1229" s="147">
        <v>42</v>
      </c>
      <c r="AG1229" s="212">
        <v>39.450000000000003</v>
      </c>
      <c r="AH1229" s="287">
        <v>3.0000000000000001E-3</v>
      </c>
      <c r="AI1229" s="287">
        <v>2.86E-2</v>
      </c>
      <c r="AJ1229" s="287">
        <v>4.4999999999999998E-2</v>
      </c>
      <c r="AK1229" s="318">
        <f t="shared" si="826"/>
        <v>45604.928571428522</v>
      </c>
      <c r="AL1229" s="193">
        <v>0</v>
      </c>
      <c r="AM1229" s="319">
        <v>0</v>
      </c>
      <c r="AN1229" s="319"/>
      <c r="AO1229" s="320">
        <f t="shared" si="827"/>
        <v>0</v>
      </c>
      <c r="AP1229" s="193">
        <v>0</v>
      </c>
      <c r="AQ1229" s="318">
        <v>0</v>
      </c>
      <c r="AR1229" s="318">
        <f t="shared" si="828"/>
        <v>45604.928571428522</v>
      </c>
      <c r="AS1229" s="318">
        <f t="shared" si="829"/>
        <v>47885</v>
      </c>
      <c r="AT1229" s="321">
        <v>0</v>
      </c>
      <c r="AU1229" s="157"/>
      <c r="AV1229" s="136"/>
      <c r="AW1229" s="318">
        <f t="shared" si="830"/>
        <v>9360</v>
      </c>
      <c r="AX1229" s="193"/>
      <c r="AY1229" s="318">
        <f t="shared" si="831"/>
        <v>9360</v>
      </c>
      <c r="AZ1229" s="318">
        <f t="shared" si="832"/>
        <v>9350</v>
      </c>
      <c r="BA1229" s="318">
        <f t="shared" si="833"/>
        <v>10</v>
      </c>
      <c r="BB1229" s="318">
        <f t="shared" si="834"/>
        <v>18.72</v>
      </c>
      <c r="BC1229" s="318">
        <v>0</v>
      </c>
      <c r="BD1229" s="136"/>
      <c r="BE1229" s="138">
        <v>93.6</v>
      </c>
      <c r="BF1229" s="321">
        <f t="shared" si="835"/>
        <v>0.1404</v>
      </c>
      <c r="BG1229" s="197">
        <f t="shared" si="836"/>
        <v>93.459599999999995</v>
      </c>
      <c r="BH1229" s="321">
        <f t="shared" si="837"/>
        <v>93.5</v>
      </c>
      <c r="BI1229" s="322">
        <f t="shared" si="838"/>
        <v>9.9999999999994316</v>
      </c>
      <c r="BJ1229" s="322">
        <v>0</v>
      </c>
      <c r="BK1229" s="318">
        <f t="shared" si="839"/>
        <v>9.9999999999994316</v>
      </c>
      <c r="BL1229" s="67"/>
      <c r="BM1229" s="68" t="str">
        <f t="shared" si="840"/>
        <v>Unloading no. 1194 Bill No 2026-27/369 ,Deduction For Oil Deduction= 45604.9285714285 ,Bardana= 0 ,F.M= 0 Brokerage/Rate Difference  ,Shortage = 0 ,Greenish= 0 ,Moisture= 0</v>
      </c>
      <c r="BN1229" s="69"/>
      <c r="BO1229" s="70" t="str">
        <f t="shared" si="841"/>
        <v xml:space="preserve"> Party Condition 42  ,F.M% 0.3 ,Greenish 2.86 ,Moisture 4.5 ,Shortage in KG= 0  ,Oil% 39.45</v>
      </c>
      <c r="BP1229" s="71">
        <f t="shared" si="842"/>
        <v>7545.8296409472887</v>
      </c>
      <c r="BQ1229" s="55"/>
      <c r="BR1229" s="55"/>
      <c r="BS1229" s="41"/>
      <c r="BT1229" s="41"/>
      <c r="BU1229" s="41"/>
      <c r="BV1229" s="41"/>
      <c r="BW1229" s="85"/>
      <c r="BX1229" s="27">
        <v>39.07</v>
      </c>
      <c r="BY1229" s="27">
        <v>39.15</v>
      </c>
    </row>
    <row r="1230" spans="1:77" ht="14.1" hidden="1" customHeight="1" x14ac:dyDescent="0.3">
      <c r="A1230" s="281" t="s">
        <v>2585</v>
      </c>
      <c r="B1230" s="146">
        <v>46212</v>
      </c>
      <c r="C1230" s="138">
        <v>1195</v>
      </c>
      <c r="D1230" s="138" t="s">
        <v>2620</v>
      </c>
      <c r="E1230" s="129">
        <v>46215</v>
      </c>
      <c r="F1230" s="128" t="s">
        <v>1144</v>
      </c>
      <c r="G1230" s="128" t="s">
        <v>1145</v>
      </c>
      <c r="H1230" s="138" t="s">
        <v>100</v>
      </c>
      <c r="I1230" s="136"/>
      <c r="J1230" s="138" t="s">
        <v>1146</v>
      </c>
      <c r="K1230" s="136"/>
      <c r="L1230" s="146">
        <v>46212</v>
      </c>
      <c r="M1230" s="136"/>
      <c r="N1230" s="128" t="s">
        <v>2659</v>
      </c>
      <c r="O1230" s="146">
        <v>46215</v>
      </c>
      <c r="P1230" s="138">
        <v>0</v>
      </c>
      <c r="Q1230" s="138">
        <v>160</v>
      </c>
      <c r="R1230" s="138">
        <v>26</v>
      </c>
      <c r="S1230" s="138">
        <v>186</v>
      </c>
      <c r="T1230" s="138">
        <v>186</v>
      </c>
      <c r="U1230" s="136"/>
      <c r="V1230" s="136"/>
      <c r="W1230" s="147">
        <v>93.5</v>
      </c>
      <c r="X1230" s="147">
        <v>93.5</v>
      </c>
      <c r="Y1230" s="147">
        <v>750337.5</v>
      </c>
      <c r="Z1230" s="441">
        <v>39.74</v>
      </c>
      <c r="AA1230" s="147">
        <v>18758.439999999999</v>
      </c>
      <c r="AB1230" s="147">
        <v>18758.439999999999</v>
      </c>
      <c r="AC1230" s="147">
        <v>787854.38</v>
      </c>
      <c r="AD1230" s="315">
        <f t="shared" si="825"/>
        <v>787066.52561999997</v>
      </c>
      <c r="AE1230" s="212">
        <v>39.74</v>
      </c>
      <c r="AF1230" s="147">
        <v>42</v>
      </c>
      <c r="AG1230" s="212">
        <v>39.74</v>
      </c>
      <c r="AH1230" s="287">
        <v>3.0000000000000001E-3</v>
      </c>
      <c r="AI1230" s="287">
        <v>0.03</v>
      </c>
      <c r="AJ1230" s="287">
        <v>4.2999999999999997E-2</v>
      </c>
      <c r="AK1230" s="318">
        <f t="shared" si="826"/>
        <v>40375.303571428536</v>
      </c>
      <c r="AL1230" s="193">
        <v>0</v>
      </c>
      <c r="AM1230" s="319">
        <v>0</v>
      </c>
      <c r="AN1230" s="319"/>
      <c r="AO1230" s="320">
        <f t="shared" si="827"/>
        <v>0</v>
      </c>
      <c r="AP1230" s="193">
        <v>0</v>
      </c>
      <c r="AQ1230" s="318">
        <v>0</v>
      </c>
      <c r="AR1230" s="318">
        <f t="shared" si="828"/>
        <v>40375.303571428536</v>
      </c>
      <c r="AS1230" s="318">
        <f t="shared" si="829"/>
        <v>42394</v>
      </c>
      <c r="AT1230" s="321">
        <v>0</v>
      </c>
      <c r="AU1230" s="157"/>
      <c r="AV1230" s="136"/>
      <c r="AW1230" s="318">
        <f t="shared" si="830"/>
        <v>9350</v>
      </c>
      <c r="AX1230" s="193"/>
      <c r="AY1230" s="318">
        <f t="shared" si="831"/>
        <v>9350</v>
      </c>
      <c r="AZ1230" s="318">
        <f t="shared" si="832"/>
        <v>9350</v>
      </c>
      <c r="BA1230" s="318">
        <f t="shared" si="833"/>
        <v>0</v>
      </c>
      <c r="BB1230" s="318">
        <f t="shared" si="834"/>
        <v>18.7</v>
      </c>
      <c r="BC1230" s="318">
        <v>0</v>
      </c>
      <c r="BD1230" s="136"/>
      <c r="BE1230" s="138">
        <v>93.5</v>
      </c>
      <c r="BF1230" s="321">
        <f t="shared" si="835"/>
        <v>0.14025000000000001</v>
      </c>
      <c r="BG1230" s="197">
        <f t="shared" si="836"/>
        <v>93.359750000000005</v>
      </c>
      <c r="BH1230" s="321">
        <f t="shared" si="837"/>
        <v>93.5</v>
      </c>
      <c r="BI1230" s="322">
        <f t="shared" si="838"/>
        <v>0</v>
      </c>
      <c r="BJ1230" s="322">
        <v>0</v>
      </c>
      <c r="BK1230" s="318">
        <f t="shared" si="839"/>
        <v>0</v>
      </c>
      <c r="BL1230" s="67"/>
      <c r="BM1230" s="68" t="str">
        <f t="shared" si="840"/>
        <v>Unloading no. 1195 Bill No 2026-27/367 ,Deduction For Oil Deduction= 40375.3035714285 ,Bardana= 0 ,F.M= 0 Brokerage/Rate Difference  ,Shortage = 0 ,Greenish= 0 ,Moisture= 0</v>
      </c>
      <c r="BN1230" s="69"/>
      <c r="BO1230" s="70" t="str">
        <f t="shared" si="841"/>
        <v xml:space="preserve"> Party Condition 42  ,F.M% 0.3 ,Greenish 3 ,Moisture 4.3 ,Shortage in KG= 0  ,Oil% 39.74</v>
      </c>
      <c r="BP1230" s="71">
        <f t="shared" si="842"/>
        <v>7593.1785714285716</v>
      </c>
      <c r="BQ1230" s="55"/>
      <c r="BR1230" s="55"/>
      <c r="BS1230" s="41"/>
      <c r="BT1230" s="41"/>
      <c r="BU1230" s="41"/>
      <c r="BV1230" s="41"/>
      <c r="BW1230" s="85"/>
      <c r="BX1230" s="27">
        <v>39.65</v>
      </c>
      <c r="BY1230" s="27">
        <v>39.46</v>
      </c>
    </row>
    <row r="1231" spans="1:77" ht="14.1" hidden="1" customHeight="1" x14ac:dyDescent="0.3">
      <c r="A1231" s="281" t="s">
        <v>2585</v>
      </c>
      <c r="B1231" s="146">
        <v>46212</v>
      </c>
      <c r="C1231" s="138">
        <v>1196</v>
      </c>
      <c r="D1231" s="138" t="s">
        <v>2621</v>
      </c>
      <c r="E1231" s="129">
        <v>46215</v>
      </c>
      <c r="F1231" s="128" t="s">
        <v>1144</v>
      </c>
      <c r="G1231" s="128" t="s">
        <v>1145</v>
      </c>
      <c r="H1231" s="138" t="s">
        <v>100</v>
      </c>
      <c r="I1231" s="136"/>
      <c r="J1231" s="138" t="s">
        <v>1146</v>
      </c>
      <c r="K1231" s="136"/>
      <c r="L1231" s="146">
        <v>46212</v>
      </c>
      <c r="M1231" s="136"/>
      <c r="N1231" s="128" t="s">
        <v>2660</v>
      </c>
      <c r="O1231" s="146">
        <v>46215</v>
      </c>
      <c r="P1231" s="138">
        <v>0</v>
      </c>
      <c r="Q1231" s="138">
        <v>170</v>
      </c>
      <c r="R1231" s="138">
        <v>16</v>
      </c>
      <c r="S1231" s="138">
        <v>186</v>
      </c>
      <c r="T1231" s="138">
        <v>186</v>
      </c>
      <c r="U1231" s="136"/>
      <c r="V1231" s="136"/>
      <c r="W1231" s="147">
        <v>93.7</v>
      </c>
      <c r="X1231" s="147">
        <v>93.6</v>
      </c>
      <c r="Y1231" s="147">
        <v>751942.5</v>
      </c>
      <c r="Z1231" s="441">
        <v>40.1</v>
      </c>
      <c r="AA1231" s="147">
        <v>18798.560000000001</v>
      </c>
      <c r="AB1231" s="147">
        <v>18798.560000000001</v>
      </c>
      <c r="AC1231" s="147">
        <v>789539.63</v>
      </c>
      <c r="AD1231" s="315">
        <f t="shared" si="825"/>
        <v>788750.09036999999</v>
      </c>
      <c r="AE1231" s="212">
        <v>40.1</v>
      </c>
      <c r="AF1231" s="147">
        <v>42</v>
      </c>
      <c r="AG1231" s="212">
        <v>40.1</v>
      </c>
      <c r="AH1231" s="287">
        <v>2.2000000000000001E-3</v>
      </c>
      <c r="AI1231" s="287">
        <v>2.5000000000000001E-2</v>
      </c>
      <c r="AJ1231" s="287">
        <v>5.0999999999999997E-2</v>
      </c>
      <c r="AK1231" s="318">
        <f t="shared" si="826"/>
        <v>34016.446428571398</v>
      </c>
      <c r="AL1231" s="193">
        <v>0</v>
      </c>
      <c r="AM1231" s="319">
        <v>0</v>
      </c>
      <c r="AN1231" s="319"/>
      <c r="AO1231" s="320">
        <f t="shared" si="827"/>
        <v>0</v>
      </c>
      <c r="AP1231" s="193">
        <v>0</v>
      </c>
      <c r="AQ1231" s="318">
        <v>0</v>
      </c>
      <c r="AR1231" s="318">
        <f t="shared" si="828"/>
        <v>34016.446428571398</v>
      </c>
      <c r="AS1231" s="318">
        <f t="shared" si="829"/>
        <v>35717</v>
      </c>
      <c r="AT1231" s="321">
        <v>0</v>
      </c>
      <c r="AU1231" s="157"/>
      <c r="AV1231" s="136"/>
      <c r="AW1231" s="318">
        <f t="shared" si="830"/>
        <v>9370</v>
      </c>
      <c r="AX1231" s="193"/>
      <c r="AY1231" s="318">
        <f t="shared" si="831"/>
        <v>9370</v>
      </c>
      <c r="AZ1231" s="318">
        <f t="shared" si="832"/>
        <v>9360</v>
      </c>
      <c r="BA1231" s="318">
        <f t="shared" si="833"/>
        <v>10</v>
      </c>
      <c r="BB1231" s="318">
        <f t="shared" si="834"/>
        <v>18.739999999999998</v>
      </c>
      <c r="BC1231" s="318">
        <v>0</v>
      </c>
      <c r="BD1231" s="136"/>
      <c r="BE1231" s="138">
        <v>93.7</v>
      </c>
      <c r="BF1231" s="321">
        <f t="shared" si="835"/>
        <v>0.14055000000000001</v>
      </c>
      <c r="BG1231" s="197">
        <f t="shared" si="836"/>
        <v>93.559449999999998</v>
      </c>
      <c r="BH1231" s="321">
        <f t="shared" si="837"/>
        <v>93.6</v>
      </c>
      <c r="BI1231" s="322">
        <f t="shared" si="838"/>
        <v>10.000000000000853</v>
      </c>
      <c r="BJ1231" s="322">
        <v>0</v>
      </c>
      <c r="BK1231" s="318">
        <f t="shared" si="839"/>
        <v>10.000000000000853</v>
      </c>
      <c r="BL1231" s="67"/>
      <c r="BM1231" s="68" t="str">
        <f t="shared" si="840"/>
        <v>Unloading no. 1196 Bill No 2026-27/370 ,Deduction For Oil Deduction= 34016.4464285714 ,Bardana= 0 ,F.M= 0 Brokerage/Rate Difference  ,Shortage = 0 ,Greenish= 0 ,Moisture= 0</v>
      </c>
      <c r="BN1231" s="69"/>
      <c r="BO1231" s="70" t="str">
        <f t="shared" si="841"/>
        <v xml:space="preserve"> Party Condition 42  ,F.M% 0.22 ,Greenish 2.5 ,Moisture 5.1 ,Shortage in KG= 0  ,Oil% 40.1</v>
      </c>
      <c r="BP1231" s="71">
        <f t="shared" si="842"/>
        <v>7670.150144993896</v>
      </c>
      <c r="BQ1231" s="55"/>
      <c r="BR1231" s="55"/>
      <c r="BS1231" s="41"/>
      <c r="BT1231" s="41"/>
      <c r="BU1231" s="41"/>
      <c r="BV1231" s="41"/>
      <c r="BW1231" s="85"/>
      <c r="BX1231" s="27">
        <v>40</v>
      </c>
      <c r="BY1231" s="27">
        <v>39.75</v>
      </c>
    </row>
    <row r="1232" spans="1:77" ht="14.1" hidden="1" customHeight="1" x14ac:dyDescent="0.3">
      <c r="A1232" s="281" t="s">
        <v>2585</v>
      </c>
      <c r="B1232" s="146">
        <v>46212</v>
      </c>
      <c r="C1232" s="138">
        <v>1197</v>
      </c>
      <c r="D1232" s="138" t="s">
        <v>2622</v>
      </c>
      <c r="E1232" s="129">
        <v>46215</v>
      </c>
      <c r="F1232" s="128" t="s">
        <v>1144</v>
      </c>
      <c r="G1232" s="128" t="s">
        <v>1145</v>
      </c>
      <c r="H1232" s="138" t="s">
        <v>100</v>
      </c>
      <c r="I1232" s="136"/>
      <c r="J1232" s="138" t="s">
        <v>1146</v>
      </c>
      <c r="K1232" s="136"/>
      <c r="L1232" s="146">
        <v>46212</v>
      </c>
      <c r="M1232" s="136"/>
      <c r="N1232" s="128" t="s">
        <v>2661</v>
      </c>
      <c r="O1232" s="146">
        <v>46215</v>
      </c>
      <c r="P1232" s="138">
        <v>0</v>
      </c>
      <c r="Q1232" s="138">
        <v>160</v>
      </c>
      <c r="R1232" s="138">
        <v>26</v>
      </c>
      <c r="S1232" s="138">
        <v>186</v>
      </c>
      <c r="T1232" s="138">
        <v>186</v>
      </c>
      <c r="U1232" s="136"/>
      <c r="V1232" s="136"/>
      <c r="W1232" s="147">
        <v>93.3</v>
      </c>
      <c r="X1232" s="147">
        <v>93.4</v>
      </c>
      <c r="Y1232" s="147">
        <v>748732.5</v>
      </c>
      <c r="Z1232" s="441">
        <v>39.909999999999997</v>
      </c>
      <c r="AA1232" s="147">
        <v>18718.310000000001</v>
      </c>
      <c r="AB1232" s="147">
        <v>18718.310000000001</v>
      </c>
      <c r="AC1232" s="147">
        <v>786169.13</v>
      </c>
      <c r="AD1232" s="315">
        <f t="shared" si="825"/>
        <v>785382.96086999995</v>
      </c>
      <c r="AE1232" s="212">
        <v>39.909999999999997</v>
      </c>
      <c r="AF1232" s="147">
        <v>42</v>
      </c>
      <c r="AG1232" s="212">
        <v>39.909999999999997</v>
      </c>
      <c r="AH1232" s="287">
        <v>2E-3</v>
      </c>
      <c r="AI1232" s="287">
        <v>0.03</v>
      </c>
      <c r="AJ1232" s="287">
        <v>4.2999999999999997E-2</v>
      </c>
      <c r="AK1232" s="318">
        <f t="shared" si="826"/>
        <v>37258.355357142915</v>
      </c>
      <c r="AL1232" s="193">
        <v>0</v>
      </c>
      <c r="AM1232" s="319">
        <v>0</v>
      </c>
      <c r="AN1232" s="319"/>
      <c r="AO1232" s="320">
        <f t="shared" si="827"/>
        <v>0</v>
      </c>
      <c r="AP1232" s="193">
        <v>0</v>
      </c>
      <c r="AQ1232" s="318">
        <v>0</v>
      </c>
      <c r="AR1232" s="318">
        <f t="shared" si="828"/>
        <v>37258.355357142915</v>
      </c>
      <c r="AS1232" s="318">
        <f t="shared" si="829"/>
        <v>39121</v>
      </c>
      <c r="AT1232" s="321">
        <v>0</v>
      </c>
      <c r="AU1232" s="157"/>
      <c r="AV1232" s="136"/>
      <c r="AW1232" s="318">
        <f t="shared" si="830"/>
        <v>9330</v>
      </c>
      <c r="AX1232" s="193"/>
      <c r="AY1232" s="318">
        <f t="shared" si="831"/>
        <v>9330</v>
      </c>
      <c r="AZ1232" s="318">
        <f t="shared" si="832"/>
        <v>9340</v>
      </c>
      <c r="BA1232" s="318">
        <f t="shared" si="833"/>
        <v>-10</v>
      </c>
      <c r="BB1232" s="318">
        <f t="shared" si="834"/>
        <v>18.66</v>
      </c>
      <c r="BC1232" s="318">
        <v>0</v>
      </c>
      <c r="BD1232" s="136"/>
      <c r="BE1232" s="138">
        <v>93.3</v>
      </c>
      <c r="BF1232" s="321">
        <f t="shared" si="835"/>
        <v>0.13994999999999999</v>
      </c>
      <c r="BG1232" s="197">
        <f t="shared" si="836"/>
        <v>93.160049999999998</v>
      </c>
      <c r="BH1232" s="321">
        <f t="shared" si="837"/>
        <v>93.4</v>
      </c>
      <c r="BI1232" s="322">
        <f t="shared" si="838"/>
        <v>-10.000000000000853</v>
      </c>
      <c r="BJ1232" s="322">
        <v>0</v>
      </c>
      <c r="BK1232" s="318">
        <f t="shared" si="839"/>
        <v>-10.000000000000853</v>
      </c>
      <c r="BL1232" s="67"/>
      <c r="BM1232" s="68" t="str">
        <f t="shared" si="840"/>
        <v>Unloading no. 1197 Bill No 2026-27/371 ,Deduction For Oil Deduction= 37258.3553571429 ,Bardana= 0 ,F.M= 0 Brokerage/Rate Difference  ,Shortage = 0 ,Greenish= 0 ,Moisture= 0</v>
      </c>
      <c r="BN1232" s="69"/>
      <c r="BO1232" s="70" t="str">
        <f t="shared" si="841"/>
        <v xml:space="preserve"> Party Condition 42  ,F.M% 0.2 ,Greenish 3 ,Moisture 4.3 ,Shortage in KG= 0  ,Oil% 39.91</v>
      </c>
      <c r="BP1232" s="71">
        <f t="shared" si="842"/>
        <v>7617.4961953196689</v>
      </c>
      <c r="BQ1232" s="55"/>
      <c r="BR1232" s="55"/>
      <c r="BS1232" s="41"/>
      <c r="BT1232" s="41"/>
      <c r="BU1232" s="41"/>
      <c r="BV1232" s="41"/>
      <c r="BW1232" s="85"/>
      <c r="BX1232" s="27">
        <v>40.08</v>
      </c>
      <c r="BY1232" s="27">
        <v>39.85</v>
      </c>
    </row>
    <row r="1233" spans="1:89" ht="14.1" hidden="1" customHeight="1" x14ac:dyDescent="0.3">
      <c r="A1233" s="281" t="s">
        <v>2585</v>
      </c>
      <c r="B1233" s="146">
        <v>46212</v>
      </c>
      <c r="C1233" s="138">
        <v>1198</v>
      </c>
      <c r="D1233" s="138" t="s">
        <v>2623</v>
      </c>
      <c r="E1233" s="129">
        <v>46215</v>
      </c>
      <c r="F1233" s="128" t="s">
        <v>1144</v>
      </c>
      <c r="G1233" s="128" t="s">
        <v>1145</v>
      </c>
      <c r="H1233" s="138" t="s">
        <v>100</v>
      </c>
      <c r="I1233" s="136"/>
      <c r="J1233" s="138" t="s">
        <v>1146</v>
      </c>
      <c r="K1233" s="136"/>
      <c r="L1233" s="146">
        <v>46212</v>
      </c>
      <c r="M1233" s="136"/>
      <c r="N1233" s="128" t="s">
        <v>2662</v>
      </c>
      <c r="O1233" s="146">
        <v>46215</v>
      </c>
      <c r="P1233" s="138">
        <v>0</v>
      </c>
      <c r="Q1233" s="138">
        <v>186</v>
      </c>
      <c r="R1233" s="138">
        <v>0</v>
      </c>
      <c r="S1233" s="138">
        <v>186</v>
      </c>
      <c r="T1233" s="138">
        <v>186</v>
      </c>
      <c r="U1233" s="136"/>
      <c r="V1233" s="136"/>
      <c r="W1233" s="147">
        <v>93.6</v>
      </c>
      <c r="X1233" s="147">
        <v>93.6</v>
      </c>
      <c r="Y1233" s="147">
        <v>751140</v>
      </c>
      <c r="Z1233" s="441">
        <v>40.26</v>
      </c>
      <c r="AA1233" s="147">
        <v>18778.5</v>
      </c>
      <c r="AB1233" s="147">
        <v>18778.5</v>
      </c>
      <c r="AC1233" s="147">
        <v>788697</v>
      </c>
      <c r="AD1233" s="315">
        <f t="shared" si="825"/>
        <v>787908.30299999996</v>
      </c>
      <c r="AE1233" s="212">
        <v>40.26</v>
      </c>
      <c r="AF1233" s="147">
        <v>42</v>
      </c>
      <c r="AG1233" s="212">
        <v>40.26</v>
      </c>
      <c r="AH1233" s="287">
        <v>2.0999999999999999E-3</v>
      </c>
      <c r="AI1233" s="287">
        <v>2.7E-2</v>
      </c>
      <c r="AJ1233" s="287">
        <v>4.9000000000000002E-2</v>
      </c>
      <c r="AK1233" s="318">
        <f t="shared" si="826"/>
        <v>31118.657142857177</v>
      </c>
      <c r="AL1233" s="193">
        <v>0</v>
      </c>
      <c r="AM1233" s="319">
        <v>0</v>
      </c>
      <c r="AN1233" s="319"/>
      <c r="AO1233" s="320">
        <f t="shared" si="827"/>
        <v>0</v>
      </c>
      <c r="AP1233" s="193">
        <v>0</v>
      </c>
      <c r="AQ1233" s="318">
        <v>0</v>
      </c>
      <c r="AR1233" s="318">
        <f t="shared" si="828"/>
        <v>31118.657142857177</v>
      </c>
      <c r="AS1233" s="318">
        <f t="shared" si="829"/>
        <v>32675</v>
      </c>
      <c r="AT1233" s="321">
        <v>0</v>
      </c>
      <c r="AU1233" s="157"/>
      <c r="AV1233" s="136"/>
      <c r="AW1233" s="318">
        <f t="shared" si="830"/>
        <v>9360</v>
      </c>
      <c r="AX1233" s="193"/>
      <c r="AY1233" s="318">
        <f t="shared" si="831"/>
        <v>9360</v>
      </c>
      <c r="AZ1233" s="318">
        <f t="shared" si="832"/>
        <v>9360</v>
      </c>
      <c r="BA1233" s="318">
        <f t="shared" si="833"/>
        <v>0</v>
      </c>
      <c r="BB1233" s="318">
        <f t="shared" si="834"/>
        <v>18.72</v>
      </c>
      <c r="BC1233" s="318">
        <v>0</v>
      </c>
      <c r="BD1233" s="136"/>
      <c r="BE1233" s="138">
        <v>93.6</v>
      </c>
      <c r="BF1233" s="321">
        <f t="shared" si="835"/>
        <v>0.1404</v>
      </c>
      <c r="BG1233" s="197">
        <f t="shared" si="836"/>
        <v>93.459599999999995</v>
      </c>
      <c r="BH1233" s="321">
        <f t="shared" si="837"/>
        <v>93.6</v>
      </c>
      <c r="BI1233" s="322">
        <f t="shared" si="838"/>
        <v>0</v>
      </c>
      <c r="BJ1233" s="322">
        <v>0</v>
      </c>
      <c r="BK1233" s="318">
        <f t="shared" si="839"/>
        <v>0</v>
      </c>
      <c r="BL1233" s="67"/>
      <c r="BM1233" s="68" t="str">
        <f t="shared" si="840"/>
        <v>Unloading no. 1198 Bill No 2026-27/372 ,Deduction For Oil Deduction= 31118.6571428572 ,Bardana= 0 ,F.M= 0 Brokerage/Rate Difference  ,Shortage = 0 ,Greenish= 0 ,Moisture= 0</v>
      </c>
      <c r="BN1233" s="69"/>
      <c r="BO1233" s="70" t="str">
        <f t="shared" si="841"/>
        <v xml:space="preserve"> Party Condition 42  ,F.M% 0.21 ,Greenish 2.7 ,Moisture 4.9 ,Shortage in KG= 0  ,Oil% 40.26</v>
      </c>
      <c r="BP1233" s="71">
        <f t="shared" si="842"/>
        <v>7692.5357142857138</v>
      </c>
      <c r="BQ1233" s="55"/>
      <c r="BR1233" s="55"/>
      <c r="BS1233" s="41"/>
      <c r="BT1233" s="41"/>
      <c r="BU1233" s="41"/>
      <c r="BV1233" s="41"/>
      <c r="BW1233" s="85"/>
      <c r="BX1233" s="27">
        <v>40.020000000000003</v>
      </c>
      <c r="BY1233" s="27">
        <v>39.86</v>
      </c>
    </row>
    <row r="1234" spans="1:89" ht="14.1" hidden="1" customHeight="1" x14ac:dyDescent="0.3">
      <c r="A1234" s="281" t="s">
        <v>2585</v>
      </c>
      <c r="B1234" s="146">
        <v>46212</v>
      </c>
      <c r="C1234" s="138">
        <v>1199</v>
      </c>
      <c r="D1234" s="138" t="s">
        <v>2624</v>
      </c>
      <c r="E1234" s="129">
        <v>46215</v>
      </c>
      <c r="F1234" s="128" t="s">
        <v>1144</v>
      </c>
      <c r="G1234" s="128" t="s">
        <v>1145</v>
      </c>
      <c r="H1234" s="138" t="s">
        <v>100</v>
      </c>
      <c r="I1234" s="136"/>
      <c r="J1234" s="138" t="s">
        <v>1146</v>
      </c>
      <c r="K1234" s="136"/>
      <c r="L1234" s="146">
        <v>46212</v>
      </c>
      <c r="M1234" s="136"/>
      <c r="N1234" s="128" t="s">
        <v>2663</v>
      </c>
      <c r="O1234" s="146">
        <v>46215</v>
      </c>
      <c r="P1234" s="138">
        <v>0</v>
      </c>
      <c r="Q1234" s="138">
        <v>150</v>
      </c>
      <c r="R1234" s="138">
        <v>25</v>
      </c>
      <c r="S1234" s="138">
        <v>175</v>
      </c>
      <c r="T1234" s="138">
        <v>175</v>
      </c>
      <c r="U1234" s="136"/>
      <c r="V1234" s="136"/>
      <c r="W1234" s="147">
        <v>88.2</v>
      </c>
      <c r="X1234" s="147">
        <v>88.2</v>
      </c>
      <c r="Y1234" s="147">
        <v>707805</v>
      </c>
      <c r="Z1234" s="441">
        <v>40.39</v>
      </c>
      <c r="AA1234" s="147">
        <v>17695.13</v>
      </c>
      <c r="AB1234" s="147">
        <v>17695.13</v>
      </c>
      <c r="AC1234" s="147">
        <v>743195.25</v>
      </c>
      <c r="AD1234" s="315">
        <f t="shared" si="825"/>
        <v>742452.05475000001</v>
      </c>
      <c r="AE1234" s="212">
        <v>40.39</v>
      </c>
      <c r="AF1234" s="147">
        <v>42</v>
      </c>
      <c r="AG1234" s="212">
        <v>40.39</v>
      </c>
      <c r="AH1234" s="287">
        <v>1.8E-3</v>
      </c>
      <c r="AI1234" s="287">
        <v>2.5000000000000001E-2</v>
      </c>
      <c r="AJ1234" s="287">
        <v>5.7000000000000002E-2</v>
      </c>
      <c r="AK1234" s="318">
        <f t="shared" si="826"/>
        <v>27132.524999999987</v>
      </c>
      <c r="AL1234" s="193">
        <v>0</v>
      </c>
      <c r="AM1234" s="319">
        <v>0</v>
      </c>
      <c r="AN1234" s="319"/>
      <c r="AO1234" s="320">
        <f t="shared" si="827"/>
        <v>0</v>
      </c>
      <c r="AP1234" s="193">
        <v>0</v>
      </c>
      <c r="AQ1234" s="318">
        <v>0</v>
      </c>
      <c r="AR1234" s="318">
        <f t="shared" si="828"/>
        <v>27132.524999999987</v>
      </c>
      <c r="AS1234" s="318">
        <f t="shared" si="829"/>
        <v>28489</v>
      </c>
      <c r="AT1234" s="321">
        <v>0</v>
      </c>
      <c r="AU1234" s="157"/>
      <c r="AV1234" s="136"/>
      <c r="AW1234" s="318">
        <f t="shared" si="830"/>
        <v>8820</v>
      </c>
      <c r="AX1234" s="193"/>
      <c r="AY1234" s="318">
        <f t="shared" si="831"/>
        <v>8820</v>
      </c>
      <c r="AZ1234" s="318">
        <f t="shared" si="832"/>
        <v>8820</v>
      </c>
      <c r="BA1234" s="318">
        <f t="shared" si="833"/>
        <v>0</v>
      </c>
      <c r="BB1234" s="318">
        <f t="shared" si="834"/>
        <v>17.64</v>
      </c>
      <c r="BC1234" s="318">
        <v>0</v>
      </c>
      <c r="BD1234" s="136"/>
      <c r="BE1234" s="138">
        <v>88.2</v>
      </c>
      <c r="BF1234" s="321">
        <f t="shared" si="835"/>
        <v>0.1323</v>
      </c>
      <c r="BG1234" s="197">
        <f t="shared" si="836"/>
        <v>88.067700000000002</v>
      </c>
      <c r="BH1234" s="321">
        <f t="shared" si="837"/>
        <v>88.2</v>
      </c>
      <c r="BI1234" s="322">
        <f t="shared" si="838"/>
        <v>0</v>
      </c>
      <c r="BJ1234" s="322">
        <v>0</v>
      </c>
      <c r="BK1234" s="318">
        <f t="shared" si="839"/>
        <v>0</v>
      </c>
      <c r="BL1234" s="67"/>
      <c r="BM1234" s="68" t="str">
        <f t="shared" si="840"/>
        <v>Unloading no. 1199 Bill No 2026-27/373 ,Deduction For Oil Deduction= 27132.525 ,Bardana= 0 ,F.M= 0 Brokerage/Rate Difference  ,Shortage = 0 ,Greenish= 0 ,Moisture= 0</v>
      </c>
      <c r="BN1234" s="69"/>
      <c r="BO1234" s="70" t="str">
        <f t="shared" si="841"/>
        <v xml:space="preserve"> Party Condition 42  ,F.M% 0.18 ,Greenish 2.5 ,Moisture 5.7 ,Shortage in KG= 0  ,Oil% 40.39</v>
      </c>
      <c r="BP1234" s="71">
        <f t="shared" si="842"/>
        <v>7717.3749999999991</v>
      </c>
      <c r="BQ1234" s="55"/>
      <c r="BR1234" s="55"/>
      <c r="BS1234" s="41"/>
      <c r="BT1234" s="41"/>
      <c r="BU1234" s="41"/>
      <c r="BV1234" s="41"/>
      <c r="BW1234" s="85"/>
      <c r="BX1234" s="27">
        <v>40.6</v>
      </c>
      <c r="BY1234" s="27">
        <v>40.31</v>
      </c>
    </row>
    <row r="1235" spans="1:89" ht="14.1" hidden="1" customHeight="1" x14ac:dyDescent="0.3">
      <c r="A1235" s="284" t="s">
        <v>2586</v>
      </c>
      <c r="B1235" s="376">
        <v>46213</v>
      </c>
      <c r="C1235" s="275">
        <v>1200</v>
      </c>
      <c r="D1235" s="275" t="s">
        <v>2625</v>
      </c>
      <c r="E1235" s="231">
        <v>46215</v>
      </c>
      <c r="F1235" s="174" t="s">
        <v>1691</v>
      </c>
      <c r="G1235" s="174" t="s">
        <v>1692</v>
      </c>
      <c r="H1235" s="275" t="s">
        <v>1693</v>
      </c>
      <c r="I1235" s="176"/>
      <c r="J1235" s="275" t="s">
        <v>2499</v>
      </c>
      <c r="K1235" s="176"/>
      <c r="L1235" s="376">
        <v>46213</v>
      </c>
      <c r="M1235" s="176"/>
      <c r="N1235" s="174" t="s">
        <v>1317</v>
      </c>
      <c r="O1235" s="376">
        <v>46214</v>
      </c>
      <c r="P1235" s="275">
        <v>0</v>
      </c>
      <c r="Q1235" s="275">
        <v>250</v>
      </c>
      <c r="R1235" s="275">
        <v>0</v>
      </c>
      <c r="S1235" s="275">
        <v>250</v>
      </c>
      <c r="T1235" s="275">
        <v>250</v>
      </c>
      <c r="U1235" s="176"/>
      <c r="V1235" s="176"/>
      <c r="W1235" s="178">
        <v>151.69999999999999</v>
      </c>
      <c r="X1235" s="178">
        <v>151.80000000000001</v>
      </c>
      <c r="Y1235" s="178">
        <v>1213600</v>
      </c>
      <c r="Z1235" s="182"/>
      <c r="AA1235" s="178">
        <v>30340</v>
      </c>
      <c r="AB1235" s="178">
        <v>30340</v>
      </c>
      <c r="AC1235" s="178">
        <v>1274280</v>
      </c>
      <c r="AD1235" s="339">
        <f t="shared" si="825"/>
        <v>1273005.72</v>
      </c>
      <c r="AE1235" s="419">
        <v>40.19</v>
      </c>
      <c r="AF1235" s="178">
        <v>42</v>
      </c>
      <c r="AG1235" s="419">
        <v>39.869999999999997</v>
      </c>
      <c r="AH1235" s="308">
        <v>2E-3</v>
      </c>
      <c r="AI1235" s="308">
        <v>0.03</v>
      </c>
      <c r="AJ1235" s="442">
        <v>5.7700000000000001E-2</v>
      </c>
      <c r="AK1235" s="342">
        <f t="shared" si="826"/>
        <v>61546.857142857218</v>
      </c>
      <c r="AL1235" s="335">
        <f>250*10</f>
        <v>2500</v>
      </c>
      <c r="AM1235" s="343">
        <f>Y1235*AH1235</f>
        <v>2427.2000000000003</v>
      </c>
      <c r="AN1235" s="343"/>
      <c r="AO1235" s="344">
        <f t="shared" si="827"/>
        <v>0</v>
      </c>
      <c r="AP1235" s="335">
        <v>0</v>
      </c>
      <c r="AQ1235" s="342">
        <f>Y1235*0.77/100</f>
        <v>9344.7199999999993</v>
      </c>
      <c r="AR1235" s="342">
        <f t="shared" si="828"/>
        <v>75818.777142857216</v>
      </c>
      <c r="AS1235" s="342">
        <f t="shared" si="829"/>
        <v>79610</v>
      </c>
      <c r="AT1235" s="345">
        <v>0</v>
      </c>
      <c r="AU1235" s="438" t="s">
        <v>2208</v>
      </c>
      <c r="AV1235" s="176"/>
      <c r="AW1235" s="342">
        <f t="shared" si="830"/>
        <v>15169.999999999998</v>
      </c>
      <c r="AX1235" s="335"/>
      <c r="AY1235" s="342">
        <f t="shared" si="831"/>
        <v>15169.999999999998</v>
      </c>
      <c r="AZ1235" s="342">
        <f t="shared" si="832"/>
        <v>15180.000000000002</v>
      </c>
      <c r="BA1235" s="342">
        <f t="shared" si="833"/>
        <v>-10.000000000003638</v>
      </c>
      <c r="BB1235" s="342">
        <f t="shared" si="834"/>
        <v>30.339999999999996</v>
      </c>
      <c r="BC1235" s="342">
        <v>0</v>
      </c>
      <c r="BD1235" s="176"/>
      <c r="BE1235" s="275">
        <v>151.69999999999999</v>
      </c>
      <c r="BF1235" s="345">
        <f t="shared" si="835"/>
        <v>0.22755</v>
      </c>
      <c r="BG1235" s="210">
        <f t="shared" si="836"/>
        <v>151.47244999999998</v>
      </c>
      <c r="BH1235" s="345">
        <f t="shared" si="837"/>
        <v>151.80000000000001</v>
      </c>
      <c r="BI1235" s="346">
        <f t="shared" si="838"/>
        <v>-10.000000000002274</v>
      </c>
      <c r="BJ1235" s="346">
        <v>0</v>
      </c>
      <c r="BK1235" s="342">
        <f t="shared" si="839"/>
        <v>-10.000000000002274</v>
      </c>
      <c r="BL1235" s="73"/>
      <c r="BM1235" s="74" t="str">
        <f t="shared" si="840"/>
        <v>Unloading no. 1200 Bill No 2026-27/78 ,Deduction For Oil Deduction= 61546.8571428572 ,Bardana= 2500 ,F.M= 2427.2 Brokerage/Rate Difference  ,Shortage = 0 ,Greenish= 0 ,Moisture= 9344.72</v>
      </c>
      <c r="BN1235" s="72"/>
      <c r="BO1235" s="77" t="str">
        <f t="shared" si="841"/>
        <v xml:space="preserve"> Party Condition 42  ,F.M% 0.2 ,Greenish 3 ,Moisture 5.77 ,Shortage in KG= 0  ,Oil% 39.87</v>
      </c>
      <c r="BP1235" s="78">
        <f t="shared" si="842"/>
        <v>7495.2649727084499</v>
      </c>
      <c r="BQ1235" s="60"/>
      <c r="BR1235" s="60"/>
      <c r="BS1235" s="52"/>
      <c r="BT1235" s="52"/>
      <c r="BU1235" s="52"/>
      <c r="BV1235" s="52"/>
      <c r="BW1235" s="86"/>
      <c r="BX1235" s="30">
        <v>40.19</v>
      </c>
      <c r="BY1235" s="30">
        <v>39.869999999999997</v>
      </c>
      <c r="CA1235" s="56">
        <v>78717.72</v>
      </c>
      <c r="CC1235" s="57">
        <f t="shared" ref="CC1235" si="854">AS1235-CA1235</f>
        <v>892.27999999999884</v>
      </c>
      <c r="CE1235" s="88">
        <f t="shared" ref="CE1235" si="855">CC1235/105%</f>
        <v>849.79047619047503</v>
      </c>
    </row>
    <row r="1236" spans="1:89" ht="14.1" hidden="1" customHeight="1" x14ac:dyDescent="0.3">
      <c r="A1236" s="138" t="s">
        <v>2587</v>
      </c>
      <c r="B1236" s="146">
        <v>46214</v>
      </c>
      <c r="C1236" s="138">
        <v>1201</v>
      </c>
      <c r="D1236" s="138" t="s">
        <v>2626</v>
      </c>
      <c r="E1236" s="129">
        <v>46216</v>
      </c>
      <c r="F1236" s="281" t="s">
        <v>95</v>
      </c>
      <c r="G1236" s="128" t="s">
        <v>96</v>
      </c>
      <c r="H1236" s="128" t="s">
        <v>97</v>
      </c>
      <c r="I1236" s="136"/>
      <c r="J1236" s="138" t="s">
        <v>2499</v>
      </c>
      <c r="K1236" s="136"/>
      <c r="L1236" s="146">
        <v>46214</v>
      </c>
      <c r="M1236" s="136"/>
      <c r="N1236" s="281">
        <v>226</v>
      </c>
      <c r="O1236" s="146">
        <v>46214</v>
      </c>
      <c r="P1236" s="138">
        <v>0</v>
      </c>
      <c r="Q1236" s="138">
        <v>185</v>
      </c>
      <c r="R1236" s="138">
        <v>200</v>
      </c>
      <c r="S1236" s="138">
        <v>385</v>
      </c>
      <c r="T1236" s="138">
        <v>385</v>
      </c>
      <c r="U1236" s="136"/>
      <c r="V1236" s="136"/>
      <c r="W1236" s="147">
        <v>234.3</v>
      </c>
      <c r="X1236" s="147">
        <v>234.1</v>
      </c>
      <c r="Y1236" s="147">
        <v>1880257.5</v>
      </c>
      <c r="Z1236" s="169"/>
      <c r="AA1236" s="147">
        <v>47006.44</v>
      </c>
      <c r="AB1236" s="147">
        <v>47006.44</v>
      </c>
      <c r="AC1236" s="147">
        <v>1974270.38</v>
      </c>
      <c r="AD1236" s="315">
        <f t="shared" si="825"/>
        <v>1972296.10962</v>
      </c>
      <c r="AE1236" s="173">
        <v>39.75</v>
      </c>
      <c r="AF1236" s="147">
        <v>42</v>
      </c>
      <c r="AG1236" s="173">
        <v>39.6</v>
      </c>
      <c r="AH1236" s="287">
        <v>1.9E-3</v>
      </c>
      <c r="AI1236" s="287">
        <v>3.5999999999999997E-2</v>
      </c>
      <c r="AJ1236" s="287">
        <v>5.1900000000000002E-2</v>
      </c>
      <c r="AK1236" s="318">
        <f t="shared" si="826"/>
        <v>107443.28571428565</v>
      </c>
      <c r="AL1236" s="193">
        <f>185*10+200*15</f>
        <v>4850</v>
      </c>
      <c r="AM1236" s="319">
        <f>Y1236*AH1236</f>
        <v>3572.4892500000001</v>
      </c>
      <c r="AN1236" s="319"/>
      <c r="AO1236" s="320">
        <f t="shared" si="827"/>
        <v>1605</v>
      </c>
      <c r="AP1236" s="193">
        <v>0</v>
      </c>
      <c r="AQ1236" s="318">
        <f>Y1236*0.19/100</f>
        <v>3572.4892500000001</v>
      </c>
      <c r="AR1236" s="318">
        <f t="shared" si="828"/>
        <v>121043.26421428565</v>
      </c>
      <c r="AS1236" s="318">
        <f t="shared" si="829"/>
        <v>127095</v>
      </c>
      <c r="AT1236" s="321">
        <v>20</v>
      </c>
      <c r="AU1236" s="157"/>
      <c r="AV1236" s="136"/>
      <c r="AW1236" s="318">
        <f t="shared" si="830"/>
        <v>23430</v>
      </c>
      <c r="AX1236" s="193"/>
      <c r="AY1236" s="318">
        <f t="shared" si="831"/>
        <v>23430</v>
      </c>
      <c r="AZ1236" s="318">
        <f t="shared" si="832"/>
        <v>23410</v>
      </c>
      <c r="BA1236" s="318">
        <f t="shared" si="833"/>
        <v>20</v>
      </c>
      <c r="BB1236" s="318">
        <f t="shared" si="834"/>
        <v>46.86</v>
      </c>
      <c r="BC1236" s="318">
        <v>0</v>
      </c>
      <c r="BD1236" s="136"/>
      <c r="BE1236" s="138">
        <v>234.3</v>
      </c>
      <c r="BF1236" s="321">
        <f t="shared" si="835"/>
        <v>0.35145000000000004</v>
      </c>
      <c r="BG1236" s="197">
        <f t="shared" si="836"/>
        <v>233.94855000000001</v>
      </c>
      <c r="BH1236" s="321">
        <f t="shared" si="837"/>
        <v>234.1</v>
      </c>
      <c r="BI1236" s="322">
        <f t="shared" si="838"/>
        <v>20.000000000001705</v>
      </c>
      <c r="BJ1236" s="322">
        <v>0</v>
      </c>
      <c r="BK1236" s="318">
        <f t="shared" si="839"/>
        <v>20.000000000001705</v>
      </c>
      <c r="BL1236" s="67"/>
      <c r="BM1236" s="68" t="str">
        <f t="shared" si="840"/>
        <v>Unloading no. 1201 Bill No 226 ,Deduction For Oil Deduction= 107443.285714286 ,Bardana= 4850 ,F.M= 3572.48925 Brokerage/Rate Difference  ,Shortage = 1605 ,Greenish= 0 ,Moisture= 3572.48925</v>
      </c>
      <c r="BN1236" s="69"/>
      <c r="BO1236" s="70" t="str">
        <f t="shared" si="841"/>
        <v xml:space="preserve"> Party Condition 42  ,F.M% 0.19 ,Greenish 3.6 ,Moisture 5.19 ,Shortage in KG= 20  ,Oil% 39.6</v>
      </c>
      <c r="BP1236" s="71">
        <f t="shared" si="842"/>
        <v>7514.7981024592673</v>
      </c>
      <c r="BQ1236" s="55"/>
      <c r="BR1236" s="55"/>
      <c r="BS1236" s="41"/>
      <c r="BT1236" s="41"/>
      <c r="BU1236" s="41"/>
      <c r="BV1236" s="41"/>
      <c r="BW1236" s="85"/>
      <c r="BX1236" s="30">
        <v>39.75</v>
      </c>
      <c r="BY1236" s="30">
        <v>39.6</v>
      </c>
      <c r="CA1236" s="56">
        <v>127095.43</v>
      </c>
      <c r="CC1236" s="57">
        <f t="shared" ref="CC1236" si="856">AS1236-CA1236</f>
        <v>-0.42999999999301508</v>
      </c>
      <c r="CE1236" s="88">
        <f t="shared" ref="CE1236" si="857">CC1236/105%</f>
        <v>-0.40952380951715722</v>
      </c>
    </row>
    <row r="1237" spans="1:89" ht="14.1" hidden="1" customHeight="1" x14ac:dyDescent="0.3">
      <c r="A1237" s="138" t="s">
        <v>2251</v>
      </c>
      <c r="B1237" s="146">
        <v>46204</v>
      </c>
      <c r="C1237" s="138">
        <v>1202</v>
      </c>
      <c r="D1237" s="138" t="s">
        <v>2627</v>
      </c>
      <c r="E1237" s="129">
        <v>46216</v>
      </c>
      <c r="F1237" s="281" t="s">
        <v>1142</v>
      </c>
      <c r="G1237" s="128" t="s">
        <v>1143</v>
      </c>
      <c r="H1237" s="128" t="s">
        <v>100</v>
      </c>
      <c r="I1237" s="136"/>
      <c r="J1237" s="138" t="s">
        <v>2499</v>
      </c>
      <c r="K1237" s="136"/>
      <c r="L1237" s="146">
        <v>46204</v>
      </c>
      <c r="M1237" s="136"/>
      <c r="N1237" s="281" t="s">
        <v>2664</v>
      </c>
      <c r="O1237" s="146">
        <v>46215</v>
      </c>
      <c r="P1237" s="138">
        <v>0</v>
      </c>
      <c r="Q1237" s="138">
        <v>200</v>
      </c>
      <c r="R1237" s="138">
        <v>294</v>
      </c>
      <c r="S1237" s="138">
        <v>494</v>
      </c>
      <c r="T1237" s="138">
        <v>494</v>
      </c>
      <c r="U1237" s="136"/>
      <c r="V1237" s="136"/>
      <c r="W1237" s="147">
        <v>251.7</v>
      </c>
      <c r="X1237" s="147">
        <v>251.7</v>
      </c>
      <c r="Y1237" s="147">
        <v>1988430</v>
      </c>
      <c r="Z1237" s="169"/>
      <c r="AA1237" s="147">
        <v>49710.75</v>
      </c>
      <c r="AB1237" s="147">
        <v>49710.75</v>
      </c>
      <c r="AC1237" s="147">
        <v>2087851.5</v>
      </c>
      <c r="AD1237" s="315">
        <f t="shared" si="825"/>
        <v>2085763.6484999999</v>
      </c>
      <c r="AE1237" s="173">
        <v>39.07</v>
      </c>
      <c r="AF1237" s="147">
        <v>42</v>
      </c>
      <c r="AG1237" s="173">
        <v>38.96</v>
      </c>
      <c r="AH1237" s="287">
        <v>3.0000000000000001E-3</v>
      </c>
      <c r="AI1237" s="287">
        <v>3.4500000000000003E-2</v>
      </c>
      <c r="AJ1237" s="287">
        <v>4.2999999999999997E-2</v>
      </c>
      <c r="AK1237" s="318">
        <f t="shared" si="826"/>
        <v>143924.45714285711</v>
      </c>
      <c r="AL1237" s="193">
        <f>200*10+294*15</f>
        <v>6410</v>
      </c>
      <c r="AM1237" s="319">
        <f>Y1237*AH1237</f>
        <v>5965.29</v>
      </c>
      <c r="AN1237" s="319"/>
      <c r="AO1237" s="320">
        <f t="shared" si="827"/>
        <v>0</v>
      </c>
      <c r="AP1237" s="193">
        <v>0</v>
      </c>
      <c r="AQ1237" s="318">
        <v>0</v>
      </c>
      <c r="AR1237" s="318">
        <f t="shared" si="828"/>
        <v>156299.74714285712</v>
      </c>
      <c r="AS1237" s="318">
        <f t="shared" si="829"/>
        <v>164115</v>
      </c>
      <c r="AT1237" s="321">
        <v>0</v>
      </c>
      <c r="AU1237" s="206" t="s">
        <v>2665</v>
      </c>
      <c r="AV1237" s="136"/>
      <c r="AW1237" s="318">
        <f t="shared" si="830"/>
        <v>25170</v>
      </c>
      <c r="AX1237" s="193"/>
      <c r="AY1237" s="318">
        <f t="shared" si="831"/>
        <v>25170</v>
      </c>
      <c r="AZ1237" s="318">
        <f t="shared" si="832"/>
        <v>25170</v>
      </c>
      <c r="BA1237" s="318">
        <f t="shared" si="833"/>
        <v>0</v>
      </c>
      <c r="BB1237" s="318">
        <f t="shared" si="834"/>
        <v>50.34</v>
      </c>
      <c r="BC1237" s="318">
        <v>0</v>
      </c>
      <c r="BD1237" s="136"/>
      <c r="BE1237" s="138">
        <v>251.7</v>
      </c>
      <c r="BF1237" s="321">
        <f t="shared" si="835"/>
        <v>0.37754999999999994</v>
      </c>
      <c r="BG1237" s="197">
        <f t="shared" si="836"/>
        <v>251.32244999999998</v>
      </c>
      <c r="BH1237" s="321">
        <f t="shared" si="837"/>
        <v>251.7</v>
      </c>
      <c r="BI1237" s="322">
        <f t="shared" si="838"/>
        <v>0</v>
      </c>
      <c r="BJ1237" s="322">
        <v>0</v>
      </c>
      <c r="BK1237" s="318">
        <f t="shared" si="839"/>
        <v>0</v>
      </c>
      <c r="BL1237" s="67"/>
      <c r="BM1237" s="68" t="str">
        <f t="shared" si="840"/>
        <v>Unloading no. 1202 Bill No 2026-27/6962 ,Deduction For Oil Deduction= 143924.457142857 ,Bardana= 6410 ,F.M= 5965.29 Brokerage/Rate Difference  ,Shortage = 0 ,Greenish= 0 ,Moisture= 0</v>
      </c>
      <c r="BN1237" s="69"/>
      <c r="BO1237" s="70" t="str">
        <f t="shared" si="841"/>
        <v xml:space="preserve"> Party Condition 42  ,F.M% 0.3 ,Greenish 3.45 ,Moisture 4.3 ,Shortage in KG= 0  ,Oil% 38.96</v>
      </c>
      <c r="BP1237" s="71">
        <f t="shared" si="842"/>
        <v>7279.0236506044612</v>
      </c>
      <c r="BQ1237" s="55"/>
      <c r="BR1237" s="55"/>
      <c r="BS1237" s="41"/>
      <c r="BT1237" s="41"/>
      <c r="BU1237" s="41"/>
      <c r="BV1237" s="41"/>
      <c r="BW1237" s="85"/>
      <c r="BX1237" s="30">
        <v>39.07</v>
      </c>
      <c r="BY1237" s="30">
        <v>38.96</v>
      </c>
      <c r="CA1237" s="56">
        <v>164114.73000000001</v>
      </c>
      <c r="CC1237" s="57">
        <f t="shared" ref="CC1237:CC1238" si="858">AS1237-CA1237</f>
        <v>0.26999999998952262</v>
      </c>
      <c r="CE1237" s="88">
        <f t="shared" ref="CE1237:CE1238" si="859">CC1237/105%</f>
        <v>0.25714285713287865</v>
      </c>
    </row>
    <row r="1238" spans="1:89" ht="14.1" hidden="1" customHeight="1" x14ac:dyDescent="0.3">
      <c r="A1238" s="138" t="s">
        <v>2588</v>
      </c>
      <c r="B1238" s="146">
        <v>46214</v>
      </c>
      <c r="C1238" s="138">
        <v>1203</v>
      </c>
      <c r="D1238" s="138" t="s">
        <v>2628</v>
      </c>
      <c r="E1238" s="129">
        <v>46216</v>
      </c>
      <c r="F1238" s="281" t="s">
        <v>1691</v>
      </c>
      <c r="G1238" s="128" t="s">
        <v>1692</v>
      </c>
      <c r="H1238" s="128" t="s">
        <v>1693</v>
      </c>
      <c r="I1238" s="136"/>
      <c r="J1238" s="138" t="s">
        <v>2499</v>
      </c>
      <c r="K1238" s="136"/>
      <c r="L1238" s="146">
        <v>46214</v>
      </c>
      <c r="M1238" s="136"/>
      <c r="N1238" s="281" t="s">
        <v>1316</v>
      </c>
      <c r="O1238" s="146">
        <v>46215</v>
      </c>
      <c r="P1238" s="138">
        <v>0</v>
      </c>
      <c r="Q1238" s="138">
        <v>250</v>
      </c>
      <c r="R1238" s="138">
        <v>50</v>
      </c>
      <c r="S1238" s="138">
        <v>300</v>
      </c>
      <c r="T1238" s="138">
        <v>300</v>
      </c>
      <c r="U1238" s="136"/>
      <c r="V1238" s="136"/>
      <c r="W1238" s="147">
        <v>181.5</v>
      </c>
      <c r="X1238" s="147">
        <v>181.5</v>
      </c>
      <c r="Y1238" s="147">
        <v>1452000</v>
      </c>
      <c r="Z1238" s="169"/>
      <c r="AA1238" s="147">
        <v>36300</v>
      </c>
      <c r="AB1238" s="147">
        <v>36300</v>
      </c>
      <c r="AC1238" s="147">
        <v>1524600</v>
      </c>
      <c r="AD1238" s="315">
        <f t="shared" si="825"/>
        <v>1523075.4</v>
      </c>
      <c r="AE1238" s="147">
        <v>40.25</v>
      </c>
      <c r="AF1238" s="147">
        <v>42</v>
      </c>
      <c r="AG1238" s="173">
        <v>40.31</v>
      </c>
      <c r="AH1238" s="418">
        <v>2.2000000000000001E-3</v>
      </c>
      <c r="AI1238" s="287">
        <v>3.2000000000000001E-2</v>
      </c>
      <c r="AJ1238" s="397">
        <v>5.0999999999999997E-2</v>
      </c>
      <c r="AK1238" s="318">
        <f t="shared" si="826"/>
        <v>60500</v>
      </c>
      <c r="AL1238" s="193">
        <f>250*10+50*15</f>
        <v>3250</v>
      </c>
      <c r="AM1238" s="319">
        <f>Y1238*AH1238</f>
        <v>3194.4</v>
      </c>
      <c r="AN1238" s="319"/>
      <c r="AO1238" s="320">
        <f t="shared" si="827"/>
        <v>0</v>
      </c>
      <c r="AP1238" s="193">
        <v>0</v>
      </c>
      <c r="AQ1238" s="318">
        <f>Y1238*0.1/100</f>
        <v>1452</v>
      </c>
      <c r="AR1238" s="318">
        <f t="shared" si="828"/>
        <v>68396.399999999994</v>
      </c>
      <c r="AS1238" s="318">
        <f t="shared" si="829"/>
        <v>71816</v>
      </c>
      <c r="AT1238" s="321">
        <v>0</v>
      </c>
      <c r="AU1238" s="206" t="s">
        <v>2665</v>
      </c>
      <c r="AV1238" s="136"/>
      <c r="AW1238" s="318">
        <f t="shared" si="830"/>
        <v>18150</v>
      </c>
      <c r="AX1238" s="193"/>
      <c r="AY1238" s="318">
        <f t="shared" si="831"/>
        <v>18150</v>
      </c>
      <c r="AZ1238" s="318">
        <f t="shared" si="832"/>
        <v>18150</v>
      </c>
      <c r="BA1238" s="318">
        <f t="shared" si="833"/>
        <v>0</v>
      </c>
      <c r="BB1238" s="318">
        <f t="shared" si="834"/>
        <v>36.299999999999997</v>
      </c>
      <c r="BC1238" s="318">
        <v>0</v>
      </c>
      <c r="BD1238" s="136"/>
      <c r="BE1238" s="138">
        <v>181.5</v>
      </c>
      <c r="BF1238" s="321">
        <f t="shared" si="835"/>
        <v>0.27224999999999999</v>
      </c>
      <c r="BG1238" s="197">
        <f t="shared" si="836"/>
        <v>181.22774999999999</v>
      </c>
      <c r="BH1238" s="321">
        <f t="shared" si="837"/>
        <v>181.5</v>
      </c>
      <c r="BI1238" s="322">
        <f t="shared" si="838"/>
        <v>0</v>
      </c>
      <c r="BJ1238" s="322">
        <v>0</v>
      </c>
      <c r="BK1238" s="318">
        <f t="shared" si="839"/>
        <v>0</v>
      </c>
      <c r="BL1238" s="67"/>
      <c r="BM1238" s="68" t="str">
        <f t="shared" si="840"/>
        <v>Unloading no. 1203 Bill No 2026-27/79 ,Deduction For Oil Deduction= 60500 ,Bardana= 3250 ,F.M= 3194.4 Brokerage/Rate Difference  ,Shortage = 0 ,Greenish= 0 ,Moisture= 1452</v>
      </c>
      <c r="BN1238" s="69"/>
      <c r="BO1238" s="70" t="str">
        <f t="shared" si="841"/>
        <v xml:space="preserve"> Party Condition 42  ,F.M% 0.22 ,Greenish 3.2 ,Moisture 5.1 ,Shortage in KG= 0  ,Oil% 40.25</v>
      </c>
      <c r="BP1238" s="71">
        <f t="shared" si="842"/>
        <v>7623.1603305785129</v>
      </c>
      <c r="BQ1238" s="55"/>
      <c r="BR1238" s="55"/>
      <c r="BS1238" s="41"/>
      <c r="BT1238" s="41"/>
      <c r="BU1238" s="41"/>
      <c r="BV1238" s="41"/>
      <c r="BW1238" s="85"/>
      <c r="BX1238" s="27">
        <v>40.25</v>
      </c>
      <c r="BY1238" s="30">
        <v>40.31</v>
      </c>
      <c r="CA1238" s="56">
        <v>68113.61</v>
      </c>
      <c r="CC1238" s="57">
        <f t="shared" si="858"/>
        <v>3702.3899999999994</v>
      </c>
      <c r="CE1238" s="88">
        <f t="shared" si="859"/>
        <v>3526.0857142857135</v>
      </c>
      <c r="CH1238" s="56">
        <v>58425.71</v>
      </c>
      <c r="CJ1238" s="90">
        <f>AK1238-CH1238</f>
        <v>2074.2900000000009</v>
      </c>
      <c r="CK1238" s="56" t="s">
        <v>2818</v>
      </c>
    </row>
    <row r="1239" spans="1:89" ht="14.1" hidden="1" customHeight="1" x14ac:dyDescent="0.3">
      <c r="A1239" s="138" t="s">
        <v>2450</v>
      </c>
      <c r="B1239" s="146">
        <v>46210</v>
      </c>
      <c r="C1239" s="138">
        <v>1204</v>
      </c>
      <c r="D1239" s="138" t="s">
        <v>2671</v>
      </c>
      <c r="E1239" s="129">
        <v>46216</v>
      </c>
      <c r="F1239" s="281" t="s">
        <v>2497</v>
      </c>
      <c r="G1239" s="128" t="s">
        <v>2498</v>
      </c>
      <c r="H1239" s="128" t="s">
        <v>100</v>
      </c>
      <c r="I1239" s="136"/>
      <c r="J1239" s="138" t="s">
        <v>1146</v>
      </c>
      <c r="K1239" s="136"/>
      <c r="L1239" s="146">
        <v>46210</v>
      </c>
      <c r="M1239" s="136"/>
      <c r="N1239" s="281" t="s">
        <v>2745</v>
      </c>
      <c r="O1239" s="146">
        <v>46216</v>
      </c>
      <c r="P1239" s="138">
        <v>0</v>
      </c>
      <c r="Q1239" s="138">
        <v>150</v>
      </c>
      <c r="R1239" s="138">
        <v>12</v>
      </c>
      <c r="S1239" s="138">
        <v>162</v>
      </c>
      <c r="T1239" s="138">
        <v>162</v>
      </c>
      <c r="U1239" s="136"/>
      <c r="V1239" s="136"/>
      <c r="W1239" s="147">
        <v>97</v>
      </c>
      <c r="X1239" s="147">
        <v>96.9</v>
      </c>
      <c r="Y1239" s="147">
        <v>771150</v>
      </c>
      <c r="Z1239" s="372">
        <v>39.909999999999997</v>
      </c>
      <c r="AA1239" s="147">
        <v>19278.75</v>
      </c>
      <c r="AB1239" s="147">
        <v>19278.75</v>
      </c>
      <c r="AC1239" s="147">
        <v>809707.5</v>
      </c>
      <c r="AD1239" s="315">
        <f t="shared" si="825"/>
        <v>808897.79249999998</v>
      </c>
      <c r="AE1239" s="147">
        <v>39.909999999999997</v>
      </c>
      <c r="AF1239" s="147">
        <v>42</v>
      </c>
      <c r="AG1239" s="147">
        <v>39.909999999999997</v>
      </c>
      <c r="AH1239" s="287">
        <v>3.0000000000000001E-3</v>
      </c>
      <c r="AI1239" s="287">
        <v>0.03</v>
      </c>
      <c r="AJ1239" s="287">
        <v>4.8000000000000001E-2</v>
      </c>
      <c r="AK1239" s="318">
        <f t="shared" ref="AK1239:AK1302" si="860">+IF(AF1239=42,IF(MIN(AE1239,AG1239)&lt;AF1239,Y1239*((AF1239-MIN(AE1239,AG1239))/AF1239)),IF(MIN(AE1239,AG1239)&lt;AF1239,Y1239*((AF1239-MIN(AE1239,AG1239))/AF1239),0))</f>
        <v>38373.892857142921</v>
      </c>
      <c r="AL1239" s="193">
        <v>0</v>
      </c>
      <c r="AM1239" s="319">
        <v>0</v>
      </c>
      <c r="AN1239" s="319"/>
      <c r="AO1239" s="320">
        <f t="shared" ref="AO1239:AO1302" si="861">AT1239*Y1239/AW1239</f>
        <v>0</v>
      </c>
      <c r="AP1239" s="193">
        <v>0</v>
      </c>
      <c r="AQ1239" s="318">
        <v>0</v>
      </c>
      <c r="AR1239" s="318">
        <f t="shared" ref="AR1239:AR1302" si="862">SUM(AK1239:AQ1239)</f>
        <v>38373.892857142921</v>
      </c>
      <c r="AS1239" s="318">
        <f t="shared" ref="AS1239:AS1302" si="863">ROUND(AR1239*1.05,0)</f>
        <v>40293</v>
      </c>
      <c r="AT1239" s="321">
        <v>0</v>
      </c>
      <c r="AU1239" s="157"/>
      <c r="AV1239" s="136"/>
      <c r="AW1239" s="318">
        <f t="shared" ref="AW1239:AW1302" si="864">W1239*100</f>
        <v>9700</v>
      </c>
      <c r="AX1239" s="193"/>
      <c r="AY1239" s="318">
        <f t="shared" ref="AY1239:AY1302" si="865">+AW1239+AX1239</f>
        <v>9700</v>
      </c>
      <c r="AZ1239" s="318">
        <f t="shared" ref="AZ1239:AZ1302" si="866">X1239*100</f>
        <v>9690</v>
      </c>
      <c r="BA1239" s="318">
        <f t="shared" ref="BA1239:BA1302" si="867">AY1239-AZ1239</f>
        <v>10</v>
      </c>
      <c r="BB1239" s="318">
        <f t="shared" ref="BB1239:BB1302" si="868">AW1239*2/1000</f>
        <v>19.399999999999999</v>
      </c>
      <c r="BC1239" s="318">
        <v>0</v>
      </c>
      <c r="BD1239" s="136"/>
      <c r="BE1239" s="138">
        <v>97</v>
      </c>
      <c r="BF1239" s="321">
        <f t="shared" ref="BF1239:BF1302" si="869">+BE1239*0.15/100</f>
        <v>0.14549999999999999</v>
      </c>
      <c r="BG1239" s="197">
        <f t="shared" ref="BG1239:BG1302" si="870">BE1239-BF1239</f>
        <v>96.854500000000002</v>
      </c>
      <c r="BH1239" s="321">
        <f t="shared" ref="BH1239:BH1302" si="871">X1239</f>
        <v>96.9</v>
      </c>
      <c r="BI1239" s="322">
        <f t="shared" ref="BI1239:BI1302" si="872">(BE1239-BH1239)*100</f>
        <v>9.9999999999994316</v>
      </c>
      <c r="BJ1239" s="322">
        <v>0</v>
      </c>
      <c r="BK1239" s="318">
        <f t="shared" ref="BK1239:BK1302" si="873">BI1239</f>
        <v>9.9999999999994316</v>
      </c>
      <c r="BL1239" s="67"/>
      <c r="BM1239" s="68" t="str">
        <f t="shared" ref="BM1239:BM1302" si="874">+$C$1&amp;" "&amp;C1239 &amp;" "&amp;$N$1&amp;" "&amp;N1239&amp;" "&amp;$BM$1&amp;" "&amp;$AK$1&amp;" "&amp;AK1239&amp;" "&amp;$AL$1&amp;" "&amp;AL1239&amp;" "&amp;$AM$1&amp;" "&amp;AM1239&amp;" "&amp;$AN$1&amp;" "&amp;AN1239&amp;" "&amp;$AO$1&amp;" "&amp;AO1239&amp;" "&amp;$AP$1&amp;" "&amp;AP1239&amp;" "&amp;$AQ$1&amp;" "&amp;AQ1239</f>
        <v>Unloading no. 1204 Bill No HA/26-27/0386 ,Deduction For Oil Deduction= 38373.8928571429 ,Bardana= 0 ,F.M= 0 Brokerage/Rate Difference  ,Shortage = 0 ,Greenish= 0 ,Moisture= 0</v>
      </c>
      <c r="BN1239" s="69"/>
      <c r="BO1239" s="70" t="str">
        <f t="shared" ref="BO1239:BO1302" si="875">+" "&amp;$AF$1&amp;" "&amp;AF1239&amp;" "&amp;" "&amp;$AH$1&amp;" "&amp;AH1239*100&amp;" "&amp;$AI$1&amp;" "&amp;AI1239*100&amp;" "&amp;$AJ$1&amp;" "&amp;AJ1239*100&amp;" ,"&amp;$AT$1&amp;" "&amp;AT1239&amp;" "&amp;IF(AE1239&gt;AG1239," ,Oil%"&amp;" "&amp;AG1239," ,Oil%"&amp;" "&amp;AE1239)</f>
        <v xml:space="preserve"> Party Condition 42  ,F.M% 0.3 ,Greenish 3 ,Moisture 4.8 ,Shortage in KG= 0  ,Oil% 39.91</v>
      </c>
      <c r="BP1239" s="71">
        <f t="shared" ref="BP1239:BP1302" si="876">(Y1239-AR1239)/X1239</f>
        <v>7562.1889282028587</v>
      </c>
      <c r="BQ1239" s="55"/>
      <c r="BR1239" s="55"/>
      <c r="BS1239" s="41"/>
      <c r="BT1239" s="41"/>
      <c r="BU1239" s="41"/>
      <c r="BV1239" s="41"/>
      <c r="BW1239" s="85"/>
      <c r="BX1239" s="27">
        <v>40.06</v>
      </c>
      <c r="BY1239" s="30">
        <v>39.82</v>
      </c>
    </row>
    <row r="1240" spans="1:89" ht="14.1" hidden="1" customHeight="1" x14ac:dyDescent="0.3">
      <c r="A1240" s="138" t="s">
        <v>2585</v>
      </c>
      <c r="B1240" s="146">
        <v>46212</v>
      </c>
      <c r="C1240" s="138">
        <v>1205</v>
      </c>
      <c r="D1240" s="138" t="s">
        <v>2672</v>
      </c>
      <c r="E1240" s="129">
        <v>46216</v>
      </c>
      <c r="F1240" s="281" t="s">
        <v>1144</v>
      </c>
      <c r="G1240" s="128" t="s">
        <v>1145</v>
      </c>
      <c r="H1240" s="128" t="s">
        <v>100</v>
      </c>
      <c r="I1240" s="136"/>
      <c r="J1240" s="138" t="s">
        <v>1146</v>
      </c>
      <c r="K1240" s="136"/>
      <c r="L1240" s="146">
        <v>46212</v>
      </c>
      <c r="M1240" s="136"/>
      <c r="N1240" s="281" t="s">
        <v>2746</v>
      </c>
      <c r="O1240" s="146">
        <v>46216</v>
      </c>
      <c r="P1240" s="138">
        <v>0</v>
      </c>
      <c r="Q1240" s="138">
        <v>130</v>
      </c>
      <c r="R1240" s="138">
        <v>50</v>
      </c>
      <c r="S1240" s="138">
        <v>180</v>
      </c>
      <c r="T1240" s="138">
        <v>180</v>
      </c>
      <c r="U1240" s="136"/>
      <c r="V1240" s="136"/>
      <c r="W1240" s="147">
        <v>89.6</v>
      </c>
      <c r="X1240" s="147">
        <v>89.6</v>
      </c>
      <c r="Y1240" s="147">
        <v>719040</v>
      </c>
      <c r="Z1240" s="372">
        <v>40.450000000000003</v>
      </c>
      <c r="AA1240" s="147">
        <v>17976</v>
      </c>
      <c r="AB1240" s="147">
        <v>17976</v>
      </c>
      <c r="AC1240" s="147">
        <v>754992</v>
      </c>
      <c r="AD1240" s="315">
        <f t="shared" si="825"/>
        <v>754237.00800000003</v>
      </c>
      <c r="AE1240" s="147">
        <v>40.450000000000003</v>
      </c>
      <c r="AF1240" s="147">
        <v>42</v>
      </c>
      <c r="AG1240" s="147">
        <v>40.450000000000003</v>
      </c>
      <c r="AH1240" s="287">
        <v>2.3E-3</v>
      </c>
      <c r="AI1240" s="287">
        <v>2.8000000000000001E-2</v>
      </c>
      <c r="AJ1240" s="287">
        <v>4.3999999999999997E-2</v>
      </c>
      <c r="AK1240" s="318">
        <f t="shared" si="860"/>
        <v>26535.999999999949</v>
      </c>
      <c r="AL1240" s="193">
        <v>0</v>
      </c>
      <c r="AM1240" s="319">
        <v>0</v>
      </c>
      <c r="AN1240" s="319"/>
      <c r="AO1240" s="320">
        <f t="shared" si="861"/>
        <v>0</v>
      </c>
      <c r="AP1240" s="193">
        <v>0</v>
      </c>
      <c r="AQ1240" s="318">
        <v>0</v>
      </c>
      <c r="AR1240" s="318">
        <f t="shared" si="862"/>
        <v>26535.999999999949</v>
      </c>
      <c r="AS1240" s="318">
        <f t="shared" si="863"/>
        <v>27863</v>
      </c>
      <c r="AT1240" s="321">
        <v>0</v>
      </c>
      <c r="AU1240" s="157"/>
      <c r="AV1240" s="136"/>
      <c r="AW1240" s="318">
        <f t="shared" si="864"/>
        <v>8960</v>
      </c>
      <c r="AX1240" s="193"/>
      <c r="AY1240" s="318">
        <f t="shared" si="865"/>
        <v>8960</v>
      </c>
      <c r="AZ1240" s="318">
        <f t="shared" si="866"/>
        <v>8960</v>
      </c>
      <c r="BA1240" s="318">
        <f t="shared" si="867"/>
        <v>0</v>
      </c>
      <c r="BB1240" s="318">
        <f t="shared" si="868"/>
        <v>17.920000000000002</v>
      </c>
      <c r="BC1240" s="318">
        <v>0</v>
      </c>
      <c r="BD1240" s="136"/>
      <c r="BE1240" s="138">
        <v>89.6</v>
      </c>
      <c r="BF1240" s="321">
        <f t="shared" si="869"/>
        <v>0.13439999999999999</v>
      </c>
      <c r="BG1240" s="197">
        <f t="shared" si="870"/>
        <v>89.465599999999995</v>
      </c>
      <c r="BH1240" s="321">
        <f t="shared" si="871"/>
        <v>89.6</v>
      </c>
      <c r="BI1240" s="322">
        <f t="shared" si="872"/>
        <v>0</v>
      </c>
      <c r="BJ1240" s="322">
        <v>0</v>
      </c>
      <c r="BK1240" s="318">
        <f t="shared" si="873"/>
        <v>0</v>
      </c>
      <c r="BL1240" s="67"/>
      <c r="BM1240" s="68" t="str">
        <f t="shared" si="874"/>
        <v>Unloading no. 1205 Bill No 2026-27/374 ,Deduction For Oil Deduction= 26535.9999999999 ,Bardana= 0 ,F.M= 0 Brokerage/Rate Difference  ,Shortage = 0 ,Greenish= 0 ,Moisture= 0</v>
      </c>
      <c r="BN1240" s="69"/>
      <c r="BO1240" s="70" t="str">
        <f t="shared" si="875"/>
        <v xml:space="preserve"> Party Condition 42  ,F.M% 0.23 ,Greenish 2.8 ,Moisture 4.4 ,Shortage in KG= 0  ,Oil% 40.45</v>
      </c>
      <c r="BP1240" s="71">
        <f t="shared" si="876"/>
        <v>7728.8392857142862</v>
      </c>
      <c r="BQ1240" s="55"/>
      <c r="BR1240" s="55"/>
      <c r="BS1240" s="41"/>
      <c r="BT1240" s="41"/>
      <c r="BU1240" s="41"/>
      <c r="BV1240" s="41"/>
      <c r="BW1240" s="85"/>
      <c r="BX1240" s="27">
        <v>40.57</v>
      </c>
      <c r="BY1240" s="30">
        <v>40.270000000000003</v>
      </c>
    </row>
    <row r="1241" spans="1:89" ht="14.1" hidden="1" customHeight="1" x14ac:dyDescent="0.3">
      <c r="A1241" s="138" t="s">
        <v>2450</v>
      </c>
      <c r="B1241" s="146">
        <v>46210</v>
      </c>
      <c r="C1241" s="138">
        <v>1206</v>
      </c>
      <c r="D1241" s="138" t="s">
        <v>2673</v>
      </c>
      <c r="E1241" s="129">
        <v>46216</v>
      </c>
      <c r="F1241" s="281" t="s">
        <v>2497</v>
      </c>
      <c r="G1241" s="128" t="s">
        <v>2498</v>
      </c>
      <c r="H1241" s="128" t="s">
        <v>100</v>
      </c>
      <c r="I1241" s="136"/>
      <c r="J1241" s="138" t="s">
        <v>1146</v>
      </c>
      <c r="K1241" s="136"/>
      <c r="L1241" s="146">
        <v>46210</v>
      </c>
      <c r="M1241" s="136"/>
      <c r="N1241" s="281" t="s">
        <v>2747</v>
      </c>
      <c r="O1241" s="146">
        <v>46216</v>
      </c>
      <c r="P1241" s="138">
        <v>0</v>
      </c>
      <c r="Q1241" s="138">
        <v>140</v>
      </c>
      <c r="R1241" s="138">
        <v>22</v>
      </c>
      <c r="S1241" s="138">
        <v>162</v>
      </c>
      <c r="T1241" s="138">
        <v>162</v>
      </c>
      <c r="U1241" s="136"/>
      <c r="V1241" s="136"/>
      <c r="W1241" s="147">
        <v>97.3</v>
      </c>
      <c r="X1241" s="147">
        <v>97.2</v>
      </c>
      <c r="Y1241" s="147">
        <v>773535</v>
      </c>
      <c r="Z1241" s="372">
        <v>40.200000000000003</v>
      </c>
      <c r="AA1241" s="147">
        <v>19338.38</v>
      </c>
      <c r="AB1241" s="147">
        <v>19338.38</v>
      </c>
      <c r="AC1241" s="147">
        <v>812211.75</v>
      </c>
      <c r="AD1241" s="315">
        <f t="shared" si="825"/>
        <v>811399.53824999998</v>
      </c>
      <c r="AE1241" s="147">
        <v>40.200000000000003</v>
      </c>
      <c r="AF1241" s="147">
        <v>42</v>
      </c>
      <c r="AG1241" s="147">
        <v>40.200000000000003</v>
      </c>
      <c r="AH1241" s="287">
        <v>2E-3</v>
      </c>
      <c r="AI1241" s="287">
        <v>2.1000000000000001E-2</v>
      </c>
      <c r="AJ1241" s="287">
        <v>4.4999999999999998E-2</v>
      </c>
      <c r="AK1241" s="318">
        <f t="shared" si="860"/>
        <v>33151.499999999949</v>
      </c>
      <c r="AL1241" s="193">
        <v>0</v>
      </c>
      <c r="AM1241" s="319">
        <v>0</v>
      </c>
      <c r="AN1241" s="319"/>
      <c r="AO1241" s="320">
        <f t="shared" si="861"/>
        <v>0</v>
      </c>
      <c r="AP1241" s="193">
        <v>0</v>
      </c>
      <c r="AQ1241" s="318">
        <v>0</v>
      </c>
      <c r="AR1241" s="318">
        <f t="shared" si="862"/>
        <v>33151.499999999949</v>
      </c>
      <c r="AS1241" s="318">
        <f t="shared" si="863"/>
        <v>34809</v>
      </c>
      <c r="AT1241" s="321">
        <v>0</v>
      </c>
      <c r="AU1241" s="157"/>
      <c r="AV1241" s="136"/>
      <c r="AW1241" s="318">
        <f t="shared" si="864"/>
        <v>9730</v>
      </c>
      <c r="AX1241" s="193"/>
      <c r="AY1241" s="318">
        <f t="shared" si="865"/>
        <v>9730</v>
      </c>
      <c r="AZ1241" s="318">
        <f t="shared" si="866"/>
        <v>9720</v>
      </c>
      <c r="BA1241" s="318">
        <f t="shared" si="867"/>
        <v>10</v>
      </c>
      <c r="BB1241" s="318">
        <f t="shared" si="868"/>
        <v>19.46</v>
      </c>
      <c r="BC1241" s="318">
        <v>0</v>
      </c>
      <c r="BD1241" s="136"/>
      <c r="BE1241" s="138">
        <v>97.3</v>
      </c>
      <c r="BF1241" s="321">
        <f t="shared" si="869"/>
        <v>0.14595</v>
      </c>
      <c r="BG1241" s="197">
        <f t="shared" si="870"/>
        <v>97.154049999999998</v>
      </c>
      <c r="BH1241" s="321">
        <f t="shared" si="871"/>
        <v>97.2</v>
      </c>
      <c r="BI1241" s="322">
        <f t="shared" si="872"/>
        <v>9.9999999999994316</v>
      </c>
      <c r="BJ1241" s="322">
        <v>0</v>
      </c>
      <c r="BK1241" s="318">
        <f t="shared" si="873"/>
        <v>9.9999999999994316</v>
      </c>
      <c r="BL1241" s="67"/>
      <c r="BM1241" s="68" t="str">
        <f t="shared" si="874"/>
        <v>Unloading no. 1206 Bill No HA/26-27/0387 ,Deduction For Oil Deduction= 33151.4999999999 ,Bardana= 0 ,F.M= 0 Brokerage/Rate Difference  ,Shortage = 0 ,Greenish= 0 ,Moisture= 0</v>
      </c>
      <c r="BN1241" s="69"/>
      <c r="BO1241" s="70" t="str">
        <f t="shared" si="875"/>
        <v xml:space="preserve"> Party Condition 42  ,F.M% 0.2 ,Greenish 2.1 ,Moisture 4.5 ,Shortage in KG= 0  ,Oil% 40.2</v>
      </c>
      <c r="BP1241" s="71">
        <f t="shared" si="876"/>
        <v>7617.1141975308637</v>
      </c>
      <c r="BQ1241" s="55"/>
      <c r="BR1241" s="55"/>
      <c r="BS1241" s="41"/>
      <c r="BT1241" s="41"/>
      <c r="BU1241" s="41"/>
      <c r="BV1241" s="41"/>
      <c r="BW1241" s="85"/>
      <c r="BX1241" s="27">
        <v>40.15</v>
      </c>
      <c r="BY1241" s="30">
        <v>39.85</v>
      </c>
    </row>
    <row r="1242" spans="1:89" ht="14.1" hidden="1" customHeight="1" x14ac:dyDescent="0.3">
      <c r="A1242" s="281" t="s">
        <v>2450</v>
      </c>
      <c r="B1242" s="146">
        <v>46210</v>
      </c>
      <c r="C1242" s="138">
        <v>1207</v>
      </c>
      <c r="D1242" s="138" t="s">
        <v>2674</v>
      </c>
      <c r="E1242" s="129">
        <v>46216</v>
      </c>
      <c r="F1242" s="281" t="s">
        <v>2497</v>
      </c>
      <c r="G1242" s="128" t="s">
        <v>2498</v>
      </c>
      <c r="H1242" s="128" t="s">
        <v>100</v>
      </c>
      <c r="I1242" s="136"/>
      <c r="J1242" s="138" t="s">
        <v>1146</v>
      </c>
      <c r="K1242" s="136"/>
      <c r="L1242" s="146">
        <v>46210</v>
      </c>
      <c r="M1242" s="136"/>
      <c r="N1242" s="281" t="s">
        <v>2748</v>
      </c>
      <c r="O1242" s="146">
        <v>46216</v>
      </c>
      <c r="P1242" s="138">
        <v>0</v>
      </c>
      <c r="Q1242" s="138">
        <v>132</v>
      </c>
      <c r="R1242" s="138">
        <v>25</v>
      </c>
      <c r="S1242" s="138">
        <v>157</v>
      </c>
      <c r="T1242" s="138">
        <v>157</v>
      </c>
      <c r="U1242" s="136"/>
      <c r="V1242" s="136"/>
      <c r="W1242" s="147">
        <v>96.4</v>
      </c>
      <c r="X1242" s="147">
        <v>96.2</v>
      </c>
      <c r="Y1242" s="147">
        <v>766380</v>
      </c>
      <c r="Z1242" s="372">
        <v>40.299999999999997</v>
      </c>
      <c r="AA1242" s="147">
        <v>19159.5</v>
      </c>
      <c r="AB1242" s="147">
        <v>19159.5</v>
      </c>
      <c r="AC1242" s="147">
        <v>804699</v>
      </c>
      <c r="AD1242" s="315">
        <f t="shared" si="825"/>
        <v>803894.30099999998</v>
      </c>
      <c r="AE1242" s="147">
        <v>40.299999999999997</v>
      </c>
      <c r="AF1242" s="147">
        <v>42</v>
      </c>
      <c r="AG1242" s="147">
        <v>40.299999999999997</v>
      </c>
      <c r="AH1242" s="287">
        <v>2.8E-3</v>
      </c>
      <c r="AI1242" s="287">
        <v>3.4500000000000003E-2</v>
      </c>
      <c r="AJ1242" s="287">
        <v>4.4999999999999998E-2</v>
      </c>
      <c r="AK1242" s="318">
        <f t="shared" si="860"/>
        <v>31020.142857142906</v>
      </c>
      <c r="AL1242" s="193">
        <v>0</v>
      </c>
      <c r="AM1242" s="319">
        <v>0</v>
      </c>
      <c r="AN1242" s="319"/>
      <c r="AO1242" s="320">
        <f t="shared" si="861"/>
        <v>79.5</v>
      </c>
      <c r="AP1242" s="193">
        <v>0</v>
      </c>
      <c r="AQ1242" s="318">
        <v>0</v>
      </c>
      <c r="AR1242" s="318">
        <f t="shared" si="862"/>
        <v>31099.642857142906</v>
      </c>
      <c r="AS1242" s="318">
        <f t="shared" si="863"/>
        <v>32655</v>
      </c>
      <c r="AT1242" s="321">
        <v>1</v>
      </c>
      <c r="AU1242" s="157"/>
      <c r="AV1242" s="136"/>
      <c r="AW1242" s="318">
        <f t="shared" si="864"/>
        <v>9640</v>
      </c>
      <c r="AX1242" s="193"/>
      <c r="AY1242" s="318">
        <f t="shared" si="865"/>
        <v>9640</v>
      </c>
      <c r="AZ1242" s="318">
        <f t="shared" si="866"/>
        <v>9620</v>
      </c>
      <c r="BA1242" s="318">
        <f t="shared" si="867"/>
        <v>20</v>
      </c>
      <c r="BB1242" s="318">
        <f t="shared" si="868"/>
        <v>19.28</v>
      </c>
      <c r="BC1242" s="318">
        <v>0</v>
      </c>
      <c r="BD1242" s="136"/>
      <c r="BE1242" s="138">
        <v>96.4</v>
      </c>
      <c r="BF1242" s="321">
        <f t="shared" si="869"/>
        <v>0.14460000000000001</v>
      </c>
      <c r="BG1242" s="197">
        <f t="shared" si="870"/>
        <v>96.255400000000009</v>
      </c>
      <c r="BH1242" s="321">
        <f t="shared" si="871"/>
        <v>96.2</v>
      </c>
      <c r="BI1242" s="322">
        <f t="shared" si="872"/>
        <v>20.000000000000284</v>
      </c>
      <c r="BJ1242" s="322">
        <v>0</v>
      </c>
      <c r="BK1242" s="318">
        <f t="shared" si="873"/>
        <v>20.000000000000284</v>
      </c>
      <c r="BL1242" s="67"/>
      <c r="BM1242" s="68" t="str">
        <f t="shared" si="874"/>
        <v>Unloading no. 1207 Bill No HA/26-27/0388 ,Deduction For Oil Deduction= 31020.1428571429 ,Bardana= 0 ,F.M= 0 Brokerage/Rate Difference  ,Shortage = 79.5 ,Greenish= 0 ,Moisture= 0</v>
      </c>
      <c r="BN1242" s="69"/>
      <c r="BO1242" s="70" t="str">
        <f t="shared" si="875"/>
        <v xml:space="preserve"> Party Condition 42  ,F.M% 0.28 ,Greenish 3.45 ,Moisture 4.5 ,Shortage in KG= 1  ,Oil% 40.3</v>
      </c>
      <c r="BP1242" s="71">
        <f t="shared" si="876"/>
        <v>7643.2469557469549</v>
      </c>
      <c r="BQ1242" s="55"/>
      <c r="BR1242" s="55"/>
      <c r="BS1242" s="41"/>
      <c r="BT1242" s="41"/>
      <c r="BU1242" s="41"/>
      <c r="BV1242" s="41"/>
      <c r="BW1242" s="85"/>
      <c r="BX1242" s="27">
        <v>40.19</v>
      </c>
      <c r="BY1242" s="30">
        <v>39.99</v>
      </c>
    </row>
    <row r="1243" spans="1:89" ht="14.1" hidden="1" customHeight="1" x14ac:dyDescent="0.3">
      <c r="A1243" s="138" t="s">
        <v>2450</v>
      </c>
      <c r="B1243" s="146">
        <v>46210</v>
      </c>
      <c r="C1243" s="138">
        <v>1208</v>
      </c>
      <c r="D1243" s="138" t="s">
        <v>2675</v>
      </c>
      <c r="E1243" s="129">
        <v>46216</v>
      </c>
      <c r="F1243" s="281" t="s">
        <v>2497</v>
      </c>
      <c r="G1243" s="128" t="s">
        <v>2498</v>
      </c>
      <c r="H1243" s="128" t="s">
        <v>100</v>
      </c>
      <c r="I1243" s="136"/>
      <c r="J1243" s="138" t="s">
        <v>1146</v>
      </c>
      <c r="K1243" s="136"/>
      <c r="L1243" s="146">
        <v>46210</v>
      </c>
      <c r="M1243" s="136"/>
      <c r="N1243" s="281" t="s">
        <v>2749</v>
      </c>
      <c r="O1243" s="146">
        <v>46216</v>
      </c>
      <c r="P1243" s="138">
        <v>0</v>
      </c>
      <c r="Q1243" s="138">
        <v>150</v>
      </c>
      <c r="R1243" s="138">
        <v>16</v>
      </c>
      <c r="S1243" s="138">
        <v>166</v>
      </c>
      <c r="T1243" s="138">
        <v>166</v>
      </c>
      <c r="U1243" s="136"/>
      <c r="V1243" s="136"/>
      <c r="W1243" s="147">
        <v>99.1</v>
      </c>
      <c r="X1243" s="147">
        <v>99</v>
      </c>
      <c r="Y1243" s="147">
        <v>787845</v>
      </c>
      <c r="Z1243" s="372">
        <v>39.89</v>
      </c>
      <c r="AA1243" s="147">
        <v>19696.13</v>
      </c>
      <c r="AB1243" s="147">
        <v>19696.13</v>
      </c>
      <c r="AC1243" s="147">
        <v>827237.25</v>
      </c>
      <c r="AD1243" s="315">
        <f t="shared" si="825"/>
        <v>826410.01274999999</v>
      </c>
      <c r="AE1243" s="147">
        <v>39.89</v>
      </c>
      <c r="AF1243" s="147">
        <v>42</v>
      </c>
      <c r="AG1243" s="147">
        <v>39.89</v>
      </c>
      <c r="AH1243" s="287">
        <v>1.4E-3</v>
      </c>
      <c r="AI1243" s="287">
        <v>2.2200000000000001E-2</v>
      </c>
      <c r="AJ1243" s="287">
        <v>4.9000000000000002E-2</v>
      </c>
      <c r="AK1243" s="318">
        <f t="shared" si="860"/>
        <v>39579.832142857136</v>
      </c>
      <c r="AL1243" s="193">
        <v>0</v>
      </c>
      <c r="AM1243" s="319">
        <v>0</v>
      </c>
      <c r="AN1243" s="319"/>
      <c r="AO1243" s="320">
        <f t="shared" si="861"/>
        <v>0</v>
      </c>
      <c r="AP1243" s="193">
        <v>0</v>
      </c>
      <c r="AQ1243" s="318">
        <v>0</v>
      </c>
      <c r="AR1243" s="318">
        <f t="shared" si="862"/>
        <v>39579.832142857136</v>
      </c>
      <c r="AS1243" s="318">
        <f t="shared" si="863"/>
        <v>41559</v>
      </c>
      <c r="AT1243" s="321">
        <v>0</v>
      </c>
      <c r="AU1243" s="157"/>
      <c r="AV1243" s="136"/>
      <c r="AW1243" s="318">
        <f t="shared" si="864"/>
        <v>9910</v>
      </c>
      <c r="AX1243" s="193"/>
      <c r="AY1243" s="318">
        <f t="shared" si="865"/>
        <v>9910</v>
      </c>
      <c r="AZ1243" s="318">
        <f t="shared" si="866"/>
        <v>9900</v>
      </c>
      <c r="BA1243" s="318">
        <f t="shared" si="867"/>
        <v>10</v>
      </c>
      <c r="BB1243" s="318">
        <f t="shared" si="868"/>
        <v>19.82</v>
      </c>
      <c r="BC1243" s="318">
        <v>0</v>
      </c>
      <c r="BD1243" s="136"/>
      <c r="BE1243" s="138">
        <v>99.1</v>
      </c>
      <c r="BF1243" s="321">
        <f t="shared" si="869"/>
        <v>0.14864999999999998</v>
      </c>
      <c r="BG1243" s="197">
        <f t="shared" si="870"/>
        <v>98.951349999999991</v>
      </c>
      <c r="BH1243" s="321">
        <f t="shared" si="871"/>
        <v>99</v>
      </c>
      <c r="BI1243" s="322">
        <f t="shared" si="872"/>
        <v>9.9999999999994316</v>
      </c>
      <c r="BJ1243" s="322">
        <v>0</v>
      </c>
      <c r="BK1243" s="318">
        <f t="shared" si="873"/>
        <v>9.9999999999994316</v>
      </c>
      <c r="BL1243" s="67"/>
      <c r="BM1243" s="68" t="str">
        <f t="shared" si="874"/>
        <v>Unloading no. 1208 Bill No HA/26-27/0389 ,Deduction For Oil Deduction= 39579.8321428571 ,Bardana= 0 ,F.M= 0 Brokerage/Rate Difference  ,Shortage = 0 ,Greenish= 0 ,Moisture= 0</v>
      </c>
      <c r="BN1243" s="69"/>
      <c r="BO1243" s="70" t="str">
        <f t="shared" si="875"/>
        <v xml:space="preserve"> Party Condition 42  ,F.M% 0.14 ,Greenish 2.22 ,Moisture 4.9 ,Shortage in KG= 0  ,Oil% 39.89</v>
      </c>
      <c r="BP1243" s="71">
        <f t="shared" si="876"/>
        <v>7558.2340187590189</v>
      </c>
      <c r="BQ1243" s="55"/>
      <c r="BR1243" s="55"/>
      <c r="BS1243" s="41"/>
      <c r="BT1243" s="41"/>
      <c r="BU1243" s="41"/>
      <c r="BV1243" s="41"/>
      <c r="BW1243" s="85"/>
      <c r="BX1243" s="27">
        <v>39.78</v>
      </c>
      <c r="BY1243" s="30">
        <v>39.51</v>
      </c>
    </row>
    <row r="1244" spans="1:89" ht="14.1" hidden="1" customHeight="1" x14ac:dyDescent="0.3">
      <c r="A1244" s="138" t="s">
        <v>2585</v>
      </c>
      <c r="B1244" s="146">
        <v>46212</v>
      </c>
      <c r="C1244" s="138">
        <v>1209</v>
      </c>
      <c r="D1244" s="138" t="s">
        <v>2676</v>
      </c>
      <c r="E1244" s="129">
        <v>46216</v>
      </c>
      <c r="F1244" s="281" t="s">
        <v>1144</v>
      </c>
      <c r="G1244" s="128" t="s">
        <v>1145</v>
      </c>
      <c r="H1244" s="128" t="s">
        <v>100</v>
      </c>
      <c r="I1244" s="136"/>
      <c r="J1244" s="138" t="s">
        <v>1146</v>
      </c>
      <c r="K1244" s="136"/>
      <c r="L1244" s="146">
        <v>46212</v>
      </c>
      <c r="M1244" s="136"/>
      <c r="N1244" s="281" t="s">
        <v>2750</v>
      </c>
      <c r="O1244" s="146">
        <v>46216</v>
      </c>
      <c r="P1244" s="138">
        <v>0</v>
      </c>
      <c r="Q1244" s="138">
        <v>130</v>
      </c>
      <c r="R1244" s="138">
        <v>35</v>
      </c>
      <c r="S1244" s="138">
        <v>165</v>
      </c>
      <c r="T1244" s="138">
        <v>165</v>
      </c>
      <c r="U1244" s="136"/>
      <c r="V1244" s="136"/>
      <c r="W1244" s="147">
        <v>87.3</v>
      </c>
      <c r="X1244" s="147">
        <v>87.2</v>
      </c>
      <c r="Y1244" s="147">
        <v>700582.5</v>
      </c>
      <c r="Z1244" s="372">
        <v>40.14</v>
      </c>
      <c r="AA1244" s="147">
        <v>17514.560000000001</v>
      </c>
      <c r="AB1244" s="147">
        <v>17514.560000000001</v>
      </c>
      <c r="AC1244" s="147">
        <v>735611.63</v>
      </c>
      <c r="AD1244" s="315">
        <f t="shared" si="825"/>
        <v>734876.01836999995</v>
      </c>
      <c r="AE1244" s="147">
        <v>40.14</v>
      </c>
      <c r="AF1244" s="147">
        <v>42</v>
      </c>
      <c r="AG1244" s="147">
        <v>40.14</v>
      </c>
      <c r="AH1244" s="287">
        <v>3.0000000000000001E-3</v>
      </c>
      <c r="AI1244" s="287">
        <v>2.4799999999999999E-2</v>
      </c>
      <c r="AJ1244" s="287">
        <v>4.2999999999999997E-2</v>
      </c>
      <c r="AK1244" s="318">
        <f t="shared" si="860"/>
        <v>31025.796428571422</v>
      </c>
      <c r="AL1244" s="193">
        <v>0</v>
      </c>
      <c r="AM1244" s="319">
        <v>0</v>
      </c>
      <c r="AN1244" s="319"/>
      <c r="AO1244" s="320">
        <f t="shared" si="861"/>
        <v>0</v>
      </c>
      <c r="AP1244" s="193">
        <v>0</v>
      </c>
      <c r="AQ1244" s="318">
        <v>0</v>
      </c>
      <c r="AR1244" s="318">
        <f t="shared" si="862"/>
        <v>31025.796428571422</v>
      </c>
      <c r="AS1244" s="318">
        <f t="shared" si="863"/>
        <v>32577</v>
      </c>
      <c r="AT1244" s="321">
        <v>0</v>
      </c>
      <c r="AU1244" s="157"/>
      <c r="AV1244" s="136"/>
      <c r="AW1244" s="318">
        <f t="shared" si="864"/>
        <v>8730</v>
      </c>
      <c r="AX1244" s="193"/>
      <c r="AY1244" s="318">
        <f t="shared" si="865"/>
        <v>8730</v>
      </c>
      <c r="AZ1244" s="318">
        <f t="shared" si="866"/>
        <v>8720</v>
      </c>
      <c r="BA1244" s="318">
        <f t="shared" si="867"/>
        <v>10</v>
      </c>
      <c r="BB1244" s="318">
        <f t="shared" si="868"/>
        <v>17.46</v>
      </c>
      <c r="BC1244" s="318">
        <v>0</v>
      </c>
      <c r="BD1244" s="136"/>
      <c r="BE1244" s="138">
        <v>87.3</v>
      </c>
      <c r="BF1244" s="321">
        <f t="shared" si="869"/>
        <v>0.13094999999999998</v>
      </c>
      <c r="BG1244" s="197">
        <f t="shared" si="870"/>
        <v>87.169049999999999</v>
      </c>
      <c r="BH1244" s="321">
        <f t="shared" si="871"/>
        <v>87.2</v>
      </c>
      <c r="BI1244" s="322">
        <f t="shared" si="872"/>
        <v>9.9999999999994316</v>
      </c>
      <c r="BJ1244" s="322">
        <v>0</v>
      </c>
      <c r="BK1244" s="318">
        <f t="shared" si="873"/>
        <v>9.9999999999994316</v>
      </c>
      <c r="BL1244" s="67"/>
      <c r="BM1244" s="68" t="str">
        <f t="shared" si="874"/>
        <v>Unloading no. 1209 Bill No 2026-27/375 ,Deduction For Oil Deduction= 31025.7964285714 ,Bardana= 0 ,F.M= 0 Brokerage/Rate Difference  ,Shortage = 0 ,Greenish= 0 ,Moisture= 0</v>
      </c>
      <c r="BN1244" s="69"/>
      <c r="BO1244" s="70" t="str">
        <f t="shared" si="875"/>
        <v xml:space="preserve"> Party Condition 42  ,F.M% 0.3 ,Greenish 2.48 ,Moisture 4.3 ,Shortage in KG= 0  ,Oil% 40.14</v>
      </c>
      <c r="BP1244" s="71">
        <f t="shared" si="876"/>
        <v>7678.4025638925286</v>
      </c>
      <c r="BQ1244" s="55"/>
      <c r="BR1244" s="55"/>
      <c r="BS1244" s="41"/>
      <c r="BT1244" s="41"/>
      <c r="BU1244" s="41"/>
      <c r="BV1244" s="41"/>
      <c r="BW1244" s="85"/>
      <c r="BX1244" s="27">
        <v>39.9</v>
      </c>
      <c r="BY1244" s="30">
        <v>39.72</v>
      </c>
    </row>
    <row r="1245" spans="1:89" ht="14.1" hidden="1" customHeight="1" x14ac:dyDescent="0.3">
      <c r="A1245" s="138" t="s">
        <v>2585</v>
      </c>
      <c r="B1245" s="146">
        <v>46212</v>
      </c>
      <c r="C1245" s="138">
        <v>1210</v>
      </c>
      <c r="D1245" s="138" t="s">
        <v>2677</v>
      </c>
      <c r="E1245" s="129">
        <v>46216</v>
      </c>
      <c r="F1245" s="281" t="s">
        <v>1144</v>
      </c>
      <c r="G1245" s="128" t="s">
        <v>1145</v>
      </c>
      <c r="H1245" s="128" t="s">
        <v>100</v>
      </c>
      <c r="I1245" s="136"/>
      <c r="J1245" s="138" t="s">
        <v>1146</v>
      </c>
      <c r="K1245" s="136"/>
      <c r="L1245" s="146">
        <v>46212</v>
      </c>
      <c r="M1245" s="136"/>
      <c r="N1245" s="281" t="s">
        <v>2751</v>
      </c>
      <c r="O1245" s="146">
        <v>46216</v>
      </c>
      <c r="P1245" s="138">
        <v>0</v>
      </c>
      <c r="Q1245" s="138">
        <v>150</v>
      </c>
      <c r="R1245" s="138">
        <v>15</v>
      </c>
      <c r="S1245" s="138">
        <v>165</v>
      </c>
      <c r="T1245" s="138">
        <v>165</v>
      </c>
      <c r="U1245" s="136"/>
      <c r="V1245" s="136"/>
      <c r="W1245" s="147">
        <v>84.2</v>
      </c>
      <c r="X1245" s="147">
        <v>84.1</v>
      </c>
      <c r="Y1245" s="147">
        <v>675705</v>
      </c>
      <c r="Z1245" s="372">
        <v>40.29</v>
      </c>
      <c r="AA1245" s="147">
        <v>16892.63</v>
      </c>
      <c r="AB1245" s="147">
        <v>16892.63</v>
      </c>
      <c r="AC1245" s="147">
        <v>709490.25</v>
      </c>
      <c r="AD1245" s="315">
        <f t="shared" si="825"/>
        <v>708780.75974999997</v>
      </c>
      <c r="AE1245" s="147">
        <v>40.29</v>
      </c>
      <c r="AF1245" s="147">
        <v>42</v>
      </c>
      <c r="AG1245" s="147">
        <v>40.29</v>
      </c>
      <c r="AH1245" s="287">
        <v>2E-3</v>
      </c>
      <c r="AI1245" s="287">
        <v>4.6199999999999998E-2</v>
      </c>
      <c r="AJ1245" s="287">
        <v>4.2999999999999997E-2</v>
      </c>
      <c r="AK1245" s="318">
        <f t="shared" si="860"/>
        <v>27510.846428571444</v>
      </c>
      <c r="AL1245" s="193">
        <v>0</v>
      </c>
      <c r="AM1245" s="319">
        <v>0</v>
      </c>
      <c r="AN1245" s="319"/>
      <c r="AO1245" s="320">
        <f t="shared" si="861"/>
        <v>0</v>
      </c>
      <c r="AP1245" s="193">
        <v>0</v>
      </c>
      <c r="AQ1245" s="318">
        <v>0</v>
      </c>
      <c r="AR1245" s="318">
        <f t="shared" si="862"/>
        <v>27510.846428571444</v>
      </c>
      <c r="AS1245" s="318">
        <f t="shared" si="863"/>
        <v>28886</v>
      </c>
      <c r="AT1245" s="321">
        <v>0</v>
      </c>
      <c r="AU1245" s="157"/>
      <c r="AV1245" s="136"/>
      <c r="AW1245" s="318">
        <f t="shared" si="864"/>
        <v>8420</v>
      </c>
      <c r="AX1245" s="193"/>
      <c r="AY1245" s="318">
        <f t="shared" si="865"/>
        <v>8420</v>
      </c>
      <c r="AZ1245" s="318">
        <f t="shared" si="866"/>
        <v>8410</v>
      </c>
      <c r="BA1245" s="318">
        <f t="shared" si="867"/>
        <v>10</v>
      </c>
      <c r="BB1245" s="318">
        <f t="shared" si="868"/>
        <v>16.84</v>
      </c>
      <c r="BC1245" s="318">
        <v>0</v>
      </c>
      <c r="BD1245" s="136"/>
      <c r="BE1245" s="138">
        <v>84.2</v>
      </c>
      <c r="BF1245" s="321">
        <f t="shared" si="869"/>
        <v>0.1263</v>
      </c>
      <c r="BG1245" s="197">
        <f t="shared" si="870"/>
        <v>84.073700000000002</v>
      </c>
      <c r="BH1245" s="321">
        <f t="shared" si="871"/>
        <v>84.1</v>
      </c>
      <c r="BI1245" s="322">
        <f t="shared" si="872"/>
        <v>10.000000000000853</v>
      </c>
      <c r="BJ1245" s="322">
        <v>0</v>
      </c>
      <c r="BK1245" s="318">
        <f t="shared" si="873"/>
        <v>10.000000000000853</v>
      </c>
      <c r="BL1245" s="67"/>
      <c r="BM1245" s="68" t="str">
        <f t="shared" si="874"/>
        <v>Unloading no. 1210 Bill No 2026-27/377 ,Deduction For Oil Deduction= 27510.8464285714 ,Bardana= 0 ,F.M= 0 Brokerage/Rate Difference  ,Shortage = 0 ,Greenish= 0 ,Moisture= 0</v>
      </c>
      <c r="BN1245" s="69"/>
      <c r="BO1245" s="70" t="str">
        <f t="shared" si="875"/>
        <v xml:space="preserve"> Party Condition 42  ,F.M% 0.2 ,Greenish 4.62 ,Moisture 4.3 ,Shortage in KG= 0  ,Oil% 40.29</v>
      </c>
      <c r="BP1245" s="71">
        <f t="shared" si="876"/>
        <v>7707.4215644640726</v>
      </c>
      <c r="BQ1245" s="55"/>
      <c r="BR1245" s="55"/>
      <c r="BS1245" s="41"/>
      <c r="BT1245" s="41"/>
      <c r="BU1245" s="41"/>
      <c r="BV1245" s="41"/>
      <c r="BW1245" s="85"/>
      <c r="BX1245" s="27">
        <v>40.07</v>
      </c>
      <c r="BY1245" s="30">
        <v>39.76</v>
      </c>
    </row>
    <row r="1246" spans="1:89" ht="14.1" hidden="1" customHeight="1" x14ac:dyDescent="0.3">
      <c r="A1246" s="187" t="s">
        <v>2575</v>
      </c>
      <c r="B1246" s="171">
        <v>46212</v>
      </c>
      <c r="C1246" s="187">
        <v>1211</v>
      </c>
      <c r="D1246" s="187" t="s">
        <v>2678</v>
      </c>
      <c r="E1246" s="162">
        <v>46216</v>
      </c>
      <c r="F1246" s="282" t="s">
        <v>2079</v>
      </c>
      <c r="G1246" s="163" t="s">
        <v>2080</v>
      </c>
      <c r="H1246" s="163" t="s">
        <v>2744</v>
      </c>
      <c r="I1246" s="157"/>
      <c r="J1246" s="187" t="s">
        <v>2499</v>
      </c>
      <c r="K1246" s="157"/>
      <c r="L1246" s="171">
        <v>46212</v>
      </c>
      <c r="M1246" s="157"/>
      <c r="N1246" s="282" t="s">
        <v>2752</v>
      </c>
      <c r="O1246" s="146">
        <v>46215</v>
      </c>
      <c r="P1246" s="138">
        <v>0</v>
      </c>
      <c r="Q1246" s="138">
        <v>200</v>
      </c>
      <c r="R1246" s="138">
        <v>215</v>
      </c>
      <c r="S1246" s="138">
        <v>415</v>
      </c>
      <c r="T1246" s="138">
        <v>415</v>
      </c>
      <c r="U1246" s="136"/>
      <c r="V1246" s="136"/>
      <c r="W1246" s="147">
        <v>251.6</v>
      </c>
      <c r="X1246" s="147">
        <v>250.8</v>
      </c>
      <c r="Y1246" s="147">
        <v>2020348</v>
      </c>
      <c r="Z1246" s="169"/>
      <c r="AA1246" s="147">
        <v>50508.7</v>
      </c>
      <c r="AB1246" s="147">
        <v>50508.7</v>
      </c>
      <c r="AC1246" s="147">
        <v>2121365.4</v>
      </c>
      <c r="AD1246" s="315">
        <f t="shared" si="825"/>
        <v>2119244.0345999999</v>
      </c>
      <c r="AE1246" s="147">
        <v>39.79</v>
      </c>
      <c r="AF1246" s="147">
        <v>42</v>
      </c>
      <c r="AG1246" s="173">
        <v>39.619999999999997</v>
      </c>
      <c r="AH1246" s="418">
        <v>3.8E-3</v>
      </c>
      <c r="AI1246" s="287">
        <v>3.04E-2</v>
      </c>
      <c r="AJ1246" s="287">
        <v>5.5300000000000002E-2</v>
      </c>
      <c r="AK1246" s="318">
        <f t="shared" si="860"/>
        <v>114486.38666666679</v>
      </c>
      <c r="AL1246" s="193">
        <f>200*10+215*15</f>
        <v>5225</v>
      </c>
      <c r="AM1246" s="319">
        <f>Y1246*AH1246</f>
        <v>7677.3224</v>
      </c>
      <c r="AN1246" s="319"/>
      <c r="AO1246" s="320">
        <f t="shared" si="861"/>
        <v>6424</v>
      </c>
      <c r="AP1246" s="193">
        <v>0</v>
      </c>
      <c r="AQ1246" s="318">
        <f>Y1246*0.53/100</f>
        <v>10707.8444</v>
      </c>
      <c r="AR1246" s="318">
        <f t="shared" si="862"/>
        <v>144520.55346666678</v>
      </c>
      <c r="AS1246" s="318">
        <f t="shared" si="863"/>
        <v>151747</v>
      </c>
      <c r="AT1246" s="321">
        <v>80</v>
      </c>
      <c r="AU1246" s="157"/>
      <c r="AV1246" s="136"/>
      <c r="AW1246" s="318">
        <f t="shared" si="864"/>
        <v>25160</v>
      </c>
      <c r="AX1246" s="193"/>
      <c r="AY1246" s="318">
        <f t="shared" si="865"/>
        <v>25160</v>
      </c>
      <c r="AZ1246" s="318">
        <f t="shared" si="866"/>
        <v>25080</v>
      </c>
      <c r="BA1246" s="318">
        <f t="shared" si="867"/>
        <v>80</v>
      </c>
      <c r="BB1246" s="318">
        <f t="shared" si="868"/>
        <v>50.32</v>
      </c>
      <c r="BC1246" s="318">
        <v>0</v>
      </c>
      <c r="BD1246" s="136"/>
      <c r="BE1246" s="138">
        <v>251.6</v>
      </c>
      <c r="BF1246" s="321">
        <f t="shared" si="869"/>
        <v>0.37739999999999996</v>
      </c>
      <c r="BG1246" s="197">
        <f t="shared" si="870"/>
        <v>251.2226</v>
      </c>
      <c r="BH1246" s="321">
        <f t="shared" si="871"/>
        <v>250.8</v>
      </c>
      <c r="BI1246" s="322">
        <f t="shared" si="872"/>
        <v>79.999999999998295</v>
      </c>
      <c r="BJ1246" s="322">
        <v>0</v>
      </c>
      <c r="BK1246" s="318">
        <f t="shared" si="873"/>
        <v>79.999999999998295</v>
      </c>
      <c r="BL1246" s="67"/>
      <c r="BM1246" s="68" t="str">
        <f t="shared" si="874"/>
        <v>Unloading no. 1211 Bill No FMT27MLRJ001996 ,Deduction For Oil Deduction= 114486.386666667 ,Bardana= 5225 ,F.M= 7677.3224 Brokerage/Rate Difference  ,Shortage = 6424 ,Greenish= 0 ,Moisture= 10707.8444</v>
      </c>
      <c r="BN1246" s="69"/>
      <c r="BO1246" s="70" t="str">
        <f t="shared" si="875"/>
        <v xml:space="preserve"> Party Condition 42  ,F.M% 0.38 ,Greenish 3.04 ,Moisture 5.53 ,Shortage in KG= 80  ,Oil% 39.62</v>
      </c>
      <c r="BP1246" s="71">
        <f t="shared" si="876"/>
        <v>7479.37578362573</v>
      </c>
      <c r="BQ1246" s="55"/>
      <c r="BR1246" s="55"/>
      <c r="BS1246" s="41"/>
      <c r="BT1246" s="41"/>
      <c r="BU1246" s="41"/>
      <c r="BV1246" s="41"/>
      <c r="BW1246" s="85"/>
      <c r="BX1246" s="27">
        <v>39.79</v>
      </c>
      <c r="BY1246" s="30">
        <v>39.619999999999997</v>
      </c>
      <c r="CA1246" s="56">
        <v>151746.59</v>
      </c>
      <c r="CC1246" s="57">
        <f t="shared" ref="CC1246" si="877">AS1246-CA1246</f>
        <v>0.41000000000349246</v>
      </c>
      <c r="CE1246" s="88">
        <f t="shared" ref="CE1246" si="878">CC1246/105%</f>
        <v>0.39047619047951659</v>
      </c>
    </row>
    <row r="1247" spans="1:89" ht="14.1" hidden="1" customHeight="1" x14ac:dyDescent="0.3">
      <c r="A1247" s="138" t="s">
        <v>2585</v>
      </c>
      <c r="B1247" s="146">
        <v>46212</v>
      </c>
      <c r="C1247" s="138">
        <v>1212</v>
      </c>
      <c r="D1247" s="138" t="s">
        <v>2679</v>
      </c>
      <c r="E1247" s="129">
        <v>46216</v>
      </c>
      <c r="F1247" s="281" t="s">
        <v>1144</v>
      </c>
      <c r="G1247" s="128" t="s">
        <v>1145</v>
      </c>
      <c r="H1247" s="128" t="s">
        <v>100</v>
      </c>
      <c r="I1247" s="136"/>
      <c r="J1247" s="138" t="s">
        <v>1146</v>
      </c>
      <c r="K1247" s="136"/>
      <c r="L1247" s="146">
        <v>46212</v>
      </c>
      <c r="M1247" s="136"/>
      <c r="N1247" s="281" t="s">
        <v>2753</v>
      </c>
      <c r="O1247" s="146">
        <v>46216</v>
      </c>
      <c r="P1247" s="138">
        <v>0</v>
      </c>
      <c r="Q1247" s="138">
        <v>130</v>
      </c>
      <c r="R1247" s="138">
        <v>20</v>
      </c>
      <c r="S1247" s="138">
        <v>150</v>
      </c>
      <c r="T1247" s="138">
        <v>150</v>
      </c>
      <c r="U1247" s="136"/>
      <c r="V1247" s="136"/>
      <c r="W1247" s="147">
        <v>83.8</v>
      </c>
      <c r="X1247" s="147">
        <v>83.6</v>
      </c>
      <c r="Y1247" s="147">
        <v>672495</v>
      </c>
      <c r="Z1247" s="372">
        <v>40.380000000000003</v>
      </c>
      <c r="AA1247" s="147">
        <v>16812.38</v>
      </c>
      <c r="AB1247" s="147">
        <v>16812.38</v>
      </c>
      <c r="AC1247" s="147">
        <v>706119.75</v>
      </c>
      <c r="AD1247" s="315">
        <f t="shared" si="825"/>
        <v>705413.63025000005</v>
      </c>
      <c r="AE1247" s="147">
        <v>40.380000000000003</v>
      </c>
      <c r="AF1247" s="147">
        <v>42</v>
      </c>
      <c r="AG1247" s="147">
        <v>40.380000000000003</v>
      </c>
      <c r="AH1247" s="287">
        <v>1.6999999999999999E-3</v>
      </c>
      <c r="AI1247" s="287">
        <v>2.98E-2</v>
      </c>
      <c r="AJ1247" s="287">
        <v>4.1000000000000002E-2</v>
      </c>
      <c r="AK1247" s="318">
        <f t="shared" si="860"/>
        <v>25939.092857142819</v>
      </c>
      <c r="AL1247" s="193">
        <v>0</v>
      </c>
      <c r="AM1247" s="319">
        <v>0</v>
      </c>
      <c r="AN1247" s="319"/>
      <c r="AO1247" s="320">
        <f t="shared" si="861"/>
        <v>240.75</v>
      </c>
      <c r="AP1247" s="193">
        <v>0</v>
      </c>
      <c r="AQ1247" s="318">
        <v>0</v>
      </c>
      <c r="AR1247" s="318">
        <f t="shared" si="862"/>
        <v>26179.842857142819</v>
      </c>
      <c r="AS1247" s="318">
        <f t="shared" si="863"/>
        <v>27489</v>
      </c>
      <c r="AT1247" s="321">
        <v>3</v>
      </c>
      <c r="AU1247" s="157"/>
      <c r="AV1247" s="136"/>
      <c r="AW1247" s="318">
        <f t="shared" si="864"/>
        <v>8380</v>
      </c>
      <c r="AX1247" s="193"/>
      <c r="AY1247" s="318">
        <f t="shared" si="865"/>
        <v>8380</v>
      </c>
      <c r="AZ1247" s="318">
        <f t="shared" si="866"/>
        <v>8360</v>
      </c>
      <c r="BA1247" s="318">
        <f t="shared" si="867"/>
        <v>20</v>
      </c>
      <c r="BB1247" s="318">
        <f t="shared" si="868"/>
        <v>16.760000000000002</v>
      </c>
      <c r="BC1247" s="318">
        <v>0</v>
      </c>
      <c r="BD1247" s="136"/>
      <c r="BE1247" s="138">
        <v>83.8</v>
      </c>
      <c r="BF1247" s="321">
        <f t="shared" si="869"/>
        <v>0.12569999999999998</v>
      </c>
      <c r="BG1247" s="197">
        <f t="shared" si="870"/>
        <v>83.674300000000002</v>
      </c>
      <c r="BH1247" s="321">
        <f t="shared" si="871"/>
        <v>83.6</v>
      </c>
      <c r="BI1247" s="322">
        <f t="shared" si="872"/>
        <v>20.000000000000284</v>
      </c>
      <c r="BJ1247" s="322">
        <v>0</v>
      </c>
      <c r="BK1247" s="318">
        <f t="shared" si="873"/>
        <v>20.000000000000284</v>
      </c>
      <c r="BL1247" s="67"/>
      <c r="BM1247" s="68" t="str">
        <f t="shared" si="874"/>
        <v>Unloading no. 1212 Bill No 2026-27/378 ,Deduction For Oil Deduction= 25939.0928571428 ,Bardana= 0 ,F.M= 0 Brokerage/Rate Difference  ,Shortage = 240.75 ,Greenish= 0 ,Moisture= 0</v>
      </c>
      <c r="BN1247" s="69"/>
      <c r="BO1247" s="70" t="str">
        <f t="shared" si="875"/>
        <v xml:space="preserve"> Party Condition 42  ,F.M% 0.17 ,Greenish 2.98 ,Moisture 4.1 ,Shortage in KG= 3  ,Oil% 40.38</v>
      </c>
      <c r="BP1247" s="71">
        <f t="shared" si="876"/>
        <v>7731.0425495557083</v>
      </c>
      <c r="BQ1247" s="55"/>
      <c r="BR1247" s="55"/>
      <c r="BS1247" s="41"/>
      <c r="BT1247" s="41"/>
      <c r="BU1247" s="41"/>
      <c r="BV1247" s="41"/>
      <c r="BW1247" s="85"/>
      <c r="BX1247" s="27">
        <v>40.06</v>
      </c>
      <c r="BY1247" s="30">
        <v>39.840000000000003</v>
      </c>
    </row>
    <row r="1248" spans="1:89" ht="14.1" hidden="1" customHeight="1" x14ac:dyDescent="0.3">
      <c r="A1248" s="138" t="s">
        <v>2585</v>
      </c>
      <c r="B1248" s="146">
        <v>46212</v>
      </c>
      <c r="C1248" s="138">
        <v>1213</v>
      </c>
      <c r="D1248" s="138" t="s">
        <v>2680</v>
      </c>
      <c r="E1248" s="129">
        <v>46216</v>
      </c>
      <c r="F1248" s="281" t="s">
        <v>1144</v>
      </c>
      <c r="G1248" s="128" t="s">
        <v>1145</v>
      </c>
      <c r="H1248" s="128" t="s">
        <v>100</v>
      </c>
      <c r="I1248" s="136"/>
      <c r="J1248" s="138" t="s">
        <v>1146</v>
      </c>
      <c r="K1248" s="136"/>
      <c r="L1248" s="146">
        <v>46212</v>
      </c>
      <c r="M1248" s="136"/>
      <c r="N1248" s="281" t="s">
        <v>2754</v>
      </c>
      <c r="O1248" s="146">
        <v>46216</v>
      </c>
      <c r="P1248" s="138">
        <v>0</v>
      </c>
      <c r="Q1248" s="138">
        <v>120</v>
      </c>
      <c r="R1248" s="138">
        <v>30</v>
      </c>
      <c r="S1248" s="138">
        <v>150</v>
      </c>
      <c r="T1248" s="138">
        <v>150</v>
      </c>
      <c r="U1248" s="136"/>
      <c r="V1248" s="136"/>
      <c r="W1248" s="147">
        <v>89.5</v>
      </c>
      <c r="X1248" s="147">
        <v>89.4</v>
      </c>
      <c r="Y1248" s="147">
        <v>718237.5</v>
      </c>
      <c r="Z1248" s="372">
        <v>40.380000000000003</v>
      </c>
      <c r="AA1248" s="147">
        <v>17955.939999999999</v>
      </c>
      <c r="AB1248" s="147">
        <v>17955.939999999999</v>
      </c>
      <c r="AC1248" s="147">
        <v>754149.38</v>
      </c>
      <c r="AD1248" s="315">
        <f t="shared" si="825"/>
        <v>753395.23062000005</v>
      </c>
      <c r="AE1248" s="147">
        <v>40.380000000000003</v>
      </c>
      <c r="AF1248" s="147">
        <v>42</v>
      </c>
      <c r="AG1248" s="147">
        <v>40.380000000000003</v>
      </c>
      <c r="AH1248" s="287">
        <v>2.8E-3</v>
      </c>
      <c r="AI1248" s="287">
        <v>4.7699999999999999E-2</v>
      </c>
      <c r="AJ1248" s="287">
        <v>4.2000000000000003E-2</v>
      </c>
      <c r="AK1248" s="318">
        <f t="shared" si="860"/>
        <v>27703.446428571388</v>
      </c>
      <c r="AL1248" s="193">
        <v>0</v>
      </c>
      <c r="AM1248" s="319">
        <v>0</v>
      </c>
      <c r="AN1248" s="319"/>
      <c r="AO1248" s="320">
        <f t="shared" si="861"/>
        <v>0</v>
      </c>
      <c r="AP1248" s="193">
        <v>0</v>
      </c>
      <c r="AQ1248" s="318">
        <v>0</v>
      </c>
      <c r="AR1248" s="318">
        <f t="shared" si="862"/>
        <v>27703.446428571388</v>
      </c>
      <c r="AS1248" s="318">
        <f t="shared" si="863"/>
        <v>29089</v>
      </c>
      <c r="AT1248" s="321">
        <v>0</v>
      </c>
      <c r="AU1248" s="157"/>
      <c r="AV1248" s="136"/>
      <c r="AW1248" s="318">
        <f t="shared" si="864"/>
        <v>8950</v>
      </c>
      <c r="AX1248" s="193"/>
      <c r="AY1248" s="318">
        <f t="shared" si="865"/>
        <v>8950</v>
      </c>
      <c r="AZ1248" s="318">
        <f t="shared" si="866"/>
        <v>8940</v>
      </c>
      <c r="BA1248" s="318">
        <f t="shared" si="867"/>
        <v>10</v>
      </c>
      <c r="BB1248" s="318">
        <f t="shared" si="868"/>
        <v>17.899999999999999</v>
      </c>
      <c r="BC1248" s="318">
        <v>0</v>
      </c>
      <c r="BD1248" s="136"/>
      <c r="BE1248" s="138">
        <v>89.5</v>
      </c>
      <c r="BF1248" s="321">
        <f t="shared" si="869"/>
        <v>0.13424999999999998</v>
      </c>
      <c r="BG1248" s="197">
        <f t="shared" si="870"/>
        <v>89.365750000000006</v>
      </c>
      <c r="BH1248" s="321">
        <f t="shared" si="871"/>
        <v>89.4</v>
      </c>
      <c r="BI1248" s="322">
        <f t="shared" si="872"/>
        <v>9.9999999999994316</v>
      </c>
      <c r="BJ1248" s="322">
        <v>0</v>
      </c>
      <c r="BK1248" s="318">
        <f t="shared" si="873"/>
        <v>9.9999999999994316</v>
      </c>
      <c r="BL1248" s="67"/>
      <c r="BM1248" s="68" t="str">
        <f t="shared" si="874"/>
        <v>Unloading no. 1213 Bill No 2026-27/379 ,Deduction For Oil Deduction= 27703.4464285714 ,Bardana= 0 ,F.M= 0 Brokerage/Rate Difference  ,Shortage = 0 ,Greenish= 0 ,Moisture= 0</v>
      </c>
      <c r="BN1248" s="69"/>
      <c r="BO1248" s="70" t="str">
        <f t="shared" si="875"/>
        <v xml:space="preserve"> Party Condition 42  ,F.M% 0.28 ,Greenish 4.77 ,Moisture 4.2 ,Shortage in KG= 0  ,Oil% 40.38</v>
      </c>
      <c r="BP1248" s="71">
        <f t="shared" si="876"/>
        <v>7724.0945589645253</v>
      </c>
      <c r="BQ1248" s="55"/>
      <c r="BR1248" s="55"/>
      <c r="BS1248" s="41"/>
      <c r="BT1248" s="41"/>
      <c r="BU1248" s="41"/>
      <c r="BV1248" s="41"/>
      <c r="BW1248" s="85"/>
      <c r="BX1248" s="27">
        <v>40.35</v>
      </c>
      <c r="BY1248" s="30">
        <v>40.11</v>
      </c>
    </row>
    <row r="1249" spans="1:77" ht="14.1" hidden="1" customHeight="1" x14ac:dyDescent="0.3">
      <c r="A1249" s="138" t="s">
        <v>2585</v>
      </c>
      <c r="B1249" s="146">
        <v>46212</v>
      </c>
      <c r="C1249" s="138">
        <v>1214</v>
      </c>
      <c r="D1249" s="138" t="s">
        <v>2681</v>
      </c>
      <c r="E1249" s="129">
        <v>46216</v>
      </c>
      <c r="F1249" s="281" t="s">
        <v>1144</v>
      </c>
      <c r="G1249" s="128" t="s">
        <v>1145</v>
      </c>
      <c r="H1249" s="128" t="s">
        <v>100</v>
      </c>
      <c r="I1249" s="136"/>
      <c r="J1249" s="138" t="s">
        <v>1146</v>
      </c>
      <c r="K1249" s="136"/>
      <c r="L1249" s="146">
        <v>46212</v>
      </c>
      <c r="M1249" s="136"/>
      <c r="N1249" s="281" t="s">
        <v>2755</v>
      </c>
      <c r="O1249" s="146">
        <v>46216</v>
      </c>
      <c r="P1249" s="138">
        <v>0</v>
      </c>
      <c r="Q1249" s="138">
        <v>120</v>
      </c>
      <c r="R1249" s="138">
        <v>30</v>
      </c>
      <c r="S1249" s="138">
        <v>150</v>
      </c>
      <c r="T1249" s="138">
        <v>150</v>
      </c>
      <c r="U1249" s="136"/>
      <c r="V1249" s="136"/>
      <c r="W1249" s="147">
        <v>89.4</v>
      </c>
      <c r="X1249" s="147">
        <v>89.2</v>
      </c>
      <c r="Y1249" s="147">
        <v>717435</v>
      </c>
      <c r="Z1249" s="372">
        <v>40.369999999999997</v>
      </c>
      <c r="AA1249" s="147">
        <v>17935.88</v>
      </c>
      <c r="AB1249" s="147">
        <v>17935.88</v>
      </c>
      <c r="AC1249" s="147">
        <v>753306.75</v>
      </c>
      <c r="AD1249" s="315">
        <f t="shared" si="825"/>
        <v>752553.44325000001</v>
      </c>
      <c r="AE1249" s="147">
        <v>40.369999999999997</v>
      </c>
      <c r="AF1249" s="147">
        <v>42</v>
      </c>
      <c r="AG1249" s="147">
        <v>40.369999999999997</v>
      </c>
      <c r="AH1249" s="287">
        <v>1.8E-3</v>
      </c>
      <c r="AI1249" s="287">
        <v>0.05</v>
      </c>
      <c r="AJ1249" s="287">
        <v>4.3999999999999997E-2</v>
      </c>
      <c r="AK1249" s="318">
        <f t="shared" si="860"/>
        <v>27843.310714285759</v>
      </c>
      <c r="AL1249" s="193">
        <v>0</v>
      </c>
      <c r="AM1249" s="319">
        <v>0</v>
      </c>
      <c r="AN1249" s="319"/>
      <c r="AO1249" s="320">
        <f t="shared" si="861"/>
        <v>160.5</v>
      </c>
      <c r="AP1249" s="193">
        <v>0</v>
      </c>
      <c r="AQ1249" s="318">
        <v>0</v>
      </c>
      <c r="AR1249" s="318">
        <f t="shared" si="862"/>
        <v>28003.810714285759</v>
      </c>
      <c r="AS1249" s="318">
        <f t="shared" si="863"/>
        <v>29404</v>
      </c>
      <c r="AT1249" s="321">
        <v>2</v>
      </c>
      <c r="AU1249" s="157"/>
      <c r="AV1249" s="136"/>
      <c r="AW1249" s="318">
        <f t="shared" si="864"/>
        <v>8940</v>
      </c>
      <c r="AX1249" s="193"/>
      <c r="AY1249" s="318">
        <f t="shared" si="865"/>
        <v>8940</v>
      </c>
      <c r="AZ1249" s="318">
        <f t="shared" si="866"/>
        <v>8920</v>
      </c>
      <c r="BA1249" s="318">
        <f t="shared" si="867"/>
        <v>20</v>
      </c>
      <c r="BB1249" s="318">
        <f t="shared" si="868"/>
        <v>17.88</v>
      </c>
      <c r="BC1249" s="318">
        <v>0</v>
      </c>
      <c r="BD1249" s="136"/>
      <c r="BE1249" s="138">
        <v>89.4</v>
      </c>
      <c r="BF1249" s="321">
        <f t="shared" si="869"/>
        <v>0.1341</v>
      </c>
      <c r="BG1249" s="197">
        <f t="shared" si="870"/>
        <v>89.265900000000002</v>
      </c>
      <c r="BH1249" s="321">
        <f t="shared" si="871"/>
        <v>89.2</v>
      </c>
      <c r="BI1249" s="322">
        <f t="shared" si="872"/>
        <v>20.000000000000284</v>
      </c>
      <c r="BJ1249" s="322">
        <v>0</v>
      </c>
      <c r="BK1249" s="318">
        <f t="shared" si="873"/>
        <v>20.000000000000284</v>
      </c>
      <c r="BL1249" s="67"/>
      <c r="BM1249" s="68" t="str">
        <f t="shared" si="874"/>
        <v>Unloading no. 1214 Bill No 2026-27/380 ,Deduction For Oil Deduction= 27843.3107142858 ,Bardana= 0 ,F.M= 0 Brokerage/Rate Difference  ,Shortage = 160.5 ,Greenish= 0 ,Moisture= 0</v>
      </c>
      <c r="BN1249" s="69"/>
      <c r="BO1249" s="70" t="str">
        <f t="shared" si="875"/>
        <v xml:space="preserve"> Party Condition 42  ,F.M% 0.18 ,Greenish 5 ,Moisture 4.4 ,Shortage in KG= 2  ,Oil% 40.37</v>
      </c>
      <c r="BP1249" s="71">
        <f t="shared" si="876"/>
        <v>7729.0492072389488</v>
      </c>
      <c r="BQ1249" s="55"/>
      <c r="BR1249" s="55"/>
      <c r="BS1249" s="41"/>
      <c r="BT1249" s="41"/>
      <c r="BU1249" s="41"/>
      <c r="BV1249" s="41"/>
      <c r="BW1249" s="85"/>
      <c r="BX1249" s="27">
        <v>40.15</v>
      </c>
      <c r="BY1249" s="30">
        <v>39.979999999999997</v>
      </c>
    </row>
    <row r="1250" spans="1:77" ht="14.1" hidden="1" customHeight="1" x14ac:dyDescent="0.3">
      <c r="A1250" s="281" t="s">
        <v>2450</v>
      </c>
      <c r="B1250" s="146">
        <v>46210</v>
      </c>
      <c r="C1250" s="138">
        <v>1215</v>
      </c>
      <c r="D1250" s="138" t="s">
        <v>2682</v>
      </c>
      <c r="E1250" s="129">
        <v>46216</v>
      </c>
      <c r="F1250" s="281" t="s">
        <v>2497</v>
      </c>
      <c r="G1250" s="128" t="s">
        <v>2498</v>
      </c>
      <c r="H1250" s="128" t="s">
        <v>100</v>
      </c>
      <c r="I1250" s="136"/>
      <c r="J1250" s="138" t="s">
        <v>1146</v>
      </c>
      <c r="K1250" s="136"/>
      <c r="L1250" s="146">
        <v>46210</v>
      </c>
      <c r="M1250" s="136"/>
      <c r="N1250" s="281" t="s">
        <v>2756</v>
      </c>
      <c r="O1250" s="146">
        <v>46216</v>
      </c>
      <c r="P1250" s="138">
        <v>0</v>
      </c>
      <c r="Q1250" s="138">
        <v>150</v>
      </c>
      <c r="R1250" s="138">
        <v>27</v>
      </c>
      <c r="S1250" s="138">
        <v>177</v>
      </c>
      <c r="T1250" s="138">
        <v>177</v>
      </c>
      <c r="U1250" s="136"/>
      <c r="V1250" s="136"/>
      <c r="W1250" s="147">
        <v>88.9</v>
      </c>
      <c r="X1250" s="147">
        <v>88.7</v>
      </c>
      <c r="Y1250" s="147">
        <v>706755</v>
      </c>
      <c r="Z1250" s="372">
        <v>40.78</v>
      </c>
      <c r="AA1250" s="147">
        <v>17668.88</v>
      </c>
      <c r="AB1250" s="147">
        <v>17668.88</v>
      </c>
      <c r="AC1250" s="147">
        <v>742092.75</v>
      </c>
      <c r="AD1250" s="315">
        <f t="shared" si="825"/>
        <v>741350.65725000005</v>
      </c>
      <c r="AE1250" s="147">
        <v>40.78</v>
      </c>
      <c r="AF1250" s="147">
        <v>42</v>
      </c>
      <c r="AG1250" s="147">
        <v>40.78</v>
      </c>
      <c r="AH1250" s="287">
        <v>2.5000000000000001E-3</v>
      </c>
      <c r="AI1250" s="287">
        <v>0.03</v>
      </c>
      <c r="AJ1250" s="287">
        <v>4.2000000000000003E-2</v>
      </c>
      <c r="AK1250" s="318">
        <f t="shared" si="860"/>
        <v>20529.549999999981</v>
      </c>
      <c r="AL1250" s="193">
        <v>0</v>
      </c>
      <c r="AM1250" s="319">
        <v>0</v>
      </c>
      <c r="AN1250" s="319"/>
      <c r="AO1250" s="320">
        <f t="shared" si="861"/>
        <v>159</v>
      </c>
      <c r="AP1250" s="193">
        <v>0</v>
      </c>
      <c r="AQ1250" s="318">
        <v>0</v>
      </c>
      <c r="AR1250" s="318">
        <f t="shared" si="862"/>
        <v>20688.549999999981</v>
      </c>
      <c r="AS1250" s="318">
        <f t="shared" si="863"/>
        <v>21723</v>
      </c>
      <c r="AT1250" s="321">
        <v>2</v>
      </c>
      <c r="AU1250" s="157"/>
      <c r="AV1250" s="136"/>
      <c r="AW1250" s="318">
        <f t="shared" si="864"/>
        <v>8890</v>
      </c>
      <c r="AX1250" s="193"/>
      <c r="AY1250" s="318">
        <f t="shared" si="865"/>
        <v>8890</v>
      </c>
      <c r="AZ1250" s="318">
        <f t="shared" si="866"/>
        <v>8870</v>
      </c>
      <c r="BA1250" s="318">
        <f t="shared" si="867"/>
        <v>20</v>
      </c>
      <c r="BB1250" s="318">
        <f t="shared" si="868"/>
        <v>17.78</v>
      </c>
      <c r="BC1250" s="318">
        <v>0</v>
      </c>
      <c r="BD1250" s="136"/>
      <c r="BE1250" s="138">
        <v>88.9</v>
      </c>
      <c r="BF1250" s="321">
        <f t="shared" si="869"/>
        <v>0.13335</v>
      </c>
      <c r="BG1250" s="197">
        <f t="shared" si="870"/>
        <v>88.766650000000013</v>
      </c>
      <c r="BH1250" s="321">
        <f t="shared" si="871"/>
        <v>88.7</v>
      </c>
      <c r="BI1250" s="322">
        <f t="shared" si="872"/>
        <v>20.000000000000284</v>
      </c>
      <c r="BJ1250" s="322">
        <v>0</v>
      </c>
      <c r="BK1250" s="318">
        <f t="shared" si="873"/>
        <v>20.000000000000284</v>
      </c>
      <c r="BL1250" s="67"/>
      <c r="BM1250" s="68" t="str">
        <f t="shared" si="874"/>
        <v>Unloading no. 1215 Bill No HA/26-27/0390 ,Deduction For Oil Deduction= 20529.55 ,Bardana= 0 ,F.M= 0 Brokerage/Rate Difference  ,Shortage = 159 ,Greenish= 0 ,Moisture= 0</v>
      </c>
      <c r="BN1250" s="69"/>
      <c r="BO1250" s="70" t="str">
        <f t="shared" si="875"/>
        <v xml:space="preserve"> Party Condition 42  ,F.M% 0.25 ,Greenish 3 ,Moisture 4.2 ,Shortage in KG= 2  ,Oil% 40.78</v>
      </c>
      <c r="BP1250" s="71">
        <f t="shared" si="876"/>
        <v>7734.6837655016916</v>
      </c>
      <c r="BQ1250" s="55"/>
      <c r="BR1250" s="55"/>
      <c r="BS1250" s="41"/>
      <c r="BT1250" s="41"/>
      <c r="BU1250" s="41"/>
      <c r="BV1250" s="41"/>
      <c r="BW1250" s="85"/>
      <c r="BX1250" s="27">
        <v>40.82</v>
      </c>
      <c r="BY1250" s="30">
        <v>40.53</v>
      </c>
    </row>
    <row r="1251" spans="1:77" ht="14.1" hidden="1" customHeight="1" x14ac:dyDescent="0.3">
      <c r="A1251" s="138" t="s">
        <v>2450</v>
      </c>
      <c r="B1251" s="146">
        <v>46210</v>
      </c>
      <c r="C1251" s="138">
        <v>1216</v>
      </c>
      <c r="D1251" s="138" t="s">
        <v>2683</v>
      </c>
      <c r="E1251" s="129">
        <v>46216</v>
      </c>
      <c r="F1251" s="281" t="s">
        <v>2497</v>
      </c>
      <c r="G1251" s="128" t="s">
        <v>2498</v>
      </c>
      <c r="H1251" s="128" t="s">
        <v>100</v>
      </c>
      <c r="I1251" s="136"/>
      <c r="J1251" s="138" t="s">
        <v>1146</v>
      </c>
      <c r="K1251" s="136"/>
      <c r="L1251" s="146">
        <v>46210</v>
      </c>
      <c r="M1251" s="136"/>
      <c r="N1251" s="281" t="s">
        <v>2757</v>
      </c>
      <c r="O1251" s="146">
        <v>46216</v>
      </c>
      <c r="P1251" s="138">
        <v>0</v>
      </c>
      <c r="Q1251" s="138">
        <v>160</v>
      </c>
      <c r="R1251" s="138">
        <v>17</v>
      </c>
      <c r="S1251" s="138">
        <v>177</v>
      </c>
      <c r="T1251" s="138">
        <v>177</v>
      </c>
      <c r="U1251" s="136"/>
      <c r="V1251" s="136"/>
      <c r="W1251" s="147">
        <v>88.7</v>
      </c>
      <c r="X1251" s="147">
        <v>88.6</v>
      </c>
      <c r="Y1251" s="147">
        <v>705165</v>
      </c>
      <c r="Z1251" s="372">
        <v>40.79</v>
      </c>
      <c r="AA1251" s="147">
        <v>17629.13</v>
      </c>
      <c r="AB1251" s="147">
        <v>17629.13</v>
      </c>
      <c r="AC1251" s="147">
        <v>740423.25</v>
      </c>
      <c r="AD1251" s="315">
        <f t="shared" si="825"/>
        <v>739682.82675000001</v>
      </c>
      <c r="AE1251" s="147">
        <v>40.79</v>
      </c>
      <c r="AF1251" s="147">
        <v>42</v>
      </c>
      <c r="AG1251" s="147">
        <v>40.79</v>
      </c>
      <c r="AH1251" s="287">
        <v>1.4E-3</v>
      </c>
      <c r="AI1251" s="287">
        <v>3.5000000000000003E-2</v>
      </c>
      <c r="AJ1251" s="287">
        <v>4.9000000000000002E-2</v>
      </c>
      <c r="AK1251" s="318">
        <f t="shared" si="860"/>
        <v>20315.46785714287</v>
      </c>
      <c r="AL1251" s="193">
        <v>0</v>
      </c>
      <c r="AM1251" s="319">
        <v>0</v>
      </c>
      <c r="AN1251" s="319"/>
      <c r="AO1251" s="320">
        <f t="shared" si="861"/>
        <v>0</v>
      </c>
      <c r="AP1251" s="193">
        <v>0</v>
      </c>
      <c r="AQ1251" s="318">
        <v>0</v>
      </c>
      <c r="AR1251" s="318">
        <f t="shared" si="862"/>
        <v>20315.46785714287</v>
      </c>
      <c r="AS1251" s="318">
        <f t="shared" si="863"/>
        <v>21331</v>
      </c>
      <c r="AT1251" s="321">
        <v>0</v>
      </c>
      <c r="AU1251" s="157"/>
      <c r="AV1251" s="136"/>
      <c r="AW1251" s="318">
        <f t="shared" si="864"/>
        <v>8870</v>
      </c>
      <c r="AX1251" s="193"/>
      <c r="AY1251" s="318">
        <f t="shared" si="865"/>
        <v>8870</v>
      </c>
      <c r="AZ1251" s="318">
        <f t="shared" si="866"/>
        <v>8860</v>
      </c>
      <c r="BA1251" s="318">
        <f t="shared" si="867"/>
        <v>10</v>
      </c>
      <c r="BB1251" s="318">
        <f t="shared" si="868"/>
        <v>17.739999999999998</v>
      </c>
      <c r="BC1251" s="318">
        <v>0</v>
      </c>
      <c r="BD1251" s="136"/>
      <c r="BE1251" s="138">
        <v>88.7</v>
      </c>
      <c r="BF1251" s="321">
        <f t="shared" si="869"/>
        <v>0.13305</v>
      </c>
      <c r="BG1251" s="197">
        <f t="shared" si="870"/>
        <v>88.566950000000006</v>
      </c>
      <c r="BH1251" s="321">
        <f t="shared" si="871"/>
        <v>88.6</v>
      </c>
      <c r="BI1251" s="322">
        <f t="shared" si="872"/>
        <v>10.000000000000853</v>
      </c>
      <c r="BJ1251" s="322">
        <v>0</v>
      </c>
      <c r="BK1251" s="318">
        <f t="shared" si="873"/>
        <v>10.000000000000853</v>
      </c>
      <c r="BL1251" s="67"/>
      <c r="BM1251" s="68" t="str">
        <f t="shared" si="874"/>
        <v>Unloading no. 1216 Bill No HA/26-27/0391 ,Deduction For Oil Deduction= 20315.4678571429 ,Bardana= 0 ,F.M= 0 Brokerage/Rate Difference  ,Shortage = 0 ,Greenish= 0 ,Moisture= 0</v>
      </c>
      <c r="BN1251" s="69"/>
      <c r="BO1251" s="70" t="str">
        <f t="shared" si="875"/>
        <v xml:space="preserve"> Party Condition 42  ,F.M% 0.14 ,Greenish 3.5 ,Moisture 4.9 ,Shortage in KG= 0  ,Oil% 40.79</v>
      </c>
      <c r="BP1251" s="71">
        <f t="shared" si="876"/>
        <v>7729.6786923573036</v>
      </c>
      <c r="BQ1251" s="55"/>
      <c r="BR1251" s="55"/>
      <c r="BS1251" s="41"/>
      <c r="BT1251" s="41"/>
      <c r="BU1251" s="41"/>
      <c r="BV1251" s="41"/>
      <c r="BW1251" s="85"/>
      <c r="BX1251" s="27">
        <v>40.6</v>
      </c>
      <c r="BY1251" s="30">
        <v>40.270000000000003</v>
      </c>
    </row>
    <row r="1252" spans="1:77" ht="14.1" hidden="1" customHeight="1" x14ac:dyDescent="0.3">
      <c r="A1252" s="138" t="s">
        <v>2585</v>
      </c>
      <c r="B1252" s="146">
        <v>46212</v>
      </c>
      <c r="C1252" s="138">
        <v>1217</v>
      </c>
      <c r="D1252" s="138" t="s">
        <v>2684</v>
      </c>
      <c r="E1252" s="129">
        <v>46216</v>
      </c>
      <c r="F1252" s="281" t="s">
        <v>1144</v>
      </c>
      <c r="G1252" s="128" t="s">
        <v>1145</v>
      </c>
      <c r="H1252" s="128" t="s">
        <v>100</v>
      </c>
      <c r="I1252" s="136"/>
      <c r="J1252" s="138" t="s">
        <v>1146</v>
      </c>
      <c r="K1252" s="136"/>
      <c r="L1252" s="146">
        <v>46212</v>
      </c>
      <c r="M1252" s="136"/>
      <c r="N1252" s="281" t="s">
        <v>2758</v>
      </c>
      <c r="O1252" s="146">
        <v>46216</v>
      </c>
      <c r="P1252" s="138">
        <v>0</v>
      </c>
      <c r="Q1252" s="138">
        <v>120</v>
      </c>
      <c r="R1252" s="138">
        <v>30</v>
      </c>
      <c r="S1252" s="138">
        <v>150</v>
      </c>
      <c r="T1252" s="138">
        <v>150</v>
      </c>
      <c r="U1252" s="136"/>
      <c r="V1252" s="136"/>
      <c r="W1252" s="147">
        <v>89.2</v>
      </c>
      <c r="X1252" s="147">
        <v>89.1</v>
      </c>
      <c r="Y1252" s="147">
        <v>715830</v>
      </c>
      <c r="Z1252" s="372">
        <v>40.090000000000003</v>
      </c>
      <c r="AA1252" s="147">
        <v>17895.75</v>
      </c>
      <c r="AB1252" s="147">
        <v>17895.75</v>
      </c>
      <c r="AC1252" s="147">
        <v>751621.5</v>
      </c>
      <c r="AD1252" s="315">
        <f t="shared" si="825"/>
        <v>750869.87849999999</v>
      </c>
      <c r="AE1252" s="147">
        <v>40.090000000000003</v>
      </c>
      <c r="AF1252" s="147">
        <v>42</v>
      </c>
      <c r="AG1252" s="147">
        <v>40.090000000000003</v>
      </c>
      <c r="AH1252" s="287">
        <v>2.3999999999999998E-3</v>
      </c>
      <c r="AI1252" s="287">
        <v>2.8000000000000001E-2</v>
      </c>
      <c r="AJ1252" s="287">
        <v>4.4999999999999998E-2</v>
      </c>
      <c r="AK1252" s="318">
        <f t="shared" si="860"/>
        <v>32553.221428571367</v>
      </c>
      <c r="AL1252" s="193">
        <v>0</v>
      </c>
      <c r="AM1252" s="319">
        <v>0</v>
      </c>
      <c r="AN1252" s="319"/>
      <c r="AO1252" s="320">
        <f t="shared" si="861"/>
        <v>0</v>
      </c>
      <c r="AP1252" s="193">
        <v>0</v>
      </c>
      <c r="AQ1252" s="318">
        <v>0</v>
      </c>
      <c r="AR1252" s="318">
        <f t="shared" si="862"/>
        <v>32553.221428571367</v>
      </c>
      <c r="AS1252" s="318">
        <f t="shared" si="863"/>
        <v>34181</v>
      </c>
      <c r="AT1252" s="321">
        <v>0</v>
      </c>
      <c r="AU1252" s="157"/>
      <c r="AV1252" s="136"/>
      <c r="AW1252" s="318">
        <f t="shared" si="864"/>
        <v>8920</v>
      </c>
      <c r="AX1252" s="193"/>
      <c r="AY1252" s="318">
        <f t="shared" si="865"/>
        <v>8920</v>
      </c>
      <c r="AZ1252" s="318">
        <f t="shared" si="866"/>
        <v>8910</v>
      </c>
      <c r="BA1252" s="318">
        <f t="shared" si="867"/>
        <v>10</v>
      </c>
      <c r="BB1252" s="318">
        <f t="shared" si="868"/>
        <v>17.84</v>
      </c>
      <c r="BC1252" s="318">
        <v>0</v>
      </c>
      <c r="BD1252" s="136"/>
      <c r="BE1252" s="138">
        <v>89.2</v>
      </c>
      <c r="BF1252" s="321">
        <f t="shared" si="869"/>
        <v>0.1338</v>
      </c>
      <c r="BG1252" s="197">
        <f t="shared" si="870"/>
        <v>89.066200000000009</v>
      </c>
      <c r="BH1252" s="321">
        <f t="shared" si="871"/>
        <v>89.1</v>
      </c>
      <c r="BI1252" s="322">
        <f t="shared" si="872"/>
        <v>10.000000000000853</v>
      </c>
      <c r="BJ1252" s="322">
        <v>0</v>
      </c>
      <c r="BK1252" s="318">
        <f t="shared" si="873"/>
        <v>10.000000000000853</v>
      </c>
      <c r="BL1252" s="67"/>
      <c r="BM1252" s="68" t="str">
        <f t="shared" si="874"/>
        <v>Unloading no. 1217 Bill No 2026-27/382 ,Deduction For Oil Deduction= 32553.2214285714 ,Bardana= 0 ,F.M= 0 Brokerage/Rate Difference  ,Shortage = 0 ,Greenish= 0 ,Moisture= 0</v>
      </c>
      <c r="BN1252" s="69"/>
      <c r="BO1252" s="70" t="str">
        <f t="shared" si="875"/>
        <v xml:space="preserve"> Party Condition 42  ,F.M% 0.24 ,Greenish 2.8 ,Moisture 4.5 ,Shortage in KG= 0  ,Oil% 40.09</v>
      </c>
      <c r="BP1252" s="71">
        <f t="shared" si="876"/>
        <v>7668.6507134840476</v>
      </c>
      <c r="BQ1252" s="55"/>
      <c r="BR1252" s="55"/>
      <c r="BS1252" s="41"/>
      <c r="BT1252" s="41"/>
      <c r="BU1252" s="41"/>
      <c r="BV1252" s="41"/>
      <c r="BW1252" s="85"/>
      <c r="BX1252" s="27">
        <v>40.19</v>
      </c>
      <c r="BY1252" s="30">
        <v>39.92</v>
      </c>
    </row>
    <row r="1253" spans="1:77" ht="14.1" hidden="1" customHeight="1" x14ac:dyDescent="0.3">
      <c r="A1253" s="138" t="s">
        <v>2585</v>
      </c>
      <c r="B1253" s="146">
        <v>46212</v>
      </c>
      <c r="C1253" s="138">
        <v>1218</v>
      </c>
      <c r="D1253" s="138" t="s">
        <v>2685</v>
      </c>
      <c r="E1253" s="129">
        <v>46216</v>
      </c>
      <c r="F1253" s="281" t="s">
        <v>1144</v>
      </c>
      <c r="G1253" s="128" t="s">
        <v>1145</v>
      </c>
      <c r="H1253" s="128" t="s">
        <v>100</v>
      </c>
      <c r="I1253" s="136"/>
      <c r="J1253" s="138" t="s">
        <v>1146</v>
      </c>
      <c r="K1253" s="136"/>
      <c r="L1253" s="146">
        <v>46212</v>
      </c>
      <c r="M1253" s="136"/>
      <c r="N1253" s="281" t="s">
        <v>2759</v>
      </c>
      <c r="O1253" s="146">
        <v>46216</v>
      </c>
      <c r="P1253" s="138">
        <v>0</v>
      </c>
      <c r="Q1253" s="138">
        <v>125</v>
      </c>
      <c r="R1253" s="138">
        <v>20</v>
      </c>
      <c r="S1253" s="138">
        <v>145</v>
      </c>
      <c r="T1253" s="138">
        <v>145</v>
      </c>
      <c r="U1253" s="136"/>
      <c r="V1253" s="136"/>
      <c r="W1253" s="147">
        <v>88.5</v>
      </c>
      <c r="X1253" s="147">
        <v>88.6</v>
      </c>
      <c r="Y1253" s="147">
        <v>710212.5</v>
      </c>
      <c r="Z1253" s="372">
        <v>40.18</v>
      </c>
      <c r="AA1253" s="147">
        <v>17755.310000000001</v>
      </c>
      <c r="AB1253" s="147">
        <v>17755.310000000001</v>
      </c>
      <c r="AC1253" s="147">
        <v>745723.13</v>
      </c>
      <c r="AD1253" s="315">
        <f t="shared" si="825"/>
        <v>744977.40686999995</v>
      </c>
      <c r="AE1253" s="147">
        <v>40.18</v>
      </c>
      <c r="AF1253" s="147">
        <v>42</v>
      </c>
      <c r="AG1253" s="147">
        <v>40.18</v>
      </c>
      <c r="AH1253" s="287">
        <v>2.5999999999999999E-3</v>
      </c>
      <c r="AI1253" s="287">
        <v>3.2599999999999997E-2</v>
      </c>
      <c r="AJ1253" s="287">
        <v>4.3999999999999997E-2</v>
      </c>
      <c r="AK1253" s="318">
        <f t="shared" si="860"/>
        <v>30775.875000000007</v>
      </c>
      <c r="AL1253" s="193">
        <v>0</v>
      </c>
      <c r="AM1253" s="319">
        <v>0</v>
      </c>
      <c r="AN1253" s="319"/>
      <c r="AO1253" s="320">
        <f t="shared" si="861"/>
        <v>0</v>
      </c>
      <c r="AP1253" s="193">
        <v>0</v>
      </c>
      <c r="AQ1253" s="318">
        <v>0</v>
      </c>
      <c r="AR1253" s="318">
        <f t="shared" si="862"/>
        <v>30775.875000000007</v>
      </c>
      <c r="AS1253" s="318">
        <f t="shared" si="863"/>
        <v>32315</v>
      </c>
      <c r="AT1253" s="321">
        <v>0</v>
      </c>
      <c r="AU1253" s="157"/>
      <c r="AV1253" s="136"/>
      <c r="AW1253" s="318">
        <f t="shared" si="864"/>
        <v>8850</v>
      </c>
      <c r="AX1253" s="193"/>
      <c r="AY1253" s="318">
        <f t="shared" si="865"/>
        <v>8850</v>
      </c>
      <c r="AZ1253" s="318">
        <f t="shared" si="866"/>
        <v>8860</v>
      </c>
      <c r="BA1253" s="318">
        <f t="shared" si="867"/>
        <v>-10</v>
      </c>
      <c r="BB1253" s="318">
        <f t="shared" si="868"/>
        <v>17.7</v>
      </c>
      <c r="BC1253" s="318">
        <v>0</v>
      </c>
      <c r="BD1253" s="136"/>
      <c r="BE1253" s="138">
        <v>88.5</v>
      </c>
      <c r="BF1253" s="321">
        <f t="shared" si="869"/>
        <v>0.13275000000000001</v>
      </c>
      <c r="BG1253" s="197">
        <f t="shared" si="870"/>
        <v>88.367249999999999</v>
      </c>
      <c r="BH1253" s="321">
        <f t="shared" si="871"/>
        <v>88.6</v>
      </c>
      <c r="BI1253" s="322">
        <f t="shared" si="872"/>
        <v>-9.9999999999994316</v>
      </c>
      <c r="BJ1253" s="322">
        <v>0</v>
      </c>
      <c r="BK1253" s="318">
        <f t="shared" si="873"/>
        <v>-9.9999999999994316</v>
      </c>
      <c r="BL1253" s="67"/>
      <c r="BM1253" s="68" t="str">
        <f t="shared" si="874"/>
        <v>Unloading no. 1218 Bill No 2026-27/383 ,Deduction For Oil Deduction= 30775.875 ,Bardana= 0 ,F.M= 0 Brokerage/Rate Difference  ,Shortage = 0 ,Greenish= 0 ,Moisture= 0</v>
      </c>
      <c r="BN1253" s="69"/>
      <c r="BO1253" s="70" t="str">
        <f t="shared" si="875"/>
        <v xml:space="preserve"> Party Condition 42  ,F.M% 0.26 ,Greenish 3.26 ,Moisture 4.4 ,Shortage in KG= 0  ,Oil% 40.18</v>
      </c>
      <c r="BP1253" s="71">
        <f t="shared" si="876"/>
        <v>7668.5849322799104</v>
      </c>
      <c r="BQ1253" s="55"/>
      <c r="BR1253" s="55"/>
      <c r="BS1253" s="41"/>
      <c r="BT1253" s="41"/>
      <c r="BU1253" s="41"/>
      <c r="BV1253" s="41"/>
      <c r="BW1253" s="85"/>
      <c r="BX1253" s="27">
        <v>40.020000000000003</v>
      </c>
      <c r="BY1253" s="27">
        <v>39.72</v>
      </c>
    </row>
    <row r="1254" spans="1:77" ht="14.1" hidden="1" customHeight="1" x14ac:dyDescent="0.3">
      <c r="A1254" s="281" t="s">
        <v>2450</v>
      </c>
      <c r="B1254" s="146">
        <v>46210</v>
      </c>
      <c r="C1254" s="138">
        <v>1219</v>
      </c>
      <c r="D1254" s="138" t="s">
        <v>2686</v>
      </c>
      <c r="E1254" s="129">
        <v>46216</v>
      </c>
      <c r="F1254" s="281" t="s">
        <v>2497</v>
      </c>
      <c r="G1254" s="128" t="s">
        <v>2498</v>
      </c>
      <c r="H1254" s="128" t="s">
        <v>100</v>
      </c>
      <c r="I1254" s="136"/>
      <c r="J1254" s="138" t="s">
        <v>1146</v>
      </c>
      <c r="K1254" s="136"/>
      <c r="L1254" s="146">
        <v>46210</v>
      </c>
      <c r="M1254" s="136"/>
      <c r="N1254" s="281" t="s">
        <v>2760</v>
      </c>
      <c r="O1254" s="146">
        <v>46216</v>
      </c>
      <c r="P1254" s="138">
        <v>0</v>
      </c>
      <c r="Q1254" s="138">
        <v>150</v>
      </c>
      <c r="R1254" s="138">
        <v>27</v>
      </c>
      <c r="S1254" s="138">
        <v>177</v>
      </c>
      <c r="T1254" s="138">
        <v>177</v>
      </c>
      <c r="U1254" s="136"/>
      <c r="V1254" s="136"/>
      <c r="W1254" s="147">
        <v>89</v>
      </c>
      <c r="X1254" s="147">
        <v>88.8</v>
      </c>
      <c r="Y1254" s="147">
        <v>707550</v>
      </c>
      <c r="Z1254" s="372">
        <v>40.17</v>
      </c>
      <c r="AA1254" s="147">
        <v>17688.75</v>
      </c>
      <c r="AB1254" s="147">
        <v>17688.75</v>
      </c>
      <c r="AC1254" s="147">
        <v>742927.5</v>
      </c>
      <c r="AD1254" s="315">
        <f t="shared" si="825"/>
        <v>742184.57250000001</v>
      </c>
      <c r="AE1254" s="147">
        <v>40.17</v>
      </c>
      <c r="AF1254" s="147">
        <v>42</v>
      </c>
      <c r="AG1254" s="147">
        <v>40.17</v>
      </c>
      <c r="AH1254" s="287">
        <v>2.3999999999999998E-3</v>
      </c>
      <c r="AI1254" s="287">
        <v>3.3000000000000002E-2</v>
      </c>
      <c r="AJ1254" s="287">
        <v>4.3999999999999997E-2</v>
      </c>
      <c r="AK1254" s="318">
        <f t="shared" si="860"/>
        <v>30828.964285714257</v>
      </c>
      <c r="AL1254" s="193">
        <v>0</v>
      </c>
      <c r="AM1254" s="319">
        <v>0</v>
      </c>
      <c r="AN1254" s="319"/>
      <c r="AO1254" s="320">
        <f t="shared" si="861"/>
        <v>159</v>
      </c>
      <c r="AP1254" s="193">
        <v>0</v>
      </c>
      <c r="AQ1254" s="318">
        <v>0</v>
      </c>
      <c r="AR1254" s="318">
        <f t="shared" si="862"/>
        <v>30987.964285714257</v>
      </c>
      <c r="AS1254" s="318">
        <f t="shared" si="863"/>
        <v>32537</v>
      </c>
      <c r="AT1254" s="321">
        <v>2</v>
      </c>
      <c r="AU1254" s="157"/>
      <c r="AV1254" s="136"/>
      <c r="AW1254" s="318">
        <f t="shared" si="864"/>
        <v>8900</v>
      </c>
      <c r="AX1254" s="193"/>
      <c r="AY1254" s="318">
        <f t="shared" si="865"/>
        <v>8900</v>
      </c>
      <c r="AZ1254" s="318">
        <f t="shared" si="866"/>
        <v>8880</v>
      </c>
      <c r="BA1254" s="318">
        <f t="shared" si="867"/>
        <v>20</v>
      </c>
      <c r="BB1254" s="318">
        <f t="shared" si="868"/>
        <v>17.8</v>
      </c>
      <c r="BC1254" s="318">
        <v>0</v>
      </c>
      <c r="BD1254" s="136"/>
      <c r="BE1254" s="138">
        <v>89</v>
      </c>
      <c r="BF1254" s="321">
        <f t="shared" si="869"/>
        <v>0.13350000000000001</v>
      </c>
      <c r="BG1254" s="197">
        <f t="shared" si="870"/>
        <v>88.866500000000002</v>
      </c>
      <c r="BH1254" s="321">
        <f t="shared" si="871"/>
        <v>88.8</v>
      </c>
      <c r="BI1254" s="322">
        <f t="shared" si="872"/>
        <v>20.000000000000284</v>
      </c>
      <c r="BJ1254" s="322">
        <v>0</v>
      </c>
      <c r="BK1254" s="318">
        <f t="shared" si="873"/>
        <v>20.000000000000284</v>
      </c>
      <c r="BL1254" s="67"/>
      <c r="BM1254" s="68" t="str">
        <f t="shared" si="874"/>
        <v>Unloading no. 1219 Bill No HA/26-27/0392 ,Deduction For Oil Deduction= 30828.9642857143 ,Bardana= 0 ,F.M= 0 Brokerage/Rate Difference  ,Shortage = 159 ,Greenish= 0 ,Moisture= 0</v>
      </c>
      <c r="BN1254" s="69"/>
      <c r="BO1254" s="70" t="str">
        <f t="shared" si="875"/>
        <v xml:space="preserve"> Party Condition 42  ,F.M% 0.24 ,Greenish 3.3 ,Moisture 4.4 ,Shortage in KG= 2  ,Oil% 40.17</v>
      </c>
      <c r="BP1254" s="71">
        <f t="shared" si="876"/>
        <v>7618.9418436293445</v>
      </c>
      <c r="BQ1254" s="55"/>
      <c r="BR1254" s="55"/>
      <c r="BS1254" s="41"/>
      <c r="BT1254" s="41"/>
      <c r="BU1254" s="41"/>
      <c r="BV1254" s="41"/>
      <c r="BW1254" s="85"/>
      <c r="BX1254" s="27">
        <v>40.33</v>
      </c>
      <c r="BY1254" s="27">
        <v>40.130000000000003</v>
      </c>
    </row>
    <row r="1255" spans="1:77" ht="14.1" hidden="1" customHeight="1" x14ac:dyDescent="0.3">
      <c r="A1255" s="138" t="s">
        <v>2585</v>
      </c>
      <c r="B1255" s="146">
        <v>46212</v>
      </c>
      <c r="C1255" s="138">
        <v>1220</v>
      </c>
      <c r="D1255" s="138" t="s">
        <v>2687</v>
      </c>
      <c r="E1255" s="129">
        <v>46216</v>
      </c>
      <c r="F1255" s="281" t="s">
        <v>1144</v>
      </c>
      <c r="G1255" s="128" t="s">
        <v>1145</v>
      </c>
      <c r="H1255" s="128" t="s">
        <v>100</v>
      </c>
      <c r="I1255" s="136"/>
      <c r="J1255" s="138" t="s">
        <v>1146</v>
      </c>
      <c r="K1255" s="136"/>
      <c r="L1255" s="146">
        <v>46212</v>
      </c>
      <c r="M1255" s="136"/>
      <c r="N1255" s="281" t="s">
        <v>2761</v>
      </c>
      <c r="O1255" s="146">
        <v>46216</v>
      </c>
      <c r="P1255" s="138">
        <v>0</v>
      </c>
      <c r="Q1255" s="138">
        <v>135</v>
      </c>
      <c r="R1255" s="138">
        <v>15</v>
      </c>
      <c r="S1255" s="138">
        <v>150</v>
      </c>
      <c r="T1255" s="138">
        <v>150</v>
      </c>
      <c r="U1255" s="136"/>
      <c r="V1255" s="136"/>
      <c r="W1255" s="147">
        <v>89.8</v>
      </c>
      <c r="X1255" s="147">
        <v>89.7</v>
      </c>
      <c r="Y1255" s="147">
        <v>720645</v>
      </c>
      <c r="Z1255" s="372">
        <v>39.729999999999997</v>
      </c>
      <c r="AA1255" s="147">
        <v>18016.13</v>
      </c>
      <c r="AB1255" s="147">
        <v>18016.13</v>
      </c>
      <c r="AC1255" s="147">
        <v>756677.25</v>
      </c>
      <c r="AD1255" s="315">
        <f t="shared" si="825"/>
        <v>755920.57275000005</v>
      </c>
      <c r="AE1255" s="147">
        <v>39.729999999999997</v>
      </c>
      <c r="AF1255" s="147">
        <v>42</v>
      </c>
      <c r="AG1255" s="147">
        <v>39.729999999999997</v>
      </c>
      <c r="AH1255" s="287">
        <v>1.9E-3</v>
      </c>
      <c r="AI1255" s="287">
        <v>0.03</v>
      </c>
      <c r="AJ1255" s="287">
        <v>4.2000000000000003E-2</v>
      </c>
      <c r="AK1255" s="318">
        <f t="shared" si="860"/>
        <v>38949.146428571483</v>
      </c>
      <c r="AL1255" s="193">
        <v>0</v>
      </c>
      <c r="AM1255" s="319">
        <v>0</v>
      </c>
      <c r="AN1255" s="319"/>
      <c r="AO1255" s="320">
        <f t="shared" si="861"/>
        <v>0</v>
      </c>
      <c r="AP1255" s="193">
        <v>0</v>
      </c>
      <c r="AQ1255" s="318">
        <v>0</v>
      </c>
      <c r="AR1255" s="318">
        <f t="shared" si="862"/>
        <v>38949.146428571483</v>
      </c>
      <c r="AS1255" s="318">
        <f t="shared" si="863"/>
        <v>40897</v>
      </c>
      <c r="AT1255" s="321">
        <v>0</v>
      </c>
      <c r="AU1255" s="157"/>
      <c r="AV1255" s="136"/>
      <c r="AW1255" s="318">
        <f t="shared" si="864"/>
        <v>8980</v>
      </c>
      <c r="AX1255" s="193"/>
      <c r="AY1255" s="318">
        <f t="shared" si="865"/>
        <v>8980</v>
      </c>
      <c r="AZ1255" s="318">
        <f t="shared" si="866"/>
        <v>8970</v>
      </c>
      <c r="BA1255" s="318">
        <f t="shared" si="867"/>
        <v>10</v>
      </c>
      <c r="BB1255" s="318">
        <f t="shared" si="868"/>
        <v>17.96</v>
      </c>
      <c r="BC1255" s="318">
        <v>0</v>
      </c>
      <c r="BD1255" s="136"/>
      <c r="BE1255" s="138">
        <v>89.8</v>
      </c>
      <c r="BF1255" s="321">
        <f t="shared" si="869"/>
        <v>0.13469999999999999</v>
      </c>
      <c r="BG1255" s="197">
        <f t="shared" si="870"/>
        <v>89.665300000000002</v>
      </c>
      <c r="BH1255" s="321">
        <f t="shared" si="871"/>
        <v>89.7</v>
      </c>
      <c r="BI1255" s="322">
        <f t="shared" si="872"/>
        <v>9.9999999999994316</v>
      </c>
      <c r="BJ1255" s="322">
        <v>0</v>
      </c>
      <c r="BK1255" s="318">
        <f t="shared" si="873"/>
        <v>9.9999999999994316</v>
      </c>
      <c r="BL1255" s="67"/>
      <c r="BM1255" s="68" t="str">
        <f t="shared" si="874"/>
        <v>Unloading no. 1220 Bill No 2026-27/384 ,Deduction For Oil Deduction= 38949.1464285715 ,Bardana= 0 ,F.M= 0 Brokerage/Rate Difference  ,Shortage = 0 ,Greenish= 0 ,Moisture= 0</v>
      </c>
      <c r="BN1255" s="69"/>
      <c r="BO1255" s="70" t="str">
        <f t="shared" si="875"/>
        <v xml:space="preserve"> Party Condition 42  ,F.M% 0.19 ,Greenish 3 ,Moisture 4.2 ,Shortage in KG= 0  ,Oil% 39.73</v>
      </c>
      <c r="BP1255" s="71">
        <f t="shared" si="876"/>
        <v>7599.7308090460265</v>
      </c>
      <c r="BQ1255" s="55"/>
      <c r="BR1255" s="55"/>
      <c r="BS1255" s="41"/>
      <c r="BT1255" s="41"/>
      <c r="BU1255" s="41"/>
      <c r="BV1255" s="41"/>
      <c r="BW1255" s="85"/>
      <c r="BX1255" s="27">
        <v>39.49</v>
      </c>
      <c r="BY1255" s="27">
        <v>39.39</v>
      </c>
    </row>
    <row r="1256" spans="1:77" ht="14.1" hidden="1" customHeight="1" x14ac:dyDescent="0.3">
      <c r="A1256" s="138" t="s">
        <v>2450</v>
      </c>
      <c r="B1256" s="146">
        <v>46210</v>
      </c>
      <c r="C1256" s="138">
        <v>1221</v>
      </c>
      <c r="D1256" s="138" t="s">
        <v>2688</v>
      </c>
      <c r="E1256" s="129">
        <v>46216</v>
      </c>
      <c r="F1256" s="281" t="s">
        <v>2497</v>
      </c>
      <c r="G1256" s="128" t="s">
        <v>2498</v>
      </c>
      <c r="H1256" s="128" t="s">
        <v>100</v>
      </c>
      <c r="I1256" s="136"/>
      <c r="J1256" s="138" t="s">
        <v>1146</v>
      </c>
      <c r="K1256" s="136"/>
      <c r="L1256" s="146">
        <v>46210</v>
      </c>
      <c r="M1256" s="136"/>
      <c r="N1256" s="281" t="s">
        <v>2762</v>
      </c>
      <c r="O1256" s="146">
        <v>46216</v>
      </c>
      <c r="P1256" s="138">
        <v>0</v>
      </c>
      <c r="Q1256" s="138">
        <v>160</v>
      </c>
      <c r="R1256" s="138">
        <v>17</v>
      </c>
      <c r="S1256" s="138">
        <v>177</v>
      </c>
      <c r="T1256" s="138">
        <v>177</v>
      </c>
      <c r="U1256" s="136"/>
      <c r="V1256" s="136"/>
      <c r="W1256" s="147">
        <v>89</v>
      </c>
      <c r="X1256" s="147">
        <v>88.9</v>
      </c>
      <c r="Y1256" s="147">
        <v>707550</v>
      </c>
      <c r="Z1256" s="372">
        <v>39.950000000000003</v>
      </c>
      <c r="AA1256" s="147">
        <v>17688.75</v>
      </c>
      <c r="AB1256" s="147">
        <v>17688.75</v>
      </c>
      <c r="AC1256" s="147">
        <v>742927.5</v>
      </c>
      <c r="AD1256" s="315">
        <f t="shared" ref="AD1256:AD1319" si="879">SUM(AC1256-AC1256*0.1%)</f>
        <v>742184.57250000001</v>
      </c>
      <c r="AE1256" s="147">
        <v>39.950000000000003</v>
      </c>
      <c r="AF1256" s="147">
        <v>42</v>
      </c>
      <c r="AG1256" s="147">
        <v>39.950000000000003</v>
      </c>
      <c r="AH1256" s="287">
        <v>1.6999999999999999E-3</v>
      </c>
      <c r="AI1256" s="287">
        <v>2.9499999999999998E-2</v>
      </c>
      <c r="AJ1256" s="287">
        <v>4.9000000000000002E-2</v>
      </c>
      <c r="AK1256" s="318">
        <f t="shared" si="860"/>
        <v>34535.178571428522</v>
      </c>
      <c r="AL1256" s="193">
        <v>0</v>
      </c>
      <c r="AM1256" s="319">
        <v>0</v>
      </c>
      <c r="AN1256" s="319"/>
      <c r="AO1256" s="320">
        <f t="shared" si="861"/>
        <v>0</v>
      </c>
      <c r="AP1256" s="193">
        <v>0</v>
      </c>
      <c r="AQ1256" s="318">
        <v>0</v>
      </c>
      <c r="AR1256" s="318">
        <f t="shared" si="862"/>
        <v>34535.178571428522</v>
      </c>
      <c r="AS1256" s="318">
        <f t="shared" si="863"/>
        <v>36262</v>
      </c>
      <c r="AT1256" s="321">
        <v>0</v>
      </c>
      <c r="AU1256" s="157"/>
      <c r="AV1256" s="136"/>
      <c r="AW1256" s="318">
        <f t="shared" si="864"/>
        <v>8900</v>
      </c>
      <c r="AX1256" s="193"/>
      <c r="AY1256" s="318">
        <f t="shared" si="865"/>
        <v>8900</v>
      </c>
      <c r="AZ1256" s="318">
        <f t="shared" si="866"/>
        <v>8890</v>
      </c>
      <c r="BA1256" s="318">
        <f t="shared" si="867"/>
        <v>10</v>
      </c>
      <c r="BB1256" s="318">
        <f t="shared" si="868"/>
        <v>17.8</v>
      </c>
      <c r="BC1256" s="318">
        <v>0</v>
      </c>
      <c r="BD1256" s="136"/>
      <c r="BE1256" s="138">
        <v>89</v>
      </c>
      <c r="BF1256" s="321">
        <f t="shared" si="869"/>
        <v>0.13350000000000001</v>
      </c>
      <c r="BG1256" s="197">
        <f t="shared" si="870"/>
        <v>88.866500000000002</v>
      </c>
      <c r="BH1256" s="321">
        <f t="shared" si="871"/>
        <v>88.9</v>
      </c>
      <c r="BI1256" s="322">
        <f t="shared" si="872"/>
        <v>9.9999999999994316</v>
      </c>
      <c r="BJ1256" s="322">
        <v>0</v>
      </c>
      <c r="BK1256" s="318">
        <f t="shared" si="873"/>
        <v>9.9999999999994316</v>
      </c>
      <c r="BL1256" s="67"/>
      <c r="BM1256" s="68" t="str">
        <f t="shared" si="874"/>
        <v>Unloading no. 1221 Bill No HA/26-27/0393 ,Deduction For Oil Deduction= 34535.1785714285 ,Bardana= 0 ,F.M= 0 Brokerage/Rate Difference  ,Shortage = 0 ,Greenish= 0 ,Moisture= 0</v>
      </c>
      <c r="BN1256" s="69"/>
      <c r="BO1256" s="70" t="str">
        <f t="shared" si="875"/>
        <v xml:space="preserve"> Party Condition 42  ,F.M% 0.17 ,Greenish 2.95 ,Moisture 4.9 ,Shortage in KG= 0  ,Oil% 39.95</v>
      </c>
      <c r="BP1256" s="71">
        <f t="shared" si="876"/>
        <v>7570.4704322673952</v>
      </c>
      <c r="BQ1256" s="55"/>
      <c r="BR1256" s="55"/>
      <c r="BS1256" s="41"/>
      <c r="BT1256" s="41"/>
      <c r="BU1256" s="41"/>
      <c r="BV1256" s="41"/>
      <c r="BW1256" s="85"/>
      <c r="BX1256" s="27">
        <v>39.93</v>
      </c>
      <c r="BY1256" s="27">
        <v>39.65</v>
      </c>
    </row>
    <row r="1257" spans="1:77" ht="14.1" hidden="1" customHeight="1" x14ac:dyDescent="0.3">
      <c r="A1257" s="138" t="s">
        <v>2585</v>
      </c>
      <c r="B1257" s="146">
        <v>46212</v>
      </c>
      <c r="C1257" s="138">
        <v>1222</v>
      </c>
      <c r="D1257" s="138" t="s">
        <v>2689</v>
      </c>
      <c r="E1257" s="129">
        <v>46216</v>
      </c>
      <c r="F1257" s="281" t="s">
        <v>1144</v>
      </c>
      <c r="G1257" s="128" t="s">
        <v>1145</v>
      </c>
      <c r="H1257" s="128" t="s">
        <v>100</v>
      </c>
      <c r="I1257" s="136"/>
      <c r="J1257" s="138" t="s">
        <v>1146</v>
      </c>
      <c r="K1257" s="136"/>
      <c r="L1257" s="146">
        <v>46212</v>
      </c>
      <c r="M1257" s="136"/>
      <c r="N1257" s="281" t="s">
        <v>2763</v>
      </c>
      <c r="O1257" s="146">
        <v>46216</v>
      </c>
      <c r="P1257" s="138">
        <v>0</v>
      </c>
      <c r="Q1257" s="138">
        <v>135</v>
      </c>
      <c r="R1257" s="138">
        <v>10</v>
      </c>
      <c r="S1257" s="138">
        <v>145</v>
      </c>
      <c r="T1257" s="138">
        <v>145</v>
      </c>
      <c r="U1257" s="136"/>
      <c r="V1257" s="136"/>
      <c r="W1257" s="147">
        <v>88.7</v>
      </c>
      <c r="X1257" s="147">
        <v>88.7</v>
      </c>
      <c r="Y1257" s="147">
        <v>711817.5</v>
      </c>
      <c r="Z1257" s="372">
        <v>39.68</v>
      </c>
      <c r="AA1257" s="147">
        <v>17795.439999999999</v>
      </c>
      <c r="AB1257" s="147">
        <v>17795.439999999999</v>
      </c>
      <c r="AC1257" s="147">
        <v>747408.38</v>
      </c>
      <c r="AD1257" s="315">
        <f t="shared" si="879"/>
        <v>746660.97161999997</v>
      </c>
      <c r="AE1257" s="147">
        <v>39.68</v>
      </c>
      <c r="AF1257" s="147">
        <v>42</v>
      </c>
      <c r="AG1257" s="147">
        <v>39.68</v>
      </c>
      <c r="AH1257" s="287">
        <v>1.9E-3</v>
      </c>
      <c r="AI1257" s="287">
        <v>2.7E-2</v>
      </c>
      <c r="AJ1257" s="287">
        <v>4.4999999999999998E-2</v>
      </c>
      <c r="AK1257" s="318">
        <f t="shared" si="860"/>
        <v>39319.442857142865</v>
      </c>
      <c r="AL1257" s="193">
        <v>0</v>
      </c>
      <c r="AM1257" s="319">
        <v>0</v>
      </c>
      <c r="AN1257" s="319"/>
      <c r="AO1257" s="320">
        <f t="shared" si="861"/>
        <v>0</v>
      </c>
      <c r="AP1257" s="193">
        <v>0</v>
      </c>
      <c r="AQ1257" s="318">
        <v>0</v>
      </c>
      <c r="AR1257" s="318">
        <f t="shared" si="862"/>
        <v>39319.442857142865</v>
      </c>
      <c r="AS1257" s="318">
        <f t="shared" si="863"/>
        <v>41285</v>
      </c>
      <c r="AT1257" s="321">
        <v>0</v>
      </c>
      <c r="AU1257" s="157"/>
      <c r="AV1257" s="136"/>
      <c r="AW1257" s="318">
        <f t="shared" si="864"/>
        <v>8870</v>
      </c>
      <c r="AX1257" s="193"/>
      <c r="AY1257" s="318">
        <f t="shared" si="865"/>
        <v>8870</v>
      </c>
      <c r="AZ1257" s="318">
        <f t="shared" si="866"/>
        <v>8870</v>
      </c>
      <c r="BA1257" s="318">
        <f t="shared" si="867"/>
        <v>0</v>
      </c>
      <c r="BB1257" s="318">
        <f t="shared" si="868"/>
        <v>17.739999999999998</v>
      </c>
      <c r="BC1257" s="318">
        <v>0</v>
      </c>
      <c r="BD1257" s="136"/>
      <c r="BE1257" s="138">
        <v>88.7</v>
      </c>
      <c r="BF1257" s="321">
        <f t="shared" si="869"/>
        <v>0.13305</v>
      </c>
      <c r="BG1257" s="197">
        <f t="shared" si="870"/>
        <v>88.566950000000006</v>
      </c>
      <c r="BH1257" s="321">
        <f t="shared" si="871"/>
        <v>88.7</v>
      </c>
      <c r="BI1257" s="322">
        <f t="shared" si="872"/>
        <v>0</v>
      </c>
      <c r="BJ1257" s="322">
        <v>0</v>
      </c>
      <c r="BK1257" s="318">
        <f t="shared" si="873"/>
        <v>0</v>
      </c>
      <c r="BL1257" s="67"/>
      <c r="BM1257" s="68" t="str">
        <f t="shared" si="874"/>
        <v>Unloading no. 1222 Bill No 2026-27/385 ,Deduction For Oil Deduction= 39319.4428571429 ,Bardana= 0 ,F.M= 0 Brokerage/Rate Difference  ,Shortage = 0 ,Greenish= 0 ,Moisture= 0</v>
      </c>
      <c r="BN1257" s="69"/>
      <c r="BO1257" s="70" t="str">
        <f t="shared" si="875"/>
        <v xml:space="preserve"> Party Condition 42  ,F.M% 0.19 ,Greenish 2.7 ,Moisture 4.5 ,Shortage in KG= 0  ,Oil% 39.68</v>
      </c>
      <c r="BP1257" s="71">
        <f t="shared" si="876"/>
        <v>7581.7142857142853</v>
      </c>
      <c r="BQ1257" s="55"/>
      <c r="BR1257" s="55"/>
      <c r="BS1257" s="41"/>
      <c r="BT1257" s="41"/>
      <c r="BU1257" s="41"/>
      <c r="BV1257" s="41"/>
      <c r="BW1257" s="85"/>
      <c r="BX1257" s="27">
        <v>39.6</v>
      </c>
      <c r="BY1257" s="27">
        <v>39.47</v>
      </c>
    </row>
    <row r="1258" spans="1:77" ht="14.1" hidden="1" customHeight="1" x14ac:dyDescent="0.3">
      <c r="A1258" s="138" t="s">
        <v>2585</v>
      </c>
      <c r="B1258" s="146">
        <v>46212</v>
      </c>
      <c r="C1258" s="138">
        <v>1223</v>
      </c>
      <c r="D1258" s="138" t="s">
        <v>2690</v>
      </c>
      <c r="E1258" s="129">
        <v>46216</v>
      </c>
      <c r="F1258" s="281" t="s">
        <v>1144</v>
      </c>
      <c r="G1258" s="128" t="s">
        <v>1145</v>
      </c>
      <c r="H1258" s="128" t="s">
        <v>100</v>
      </c>
      <c r="I1258" s="136"/>
      <c r="J1258" s="138" t="s">
        <v>1146</v>
      </c>
      <c r="K1258" s="136"/>
      <c r="L1258" s="146">
        <v>46212</v>
      </c>
      <c r="M1258" s="136"/>
      <c r="N1258" s="281" t="s">
        <v>2764</v>
      </c>
      <c r="O1258" s="146">
        <v>46216</v>
      </c>
      <c r="P1258" s="138">
        <v>0</v>
      </c>
      <c r="Q1258" s="138">
        <v>100</v>
      </c>
      <c r="R1258" s="138">
        <v>37</v>
      </c>
      <c r="S1258" s="138">
        <v>137</v>
      </c>
      <c r="T1258" s="138">
        <v>137</v>
      </c>
      <c r="U1258" s="136"/>
      <c r="V1258" s="136"/>
      <c r="W1258" s="147">
        <v>81.3</v>
      </c>
      <c r="X1258" s="147">
        <v>81.3</v>
      </c>
      <c r="Y1258" s="147">
        <v>652432.5</v>
      </c>
      <c r="Z1258" s="372">
        <v>39.76</v>
      </c>
      <c r="AA1258" s="147">
        <v>16310.81</v>
      </c>
      <c r="AB1258" s="147">
        <v>16310.81</v>
      </c>
      <c r="AC1258" s="147">
        <v>685054.13</v>
      </c>
      <c r="AD1258" s="315">
        <f t="shared" si="879"/>
        <v>684369.07587000006</v>
      </c>
      <c r="AE1258" s="147">
        <v>39.76</v>
      </c>
      <c r="AF1258" s="147">
        <v>42</v>
      </c>
      <c r="AG1258" s="147">
        <v>39.76</v>
      </c>
      <c r="AH1258" s="287">
        <v>1.5E-3</v>
      </c>
      <c r="AI1258" s="287">
        <v>0.03</v>
      </c>
      <c r="AJ1258" s="287">
        <v>4.7E-2</v>
      </c>
      <c r="AK1258" s="318">
        <f t="shared" si="860"/>
        <v>34796.400000000031</v>
      </c>
      <c r="AL1258" s="193">
        <v>0</v>
      </c>
      <c r="AM1258" s="319">
        <v>0</v>
      </c>
      <c r="AN1258" s="319"/>
      <c r="AO1258" s="320">
        <f t="shared" si="861"/>
        <v>0</v>
      </c>
      <c r="AP1258" s="193">
        <v>0</v>
      </c>
      <c r="AQ1258" s="318">
        <v>0</v>
      </c>
      <c r="AR1258" s="318">
        <f t="shared" si="862"/>
        <v>34796.400000000031</v>
      </c>
      <c r="AS1258" s="318">
        <f t="shared" si="863"/>
        <v>36536</v>
      </c>
      <c r="AT1258" s="321">
        <v>0</v>
      </c>
      <c r="AU1258" s="157"/>
      <c r="AV1258" s="136"/>
      <c r="AW1258" s="318">
        <f t="shared" si="864"/>
        <v>8130</v>
      </c>
      <c r="AX1258" s="193"/>
      <c r="AY1258" s="318">
        <f t="shared" si="865"/>
        <v>8130</v>
      </c>
      <c r="AZ1258" s="318">
        <f t="shared" si="866"/>
        <v>8130</v>
      </c>
      <c r="BA1258" s="318">
        <f t="shared" si="867"/>
        <v>0</v>
      </c>
      <c r="BB1258" s="318">
        <f t="shared" si="868"/>
        <v>16.260000000000002</v>
      </c>
      <c r="BC1258" s="318">
        <v>0</v>
      </c>
      <c r="BD1258" s="136"/>
      <c r="BE1258" s="138">
        <v>81.3</v>
      </c>
      <c r="BF1258" s="321">
        <f t="shared" si="869"/>
        <v>0.12194999999999999</v>
      </c>
      <c r="BG1258" s="197">
        <f t="shared" si="870"/>
        <v>81.178049999999999</v>
      </c>
      <c r="BH1258" s="321">
        <f t="shared" si="871"/>
        <v>81.3</v>
      </c>
      <c r="BI1258" s="322">
        <f t="shared" si="872"/>
        <v>0</v>
      </c>
      <c r="BJ1258" s="322">
        <v>0</v>
      </c>
      <c r="BK1258" s="318">
        <f t="shared" si="873"/>
        <v>0</v>
      </c>
      <c r="BL1258" s="67"/>
      <c r="BM1258" s="68" t="str">
        <f t="shared" si="874"/>
        <v>Unloading no. 1223 Bill No 2026-27/386 ,Deduction For Oil Deduction= 34796.4 ,Bardana= 0 ,F.M= 0 Brokerage/Rate Difference  ,Shortage = 0 ,Greenish= 0 ,Moisture= 0</v>
      </c>
      <c r="BN1258" s="69"/>
      <c r="BO1258" s="70" t="str">
        <f t="shared" si="875"/>
        <v xml:space="preserve"> Party Condition 42  ,F.M% 0.15 ,Greenish 3 ,Moisture 4.7 ,Shortage in KG= 0  ,Oil% 39.76</v>
      </c>
      <c r="BP1258" s="71">
        <f t="shared" si="876"/>
        <v>7597</v>
      </c>
      <c r="BQ1258" s="55"/>
      <c r="BR1258" s="55"/>
      <c r="BS1258" s="41"/>
      <c r="BT1258" s="41"/>
      <c r="BU1258" s="41"/>
      <c r="BV1258" s="41"/>
      <c r="BW1258" s="85"/>
      <c r="BX1258" s="27">
        <v>39.799999999999997</v>
      </c>
      <c r="BY1258" s="27">
        <v>39.54</v>
      </c>
    </row>
    <row r="1259" spans="1:77" ht="14.1" hidden="1" customHeight="1" x14ac:dyDescent="0.3">
      <c r="A1259" s="138" t="s">
        <v>2450</v>
      </c>
      <c r="B1259" s="146">
        <v>46212</v>
      </c>
      <c r="C1259" s="138">
        <v>1224</v>
      </c>
      <c r="D1259" s="138" t="s">
        <v>2691</v>
      </c>
      <c r="E1259" s="129">
        <v>46216</v>
      </c>
      <c r="F1259" s="281" t="s">
        <v>2497</v>
      </c>
      <c r="G1259" s="128" t="s">
        <v>2498</v>
      </c>
      <c r="H1259" s="128" t="s">
        <v>100</v>
      </c>
      <c r="I1259" s="136"/>
      <c r="J1259" s="138" t="s">
        <v>1146</v>
      </c>
      <c r="K1259" s="136"/>
      <c r="L1259" s="146">
        <v>46212</v>
      </c>
      <c r="M1259" s="136"/>
      <c r="N1259" s="281" t="s">
        <v>2765</v>
      </c>
      <c r="O1259" s="146">
        <v>46216</v>
      </c>
      <c r="P1259" s="138">
        <v>0</v>
      </c>
      <c r="Q1259" s="138">
        <v>140</v>
      </c>
      <c r="R1259" s="138">
        <v>37</v>
      </c>
      <c r="S1259" s="138">
        <v>177</v>
      </c>
      <c r="T1259" s="138">
        <v>177</v>
      </c>
      <c r="U1259" s="136"/>
      <c r="V1259" s="136"/>
      <c r="W1259" s="147">
        <v>90.3</v>
      </c>
      <c r="X1259" s="147">
        <v>90.2</v>
      </c>
      <c r="Y1259" s="147">
        <v>717885</v>
      </c>
      <c r="Z1259" s="372">
        <v>40.24</v>
      </c>
      <c r="AA1259" s="147">
        <v>17947.13</v>
      </c>
      <c r="AB1259" s="147">
        <v>17947.13</v>
      </c>
      <c r="AC1259" s="147">
        <v>753779.25</v>
      </c>
      <c r="AD1259" s="315">
        <f t="shared" si="879"/>
        <v>753025.47074999998</v>
      </c>
      <c r="AE1259" s="147">
        <v>40.24</v>
      </c>
      <c r="AF1259" s="147">
        <v>42</v>
      </c>
      <c r="AG1259" s="147">
        <v>40.24</v>
      </c>
      <c r="AH1259" s="287">
        <v>2.0999999999999999E-3</v>
      </c>
      <c r="AI1259" s="287">
        <v>2.9000000000000001E-2</v>
      </c>
      <c r="AJ1259" s="287">
        <v>0.05</v>
      </c>
      <c r="AK1259" s="318">
        <f t="shared" si="860"/>
        <v>30082.799999999963</v>
      </c>
      <c r="AL1259" s="193">
        <v>0</v>
      </c>
      <c r="AM1259" s="319">
        <v>0</v>
      </c>
      <c r="AN1259" s="319"/>
      <c r="AO1259" s="320">
        <f t="shared" si="861"/>
        <v>0</v>
      </c>
      <c r="AP1259" s="193">
        <v>0</v>
      </c>
      <c r="AQ1259" s="318">
        <v>0</v>
      </c>
      <c r="AR1259" s="318">
        <f t="shared" si="862"/>
        <v>30082.799999999963</v>
      </c>
      <c r="AS1259" s="318">
        <f t="shared" si="863"/>
        <v>31587</v>
      </c>
      <c r="AT1259" s="321">
        <v>0</v>
      </c>
      <c r="AU1259" s="157"/>
      <c r="AV1259" s="136"/>
      <c r="AW1259" s="318">
        <f t="shared" si="864"/>
        <v>9030</v>
      </c>
      <c r="AX1259" s="193"/>
      <c r="AY1259" s="318">
        <f t="shared" si="865"/>
        <v>9030</v>
      </c>
      <c r="AZ1259" s="318">
        <f t="shared" si="866"/>
        <v>9020</v>
      </c>
      <c r="BA1259" s="318">
        <f t="shared" si="867"/>
        <v>10</v>
      </c>
      <c r="BB1259" s="318">
        <f t="shared" si="868"/>
        <v>18.059999999999999</v>
      </c>
      <c r="BC1259" s="318">
        <v>0</v>
      </c>
      <c r="BD1259" s="136"/>
      <c r="BE1259" s="138">
        <v>90.3</v>
      </c>
      <c r="BF1259" s="321">
        <f t="shared" si="869"/>
        <v>0.13544999999999999</v>
      </c>
      <c r="BG1259" s="197">
        <f t="shared" si="870"/>
        <v>90.164549999999991</v>
      </c>
      <c r="BH1259" s="321">
        <f t="shared" si="871"/>
        <v>90.2</v>
      </c>
      <c r="BI1259" s="322">
        <f t="shared" si="872"/>
        <v>9.9999999999994316</v>
      </c>
      <c r="BJ1259" s="322">
        <v>0</v>
      </c>
      <c r="BK1259" s="318">
        <f t="shared" si="873"/>
        <v>9.9999999999994316</v>
      </c>
      <c r="BL1259" s="67"/>
      <c r="BM1259" s="68" t="str">
        <f t="shared" si="874"/>
        <v>Unloading no. 1224 Bill No HA/26-27/0394 ,Deduction For Oil Deduction= 30082.8 ,Bardana= 0 ,F.M= 0 Brokerage/Rate Difference  ,Shortage = 0 ,Greenish= 0 ,Moisture= 0</v>
      </c>
      <c r="BN1259" s="69"/>
      <c r="BO1259" s="70" t="str">
        <f t="shared" si="875"/>
        <v xml:space="preserve"> Party Condition 42  ,F.M% 0.21 ,Greenish 2.9 ,Moisture 5 ,Shortage in KG= 0  ,Oil% 40.24</v>
      </c>
      <c r="BP1259" s="71">
        <f t="shared" si="876"/>
        <v>7625.3015521064308</v>
      </c>
      <c r="BQ1259" s="55"/>
      <c r="BR1259" s="55"/>
      <c r="BS1259" s="41"/>
      <c r="BT1259" s="41"/>
      <c r="BU1259" s="41"/>
      <c r="BV1259" s="41"/>
      <c r="BW1259" s="85"/>
      <c r="BX1259" s="27">
        <v>40.25</v>
      </c>
      <c r="BY1259" s="27">
        <v>39.96</v>
      </c>
    </row>
    <row r="1260" spans="1:77" ht="14.1" hidden="1" customHeight="1" x14ac:dyDescent="0.3">
      <c r="A1260" s="138" t="s">
        <v>2450</v>
      </c>
      <c r="B1260" s="146">
        <v>46212</v>
      </c>
      <c r="C1260" s="138">
        <v>1225</v>
      </c>
      <c r="D1260" s="138" t="s">
        <v>2692</v>
      </c>
      <c r="E1260" s="129">
        <v>46216</v>
      </c>
      <c r="F1260" s="281" t="s">
        <v>2497</v>
      </c>
      <c r="G1260" s="128" t="s">
        <v>2498</v>
      </c>
      <c r="H1260" s="128" t="s">
        <v>100</v>
      </c>
      <c r="I1260" s="136"/>
      <c r="J1260" s="138" t="s">
        <v>1146</v>
      </c>
      <c r="K1260" s="136"/>
      <c r="L1260" s="146">
        <v>46212</v>
      </c>
      <c r="M1260" s="136"/>
      <c r="N1260" s="281" t="s">
        <v>2766</v>
      </c>
      <c r="O1260" s="146">
        <v>46216</v>
      </c>
      <c r="P1260" s="138">
        <v>0</v>
      </c>
      <c r="Q1260" s="138">
        <v>147</v>
      </c>
      <c r="R1260" s="138">
        <v>30</v>
      </c>
      <c r="S1260" s="138">
        <v>177</v>
      </c>
      <c r="T1260" s="138">
        <v>177</v>
      </c>
      <c r="U1260" s="136"/>
      <c r="V1260" s="136"/>
      <c r="W1260" s="147">
        <v>90.4</v>
      </c>
      <c r="X1260" s="147">
        <v>90.3</v>
      </c>
      <c r="Y1260" s="147">
        <v>718680</v>
      </c>
      <c r="Z1260" s="372">
        <v>39.89</v>
      </c>
      <c r="AA1260" s="147">
        <v>17967</v>
      </c>
      <c r="AB1260" s="147">
        <v>17967</v>
      </c>
      <c r="AC1260" s="147">
        <v>754614</v>
      </c>
      <c r="AD1260" s="315">
        <f t="shared" si="879"/>
        <v>753859.38600000006</v>
      </c>
      <c r="AE1260" s="147">
        <v>39.89</v>
      </c>
      <c r="AF1260" s="147">
        <v>42</v>
      </c>
      <c r="AG1260" s="147">
        <v>39.89</v>
      </c>
      <c r="AH1260" s="287">
        <v>1.8E-3</v>
      </c>
      <c r="AI1260" s="287">
        <v>2.7E-2</v>
      </c>
      <c r="AJ1260" s="287">
        <v>5.1999999999999998E-2</v>
      </c>
      <c r="AK1260" s="318">
        <f t="shared" si="860"/>
        <v>36105.114285714277</v>
      </c>
      <c r="AL1260" s="193">
        <v>0</v>
      </c>
      <c r="AM1260" s="319">
        <v>0</v>
      </c>
      <c r="AN1260" s="319"/>
      <c r="AO1260" s="320">
        <f t="shared" si="861"/>
        <v>0</v>
      </c>
      <c r="AP1260" s="193">
        <v>0</v>
      </c>
      <c r="AQ1260" s="318">
        <v>0</v>
      </c>
      <c r="AR1260" s="318">
        <f t="shared" si="862"/>
        <v>36105.114285714277</v>
      </c>
      <c r="AS1260" s="318">
        <f t="shared" si="863"/>
        <v>37910</v>
      </c>
      <c r="AT1260" s="321">
        <v>0</v>
      </c>
      <c r="AU1260" s="157"/>
      <c r="AV1260" s="136"/>
      <c r="AW1260" s="318">
        <f t="shared" si="864"/>
        <v>9040</v>
      </c>
      <c r="AX1260" s="193"/>
      <c r="AY1260" s="318">
        <f t="shared" si="865"/>
        <v>9040</v>
      </c>
      <c r="AZ1260" s="318">
        <f t="shared" si="866"/>
        <v>9030</v>
      </c>
      <c r="BA1260" s="318">
        <f t="shared" si="867"/>
        <v>10</v>
      </c>
      <c r="BB1260" s="318">
        <f t="shared" si="868"/>
        <v>18.079999999999998</v>
      </c>
      <c r="BC1260" s="318">
        <v>0</v>
      </c>
      <c r="BD1260" s="136"/>
      <c r="BE1260" s="138">
        <v>90.4</v>
      </c>
      <c r="BF1260" s="321">
        <f t="shared" si="869"/>
        <v>0.1356</v>
      </c>
      <c r="BG1260" s="197">
        <f t="shared" si="870"/>
        <v>90.264400000000009</v>
      </c>
      <c r="BH1260" s="321">
        <f t="shared" si="871"/>
        <v>90.3</v>
      </c>
      <c r="BI1260" s="322">
        <f t="shared" si="872"/>
        <v>10.000000000000853</v>
      </c>
      <c r="BJ1260" s="322">
        <v>0</v>
      </c>
      <c r="BK1260" s="318">
        <f t="shared" si="873"/>
        <v>10.000000000000853</v>
      </c>
      <c r="BL1260" s="67"/>
      <c r="BM1260" s="68" t="str">
        <f t="shared" si="874"/>
        <v>Unloading no. 1225 Bill No HA/26-27/0395 ,Deduction For Oil Deduction= 36105.1142857143 ,Bardana= 0 ,F.M= 0 Brokerage/Rate Difference  ,Shortage = 0 ,Greenish= 0 ,Moisture= 0</v>
      </c>
      <c r="BN1260" s="69"/>
      <c r="BO1260" s="70" t="str">
        <f t="shared" si="875"/>
        <v xml:space="preserve"> Party Condition 42  ,F.M% 0.18 ,Greenish 2.7 ,Moisture 5.2 ,Shortage in KG= 0  ,Oil% 39.89</v>
      </c>
      <c r="BP1260" s="71">
        <f t="shared" si="876"/>
        <v>7558.9688340452467</v>
      </c>
      <c r="BQ1260" s="55"/>
      <c r="BR1260" s="55"/>
      <c r="BS1260" s="41"/>
      <c r="BT1260" s="41"/>
      <c r="BU1260" s="41"/>
      <c r="BV1260" s="41"/>
      <c r="BW1260" s="85"/>
      <c r="BX1260" s="27">
        <v>39.6</v>
      </c>
      <c r="BY1260" s="27">
        <v>39.56</v>
      </c>
    </row>
    <row r="1261" spans="1:77" ht="14.1" hidden="1" customHeight="1" x14ac:dyDescent="0.3">
      <c r="A1261" s="128" t="s">
        <v>2585</v>
      </c>
      <c r="B1261" s="146">
        <v>46212</v>
      </c>
      <c r="C1261" s="138">
        <v>1226</v>
      </c>
      <c r="D1261" s="138" t="s">
        <v>2693</v>
      </c>
      <c r="E1261" s="129">
        <v>46217</v>
      </c>
      <c r="F1261" s="128" t="s">
        <v>1144</v>
      </c>
      <c r="G1261" s="128" t="s">
        <v>1145</v>
      </c>
      <c r="H1261" s="128" t="s">
        <v>100</v>
      </c>
      <c r="I1261" s="136"/>
      <c r="J1261" s="138" t="s">
        <v>1146</v>
      </c>
      <c r="K1261" s="136"/>
      <c r="L1261" s="146">
        <v>46212</v>
      </c>
      <c r="M1261" s="136"/>
      <c r="N1261" s="281" t="s">
        <v>2767</v>
      </c>
      <c r="O1261" s="146">
        <v>46217</v>
      </c>
      <c r="P1261" s="138">
        <v>0</v>
      </c>
      <c r="Q1261" s="138">
        <v>140</v>
      </c>
      <c r="R1261" s="138">
        <v>40</v>
      </c>
      <c r="S1261" s="138">
        <v>180</v>
      </c>
      <c r="T1261" s="138">
        <v>180</v>
      </c>
      <c r="U1261" s="136"/>
      <c r="V1261" s="136"/>
      <c r="W1261" s="147">
        <v>88.8</v>
      </c>
      <c r="X1261" s="147">
        <v>88.9</v>
      </c>
      <c r="Y1261" s="147">
        <v>712620</v>
      </c>
      <c r="Z1261" s="443">
        <v>39.770000000000003</v>
      </c>
      <c r="AA1261" s="147">
        <v>17815.5</v>
      </c>
      <c r="AB1261" s="147">
        <v>17815.5</v>
      </c>
      <c r="AC1261" s="147">
        <v>748251</v>
      </c>
      <c r="AD1261" s="315">
        <f t="shared" si="879"/>
        <v>747502.74899999995</v>
      </c>
      <c r="AE1261" s="236">
        <v>39.770000000000003</v>
      </c>
      <c r="AF1261" s="147">
        <v>42</v>
      </c>
      <c r="AG1261" s="236">
        <v>39.770000000000003</v>
      </c>
      <c r="AH1261" s="287">
        <v>2.3E-3</v>
      </c>
      <c r="AI1261" s="287">
        <v>2.6800000000000001E-2</v>
      </c>
      <c r="AJ1261" s="287">
        <v>4.4999999999999998E-2</v>
      </c>
      <c r="AK1261" s="318">
        <f t="shared" si="860"/>
        <v>37836.728571428517</v>
      </c>
      <c r="AL1261" s="193">
        <v>0</v>
      </c>
      <c r="AM1261" s="319">
        <v>0</v>
      </c>
      <c r="AN1261" s="319"/>
      <c r="AO1261" s="320">
        <f t="shared" si="861"/>
        <v>0</v>
      </c>
      <c r="AP1261" s="193">
        <v>0</v>
      </c>
      <c r="AQ1261" s="318">
        <v>0</v>
      </c>
      <c r="AR1261" s="318">
        <f t="shared" si="862"/>
        <v>37836.728571428517</v>
      </c>
      <c r="AS1261" s="318">
        <f t="shared" si="863"/>
        <v>39729</v>
      </c>
      <c r="AT1261" s="321">
        <v>0</v>
      </c>
      <c r="AU1261" s="157"/>
      <c r="AV1261" s="136"/>
      <c r="AW1261" s="318">
        <f t="shared" si="864"/>
        <v>8880</v>
      </c>
      <c r="AX1261" s="193"/>
      <c r="AY1261" s="318">
        <f t="shared" si="865"/>
        <v>8880</v>
      </c>
      <c r="AZ1261" s="318">
        <f t="shared" si="866"/>
        <v>8890</v>
      </c>
      <c r="BA1261" s="318">
        <f t="shared" si="867"/>
        <v>-10</v>
      </c>
      <c r="BB1261" s="318">
        <f t="shared" si="868"/>
        <v>17.760000000000002</v>
      </c>
      <c r="BC1261" s="318">
        <v>0</v>
      </c>
      <c r="BD1261" s="136"/>
      <c r="BE1261" s="138">
        <v>88.8</v>
      </c>
      <c r="BF1261" s="321">
        <f t="shared" si="869"/>
        <v>0.13319999999999999</v>
      </c>
      <c r="BG1261" s="197">
        <f t="shared" si="870"/>
        <v>88.666799999999995</v>
      </c>
      <c r="BH1261" s="321">
        <f t="shared" si="871"/>
        <v>88.9</v>
      </c>
      <c r="BI1261" s="322">
        <f t="shared" si="872"/>
        <v>-10.000000000000853</v>
      </c>
      <c r="BJ1261" s="322">
        <v>0</v>
      </c>
      <c r="BK1261" s="318">
        <f t="shared" si="873"/>
        <v>-10.000000000000853</v>
      </c>
      <c r="BL1261" s="67"/>
      <c r="BM1261" s="68" t="str">
        <f t="shared" si="874"/>
        <v>Unloading no. 1226 Bill No 2026-27/387 ,Deduction For Oil Deduction= 37836.7285714285 ,Bardana= 0 ,F.M= 0 Brokerage/Rate Difference  ,Shortage = 0 ,Greenish= 0 ,Moisture= 0</v>
      </c>
      <c r="BN1261" s="69"/>
      <c r="BO1261" s="70" t="str">
        <f t="shared" si="875"/>
        <v xml:space="preserve"> Party Condition 42  ,F.M% 0.23 ,Greenish 2.68 ,Moisture 4.5 ,Shortage in KG= 0  ,Oil% 39.77</v>
      </c>
      <c r="BP1261" s="71">
        <f t="shared" si="876"/>
        <v>7590.3630081954034</v>
      </c>
      <c r="BQ1261" s="55"/>
      <c r="BR1261" s="55"/>
      <c r="BS1261" s="41"/>
      <c r="BT1261" s="41"/>
      <c r="BU1261" s="41"/>
      <c r="BV1261" s="41"/>
      <c r="BW1261" s="85"/>
      <c r="BX1261" s="27">
        <v>39.479999999999997</v>
      </c>
      <c r="BY1261" s="27">
        <v>39.450000000000003</v>
      </c>
    </row>
    <row r="1262" spans="1:77" ht="14.1" hidden="1" customHeight="1" x14ac:dyDescent="0.3">
      <c r="A1262" s="128" t="s">
        <v>2585</v>
      </c>
      <c r="B1262" s="146">
        <v>46212</v>
      </c>
      <c r="C1262" s="138">
        <v>1227</v>
      </c>
      <c r="D1262" s="138" t="s">
        <v>2694</v>
      </c>
      <c r="E1262" s="129">
        <v>46217</v>
      </c>
      <c r="F1262" s="128" t="s">
        <v>1144</v>
      </c>
      <c r="G1262" s="128" t="s">
        <v>1145</v>
      </c>
      <c r="H1262" s="128" t="s">
        <v>100</v>
      </c>
      <c r="I1262" s="136"/>
      <c r="J1262" s="138" t="s">
        <v>1146</v>
      </c>
      <c r="K1262" s="136"/>
      <c r="L1262" s="146">
        <v>46212</v>
      </c>
      <c r="M1262" s="136"/>
      <c r="N1262" s="281" t="s">
        <v>2768</v>
      </c>
      <c r="O1262" s="146">
        <v>46217</v>
      </c>
      <c r="P1262" s="138">
        <v>0</v>
      </c>
      <c r="Q1262" s="138">
        <v>120</v>
      </c>
      <c r="R1262" s="138">
        <v>60</v>
      </c>
      <c r="S1262" s="138">
        <v>180</v>
      </c>
      <c r="T1262" s="138">
        <v>180</v>
      </c>
      <c r="U1262" s="136"/>
      <c r="V1262" s="136"/>
      <c r="W1262" s="147">
        <v>90.3</v>
      </c>
      <c r="X1262" s="147">
        <v>90.3</v>
      </c>
      <c r="Y1262" s="147">
        <v>724657.5</v>
      </c>
      <c r="Z1262" s="443">
        <v>39.729999999999997</v>
      </c>
      <c r="AA1262" s="147">
        <v>18116.439999999999</v>
      </c>
      <c r="AB1262" s="147">
        <v>18116.439999999999</v>
      </c>
      <c r="AC1262" s="147">
        <v>760890.38</v>
      </c>
      <c r="AD1262" s="315">
        <f t="shared" si="879"/>
        <v>760129.48962000001</v>
      </c>
      <c r="AE1262" s="236">
        <v>39.729999999999997</v>
      </c>
      <c r="AF1262" s="147">
        <v>42</v>
      </c>
      <c r="AG1262" s="236">
        <v>39.729999999999997</v>
      </c>
      <c r="AH1262" s="287">
        <v>2E-3</v>
      </c>
      <c r="AI1262" s="287">
        <v>2.6599999999999999E-2</v>
      </c>
      <c r="AJ1262" s="287">
        <v>4.4999999999999998E-2</v>
      </c>
      <c r="AK1262" s="318">
        <f t="shared" si="860"/>
        <v>39166.012500000055</v>
      </c>
      <c r="AL1262" s="193">
        <v>0</v>
      </c>
      <c r="AM1262" s="319">
        <v>0</v>
      </c>
      <c r="AN1262" s="319"/>
      <c r="AO1262" s="320">
        <f t="shared" si="861"/>
        <v>0</v>
      </c>
      <c r="AP1262" s="193">
        <v>0</v>
      </c>
      <c r="AQ1262" s="318">
        <v>0</v>
      </c>
      <c r="AR1262" s="318">
        <f t="shared" si="862"/>
        <v>39166.012500000055</v>
      </c>
      <c r="AS1262" s="318">
        <f t="shared" si="863"/>
        <v>41124</v>
      </c>
      <c r="AT1262" s="321">
        <v>0</v>
      </c>
      <c r="AU1262" s="157"/>
      <c r="AV1262" s="136"/>
      <c r="AW1262" s="318">
        <f t="shared" si="864"/>
        <v>9030</v>
      </c>
      <c r="AX1262" s="193"/>
      <c r="AY1262" s="318">
        <f t="shared" si="865"/>
        <v>9030</v>
      </c>
      <c r="AZ1262" s="318">
        <f t="shared" si="866"/>
        <v>9030</v>
      </c>
      <c r="BA1262" s="318">
        <f t="shared" si="867"/>
        <v>0</v>
      </c>
      <c r="BB1262" s="318">
        <f t="shared" si="868"/>
        <v>18.059999999999999</v>
      </c>
      <c r="BC1262" s="318">
        <v>0</v>
      </c>
      <c r="BD1262" s="136"/>
      <c r="BE1262" s="138">
        <v>90.3</v>
      </c>
      <c r="BF1262" s="321">
        <f t="shared" si="869"/>
        <v>0.13544999999999999</v>
      </c>
      <c r="BG1262" s="197">
        <f t="shared" si="870"/>
        <v>90.164549999999991</v>
      </c>
      <c r="BH1262" s="321">
        <f t="shared" si="871"/>
        <v>90.3</v>
      </c>
      <c r="BI1262" s="322">
        <f t="shared" si="872"/>
        <v>0</v>
      </c>
      <c r="BJ1262" s="322">
        <v>0</v>
      </c>
      <c r="BK1262" s="318">
        <f t="shared" si="873"/>
        <v>0</v>
      </c>
      <c r="BL1262" s="67"/>
      <c r="BM1262" s="68" t="str">
        <f t="shared" si="874"/>
        <v>Unloading no. 1227 Bill No 2026-27/388 ,Deduction For Oil Deduction= 39166.0125000001 ,Bardana= 0 ,F.M= 0 Brokerage/Rate Difference  ,Shortage = 0 ,Greenish= 0 ,Moisture= 0</v>
      </c>
      <c r="BN1262" s="69"/>
      <c r="BO1262" s="70" t="str">
        <f t="shared" si="875"/>
        <v xml:space="preserve"> Party Condition 42  ,F.M% 0.2 ,Greenish 2.66 ,Moisture 4.5 ,Shortage in KG= 0  ,Oil% 39.73</v>
      </c>
      <c r="BP1262" s="71">
        <f t="shared" si="876"/>
        <v>7591.2678571428569</v>
      </c>
      <c r="BQ1262" s="55"/>
      <c r="BR1262" s="55"/>
      <c r="BS1262" s="41"/>
      <c r="BT1262" s="41"/>
      <c r="BU1262" s="41"/>
      <c r="BV1262" s="41"/>
      <c r="BW1262" s="85"/>
      <c r="BX1262" s="27">
        <v>39.65</v>
      </c>
      <c r="BY1262" s="27">
        <v>39.5</v>
      </c>
    </row>
    <row r="1263" spans="1:77" ht="14.1" hidden="1" customHeight="1" x14ac:dyDescent="0.3">
      <c r="A1263" s="128" t="s">
        <v>2585</v>
      </c>
      <c r="B1263" s="146">
        <v>46212</v>
      </c>
      <c r="C1263" s="138">
        <v>1228</v>
      </c>
      <c r="D1263" s="138" t="s">
        <v>2695</v>
      </c>
      <c r="E1263" s="129">
        <v>46217</v>
      </c>
      <c r="F1263" s="128" t="s">
        <v>1144</v>
      </c>
      <c r="G1263" s="128" t="s">
        <v>1145</v>
      </c>
      <c r="H1263" s="128" t="s">
        <v>100</v>
      </c>
      <c r="I1263" s="136"/>
      <c r="J1263" s="138" t="s">
        <v>1146</v>
      </c>
      <c r="K1263" s="136"/>
      <c r="L1263" s="146">
        <v>46212</v>
      </c>
      <c r="M1263" s="136"/>
      <c r="N1263" s="281" t="s">
        <v>2769</v>
      </c>
      <c r="O1263" s="146">
        <v>46217</v>
      </c>
      <c r="P1263" s="138">
        <v>0</v>
      </c>
      <c r="Q1263" s="138">
        <v>140</v>
      </c>
      <c r="R1263" s="138">
        <v>40</v>
      </c>
      <c r="S1263" s="138">
        <v>180</v>
      </c>
      <c r="T1263" s="138">
        <v>180</v>
      </c>
      <c r="U1263" s="136"/>
      <c r="V1263" s="136"/>
      <c r="W1263" s="147">
        <v>90.5</v>
      </c>
      <c r="X1263" s="147">
        <v>90.4</v>
      </c>
      <c r="Y1263" s="147">
        <v>726262.5</v>
      </c>
      <c r="Z1263" s="443">
        <v>39.72</v>
      </c>
      <c r="AA1263" s="147">
        <v>18156.560000000001</v>
      </c>
      <c r="AB1263" s="147">
        <v>18156.560000000001</v>
      </c>
      <c r="AC1263" s="147">
        <v>762575.63</v>
      </c>
      <c r="AD1263" s="315">
        <f t="shared" si="879"/>
        <v>761813.05437000003</v>
      </c>
      <c r="AE1263" s="236">
        <v>39.72</v>
      </c>
      <c r="AF1263" s="147">
        <v>42</v>
      </c>
      <c r="AG1263" s="236">
        <v>39.72</v>
      </c>
      <c r="AH1263" s="287">
        <v>2.2000000000000001E-3</v>
      </c>
      <c r="AI1263" s="287">
        <v>2.8000000000000001E-2</v>
      </c>
      <c r="AJ1263" s="287">
        <v>4.5999999999999999E-2</v>
      </c>
      <c r="AK1263" s="318">
        <f t="shared" si="860"/>
        <v>39425.678571428587</v>
      </c>
      <c r="AL1263" s="193">
        <v>0</v>
      </c>
      <c r="AM1263" s="319">
        <v>0</v>
      </c>
      <c r="AN1263" s="319"/>
      <c r="AO1263" s="320">
        <f t="shared" si="861"/>
        <v>0</v>
      </c>
      <c r="AP1263" s="193">
        <v>0</v>
      </c>
      <c r="AQ1263" s="318">
        <v>0</v>
      </c>
      <c r="AR1263" s="318">
        <f t="shared" si="862"/>
        <v>39425.678571428587</v>
      </c>
      <c r="AS1263" s="318">
        <f t="shared" si="863"/>
        <v>41397</v>
      </c>
      <c r="AT1263" s="321">
        <v>0</v>
      </c>
      <c r="AU1263" s="157"/>
      <c r="AV1263" s="136"/>
      <c r="AW1263" s="318">
        <f t="shared" si="864"/>
        <v>9050</v>
      </c>
      <c r="AX1263" s="193"/>
      <c r="AY1263" s="318">
        <f t="shared" si="865"/>
        <v>9050</v>
      </c>
      <c r="AZ1263" s="318">
        <f t="shared" si="866"/>
        <v>9040</v>
      </c>
      <c r="BA1263" s="318">
        <f t="shared" si="867"/>
        <v>10</v>
      </c>
      <c r="BB1263" s="318">
        <f t="shared" si="868"/>
        <v>18.100000000000001</v>
      </c>
      <c r="BC1263" s="318">
        <v>0</v>
      </c>
      <c r="BD1263" s="136"/>
      <c r="BE1263" s="138">
        <v>90.5</v>
      </c>
      <c r="BF1263" s="321">
        <f t="shared" si="869"/>
        <v>0.13574999999999998</v>
      </c>
      <c r="BG1263" s="197">
        <f t="shared" si="870"/>
        <v>90.364249999999998</v>
      </c>
      <c r="BH1263" s="321">
        <f t="shared" si="871"/>
        <v>90.4</v>
      </c>
      <c r="BI1263" s="322">
        <f t="shared" si="872"/>
        <v>9.9999999999994316</v>
      </c>
      <c r="BJ1263" s="322">
        <v>0</v>
      </c>
      <c r="BK1263" s="318">
        <f t="shared" si="873"/>
        <v>9.9999999999994316</v>
      </c>
      <c r="BL1263" s="67"/>
      <c r="BM1263" s="68" t="str">
        <f t="shared" si="874"/>
        <v>Unloading no. 1228 Bill No 2026-27/389 ,Deduction For Oil Deduction= 39425.6785714286 ,Bardana= 0 ,F.M= 0 Brokerage/Rate Difference  ,Shortage = 0 ,Greenish= 0 ,Moisture= 0</v>
      </c>
      <c r="BN1263" s="69"/>
      <c r="BO1263" s="70" t="str">
        <f t="shared" si="875"/>
        <v xml:space="preserve"> Party Condition 42  ,F.M% 0.22 ,Greenish 2.8 ,Moisture 4.6 ,Shortage in KG= 0  ,Oil% 39.72</v>
      </c>
      <c r="BP1263" s="71">
        <f t="shared" si="876"/>
        <v>7597.7524494310983</v>
      </c>
      <c r="BQ1263" s="55"/>
      <c r="BR1263" s="55"/>
      <c r="BS1263" s="41"/>
      <c r="BT1263" s="41"/>
      <c r="BU1263" s="41"/>
      <c r="BV1263" s="41"/>
      <c r="BW1263" s="85"/>
      <c r="BX1263" s="27">
        <v>39.58</v>
      </c>
      <c r="BY1263" s="27">
        <v>39.54</v>
      </c>
    </row>
    <row r="1264" spans="1:77" ht="14.1" hidden="1" customHeight="1" x14ac:dyDescent="0.3">
      <c r="A1264" s="128" t="s">
        <v>2585</v>
      </c>
      <c r="B1264" s="146">
        <v>46212</v>
      </c>
      <c r="C1264" s="138">
        <v>1229</v>
      </c>
      <c r="D1264" s="138" t="s">
        <v>2696</v>
      </c>
      <c r="E1264" s="129">
        <v>46217</v>
      </c>
      <c r="F1264" s="128" t="s">
        <v>1144</v>
      </c>
      <c r="G1264" s="128" t="s">
        <v>1145</v>
      </c>
      <c r="H1264" s="128" t="s">
        <v>100</v>
      </c>
      <c r="I1264" s="136"/>
      <c r="J1264" s="138" t="s">
        <v>1146</v>
      </c>
      <c r="K1264" s="136"/>
      <c r="L1264" s="146">
        <v>46212</v>
      </c>
      <c r="M1264" s="136"/>
      <c r="N1264" s="281" t="s">
        <v>2770</v>
      </c>
      <c r="O1264" s="146">
        <v>46217</v>
      </c>
      <c r="P1264" s="138">
        <v>0</v>
      </c>
      <c r="Q1264" s="138">
        <v>150</v>
      </c>
      <c r="R1264" s="138">
        <v>30</v>
      </c>
      <c r="S1264" s="138">
        <v>180</v>
      </c>
      <c r="T1264" s="138">
        <v>180</v>
      </c>
      <c r="U1264" s="136"/>
      <c r="V1264" s="136"/>
      <c r="W1264" s="147">
        <v>90.7</v>
      </c>
      <c r="X1264" s="147">
        <v>90.6</v>
      </c>
      <c r="Y1264" s="147">
        <v>727867.5</v>
      </c>
      <c r="Z1264" s="443">
        <v>40.19</v>
      </c>
      <c r="AA1264" s="147">
        <v>18196.689999999999</v>
      </c>
      <c r="AB1264" s="147">
        <v>18196.689999999999</v>
      </c>
      <c r="AC1264" s="147">
        <v>764260.88</v>
      </c>
      <c r="AD1264" s="315">
        <f t="shared" si="879"/>
        <v>763496.61912000005</v>
      </c>
      <c r="AE1264" s="236">
        <v>40.19</v>
      </c>
      <c r="AF1264" s="147">
        <v>42</v>
      </c>
      <c r="AG1264" s="236">
        <v>40.19</v>
      </c>
      <c r="AH1264" s="287">
        <v>2.3E-3</v>
      </c>
      <c r="AI1264" s="287">
        <v>2.9000000000000001E-2</v>
      </c>
      <c r="AJ1264" s="287">
        <v>4.5999999999999999E-2</v>
      </c>
      <c r="AK1264" s="318">
        <f t="shared" si="860"/>
        <v>31367.623214285755</v>
      </c>
      <c r="AL1264" s="193">
        <v>0</v>
      </c>
      <c r="AM1264" s="319">
        <v>0</v>
      </c>
      <c r="AN1264" s="319"/>
      <c r="AO1264" s="320">
        <f t="shared" si="861"/>
        <v>0</v>
      </c>
      <c r="AP1264" s="193">
        <v>0</v>
      </c>
      <c r="AQ1264" s="318">
        <v>0</v>
      </c>
      <c r="AR1264" s="318">
        <f t="shared" si="862"/>
        <v>31367.623214285755</v>
      </c>
      <c r="AS1264" s="318">
        <f t="shared" si="863"/>
        <v>32936</v>
      </c>
      <c r="AT1264" s="321">
        <v>0</v>
      </c>
      <c r="AU1264" s="157"/>
      <c r="AV1264" s="136"/>
      <c r="AW1264" s="318">
        <f t="shared" si="864"/>
        <v>9070</v>
      </c>
      <c r="AX1264" s="193"/>
      <c r="AY1264" s="318">
        <f t="shared" si="865"/>
        <v>9070</v>
      </c>
      <c r="AZ1264" s="318">
        <f t="shared" si="866"/>
        <v>9060</v>
      </c>
      <c r="BA1264" s="318">
        <f t="shared" si="867"/>
        <v>10</v>
      </c>
      <c r="BB1264" s="318">
        <f t="shared" si="868"/>
        <v>18.14</v>
      </c>
      <c r="BC1264" s="318">
        <v>0</v>
      </c>
      <c r="BD1264" s="136"/>
      <c r="BE1264" s="138">
        <v>90.7</v>
      </c>
      <c r="BF1264" s="321">
        <f t="shared" si="869"/>
        <v>0.13605</v>
      </c>
      <c r="BG1264" s="197">
        <f t="shared" si="870"/>
        <v>90.563950000000006</v>
      </c>
      <c r="BH1264" s="321">
        <f t="shared" si="871"/>
        <v>90.6</v>
      </c>
      <c r="BI1264" s="322">
        <f t="shared" si="872"/>
        <v>10.000000000000853</v>
      </c>
      <c r="BJ1264" s="322">
        <v>0</v>
      </c>
      <c r="BK1264" s="318">
        <f t="shared" si="873"/>
        <v>10.000000000000853</v>
      </c>
      <c r="BL1264" s="67"/>
      <c r="BM1264" s="68" t="str">
        <f t="shared" si="874"/>
        <v>Unloading no. 1229 Bill No 2026-27/390 ,Deduction For Oil Deduction= 31367.6232142858 ,Bardana= 0 ,F.M= 0 Brokerage/Rate Difference  ,Shortage = 0 ,Greenish= 0 ,Moisture= 0</v>
      </c>
      <c r="BN1264" s="69"/>
      <c r="BO1264" s="70" t="str">
        <f t="shared" si="875"/>
        <v xml:space="preserve"> Party Condition 42  ,F.M% 0.23 ,Greenish 2.9 ,Moisture 4.6 ,Shortage in KG= 0  ,Oil% 40.19</v>
      </c>
      <c r="BP1264" s="71">
        <f t="shared" si="876"/>
        <v>7687.6366091138452</v>
      </c>
      <c r="BQ1264" s="55"/>
      <c r="BR1264" s="55"/>
      <c r="BS1264" s="41"/>
      <c r="BT1264" s="41"/>
      <c r="BU1264" s="41"/>
      <c r="BV1264" s="41"/>
      <c r="BW1264" s="85"/>
      <c r="BX1264" s="27">
        <v>40.46</v>
      </c>
      <c r="BY1264" s="27">
        <v>40.159999999999997</v>
      </c>
    </row>
    <row r="1265" spans="1:77" ht="14.1" hidden="1" customHeight="1" x14ac:dyDescent="0.3">
      <c r="A1265" s="128" t="s">
        <v>2585</v>
      </c>
      <c r="B1265" s="146">
        <v>46212</v>
      </c>
      <c r="C1265" s="138">
        <v>1230</v>
      </c>
      <c r="D1265" s="138" t="s">
        <v>2697</v>
      </c>
      <c r="E1265" s="129">
        <v>46217</v>
      </c>
      <c r="F1265" s="128" t="s">
        <v>1144</v>
      </c>
      <c r="G1265" s="128" t="s">
        <v>1145</v>
      </c>
      <c r="H1265" s="128" t="s">
        <v>100</v>
      </c>
      <c r="I1265" s="136"/>
      <c r="J1265" s="138" t="s">
        <v>1146</v>
      </c>
      <c r="K1265" s="136"/>
      <c r="L1265" s="146">
        <v>46212</v>
      </c>
      <c r="M1265" s="136"/>
      <c r="N1265" s="281" t="s">
        <v>2771</v>
      </c>
      <c r="O1265" s="146">
        <v>46217</v>
      </c>
      <c r="P1265" s="138">
        <v>0</v>
      </c>
      <c r="Q1265" s="138">
        <v>155</v>
      </c>
      <c r="R1265" s="138">
        <v>25</v>
      </c>
      <c r="S1265" s="138">
        <v>180</v>
      </c>
      <c r="T1265" s="138">
        <v>180</v>
      </c>
      <c r="U1265" s="136"/>
      <c r="V1265" s="136"/>
      <c r="W1265" s="147">
        <v>89.8</v>
      </c>
      <c r="X1265" s="147">
        <v>89.8</v>
      </c>
      <c r="Y1265" s="147">
        <v>720645</v>
      </c>
      <c r="Z1265" s="443">
        <v>40.1</v>
      </c>
      <c r="AA1265" s="147">
        <v>18016.13</v>
      </c>
      <c r="AB1265" s="147">
        <v>18016.13</v>
      </c>
      <c r="AC1265" s="147">
        <v>756677.25</v>
      </c>
      <c r="AD1265" s="315">
        <f t="shared" si="879"/>
        <v>755920.57275000005</v>
      </c>
      <c r="AE1265" s="236">
        <v>40.1</v>
      </c>
      <c r="AF1265" s="147">
        <v>42</v>
      </c>
      <c r="AG1265" s="236">
        <v>40.1</v>
      </c>
      <c r="AH1265" s="287">
        <v>2.3999999999999998E-3</v>
      </c>
      <c r="AI1265" s="287">
        <v>2.7799999999999998E-2</v>
      </c>
      <c r="AJ1265" s="287">
        <v>4.3999999999999997E-2</v>
      </c>
      <c r="AK1265" s="318">
        <f t="shared" si="860"/>
        <v>32600.607142857116</v>
      </c>
      <c r="AL1265" s="193">
        <v>0</v>
      </c>
      <c r="AM1265" s="319">
        <v>0</v>
      </c>
      <c r="AN1265" s="319"/>
      <c r="AO1265" s="320">
        <f t="shared" si="861"/>
        <v>0</v>
      </c>
      <c r="AP1265" s="193">
        <v>0</v>
      </c>
      <c r="AQ1265" s="318">
        <v>0</v>
      </c>
      <c r="AR1265" s="318">
        <f t="shared" si="862"/>
        <v>32600.607142857116</v>
      </c>
      <c r="AS1265" s="318">
        <f t="shared" si="863"/>
        <v>34231</v>
      </c>
      <c r="AT1265" s="321">
        <v>0</v>
      </c>
      <c r="AU1265" s="157"/>
      <c r="AV1265" s="136"/>
      <c r="AW1265" s="318">
        <f t="shared" si="864"/>
        <v>8980</v>
      </c>
      <c r="AX1265" s="193"/>
      <c r="AY1265" s="318">
        <f t="shared" si="865"/>
        <v>8980</v>
      </c>
      <c r="AZ1265" s="318">
        <f t="shared" si="866"/>
        <v>8980</v>
      </c>
      <c r="BA1265" s="318">
        <f t="shared" si="867"/>
        <v>0</v>
      </c>
      <c r="BB1265" s="318">
        <f t="shared" si="868"/>
        <v>17.96</v>
      </c>
      <c r="BC1265" s="318">
        <v>0</v>
      </c>
      <c r="BD1265" s="136"/>
      <c r="BE1265" s="138">
        <v>89.8</v>
      </c>
      <c r="BF1265" s="321">
        <f t="shared" si="869"/>
        <v>0.13469999999999999</v>
      </c>
      <c r="BG1265" s="197">
        <f t="shared" si="870"/>
        <v>89.665300000000002</v>
      </c>
      <c r="BH1265" s="321">
        <f t="shared" si="871"/>
        <v>89.8</v>
      </c>
      <c r="BI1265" s="322">
        <f t="shared" si="872"/>
        <v>0</v>
      </c>
      <c r="BJ1265" s="322">
        <v>0</v>
      </c>
      <c r="BK1265" s="318">
        <f t="shared" si="873"/>
        <v>0</v>
      </c>
      <c r="BL1265" s="67"/>
      <c r="BM1265" s="68" t="str">
        <f t="shared" si="874"/>
        <v>Unloading no. 1230 Bill No 2026-27/391 ,Deduction For Oil Deduction= 32600.6071428571 ,Bardana= 0 ,F.M= 0 Brokerage/Rate Difference  ,Shortage = 0 ,Greenish= 0 ,Moisture= 0</v>
      </c>
      <c r="BN1265" s="69"/>
      <c r="BO1265" s="70" t="str">
        <f t="shared" si="875"/>
        <v xml:space="preserve"> Party Condition 42  ,F.M% 0.24 ,Greenish 2.78 ,Moisture 4.4 ,Shortage in KG= 0  ,Oil% 40.1</v>
      </c>
      <c r="BP1265" s="71">
        <f t="shared" si="876"/>
        <v>7661.9642857142853</v>
      </c>
      <c r="BQ1265" s="55"/>
      <c r="BR1265" s="55"/>
      <c r="BS1265" s="41"/>
      <c r="BT1265" s="41"/>
      <c r="BU1265" s="41"/>
      <c r="BV1265" s="41"/>
      <c r="BW1265" s="85"/>
      <c r="BX1265" s="27">
        <v>40.1</v>
      </c>
      <c r="BY1265" s="27">
        <v>39.81</v>
      </c>
    </row>
    <row r="1266" spans="1:77" ht="14.1" hidden="1" customHeight="1" x14ac:dyDescent="0.3">
      <c r="A1266" s="128" t="s">
        <v>2585</v>
      </c>
      <c r="B1266" s="146">
        <v>46212</v>
      </c>
      <c r="C1266" s="138">
        <v>1231</v>
      </c>
      <c r="D1266" s="138" t="s">
        <v>2698</v>
      </c>
      <c r="E1266" s="129">
        <v>46217</v>
      </c>
      <c r="F1266" s="128" t="s">
        <v>1144</v>
      </c>
      <c r="G1266" s="128" t="s">
        <v>1145</v>
      </c>
      <c r="H1266" s="128" t="s">
        <v>100</v>
      </c>
      <c r="I1266" s="136"/>
      <c r="J1266" s="138" t="s">
        <v>1146</v>
      </c>
      <c r="K1266" s="136"/>
      <c r="L1266" s="146">
        <v>46212</v>
      </c>
      <c r="M1266" s="136"/>
      <c r="N1266" s="281" t="s">
        <v>2772</v>
      </c>
      <c r="O1266" s="146">
        <v>46217</v>
      </c>
      <c r="P1266" s="138">
        <v>0</v>
      </c>
      <c r="Q1266" s="138">
        <v>80</v>
      </c>
      <c r="R1266" s="138">
        <v>100</v>
      </c>
      <c r="S1266" s="138">
        <v>180</v>
      </c>
      <c r="T1266" s="138">
        <v>180</v>
      </c>
      <c r="U1266" s="136"/>
      <c r="V1266" s="136"/>
      <c r="W1266" s="147">
        <v>90.8</v>
      </c>
      <c r="X1266" s="147">
        <v>90.7</v>
      </c>
      <c r="Y1266" s="147">
        <v>728670</v>
      </c>
      <c r="Z1266" s="443">
        <v>39.979999999999997</v>
      </c>
      <c r="AA1266" s="147">
        <v>18216.75</v>
      </c>
      <c r="AB1266" s="147">
        <v>18216.75</v>
      </c>
      <c r="AC1266" s="147">
        <v>765103.5</v>
      </c>
      <c r="AD1266" s="315">
        <f t="shared" si="879"/>
        <v>764338.39650000003</v>
      </c>
      <c r="AE1266" s="236">
        <v>39.979999999999997</v>
      </c>
      <c r="AF1266" s="147">
        <v>42</v>
      </c>
      <c r="AG1266" s="236">
        <v>39.979999999999997</v>
      </c>
      <c r="AH1266" s="287">
        <v>3.0000000000000001E-3</v>
      </c>
      <c r="AI1266" s="287">
        <v>2.8400000000000002E-2</v>
      </c>
      <c r="AJ1266" s="287">
        <v>4.5999999999999999E-2</v>
      </c>
      <c r="AK1266" s="318">
        <f t="shared" si="860"/>
        <v>35045.5571428572</v>
      </c>
      <c r="AL1266" s="193">
        <v>0</v>
      </c>
      <c r="AM1266" s="319">
        <v>0</v>
      </c>
      <c r="AN1266" s="319"/>
      <c r="AO1266" s="320">
        <f t="shared" si="861"/>
        <v>0</v>
      </c>
      <c r="AP1266" s="193">
        <v>0</v>
      </c>
      <c r="AQ1266" s="318">
        <v>0</v>
      </c>
      <c r="AR1266" s="318">
        <f t="shared" si="862"/>
        <v>35045.5571428572</v>
      </c>
      <c r="AS1266" s="318">
        <f t="shared" si="863"/>
        <v>36798</v>
      </c>
      <c r="AT1266" s="321">
        <v>0</v>
      </c>
      <c r="AU1266" s="157"/>
      <c r="AV1266" s="136"/>
      <c r="AW1266" s="318">
        <f t="shared" si="864"/>
        <v>9080</v>
      </c>
      <c r="AX1266" s="193"/>
      <c r="AY1266" s="318">
        <f t="shared" si="865"/>
        <v>9080</v>
      </c>
      <c r="AZ1266" s="318">
        <f t="shared" si="866"/>
        <v>9070</v>
      </c>
      <c r="BA1266" s="318">
        <f t="shared" si="867"/>
        <v>10</v>
      </c>
      <c r="BB1266" s="318">
        <f t="shared" si="868"/>
        <v>18.16</v>
      </c>
      <c r="BC1266" s="318">
        <v>0</v>
      </c>
      <c r="BD1266" s="136"/>
      <c r="BE1266" s="138">
        <v>90.8</v>
      </c>
      <c r="BF1266" s="321">
        <f t="shared" si="869"/>
        <v>0.13619999999999999</v>
      </c>
      <c r="BG1266" s="197">
        <f t="shared" si="870"/>
        <v>90.663799999999995</v>
      </c>
      <c r="BH1266" s="321">
        <f t="shared" si="871"/>
        <v>90.7</v>
      </c>
      <c r="BI1266" s="322">
        <f t="shared" si="872"/>
        <v>9.9999999999994316</v>
      </c>
      <c r="BJ1266" s="322">
        <v>0</v>
      </c>
      <c r="BK1266" s="318">
        <f t="shared" si="873"/>
        <v>9.9999999999994316</v>
      </c>
      <c r="BL1266" s="67"/>
      <c r="BM1266" s="68" t="str">
        <f t="shared" si="874"/>
        <v>Unloading no. 1231 Bill No 2026-27/392 ,Deduction For Oil Deduction= 35045.5571428572 ,Bardana= 0 ,F.M= 0 Brokerage/Rate Difference  ,Shortage = 0 ,Greenish= 0 ,Moisture= 0</v>
      </c>
      <c r="BN1266" s="69"/>
      <c r="BO1266" s="70" t="str">
        <f t="shared" si="875"/>
        <v xml:space="preserve"> Party Condition 42  ,F.M% 0.3 ,Greenish 2.84 ,Moisture 4.6 ,Shortage in KG= 0  ,Oil% 39.98</v>
      </c>
      <c r="BP1266" s="71">
        <f t="shared" si="876"/>
        <v>7647.4580248858074</v>
      </c>
      <c r="BQ1266" s="55"/>
      <c r="BR1266" s="55"/>
      <c r="BS1266" s="41"/>
      <c r="BT1266" s="41"/>
      <c r="BU1266" s="41"/>
      <c r="BV1266" s="41"/>
      <c r="BW1266" s="85"/>
      <c r="BX1266" s="27">
        <v>39.85</v>
      </c>
      <c r="BY1266" s="27">
        <v>39.74</v>
      </c>
    </row>
    <row r="1267" spans="1:77" ht="14.1" hidden="1" customHeight="1" x14ac:dyDescent="0.3">
      <c r="A1267" s="128" t="s">
        <v>2585</v>
      </c>
      <c r="B1267" s="146">
        <v>46212</v>
      </c>
      <c r="C1267" s="138">
        <v>1232</v>
      </c>
      <c r="D1267" s="138" t="s">
        <v>2699</v>
      </c>
      <c r="E1267" s="129">
        <v>46217</v>
      </c>
      <c r="F1267" s="128" t="s">
        <v>1144</v>
      </c>
      <c r="G1267" s="128" t="s">
        <v>1145</v>
      </c>
      <c r="H1267" s="128" t="s">
        <v>100</v>
      </c>
      <c r="I1267" s="136"/>
      <c r="J1267" s="138" t="s">
        <v>1146</v>
      </c>
      <c r="K1267" s="136"/>
      <c r="L1267" s="146">
        <v>46212</v>
      </c>
      <c r="M1267" s="136"/>
      <c r="N1267" s="281" t="s">
        <v>2773</v>
      </c>
      <c r="O1267" s="146">
        <v>46217</v>
      </c>
      <c r="P1267" s="138">
        <v>0</v>
      </c>
      <c r="Q1267" s="138">
        <v>160</v>
      </c>
      <c r="R1267" s="138">
        <v>20</v>
      </c>
      <c r="S1267" s="138">
        <v>180</v>
      </c>
      <c r="T1267" s="138">
        <v>180</v>
      </c>
      <c r="U1267" s="136"/>
      <c r="V1267" s="136"/>
      <c r="W1267" s="147">
        <v>90.2</v>
      </c>
      <c r="X1267" s="147">
        <v>90.2</v>
      </c>
      <c r="Y1267" s="147">
        <v>723855</v>
      </c>
      <c r="Z1267" s="443">
        <v>40.43</v>
      </c>
      <c r="AA1267" s="147">
        <v>18096.38</v>
      </c>
      <c r="AB1267" s="147">
        <v>18096.38</v>
      </c>
      <c r="AC1267" s="147">
        <v>760047.75</v>
      </c>
      <c r="AD1267" s="315">
        <f t="shared" si="879"/>
        <v>759287.70224999997</v>
      </c>
      <c r="AE1267" s="236">
        <v>40.43</v>
      </c>
      <c r="AF1267" s="147">
        <v>42</v>
      </c>
      <c r="AG1267" s="236">
        <v>40.43</v>
      </c>
      <c r="AH1267" s="287">
        <v>2.8999999999999998E-3</v>
      </c>
      <c r="AI1267" s="287">
        <v>0.03</v>
      </c>
      <c r="AJ1267" s="287">
        <v>5.1999999999999998E-2</v>
      </c>
      <c r="AK1267" s="318">
        <f t="shared" si="860"/>
        <v>27058.389285714293</v>
      </c>
      <c r="AL1267" s="193">
        <v>0</v>
      </c>
      <c r="AM1267" s="319">
        <v>0</v>
      </c>
      <c r="AN1267" s="319"/>
      <c r="AO1267" s="320">
        <f t="shared" si="861"/>
        <v>0</v>
      </c>
      <c r="AP1267" s="193">
        <v>0</v>
      </c>
      <c r="AQ1267" s="318">
        <v>0</v>
      </c>
      <c r="AR1267" s="318">
        <f t="shared" si="862"/>
        <v>27058.389285714293</v>
      </c>
      <c r="AS1267" s="318">
        <f t="shared" si="863"/>
        <v>28411</v>
      </c>
      <c r="AT1267" s="321">
        <v>0</v>
      </c>
      <c r="AU1267" s="157"/>
      <c r="AV1267" s="136"/>
      <c r="AW1267" s="318">
        <f t="shared" si="864"/>
        <v>9020</v>
      </c>
      <c r="AX1267" s="193"/>
      <c r="AY1267" s="318">
        <f t="shared" si="865"/>
        <v>9020</v>
      </c>
      <c r="AZ1267" s="318">
        <f t="shared" si="866"/>
        <v>9020</v>
      </c>
      <c r="BA1267" s="318">
        <f t="shared" si="867"/>
        <v>0</v>
      </c>
      <c r="BB1267" s="318">
        <f t="shared" si="868"/>
        <v>18.04</v>
      </c>
      <c r="BC1267" s="318">
        <v>0</v>
      </c>
      <c r="BD1267" s="136"/>
      <c r="BE1267" s="138">
        <v>90.2</v>
      </c>
      <c r="BF1267" s="321">
        <f t="shared" si="869"/>
        <v>0.1353</v>
      </c>
      <c r="BG1267" s="197">
        <f t="shared" si="870"/>
        <v>90.064700000000002</v>
      </c>
      <c r="BH1267" s="321">
        <f t="shared" si="871"/>
        <v>90.2</v>
      </c>
      <c r="BI1267" s="322">
        <f t="shared" si="872"/>
        <v>0</v>
      </c>
      <c r="BJ1267" s="322">
        <v>0</v>
      </c>
      <c r="BK1267" s="318">
        <f t="shared" si="873"/>
        <v>0</v>
      </c>
      <c r="BL1267" s="67"/>
      <c r="BM1267" s="68" t="str">
        <f t="shared" si="874"/>
        <v>Unloading no. 1232 Bill No 2026-27/394 ,Deduction For Oil Deduction= 27058.3892857143 ,Bardana= 0 ,F.M= 0 Brokerage/Rate Difference  ,Shortage = 0 ,Greenish= 0 ,Moisture= 0</v>
      </c>
      <c r="BN1267" s="69"/>
      <c r="BO1267" s="70" t="str">
        <f t="shared" si="875"/>
        <v xml:space="preserve"> Party Condition 42  ,F.M% 0.29 ,Greenish 3 ,Moisture 5.2 ,Shortage in KG= 0  ,Oil% 40.43</v>
      </c>
      <c r="BP1267" s="71">
        <f t="shared" si="876"/>
        <v>7725.0178571428569</v>
      </c>
      <c r="BQ1267" s="55"/>
      <c r="BR1267" s="55"/>
      <c r="BS1267" s="41"/>
      <c r="BT1267" s="41"/>
      <c r="BU1267" s="41"/>
      <c r="BV1267" s="41"/>
      <c r="BW1267" s="85"/>
      <c r="BX1267" s="27">
        <v>40.049999999999997</v>
      </c>
      <c r="BY1267" s="27">
        <v>40.06</v>
      </c>
    </row>
    <row r="1268" spans="1:77" ht="14.1" hidden="1" customHeight="1" x14ac:dyDescent="0.3">
      <c r="A1268" s="128" t="s">
        <v>2585</v>
      </c>
      <c r="B1268" s="146">
        <v>46212</v>
      </c>
      <c r="C1268" s="138">
        <v>1233</v>
      </c>
      <c r="D1268" s="138" t="s">
        <v>2700</v>
      </c>
      <c r="E1268" s="129">
        <v>46217</v>
      </c>
      <c r="F1268" s="128" t="s">
        <v>1144</v>
      </c>
      <c r="G1268" s="128" t="s">
        <v>1145</v>
      </c>
      <c r="H1268" s="128" t="s">
        <v>100</v>
      </c>
      <c r="I1268" s="136"/>
      <c r="J1268" s="138" t="s">
        <v>1146</v>
      </c>
      <c r="K1268" s="136"/>
      <c r="L1268" s="146">
        <v>46212</v>
      </c>
      <c r="M1268" s="136"/>
      <c r="N1268" s="281" t="s">
        <v>2774</v>
      </c>
      <c r="O1268" s="146">
        <v>46217</v>
      </c>
      <c r="P1268" s="138">
        <v>0</v>
      </c>
      <c r="Q1268" s="138">
        <v>130</v>
      </c>
      <c r="R1268" s="138">
        <v>50</v>
      </c>
      <c r="S1268" s="138">
        <v>180</v>
      </c>
      <c r="T1268" s="138">
        <v>180</v>
      </c>
      <c r="U1268" s="136"/>
      <c r="V1268" s="136"/>
      <c r="W1268" s="147">
        <v>89.8</v>
      </c>
      <c r="X1268" s="147">
        <v>89.7</v>
      </c>
      <c r="Y1268" s="147">
        <v>720645</v>
      </c>
      <c r="Z1268" s="443">
        <v>40.619999999999997</v>
      </c>
      <c r="AA1268" s="147">
        <v>18016.13</v>
      </c>
      <c r="AB1268" s="147">
        <v>18016.13</v>
      </c>
      <c r="AC1268" s="147">
        <v>756677.25</v>
      </c>
      <c r="AD1268" s="315">
        <f t="shared" si="879"/>
        <v>755920.57275000005</v>
      </c>
      <c r="AE1268" s="236">
        <v>40.619999999999997</v>
      </c>
      <c r="AF1268" s="147">
        <v>42</v>
      </c>
      <c r="AG1268" s="236">
        <v>40.619999999999997</v>
      </c>
      <c r="AH1268" s="287">
        <v>2E-3</v>
      </c>
      <c r="AI1268" s="287">
        <v>2.9399999999999999E-2</v>
      </c>
      <c r="AJ1268" s="287">
        <v>5.0999999999999997E-2</v>
      </c>
      <c r="AK1268" s="318">
        <f t="shared" si="860"/>
        <v>23678.335714285757</v>
      </c>
      <c r="AL1268" s="193">
        <v>0</v>
      </c>
      <c r="AM1268" s="319">
        <v>0</v>
      </c>
      <c r="AN1268" s="319"/>
      <c r="AO1268" s="320">
        <f t="shared" si="861"/>
        <v>0</v>
      </c>
      <c r="AP1268" s="193">
        <v>0</v>
      </c>
      <c r="AQ1268" s="318">
        <v>0</v>
      </c>
      <c r="AR1268" s="318">
        <f t="shared" si="862"/>
        <v>23678.335714285757</v>
      </c>
      <c r="AS1268" s="318">
        <f t="shared" si="863"/>
        <v>24862</v>
      </c>
      <c r="AT1268" s="321">
        <v>0</v>
      </c>
      <c r="AU1268" s="157"/>
      <c r="AV1268" s="136"/>
      <c r="AW1268" s="318">
        <f t="shared" si="864"/>
        <v>8980</v>
      </c>
      <c r="AX1268" s="193"/>
      <c r="AY1268" s="318">
        <f t="shared" si="865"/>
        <v>8980</v>
      </c>
      <c r="AZ1268" s="318">
        <f t="shared" si="866"/>
        <v>8970</v>
      </c>
      <c r="BA1268" s="318">
        <f t="shared" si="867"/>
        <v>10</v>
      </c>
      <c r="BB1268" s="318">
        <f t="shared" si="868"/>
        <v>17.96</v>
      </c>
      <c r="BC1268" s="318">
        <v>0</v>
      </c>
      <c r="BD1268" s="136"/>
      <c r="BE1268" s="138">
        <v>89.8</v>
      </c>
      <c r="BF1268" s="321">
        <f t="shared" si="869"/>
        <v>0.13469999999999999</v>
      </c>
      <c r="BG1268" s="197">
        <f t="shared" si="870"/>
        <v>89.665300000000002</v>
      </c>
      <c r="BH1268" s="321">
        <f t="shared" si="871"/>
        <v>89.7</v>
      </c>
      <c r="BI1268" s="322">
        <f t="shared" si="872"/>
        <v>9.9999999999994316</v>
      </c>
      <c r="BJ1268" s="322">
        <v>0</v>
      </c>
      <c r="BK1268" s="318">
        <f t="shared" si="873"/>
        <v>9.9999999999994316</v>
      </c>
      <c r="BL1268" s="67"/>
      <c r="BM1268" s="68" t="str">
        <f t="shared" si="874"/>
        <v>Unloading no. 1233 Bill No 2026-27/393 ,Deduction For Oil Deduction= 23678.3357142858 ,Bardana= 0 ,F.M= 0 Brokerage/Rate Difference  ,Shortage = 0 ,Greenish= 0 ,Moisture= 0</v>
      </c>
      <c r="BN1268" s="69"/>
      <c r="BO1268" s="70" t="str">
        <f t="shared" si="875"/>
        <v xml:space="preserve"> Party Condition 42  ,F.M% 0.2 ,Greenish 2.94 ,Moisture 5.1 ,Shortage in KG= 0  ,Oil% 40.62</v>
      </c>
      <c r="BP1268" s="71">
        <f t="shared" si="876"/>
        <v>7769.9739608217869</v>
      </c>
      <c r="BQ1268" s="55"/>
      <c r="BR1268" s="55"/>
      <c r="BS1268" s="41"/>
      <c r="BT1268" s="41"/>
      <c r="BU1268" s="41"/>
      <c r="BV1268" s="41"/>
      <c r="BW1268" s="85"/>
      <c r="BX1268" s="27">
        <v>40.42</v>
      </c>
      <c r="BY1268" s="27">
        <v>40.14</v>
      </c>
    </row>
    <row r="1269" spans="1:77" ht="14.1" hidden="1" customHeight="1" x14ac:dyDescent="0.3">
      <c r="A1269" s="128" t="s">
        <v>2585</v>
      </c>
      <c r="B1269" s="146">
        <v>46212</v>
      </c>
      <c r="C1269" s="138">
        <v>1234</v>
      </c>
      <c r="D1269" s="138" t="s">
        <v>2701</v>
      </c>
      <c r="E1269" s="129">
        <v>46217</v>
      </c>
      <c r="F1269" s="128" t="s">
        <v>1144</v>
      </c>
      <c r="G1269" s="128" t="s">
        <v>1145</v>
      </c>
      <c r="H1269" s="128" t="s">
        <v>100</v>
      </c>
      <c r="I1269" s="136"/>
      <c r="J1269" s="138" t="s">
        <v>1146</v>
      </c>
      <c r="K1269" s="136"/>
      <c r="L1269" s="146">
        <v>46212</v>
      </c>
      <c r="M1269" s="136"/>
      <c r="N1269" s="281" t="s">
        <v>2775</v>
      </c>
      <c r="O1269" s="146">
        <v>46217</v>
      </c>
      <c r="P1269" s="138">
        <v>0</v>
      </c>
      <c r="Q1269" s="138">
        <v>80</v>
      </c>
      <c r="R1269" s="138">
        <v>100</v>
      </c>
      <c r="S1269" s="138">
        <v>180</v>
      </c>
      <c r="T1269" s="138">
        <v>180</v>
      </c>
      <c r="U1269" s="136"/>
      <c r="V1269" s="136"/>
      <c r="W1269" s="147">
        <v>89.8</v>
      </c>
      <c r="X1269" s="147">
        <v>89.8</v>
      </c>
      <c r="Y1269" s="147">
        <v>720645</v>
      </c>
      <c r="Z1269" s="443">
        <v>39.82</v>
      </c>
      <c r="AA1269" s="147">
        <v>18016.13</v>
      </c>
      <c r="AB1269" s="147">
        <v>18016.13</v>
      </c>
      <c r="AC1269" s="147">
        <v>756677.25</v>
      </c>
      <c r="AD1269" s="315">
        <f t="shared" si="879"/>
        <v>755920.57275000005</v>
      </c>
      <c r="AE1269" s="236">
        <v>39.82</v>
      </c>
      <c r="AF1269" s="147">
        <v>42</v>
      </c>
      <c r="AG1269" s="236">
        <v>39.82</v>
      </c>
      <c r="AH1269" s="287">
        <v>2.5000000000000001E-3</v>
      </c>
      <c r="AI1269" s="287">
        <v>2.6200000000000001E-2</v>
      </c>
      <c r="AJ1269" s="287">
        <v>4.8000000000000001E-2</v>
      </c>
      <c r="AK1269" s="318">
        <f t="shared" si="860"/>
        <v>37404.907142857141</v>
      </c>
      <c r="AL1269" s="193">
        <v>0</v>
      </c>
      <c r="AM1269" s="319">
        <v>0</v>
      </c>
      <c r="AN1269" s="319"/>
      <c r="AO1269" s="320">
        <f t="shared" si="861"/>
        <v>0</v>
      </c>
      <c r="AP1269" s="193">
        <v>0</v>
      </c>
      <c r="AQ1269" s="318">
        <v>0</v>
      </c>
      <c r="AR1269" s="318">
        <f t="shared" si="862"/>
        <v>37404.907142857141</v>
      </c>
      <c r="AS1269" s="318">
        <f t="shared" si="863"/>
        <v>39275</v>
      </c>
      <c r="AT1269" s="321">
        <v>0</v>
      </c>
      <c r="AU1269" s="157"/>
      <c r="AV1269" s="136"/>
      <c r="AW1269" s="318">
        <f t="shared" si="864"/>
        <v>8980</v>
      </c>
      <c r="AX1269" s="193"/>
      <c r="AY1269" s="318">
        <f t="shared" si="865"/>
        <v>8980</v>
      </c>
      <c r="AZ1269" s="318">
        <f t="shared" si="866"/>
        <v>8980</v>
      </c>
      <c r="BA1269" s="318">
        <f t="shared" si="867"/>
        <v>0</v>
      </c>
      <c r="BB1269" s="318">
        <f t="shared" si="868"/>
        <v>17.96</v>
      </c>
      <c r="BC1269" s="318">
        <v>0</v>
      </c>
      <c r="BD1269" s="136"/>
      <c r="BE1269" s="138">
        <v>89.8</v>
      </c>
      <c r="BF1269" s="321">
        <f t="shared" si="869"/>
        <v>0.13469999999999999</v>
      </c>
      <c r="BG1269" s="197">
        <f t="shared" si="870"/>
        <v>89.665300000000002</v>
      </c>
      <c r="BH1269" s="321">
        <f t="shared" si="871"/>
        <v>89.8</v>
      </c>
      <c r="BI1269" s="322">
        <f t="shared" si="872"/>
        <v>0</v>
      </c>
      <c r="BJ1269" s="322">
        <v>0</v>
      </c>
      <c r="BK1269" s="318">
        <f t="shared" si="873"/>
        <v>0</v>
      </c>
      <c r="BL1269" s="67"/>
      <c r="BM1269" s="68" t="str">
        <f t="shared" si="874"/>
        <v>Unloading no. 1234 Bill No 2026-27/396 ,Deduction For Oil Deduction= 37404.9071428571 ,Bardana= 0 ,F.M= 0 Brokerage/Rate Difference  ,Shortage = 0 ,Greenish= 0 ,Moisture= 0</v>
      </c>
      <c r="BN1269" s="69"/>
      <c r="BO1269" s="70" t="str">
        <f t="shared" si="875"/>
        <v xml:space="preserve"> Party Condition 42  ,F.M% 0.25 ,Greenish 2.62 ,Moisture 4.8 ,Shortage in KG= 0  ,Oil% 39.82</v>
      </c>
      <c r="BP1269" s="71">
        <f t="shared" si="876"/>
        <v>7608.4642857142862</v>
      </c>
      <c r="BQ1269" s="55"/>
      <c r="BR1269" s="55"/>
      <c r="BS1269" s="41"/>
      <c r="BT1269" s="41"/>
      <c r="BU1269" s="41"/>
      <c r="BV1269" s="41"/>
      <c r="BW1269" s="85"/>
      <c r="BX1269" s="89">
        <v>39.57</v>
      </c>
      <c r="BY1269" s="27">
        <v>39.270000000000003</v>
      </c>
    </row>
    <row r="1270" spans="1:77" ht="14.1" hidden="1" customHeight="1" x14ac:dyDescent="0.3">
      <c r="A1270" s="128" t="s">
        <v>2585</v>
      </c>
      <c r="B1270" s="146">
        <v>46212</v>
      </c>
      <c r="C1270" s="138">
        <v>1235</v>
      </c>
      <c r="D1270" s="138" t="s">
        <v>2702</v>
      </c>
      <c r="E1270" s="129">
        <v>46217</v>
      </c>
      <c r="F1270" s="128" t="s">
        <v>1144</v>
      </c>
      <c r="G1270" s="128" t="s">
        <v>1145</v>
      </c>
      <c r="H1270" s="128" t="s">
        <v>100</v>
      </c>
      <c r="I1270" s="136"/>
      <c r="J1270" s="138" t="s">
        <v>1146</v>
      </c>
      <c r="K1270" s="136"/>
      <c r="L1270" s="146">
        <v>46212</v>
      </c>
      <c r="M1270" s="136"/>
      <c r="N1270" s="281" t="s">
        <v>2776</v>
      </c>
      <c r="O1270" s="146">
        <v>46217</v>
      </c>
      <c r="P1270" s="138">
        <v>0</v>
      </c>
      <c r="Q1270" s="138">
        <v>120</v>
      </c>
      <c r="R1270" s="138">
        <v>60</v>
      </c>
      <c r="S1270" s="138">
        <v>180</v>
      </c>
      <c r="T1270" s="138">
        <v>180</v>
      </c>
      <c r="U1270" s="136"/>
      <c r="V1270" s="136"/>
      <c r="W1270" s="147">
        <v>90.2</v>
      </c>
      <c r="X1270" s="147">
        <v>90.2</v>
      </c>
      <c r="Y1270" s="147">
        <v>723855</v>
      </c>
      <c r="Z1270" s="443">
        <v>39.799999999999997</v>
      </c>
      <c r="AA1270" s="147">
        <v>18096.38</v>
      </c>
      <c r="AB1270" s="147">
        <v>18096.38</v>
      </c>
      <c r="AC1270" s="147">
        <v>760047.75</v>
      </c>
      <c r="AD1270" s="315">
        <f t="shared" si="879"/>
        <v>759287.70224999997</v>
      </c>
      <c r="AE1270" s="236">
        <v>39.799999999999997</v>
      </c>
      <c r="AF1270" s="147">
        <v>42</v>
      </c>
      <c r="AG1270" s="236">
        <v>39.799999999999997</v>
      </c>
      <c r="AH1270" s="287">
        <v>2E-3</v>
      </c>
      <c r="AI1270" s="287">
        <v>4.4600000000000001E-2</v>
      </c>
      <c r="AJ1270" s="287">
        <v>4.7E-2</v>
      </c>
      <c r="AK1270" s="318">
        <f t="shared" si="860"/>
        <v>37916.214285714334</v>
      </c>
      <c r="AL1270" s="193">
        <v>0</v>
      </c>
      <c r="AM1270" s="319">
        <v>0</v>
      </c>
      <c r="AN1270" s="319"/>
      <c r="AO1270" s="320">
        <f t="shared" si="861"/>
        <v>0</v>
      </c>
      <c r="AP1270" s="193">
        <v>0</v>
      </c>
      <c r="AQ1270" s="318">
        <v>0</v>
      </c>
      <c r="AR1270" s="318">
        <f t="shared" si="862"/>
        <v>37916.214285714334</v>
      </c>
      <c r="AS1270" s="318">
        <f t="shared" si="863"/>
        <v>39812</v>
      </c>
      <c r="AT1270" s="321">
        <v>0</v>
      </c>
      <c r="AU1270" s="157"/>
      <c r="AV1270" s="136"/>
      <c r="AW1270" s="318">
        <f t="shared" si="864"/>
        <v>9020</v>
      </c>
      <c r="AX1270" s="193"/>
      <c r="AY1270" s="318">
        <f t="shared" si="865"/>
        <v>9020</v>
      </c>
      <c r="AZ1270" s="318">
        <f t="shared" si="866"/>
        <v>9020</v>
      </c>
      <c r="BA1270" s="318">
        <f t="shared" si="867"/>
        <v>0</v>
      </c>
      <c r="BB1270" s="318">
        <f t="shared" si="868"/>
        <v>18.04</v>
      </c>
      <c r="BC1270" s="318">
        <v>0</v>
      </c>
      <c r="BD1270" s="136"/>
      <c r="BE1270" s="138">
        <v>90.2</v>
      </c>
      <c r="BF1270" s="321">
        <f t="shared" si="869"/>
        <v>0.1353</v>
      </c>
      <c r="BG1270" s="197">
        <f t="shared" si="870"/>
        <v>90.064700000000002</v>
      </c>
      <c r="BH1270" s="321">
        <f t="shared" si="871"/>
        <v>90.2</v>
      </c>
      <c r="BI1270" s="322">
        <f t="shared" si="872"/>
        <v>0</v>
      </c>
      <c r="BJ1270" s="322">
        <v>0</v>
      </c>
      <c r="BK1270" s="318">
        <f t="shared" si="873"/>
        <v>0</v>
      </c>
      <c r="BL1270" s="67"/>
      <c r="BM1270" s="68" t="str">
        <f t="shared" si="874"/>
        <v>Unloading no. 1235 Bill No 2026-27/395 ,Deduction For Oil Deduction= 37916.2142857143 ,Bardana= 0 ,F.M= 0 Brokerage/Rate Difference  ,Shortage = 0 ,Greenish= 0 ,Moisture= 0</v>
      </c>
      <c r="BN1270" s="69"/>
      <c r="BO1270" s="70" t="str">
        <f t="shared" si="875"/>
        <v xml:space="preserve"> Party Condition 42  ,F.M% 0.2 ,Greenish 4.46 ,Moisture 4.7 ,Shortage in KG= 0  ,Oil% 39.8</v>
      </c>
      <c r="BP1270" s="71">
        <f t="shared" si="876"/>
        <v>7604.6428571428569</v>
      </c>
      <c r="BQ1270" s="55"/>
      <c r="BR1270" s="55"/>
      <c r="BS1270" s="41"/>
      <c r="BT1270" s="41"/>
      <c r="BU1270" s="41"/>
      <c r="BV1270" s="41"/>
      <c r="BW1270" s="85"/>
      <c r="BX1270" s="89">
        <v>39.5</v>
      </c>
      <c r="BY1270" s="27">
        <v>39.33</v>
      </c>
    </row>
    <row r="1271" spans="1:77" ht="14.1" hidden="1" customHeight="1" x14ac:dyDescent="0.3">
      <c r="A1271" s="128" t="s">
        <v>2585</v>
      </c>
      <c r="B1271" s="146">
        <v>46212</v>
      </c>
      <c r="C1271" s="138">
        <v>1236</v>
      </c>
      <c r="D1271" s="138" t="s">
        <v>2703</v>
      </c>
      <c r="E1271" s="129">
        <v>46217</v>
      </c>
      <c r="F1271" s="128" t="s">
        <v>1144</v>
      </c>
      <c r="G1271" s="128" t="s">
        <v>1145</v>
      </c>
      <c r="H1271" s="128" t="s">
        <v>100</v>
      </c>
      <c r="I1271" s="136"/>
      <c r="J1271" s="138" t="s">
        <v>1146</v>
      </c>
      <c r="K1271" s="136"/>
      <c r="L1271" s="146">
        <v>46212</v>
      </c>
      <c r="M1271" s="136"/>
      <c r="N1271" s="281" t="s">
        <v>2777</v>
      </c>
      <c r="O1271" s="146">
        <v>46217</v>
      </c>
      <c r="P1271" s="138">
        <v>0</v>
      </c>
      <c r="Q1271" s="138">
        <v>150</v>
      </c>
      <c r="R1271" s="138">
        <v>30</v>
      </c>
      <c r="S1271" s="138">
        <v>180</v>
      </c>
      <c r="T1271" s="138">
        <v>180</v>
      </c>
      <c r="U1271" s="136"/>
      <c r="V1271" s="136"/>
      <c r="W1271" s="147">
        <v>90.7</v>
      </c>
      <c r="X1271" s="147">
        <v>90.7</v>
      </c>
      <c r="Y1271" s="147">
        <v>727867.5</v>
      </c>
      <c r="Z1271" s="443">
        <v>39.85</v>
      </c>
      <c r="AA1271" s="147">
        <v>18196.689999999999</v>
      </c>
      <c r="AB1271" s="147">
        <v>18196.689999999999</v>
      </c>
      <c r="AC1271" s="147">
        <v>764260.88</v>
      </c>
      <c r="AD1271" s="315">
        <f t="shared" si="879"/>
        <v>763496.61912000005</v>
      </c>
      <c r="AE1271" s="236">
        <v>39.85</v>
      </c>
      <c r="AF1271" s="147">
        <v>42</v>
      </c>
      <c r="AG1271" s="236">
        <v>39.85</v>
      </c>
      <c r="AH1271" s="287">
        <v>3.8999999999999998E-3</v>
      </c>
      <c r="AI1271" s="287">
        <v>2.3599999999999999E-2</v>
      </c>
      <c r="AJ1271" s="287">
        <v>0.05</v>
      </c>
      <c r="AK1271" s="318">
        <f t="shared" si="860"/>
        <v>37259.883928571406</v>
      </c>
      <c r="AL1271" s="193">
        <v>0</v>
      </c>
      <c r="AM1271" s="319">
        <v>0</v>
      </c>
      <c r="AN1271" s="319"/>
      <c r="AO1271" s="320">
        <f t="shared" si="861"/>
        <v>0</v>
      </c>
      <c r="AP1271" s="193">
        <v>0</v>
      </c>
      <c r="AQ1271" s="318">
        <v>0</v>
      </c>
      <c r="AR1271" s="318">
        <f t="shared" si="862"/>
        <v>37259.883928571406</v>
      </c>
      <c r="AS1271" s="318">
        <f t="shared" si="863"/>
        <v>39123</v>
      </c>
      <c r="AT1271" s="321">
        <v>0</v>
      </c>
      <c r="AU1271" s="157"/>
      <c r="AV1271" s="136"/>
      <c r="AW1271" s="318">
        <f t="shared" si="864"/>
        <v>9070</v>
      </c>
      <c r="AX1271" s="193"/>
      <c r="AY1271" s="318">
        <f t="shared" si="865"/>
        <v>9070</v>
      </c>
      <c r="AZ1271" s="318">
        <f t="shared" si="866"/>
        <v>9070</v>
      </c>
      <c r="BA1271" s="318">
        <f t="shared" si="867"/>
        <v>0</v>
      </c>
      <c r="BB1271" s="318">
        <f t="shared" si="868"/>
        <v>18.14</v>
      </c>
      <c r="BC1271" s="318">
        <v>0</v>
      </c>
      <c r="BD1271" s="136"/>
      <c r="BE1271" s="138">
        <v>90.7</v>
      </c>
      <c r="BF1271" s="321">
        <f t="shared" si="869"/>
        <v>0.13605</v>
      </c>
      <c r="BG1271" s="197">
        <f t="shared" si="870"/>
        <v>90.563950000000006</v>
      </c>
      <c r="BH1271" s="321">
        <f t="shared" si="871"/>
        <v>90.7</v>
      </c>
      <c r="BI1271" s="322">
        <f t="shared" si="872"/>
        <v>0</v>
      </c>
      <c r="BJ1271" s="322">
        <v>0</v>
      </c>
      <c r="BK1271" s="318">
        <f t="shared" si="873"/>
        <v>0</v>
      </c>
      <c r="BL1271" s="67"/>
      <c r="BM1271" s="68" t="str">
        <f t="shared" si="874"/>
        <v>Unloading no. 1236 Bill No 2026-27/397 ,Deduction For Oil Deduction= 37259.8839285714 ,Bardana= 0 ,F.M= 0 Brokerage/Rate Difference  ,Shortage = 0 ,Greenish= 0 ,Moisture= 0</v>
      </c>
      <c r="BN1271" s="69"/>
      <c r="BO1271" s="70" t="str">
        <f t="shared" si="875"/>
        <v xml:space="preserve"> Party Condition 42  ,F.M% 0.39 ,Greenish 2.36 ,Moisture 5 ,Shortage in KG= 0  ,Oil% 39.85</v>
      </c>
      <c r="BP1271" s="71">
        <f t="shared" si="876"/>
        <v>7614.1964285714294</v>
      </c>
      <c r="BQ1271" s="55"/>
      <c r="BR1271" s="55"/>
      <c r="BS1271" s="41"/>
      <c r="BT1271" s="41"/>
      <c r="BU1271" s="41"/>
      <c r="BV1271" s="41"/>
      <c r="BW1271" s="85"/>
      <c r="BX1271" s="89">
        <v>39.6</v>
      </c>
      <c r="BY1271" s="27">
        <v>39.42</v>
      </c>
    </row>
    <row r="1272" spans="1:77" ht="14.1" hidden="1" customHeight="1" x14ac:dyDescent="0.3">
      <c r="A1272" s="128" t="s">
        <v>2585</v>
      </c>
      <c r="B1272" s="146">
        <v>46212</v>
      </c>
      <c r="C1272" s="138">
        <v>1237</v>
      </c>
      <c r="D1272" s="138" t="s">
        <v>2704</v>
      </c>
      <c r="E1272" s="129">
        <v>46217</v>
      </c>
      <c r="F1272" s="128" t="s">
        <v>1144</v>
      </c>
      <c r="G1272" s="128" t="s">
        <v>1145</v>
      </c>
      <c r="H1272" s="128" t="s">
        <v>100</v>
      </c>
      <c r="I1272" s="136"/>
      <c r="J1272" s="138" t="s">
        <v>1146</v>
      </c>
      <c r="K1272" s="136"/>
      <c r="L1272" s="146">
        <v>46212</v>
      </c>
      <c r="M1272" s="136"/>
      <c r="N1272" s="281" t="s">
        <v>2778</v>
      </c>
      <c r="O1272" s="146">
        <v>46217</v>
      </c>
      <c r="P1272" s="138">
        <v>0</v>
      </c>
      <c r="Q1272" s="138">
        <v>110</v>
      </c>
      <c r="R1272" s="138">
        <v>70</v>
      </c>
      <c r="S1272" s="138">
        <v>180</v>
      </c>
      <c r="T1272" s="138">
        <v>180</v>
      </c>
      <c r="U1272" s="136"/>
      <c r="V1272" s="136"/>
      <c r="W1272" s="147">
        <v>90.5</v>
      </c>
      <c r="X1272" s="147">
        <v>90.4</v>
      </c>
      <c r="Y1272" s="147">
        <v>726262.5</v>
      </c>
      <c r="Z1272" s="443">
        <v>39.659999999999997</v>
      </c>
      <c r="AA1272" s="147">
        <v>18156.560000000001</v>
      </c>
      <c r="AB1272" s="147">
        <v>18156.560000000001</v>
      </c>
      <c r="AC1272" s="147">
        <v>762575.63</v>
      </c>
      <c r="AD1272" s="315">
        <f t="shared" si="879"/>
        <v>761813.05437000003</v>
      </c>
      <c r="AE1272" s="236">
        <v>39.659999999999997</v>
      </c>
      <c r="AF1272" s="147">
        <v>42</v>
      </c>
      <c r="AG1272" s="236">
        <v>39.659999999999997</v>
      </c>
      <c r="AH1272" s="287">
        <v>3.5000000000000001E-3</v>
      </c>
      <c r="AI1272" s="287">
        <v>2.5399999999999999E-2</v>
      </c>
      <c r="AJ1272" s="287">
        <v>4.9000000000000002E-2</v>
      </c>
      <c r="AK1272" s="318">
        <f t="shared" si="860"/>
        <v>40463.196428571486</v>
      </c>
      <c r="AL1272" s="193">
        <v>0</v>
      </c>
      <c r="AM1272" s="319">
        <v>0</v>
      </c>
      <c r="AN1272" s="319"/>
      <c r="AO1272" s="320">
        <f t="shared" si="861"/>
        <v>0</v>
      </c>
      <c r="AP1272" s="193">
        <v>0</v>
      </c>
      <c r="AQ1272" s="318">
        <v>0</v>
      </c>
      <c r="AR1272" s="318">
        <f t="shared" si="862"/>
        <v>40463.196428571486</v>
      </c>
      <c r="AS1272" s="318">
        <f t="shared" si="863"/>
        <v>42486</v>
      </c>
      <c r="AT1272" s="321">
        <v>0</v>
      </c>
      <c r="AU1272" s="157"/>
      <c r="AV1272" s="136"/>
      <c r="AW1272" s="318">
        <f t="shared" si="864"/>
        <v>9050</v>
      </c>
      <c r="AX1272" s="193"/>
      <c r="AY1272" s="318">
        <f t="shared" si="865"/>
        <v>9050</v>
      </c>
      <c r="AZ1272" s="318">
        <f t="shared" si="866"/>
        <v>9040</v>
      </c>
      <c r="BA1272" s="318">
        <f t="shared" si="867"/>
        <v>10</v>
      </c>
      <c r="BB1272" s="318">
        <f t="shared" si="868"/>
        <v>18.100000000000001</v>
      </c>
      <c r="BC1272" s="318">
        <v>0</v>
      </c>
      <c r="BD1272" s="136"/>
      <c r="BE1272" s="138">
        <v>90.5</v>
      </c>
      <c r="BF1272" s="321">
        <f t="shared" si="869"/>
        <v>0.13574999999999998</v>
      </c>
      <c r="BG1272" s="197">
        <f t="shared" si="870"/>
        <v>90.364249999999998</v>
      </c>
      <c r="BH1272" s="321">
        <f t="shared" si="871"/>
        <v>90.4</v>
      </c>
      <c r="BI1272" s="322">
        <f t="shared" si="872"/>
        <v>9.9999999999994316</v>
      </c>
      <c r="BJ1272" s="322">
        <v>0</v>
      </c>
      <c r="BK1272" s="318">
        <f t="shared" si="873"/>
        <v>9.9999999999994316</v>
      </c>
      <c r="BL1272" s="67"/>
      <c r="BM1272" s="68" t="str">
        <f t="shared" si="874"/>
        <v>Unloading no. 1237 Bill No 2026-27/398 ,Deduction For Oil Deduction= 40463.1964285715 ,Bardana= 0 ,F.M= 0 Brokerage/Rate Difference  ,Shortage = 0 ,Greenish= 0 ,Moisture= 0</v>
      </c>
      <c r="BN1272" s="69"/>
      <c r="BO1272" s="70" t="str">
        <f t="shared" si="875"/>
        <v xml:space="preserve"> Party Condition 42  ,F.M% 0.35 ,Greenish 2.54 ,Moisture 4.9 ,Shortage in KG= 0  ,Oil% 39.66</v>
      </c>
      <c r="BP1272" s="71">
        <f t="shared" si="876"/>
        <v>7586.2754819848287</v>
      </c>
      <c r="BQ1272" s="55"/>
      <c r="BR1272" s="55"/>
      <c r="BS1272" s="41"/>
      <c r="BT1272" s="41"/>
      <c r="BU1272" s="41"/>
      <c r="BV1272" s="41"/>
      <c r="BW1272" s="85"/>
      <c r="BX1272" s="89">
        <v>39.51</v>
      </c>
      <c r="BY1272" s="27">
        <v>39.28</v>
      </c>
    </row>
    <row r="1273" spans="1:77" ht="14.1" hidden="1" customHeight="1" x14ac:dyDescent="0.3">
      <c r="A1273" s="128" t="s">
        <v>2585</v>
      </c>
      <c r="B1273" s="146">
        <v>46212</v>
      </c>
      <c r="C1273" s="138">
        <v>1238</v>
      </c>
      <c r="D1273" s="138" t="s">
        <v>2705</v>
      </c>
      <c r="E1273" s="129">
        <v>46217</v>
      </c>
      <c r="F1273" s="128" t="s">
        <v>1144</v>
      </c>
      <c r="G1273" s="128" t="s">
        <v>1145</v>
      </c>
      <c r="H1273" s="128" t="s">
        <v>100</v>
      </c>
      <c r="I1273" s="136"/>
      <c r="J1273" s="138" t="s">
        <v>1146</v>
      </c>
      <c r="K1273" s="136"/>
      <c r="L1273" s="146">
        <v>46212</v>
      </c>
      <c r="M1273" s="136"/>
      <c r="N1273" s="281" t="s">
        <v>2779</v>
      </c>
      <c r="O1273" s="146">
        <v>46217</v>
      </c>
      <c r="P1273" s="138">
        <v>0</v>
      </c>
      <c r="Q1273" s="138">
        <v>155</v>
      </c>
      <c r="R1273" s="138">
        <v>25</v>
      </c>
      <c r="S1273" s="138">
        <v>180</v>
      </c>
      <c r="T1273" s="138">
        <v>180</v>
      </c>
      <c r="U1273" s="136"/>
      <c r="V1273" s="136"/>
      <c r="W1273" s="147">
        <v>90.4</v>
      </c>
      <c r="X1273" s="147">
        <v>90.3</v>
      </c>
      <c r="Y1273" s="147">
        <v>725460</v>
      </c>
      <c r="Z1273" s="443">
        <v>39.74</v>
      </c>
      <c r="AA1273" s="147">
        <v>18136.5</v>
      </c>
      <c r="AB1273" s="147">
        <v>18136.5</v>
      </c>
      <c r="AC1273" s="147">
        <v>761733</v>
      </c>
      <c r="AD1273" s="315">
        <f t="shared" si="879"/>
        <v>760971.26699999999</v>
      </c>
      <c r="AE1273" s="236">
        <v>39.74</v>
      </c>
      <c r="AF1273" s="147">
        <v>42</v>
      </c>
      <c r="AG1273" s="236">
        <v>39.74</v>
      </c>
      <c r="AH1273" s="287">
        <v>2.3E-3</v>
      </c>
      <c r="AI1273" s="287">
        <v>3.32E-2</v>
      </c>
      <c r="AJ1273" s="287">
        <v>4.8000000000000001E-2</v>
      </c>
      <c r="AK1273" s="318">
        <f t="shared" si="860"/>
        <v>39036.657142857111</v>
      </c>
      <c r="AL1273" s="193">
        <v>0</v>
      </c>
      <c r="AM1273" s="319">
        <v>0</v>
      </c>
      <c r="AN1273" s="319"/>
      <c r="AO1273" s="320">
        <f t="shared" si="861"/>
        <v>0</v>
      </c>
      <c r="AP1273" s="193">
        <v>0</v>
      </c>
      <c r="AQ1273" s="318">
        <v>0</v>
      </c>
      <c r="AR1273" s="318">
        <f t="shared" si="862"/>
        <v>39036.657142857111</v>
      </c>
      <c r="AS1273" s="318">
        <f t="shared" si="863"/>
        <v>40988</v>
      </c>
      <c r="AT1273" s="321">
        <v>0</v>
      </c>
      <c r="AU1273" s="157"/>
      <c r="AV1273" s="136"/>
      <c r="AW1273" s="318">
        <f t="shared" si="864"/>
        <v>9040</v>
      </c>
      <c r="AX1273" s="193"/>
      <c r="AY1273" s="318">
        <f t="shared" si="865"/>
        <v>9040</v>
      </c>
      <c r="AZ1273" s="318">
        <f t="shared" si="866"/>
        <v>9030</v>
      </c>
      <c r="BA1273" s="318">
        <f t="shared" si="867"/>
        <v>10</v>
      </c>
      <c r="BB1273" s="318">
        <f t="shared" si="868"/>
        <v>18.079999999999998</v>
      </c>
      <c r="BC1273" s="318">
        <v>0</v>
      </c>
      <c r="BD1273" s="136"/>
      <c r="BE1273" s="138">
        <v>90.4</v>
      </c>
      <c r="BF1273" s="321">
        <f t="shared" si="869"/>
        <v>0.1356</v>
      </c>
      <c r="BG1273" s="197">
        <f t="shared" si="870"/>
        <v>90.264400000000009</v>
      </c>
      <c r="BH1273" s="321">
        <f t="shared" si="871"/>
        <v>90.3</v>
      </c>
      <c r="BI1273" s="322">
        <f t="shared" si="872"/>
        <v>10.000000000000853</v>
      </c>
      <c r="BJ1273" s="322">
        <v>0</v>
      </c>
      <c r="BK1273" s="318">
        <f t="shared" si="873"/>
        <v>10.000000000000853</v>
      </c>
      <c r="BL1273" s="67"/>
      <c r="BM1273" s="68" t="str">
        <f t="shared" si="874"/>
        <v>Unloading no. 1238 Bill No 2026-27/399 ,Deduction For Oil Deduction= 39036.6571428571 ,Bardana= 0 ,F.M= 0 Brokerage/Rate Difference  ,Shortage = 0 ,Greenish= 0 ,Moisture= 0</v>
      </c>
      <c r="BN1273" s="69"/>
      <c r="BO1273" s="70" t="str">
        <f t="shared" si="875"/>
        <v xml:space="preserve"> Party Condition 42  ,F.M% 0.23 ,Greenish 3.32 ,Moisture 4.8 ,Shortage in KG= 0  ,Oil% 39.74</v>
      </c>
      <c r="BP1273" s="71">
        <f t="shared" si="876"/>
        <v>7601.5874070558466</v>
      </c>
      <c r="BQ1273" s="55"/>
      <c r="BR1273" s="55"/>
      <c r="BS1273" s="41"/>
      <c r="BT1273" s="41"/>
      <c r="BU1273" s="41"/>
      <c r="BV1273" s="41"/>
      <c r="BW1273" s="85"/>
      <c r="BX1273" s="89">
        <v>39.770000000000003</v>
      </c>
      <c r="BY1273" s="27">
        <v>39.479999999999997</v>
      </c>
    </row>
    <row r="1274" spans="1:77" ht="14.1" hidden="1" customHeight="1" x14ac:dyDescent="0.3">
      <c r="A1274" s="128" t="s">
        <v>2585</v>
      </c>
      <c r="B1274" s="146">
        <v>46212</v>
      </c>
      <c r="C1274" s="138">
        <v>1239</v>
      </c>
      <c r="D1274" s="138" t="s">
        <v>2706</v>
      </c>
      <c r="E1274" s="129">
        <v>46217</v>
      </c>
      <c r="F1274" s="128" t="s">
        <v>1144</v>
      </c>
      <c r="G1274" s="128" t="s">
        <v>1145</v>
      </c>
      <c r="H1274" s="128" t="s">
        <v>100</v>
      </c>
      <c r="I1274" s="136"/>
      <c r="J1274" s="138" t="s">
        <v>1146</v>
      </c>
      <c r="K1274" s="136"/>
      <c r="L1274" s="146">
        <v>46212</v>
      </c>
      <c r="M1274" s="136"/>
      <c r="N1274" s="281" t="s">
        <v>2780</v>
      </c>
      <c r="O1274" s="146">
        <v>46217</v>
      </c>
      <c r="P1274" s="138">
        <v>0</v>
      </c>
      <c r="Q1274" s="138">
        <v>110</v>
      </c>
      <c r="R1274" s="138">
        <v>70</v>
      </c>
      <c r="S1274" s="138">
        <v>180</v>
      </c>
      <c r="T1274" s="138">
        <v>180</v>
      </c>
      <c r="U1274" s="136"/>
      <c r="V1274" s="136"/>
      <c r="W1274" s="147">
        <v>89.9</v>
      </c>
      <c r="X1274" s="147">
        <v>89.9</v>
      </c>
      <c r="Y1274" s="147">
        <v>721447.5</v>
      </c>
      <c r="Z1274" s="443">
        <v>39.94</v>
      </c>
      <c r="AA1274" s="147">
        <v>18036.189999999999</v>
      </c>
      <c r="AB1274" s="147">
        <v>18036.189999999999</v>
      </c>
      <c r="AC1274" s="147">
        <v>757519.88</v>
      </c>
      <c r="AD1274" s="315">
        <f t="shared" si="879"/>
        <v>756762.36011999997</v>
      </c>
      <c r="AE1274" s="236">
        <v>39.94</v>
      </c>
      <c r="AF1274" s="147">
        <v>42</v>
      </c>
      <c r="AG1274" s="236">
        <v>39.94</v>
      </c>
      <c r="AH1274" s="287">
        <v>2.5999999999999999E-3</v>
      </c>
      <c r="AI1274" s="287">
        <v>2.9399999999999999E-2</v>
      </c>
      <c r="AJ1274" s="287">
        <v>0.05</v>
      </c>
      <c r="AK1274" s="318">
        <f t="shared" si="860"/>
        <v>35385.282142857184</v>
      </c>
      <c r="AL1274" s="193">
        <v>0</v>
      </c>
      <c r="AM1274" s="319">
        <v>0</v>
      </c>
      <c r="AN1274" s="319"/>
      <c r="AO1274" s="320">
        <f t="shared" si="861"/>
        <v>0</v>
      </c>
      <c r="AP1274" s="193">
        <v>0</v>
      </c>
      <c r="AQ1274" s="318">
        <v>0</v>
      </c>
      <c r="AR1274" s="318">
        <f t="shared" si="862"/>
        <v>35385.282142857184</v>
      </c>
      <c r="AS1274" s="318">
        <f t="shared" si="863"/>
        <v>37155</v>
      </c>
      <c r="AT1274" s="321">
        <v>0</v>
      </c>
      <c r="AU1274" s="157"/>
      <c r="AV1274" s="136"/>
      <c r="AW1274" s="318">
        <f t="shared" si="864"/>
        <v>8990</v>
      </c>
      <c r="AX1274" s="193"/>
      <c r="AY1274" s="318">
        <f t="shared" si="865"/>
        <v>8990</v>
      </c>
      <c r="AZ1274" s="318">
        <f t="shared" si="866"/>
        <v>8990</v>
      </c>
      <c r="BA1274" s="318">
        <f t="shared" si="867"/>
        <v>0</v>
      </c>
      <c r="BB1274" s="318">
        <f t="shared" si="868"/>
        <v>17.98</v>
      </c>
      <c r="BC1274" s="318">
        <v>0</v>
      </c>
      <c r="BD1274" s="136"/>
      <c r="BE1274" s="138">
        <v>89.9</v>
      </c>
      <c r="BF1274" s="321">
        <f t="shared" si="869"/>
        <v>0.13485000000000003</v>
      </c>
      <c r="BG1274" s="197">
        <f t="shared" si="870"/>
        <v>89.765150000000006</v>
      </c>
      <c r="BH1274" s="321">
        <f t="shared" si="871"/>
        <v>89.9</v>
      </c>
      <c r="BI1274" s="322">
        <f t="shared" si="872"/>
        <v>0</v>
      </c>
      <c r="BJ1274" s="322">
        <v>0</v>
      </c>
      <c r="BK1274" s="318">
        <f t="shared" si="873"/>
        <v>0</v>
      </c>
      <c r="BL1274" s="67"/>
      <c r="BM1274" s="68" t="str">
        <f t="shared" si="874"/>
        <v>Unloading no. 1239 Bill No 2026-27/400 ,Deduction For Oil Deduction= 35385.2821428572 ,Bardana= 0 ,F.M= 0 Brokerage/Rate Difference  ,Shortage = 0 ,Greenish= 0 ,Moisture= 0</v>
      </c>
      <c r="BN1274" s="69"/>
      <c r="BO1274" s="70" t="str">
        <f t="shared" si="875"/>
        <v xml:space="preserve"> Party Condition 42  ,F.M% 0.26 ,Greenish 2.94 ,Moisture 5 ,Shortage in KG= 0  ,Oil% 39.94</v>
      </c>
      <c r="BP1274" s="71">
        <f t="shared" si="876"/>
        <v>7631.392857142856</v>
      </c>
      <c r="BQ1274" s="55"/>
      <c r="BR1274" s="55"/>
      <c r="BS1274" s="41"/>
      <c r="BT1274" s="41"/>
      <c r="BU1274" s="41"/>
      <c r="BV1274" s="41"/>
      <c r="BW1274" s="85"/>
      <c r="BX1274" s="89">
        <v>39.799999999999997</v>
      </c>
      <c r="BY1274" s="27">
        <v>39.630000000000003</v>
      </c>
    </row>
    <row r="1275" spans="1:77" ht="14.1" hidden="1" customHeight="1" x14ac:dyDescent="0.3">
      <c r="A1275" s="128" t="s">
        <v>2585</v>
      </c>
      <c r="B1275" s="146">
        <v>46212</v>
      </c>
      <c r="C1275" s="138">
        <v>1240</v>
      </c>
      <c r="D1275" s="138" t="s">
        <v>2707</v>
      </c>
      <c r="E1275" s="129">
        <v>46217</v>
      </c>
      <c r="F1275" s="128" t="s">
        <v>1144</v>
      </c>
      <c r="G1275" s="128" t="s">
        <v>1145</v>
      </c>
      <c r="H1275" s="128" t="s">
        <v>100</v>
      </c>
      <c r="I1275" s="136"/>
      <c r="J1275" s="138" t="s">
        <v>1146</v>
      </c>
      <c r="K1275" s="136"/>
      <c r="L1275" s="146">
        <v>46212</v>
      </c>
      <c r="M1275" s="136"/>
      <c r="N1275" s="281" t="s">
        <v>2781</v>
      </c>
      <c r="O1275" s="146">
        <v>46217</v>
      </c>
      <c r="P1275" s="138">
        <v>0</v>
      </c>
      <c r="Q1275" s="138">
        <v>160</v>
      </c>
      <c r="R1275" s="138">
        <v>20</v>
      </c>
      <c r="S1275" s="138">
        <v>180</v>
      </c>
      <c r="T1275" s="138">
        <v>180</v>
      </c>
      <c r="U1275" s="136"/>
      <c r="V1275" s="136"/>
      <c r="W1275" s="147">
        <v>89.5</v>
      </c>
      <c r="X1275" s="147">
        <v>89.6</v>
      </c>
      <c r="Y1275" s="147">
        <v>718237.5</v>
      </c>
      <c r="Z1275" s="443">
        <v>39.75</v>
      </c>
      <c r="AA1275" s="147">
        <v>17955.939999999999</v>
      </c>
      <c r="AB1275" s="147">
        <v>17955.939999999999</v>
      </c>
      <c r="AC1275" s="147">
        <v>754149.38</v>
      </c>
      <c r="AD1275" s="315">
        <f t="shared" si="879"/>
        <v>753395.23062000005</v>
      </c>
      <c r="AE1275" s="236">
        <v>39.75</v>
      </c>
      <c r="AF1275" s="147">
        <v>42</v>
      </c>
      <c r="AG1275" s="236">
        <v>39.75</v>
      </c>
      <c r="AH1275" s="287">
        <v>2E-3</v>
      </c>
      <c r="AI1275" s="287">
        <v>3.6799999999999999E-2</v>
      </c>
      <c r="AJ1275" s="287">
        <v>4.5999999999999999E-2</v>
      </c>
      <c r="AK1275" s="318">
        <f t="shared" si="860"/>
        <v>38477.008928571428</v>
      </c>
      <c r="AL1275" s="193">
        <v>0</v>
      </c>
      <c r="AM1275" s="319">
        <v>0</v>
      </c>
      <c r="AN1275" s="319"/>
      <c r="AO1275" s="320">
        <f t="shared" si="861"/>
        <v>0</v>
      </c>
      <c r="AP1275" s="193">
        <v>0</v>
      </c>
      <c r="AQ1275" s="318">
        <v>0</v>
      </c>
      <c r="AR1275" s="318">
        <f t="shared" si="862"/>
        <v>38477.008928571428</v>
      </c>
      <c r="AS1275" s="318">
        <f t="shared" si="863"/>
        <v>40401</v>
      </c>
      <c r="AT1275" s="321">
        <v>0</v>
      </c>
      <c r="AU1275" s="157"/>
      <c r="AV1275" s="136"/>
      <c r="AW1275" s="318">
        <f t="shared" si="864"/>
        <v>8950</v>
      </c>
      <c r="AX1275" s="193"/>
      <c r="AY1275" s="318">
        <f t="shared" si="865"/>
        <v>8950</v>
      </c>
      <c r="AZ1275" s="318">
        <f t="shared" si="866"/>
        <v>8960</v>
      </c>
      <c r="BA1275" s="318">
        <f t="shared" si="867"/>
        <v>-10</v>
      </c>
      <c r="BB1275" s="318">
        <f t="shared" si="868"/>
        <v>17.899999999999999</v>
      </c>
      <c r="BC1275" s="318">
        <v>0</v>
      </c>
      <c r="BD1275" s="136"/>
      <c r="BE1275" s="138">
        <v>89.5</v>
      </c>
      <c r="BF1275" s="321">
        <f t="shared" si="869"/>
        <v>0.13424999999999998</v>
      </c>
      <c r="BG1275" s="197">
        <f t="shared" si="870"/>
        <v>89.365750000000006</v>
      </c>
      <c r="BH1275" s="321">
        <f t="shared" si="871"/>
        <v>89.6</v>
      </c>
      <c r="BI1275" s="322">
        <f t="shared" si="872"/>
        <v>-9.9999999999994316</v>
      </c>
      <c r="BJ1275" s="322">
        <v>0</v>
      </c>
      <c r="BK1275" s="318">
        <f t="shared" si="873"/>
        <v>-9.9999999999994316</v>
      </c>
      <c r="BL1275" s="67"/>
      <c r="BM1275" s="68" t="str">
        <f t="shared" si="874"/>
        <v>Unloading no. 1240 Bill No 2026-27/401 ,Deduction For Oil Deduction= 38477.0089285714 ,Bardana= 0 ,F.M= 0 Brokerage/Rate Difference  ,Shortage = 0 ,Greenish= 0 ,Moisture= 0</v>
      </c>
      <c r="BN1275" s="69"/>
      <c r="BO1275" s="70" t="str">
        <f t="shared" si="875"/>
        <v xml:space="preserve"> Party Condition 42  ,F.M% 0.2 ,Greenish 3.68 ,Moisture 4.6 ,Shortage in KG= 0  ,Oil% 39.75</v>
      </c>
      <c r="BP1275" s="71">
        <f t="shared" si="876"/>
        <v>7586.6126235650509</v>
      </c>
      <c r="BQ1275" s="55"/>
      <c r="BR1275" s="55"/>
      <c r="BS1275" s="41"/>
      <c r="BT1275" s="41"/>
      <c r="BU1275" s="41"/>
      <c r="BV1275" s="41"/>
      <c r="BW1275" s="85"/>
      <c r="BX1275" s="89">
        <v>39.6</v>
      </c>
      <c r="BY1275" s="27">
        <v>39.369999999999997</v>
      </c>
    </row>
    <row r="1276" spans="1:77" ht="14.1" hidden="1" customHeight="1" x14ac:dyDescent="0.3">
      <c r="A1276" s="128" t="s">
        <v>2585</v>
      </c>
      <c r="B1276" s="146">
        <v>46212</v>
      </c>
      <c r="C1276" s="138">
        <v>1241</v>
      </c>
      <c r="D1276" s="138" t="s">
        <v>2708</v>
      </c>
      <c r="E1276" s="129">
        <v>46217</v>
      </c>
      <c r="F1276" s="128" t="s">
        <v>1144</v>
      </c>
      <c r="G1276" s="128" t="s">
        <v>1145</v>
      </c>
      <c r="H1276" s="128" t="s">
        <v>100</v>
      </c>
      <c r="I1276" s="136"/>
      <c r="J1276" s="138" t="s">
        <v>1146</v>
      </c>
      <c r="K1276" s="136"/>
      <c r="L1276" s="146">
        <v>46212</v>
      </c>
      <c r="M1276" s="136"/>
      <c r="N1276" s="281" t="s">
        <v>2782</v>
      </c>
      <c r="O1276" s="146">
        <v>46217</v>
      </c>
      <c r="P1276" s="138">
        <v>0</v>
      </c>
      <c r="Q1276" s="138">
        <v>120</v>
      </c>
      <c r="R1276" s="138">
        <v>60</v>
      </c>
      <c r="S1276" s="138">
        <v>180</v>
      </c>
      <c r="T1276" s="138">
        <v>180</v>
      </c>
      <c r="U1276" s="136"/>
      <c r="V1276" s="136"/>
      <c r="W1276" s="147">
        <v>90.5</v>
      </c>
      <c r="X1276" s="147">
        <v>90.6</v>
      </c>
      <c r="Y1276" s="147">
        <v>726262.5</v>
      </c>
      <c r="Z1276" s="443">
        <v>39.74</v>
      </c>
      <c r="AA1276" s="147">
        <v>18156.560000000001</v>
      </c>
      <c r="AB1276" s="147">
        <v>18156.560000000001</v>
      </c>
      <c r="AC1276" s="147">
        <v>762575.63</v>
      </c>
      <c r="AD1276" s="315">
        <f t="shared" si="879"/>
        <v>761813.05437000003</v>
      </c>
      <c r="AE1276" s="236">
        <v>39.74</v>
      </c>
      <c r="AF1276" s="147">
        <v>42</v>
      </c>
      <c r="AG1276" s="236">
        <v>39.74</v>
      </c>
      <c r="AH1276" s="287">
        <v>2.7000000000000001E-3</v>
      </c>
      <c r="AI1276" s="287">
        <v>2.93E-2</v>
      </c>
      <c r="AJ1276" s="287">
        <v>4.4999999999999998E-2</v>
      </c>
      <c r="AK1276" s="318">
        <f t="shared" si="860"/>
        <v>39079.839285714253</v>
      </c>
      <c r="AL1276" s="193">
        <v>0</v>
      </c>
      <c r="AM1276" s="319">
        <v>0</v>
      </c>
      <c r="AN1276" s="319"/>
      <c r="AO1276" s="320">
        <f t="shared" si="861"/>
        <v>0</v>
      </c>
      <c r="AP1276" s="193">
        <v>0</v>
      </c>
      <c r="AQ1276" s="318">
        <v>0</v>
      </c>
      <c r="AR1276" s="318">
        <f t="shared" si="862"/>
        <v>39079.839285714253</v>
      </c>
      <c r="AS1276" s="318">
        <f t="shared" si="863"/>
        <v>41034</v>
      </c>
      <c r="AT1276" s="321">
        <v>0</v>
      </c>
      <c r="AU1276" s="157"/>
      <c r="AV1276" s="136"/>
      <c r="AW1276" s="318">
        <f t="shared" si="864"/>
        <v>9050</v>
      </c>
      <c r="AX1276" s="193"/>
      <c r="AY1276" s="318">
        <f t="shared" si="865"/>
        <v>9050</v>
      </c>
      <c r="AZ1276" s="318">
        <f t="shared" si="866"/>
        <v>9060</v>
      </c>
      <c r="BA1276" s="318">
        <f t="shared" si="867"/>
        <v>-10</v>
      </c>
      <c r="BB1276" s="318">
        <f t="shared" si="868"/>
        <v>18.100000000000001</v>
      </c>
      <c r="BC1276" s="318">
        <v>0</v>
      </c>
      <c r="BD1276" s="136"/>
      <c r="BE1276" s="138">
        <v>90.5</v>
      </c>
      <c r="BF1276" s="321">
        <f t="shared" si="869"/>
        <v>0.13574999999999998</v>
      </c>
      <c r="BG1276" s="197">
        <f t="shared" si="870"/>
        <v>90.364249999999998</v>
      </c>
      <c r="BH1276" s="321">
        <f t="shared" si="871"/>
        <v>90.6</v>
      </c>
      <c r="BI1276" s="322">
        <f t="shared" si="872"/>
        <v>-9.9999999999994316</v>
      </c>
      <c r="BJ1276" s="322">
        <v>0</v>
      </c>
      <c r="BK1276" s="318">
        <f t="shared" si="873"/>
        <v>-9.9999999999994316</v>
      </c>
      <c r="BL1276" s="67"/>
      <c r="BM1276" s="68" t="str">
        <f t="shared" si="874"/>
        <v>Unloading no. 1241 Bill No 2026-27/402 ,Deduction For Oil Deduction= 39079.8392857143 ,Bardana= 0 ,F.M= 0 Brokerage/Rate Difference  ,Shortage = 0 ,Greenish= 0 ,Moisture= 0</v>
      </c>
      <c r="BN1276" s="69"/>
      <c r="BO1276" s="70" t="str">
        <f t="shared" si="875"/>
        <v xml:space="preserve"> Party Condition 42  ,F.M% 0.27 ,Greenish 2.93 ,Moisture 4.5 ,Shortage in KG= 0  ,Oil% 39.74</v>
      </c>
      <c r="BP1276" s="71">
        <f t="shared" si="876"/>
        <v>7584.7975796278788</v>
      </c>
      <c r="BQ1276" s="55"/>
      <c r="BR1276" s="55"/>
      <c r="BS1276" s="41"/>
      <c r="BT1276" s="41"/>
      <c r="BU1276" s="41"/>
      <c r="BV1276" s="41"/>
      <c r="BW1276" s="85"/>
      <c r="BX1276" s="89">
        <v>39.65</v>
      </c>
      <c r="BY1276" s="27">
        <v>39.35</v>
      </c>
    </row>
    <row r="1277" spans="1:77" ht="14.1" hidden="1" customHeight="1" x14ac:dyDescent="0.3">
      <c r="A1277" s="128" t="s">
        <v>2585</v>
      </c>
      <c r="B1277" s="146">
        <v>46212</v>
      </c>
      <c r="C1277" s="138">
        <v>1242</v>
      </c>
      <c r="D1277" s="138" t="s">
        <v>2709</v>
      </c>
      <c r="E1277" s="129">
        <v>46217</v>
      </c>
      <c r="F1277" s="128" t="s">
        <v>1144</v>
      </c>
      <c r="G1277" s="128" t="s">
        <v>1145</v>
      </c>
      <c r="H1277" s="128" t="s">
        <v>100</v>
      </c>
      <c r="I1277" s="136"/>
      <c r="J1277" s="138" t="s">
        <v>1146</v>
      </c>
      <c r="K1277" s="136"/>
      <c r="L1277" s="146">
        <v>46212</v>
      </c>
      <c r="M1277" s="136"/>
      <c r="N1277" s="281" t="s">
        <v>2783</v>
      </c>
      <c r="O1277" s="146">
        <v>46217</v>
      </c>
      <c r="P1277" s="138">
        <v>0</v>
      </c>
      <c r="Q1277" s="138">
        <v>140</v>
      </c>
      <c r="R1277" s="138">
        <v>40</v>
      </c>
      <c r="S1277" s="138">
        <v>180</v>
      </c>
      <c r="T1277" s="138">
        <v>180</v>
      </c>
      <c r="U1277" s="136"/>
      <c r="V1277" s="136"/>
      <c r="W1277" s="147">
        <v>90.5</v>
      </c>
      <c r="X1277" s="147">
        <v>90.4</v>
      </c>
      <c r="Y1277" s="147">
        <v>726262.5</v>
      </c>
      <c r="Z1277" s="443">
        <v>39.9</v>
      </c>
      <c r="AA1277" s="147">
        <v>18156.560000000001</v>
      </c>
      <c r="AB1277" s="147">
        <v>18156.560000000001</v>
      </c>
      <c r="AC1277" s="147">
        <v>762575.63</v>
      </c>
      <c r="AD1277" s="315">
        <f t="shared" si="879"/>
        <v>761813.05437000003</v>
      </c>
      <c r="AE1277" s="236">
        <v>39.9</v>
      </c>
      <c r="AF1277" s="147">
        <v>42</v>
      </c>
      <c r="AG1277" s="236">
        <v>39.9</v>
      </c>
      <c r="AH1277" s="287">
        <v>2.5000000000000001E-3</v>
      </c>
      <c r="AI1277" s="287">
        <v>3.56E-2</v>
      </c>
      <c r="AJ1277" s="287">
        <v>4.9000000000000002E-2</v>
      </c>
      <c r="AK1277" s="318">
        <f t="shared" si="860"/>
        <v>36313.125000000022</v>
      </c>
      <c r="AL1277" s="193">
        <v>0</v>
      </c>
      <c r="AM1277" s="319">
        <v>0</v>
      </c>
      <c r="AN1277" s="319"/>
      <c r="AO1277" s="320">
        <f t="shared" si="861"/>
        <v>0</v>
      </c>
      <c r="AP1277" s="193">
        <v>0</v>
      </c>
      <c r="AQ1277" s="318">
        <v>0</v>
      </c>
      <c r="AR1277" s="318">
        <f t="shared" si="862"/>
        <v>36313.125000000022</v>
      </c>
      <c r="AS1277" s="318">
        <f t="shared" si="863"/>
        <v>38129</v>
      </c>
      <c r="AT1277" s="321">
        <v>0</v>
      </c>
      <c r="AU1277" s="157"/>
      <c r="AV1277" s="136"/>
      <c r="AW1277" s="318">
        <f t="shared" si="864"/>
        <v>9050</v>
      </c>
      <c r="AX1277" s="193"/>
      <c r="AY1277" s="318">
        <f t="shared" si="865"/>
        <v>9050</v>
      </c>
      <c r="AZ1277" s="318">
        <f t="shared" si="866"/>
        <v>9040</v>
      </c>
      <c r="BA1277" s="318">
        <f t="shared" si="867"/>
        <v>10</v>
      </c>
      <c r="BB1277" s="318">
        <f t="shared" si="868"/>
        <v>18.100000000000001</v>
      </c>
      <c r="BC1277" s="318">
        <v>0</v>
      </c>
      <c r="BD1277" s="136"/>
      <c r="BE1277" s="138">
        <v>90.5</v>
      </c>
      <c r="BF1277" s="321">
        <f t="shared" si="869"/>
        <v>0.13574999999999998</v>
      </c>
      <c r="BG1277" s="197">
        <f t="shared" si="870"/>
        <v>90.364249999999998</v>
      </c>
      <c r="BH1277" s="321">
        <f t="shared" si="871"/>
        <v>90.4</v>
      </c>
      <c r="BI1277" s="322">
        <f t="shared" si="872"/>
        <v>9.9999999999994316</v>
      </c>
      <c r="BJ1277" s="322">
        <v>0</v>
      </c>
      <c r="BK1277" s="318">
        <f t="shared" si="873"/>
        <v>9.9999999999994316</v>
      </c>
      <c r="BL1277" s="67"/>
      <c r="BM1277" s="68" t="str">
        <f t="shared" si="874"/>
        <v>Unloading no. 1242 Bill No 2026-27/404 ,Deduction For Oil Deduction= 36313.125 ,Bardana= 0 ,F.M= 0 Brokerage/Rate Difference  ,Shortage = 0 ,Greenish= 0 ,Moisture= 0</v>
      </c>
      <c r="BN1277" s="69"/>
      <c r="BO1277" s="70" t="str">
        <f t="shared" si="875"/>
        <v xml:space="preserve"> Party Condition 42  ,F.M% 0.25 ,Greenish 3.56 ,Moisture 4.9 ,Shortage in KG= 0  ,Oil% 39.9</v>
      </c>
      <c r="BP1277" s="71">
        <f t="shared" si="876"/>
        <v>7632.1833517699106</v>
      </c>
      <c r="BQ1277" s="55"/>
      <c r="BR1277" s="55"/>
      <c r="BS1277" s="41"/>
      <c r="BT1277" s="41"/>
      <c r="BU1277" s="41"/>
      <c r="BV1277" s="41"/>
      <c r="BW1277" s="85"/>
      <c r="BX1277" s="89">
        <v>39.68</v>
      </c>
      <c r="BY1277" s="27">
        <v>39.479999999999997</v>
      </c>
    </row>
    <row r="1278" spans="1:77" ht="14.1" hidden="1" customHeight="1" x14ac:dyDescent="0.3">
      <c r="A1278" s="128" t="s">
        <v>2585</v>
      </c>
      <c r="B1278" s="146">
        <v>46212</v>
      </c>
      <c r="C1278" s="138">
        <v>1243</v>
      </c>
      <c r="D1278" s="138" t="s">
        <v>2710</v>
      </c>
      <c r="E1278" s="129">
        <v>46217</v>
      </c>
      <c r="F1278" s="128" t="s">
        <v>1144</v>
      </c>
      <c r="G1278" s="128" t="s">
        <v>1145</v>
      </c>
      <c r="H1278" s="128" t="s">
        <v>100</v>
      </c>
      <c r="I1278" s="136"/>
      <c r="J1278" s="138" t="s">
        <v>1146</v>
      </c>
      <c r="K1278" s="136"/>
      <c r="L1278" s="146">
        <v>46212</v>
      </c>
      <c r="M1278" s="136"/>
      <c r="N1278" s="281" t="s">
        <v>2784</v>
      </c>
      <c r="O1278" s="146">
        <v>46217</v>
      </c>
      <c r="P1278" s="138">
        <v>0</v>
      </c>
      <c r="Q1278" s="138">
        <v>140</v>
      </c>
      <c r="R1278" s="138">
        <v>40</v>
      </c>
      <c r="S1278" s="138">
        <v>180</v>
      </c>
      <c r="T1278" s="138">
        <v>180</v>
      </c>
      <c r="U1278" s="136"/>
      <c r="V1278" s="136"/>
      <c r="W1278" s="147">
        <v>90.6</v>
      </c>
      <c r="X1278" s="147">
        <v>90.5</v>
      </c>
      <c r="Y1278" s="147">
        <v>727065</v>
      </c>
      <c r="Z1278" s="443">
        <v>39.54</v>
      </c>
      <c r="AA1278" s="147">
        <v>18176.63</v>
      </c>
      <c r="AB1278" s="147">
        <v>18176.63</v>
      </c>
      <c r="AC1278" s="147">
        <v>763418.25</v>
      </c>
      <c r="AD1278" s="315">
        <f t="shared" si="879"/>
        <v>762654.83175000001</v>
      </c>
      <c r="AE1278" s="236">
        <v>39.54</v>
      </c>
      <c r="AF1278" s="147">
        <v>42</v>
      </c>
      <c r="AG1278" s="236">
        <v>39.54</v>
      </c>
      <c r="AH1278" s="287">
        <v>2.3999999999999998E-3</v>
      </c>
      <c r="AI1278" s="287">
        <v>3.6999999999999998E-2</v>
      </c>
      <c r="AJ1278" s="287">
        <v>0.05</v>
      </c>
      <c r="AK1278" s="318">
        <f t="shared" si="860"/>
        <v>42585.235714285729</v>
      </c>
      <c r="AL1278" s="193">
        <v>0</v>
      </c>
      <c r="AM1278" s="319">
        <v>0</v>
      </c>
      <c r="AN1278" s="319"/>
      <c r="AO1278" s="320">
        <f t="shared" si="861"/>
        <v>0</v>
      </c>
      <c r="AP1278" s="193">
        <v>0</v>
      </c>
      <c r="AQ1278" s="318">
        <v>0</v>
      </c>
      <c r="AR1278" s="318">
        <f t="shared" si="862"/>
        <v>42585.235714285729</v>
      </c>
      <c r="AS1278" s="318">
        <f t="shared" si="863"/>
        <v>44714</v>
      </c>
      <c r="AT1278" s="321">
        <v>0</v>
      </c>
      <c r="AU1278" s="157"/>
      <c r="AV1278" s="136"/>
      <c r="AW1278" s="318">
        <f t="shared" si="864"/>
        <v>9060</v>
      </c>
      <c r="AX1278" s="193"/>
      <c r="AY1278" s="318">
        <f t="shared" si="865"/>
        <v>9060</v>
      </c>
      <c r="AZ1278" s="318">
        <f t="shared" si="866"/>
        <v>9050</v>
      </c>
      <c r="BA1278" s="318">
        <f t="shared" si="867"/>
        <v>10</v>
      </c>
      <c r="BB1278" s="318">
        <f t="shared" si="868"/>
        <v>18.12</v>
      </c>
      <c r="BC1278" s="318">
        <v>0</v>
      </c>
      <c r="BD1278" s="136"/>
      <c r="BE1278" s="138">
        <v>90.6</v>
      </c>
      <c r="BF1278" s="321">
        <f t="shared" si="869"/>
        <v>0.13589999999999999</v>
      </c>
      <c r="BG1278" s="197">
        <f t="shared" si="870"/>
        <v>90.464099999999988</v>
      </c>
      <c r="BH1278" s="321">
        <f t="shared" si="871"/>
        <v>90.5</v>
      </c>
      <c r="BI1278" s="322">
        <f t="shared" si="872"/>
        <v>9.9999999999994316</v>
      </c>
      <c r="BJ1278" s="322">
        <v>0</v>
      </c>
      <c r="BK1278" s="318">
        <f t="shared" si="873"/>
        <v>9.9999999999994316</v>
      </c>
      <c r="BL1278" s="67"/>
      <c r="BM1278" s="68" t="str">
        <f t="shared" si="874"/>
        <v>Unloading no. 1243 Bill No 2026-27/403 ,Deduction For Oil Deduction= 42585.2357142857 ,Bardana= 0 ,F.M= 0 Brokerage/Rate Difference  ,Shortage = 0 ,Greenish= 0 ,Moisture= 0</v>
      </c>
      <c r="BN1278" s="69"/>
      <c r="BO1278" s="70" t="str">
        <f t="shared" si="875"/>
        <v xml:space="preserve"> Party Condition 42  ,F.M% 0.24 ,Greenish 3.7 ,Moisture 5 ,Shortage in KG= 0  ,Oil% 39.54</v>
      </c>
      <c r="BP1278" s="71">
        <f t="shared" si="876"/>
        <v>7563.3123125493285</v>
      </c>
      <c r="BQ1278" s="55"/>
      <c r="BR1278" s="55"/>
      <c r="BS1278" s="41"/>
      <c r="BT1278" s="41"/>
      <c r="BU1278" s="41"/>
      <c r="BV1278" s="41"/>
      <c r="BW1278" s="85"/>
      <c r="BX1278" s="89">
        <v>39.54</v>
      </c>
      <c r="BY1278" s="27">
        <v>39.369999999999997</v>
      </c>
    </row>
    <row r="1279" spans="1:77" ht="14.1" hidden="1" customHeight="1" x14ac:dyDescent="0.3">
      <c r="A1279" s="128" t="s">
        <v>2585</v>
      </c>
      <c r="B1279" s="146">
        <v>46212</v>
      </c>
      <c r="C1279" s="138">
        <v>1244</v>
      </c>
      <c r="D1279" s="138" t="s">
        <v>2711</v>
      </c>
      <c r="E1279" s="129">
        <v>46217</v>
      </c>
      <c r="F1279" s="128" t="s">
        <v>1144</v>
      </c>
      <c r="G1279" s="128" t="s">
        <v>1145</v>
      </c>
      <c r="H1279" s="128" t="s">
        <v>100</v>
      </c>
      <c r="I1279" s="136"/>
      <c r="J1279" s="138" t="s">
        <v>1146</v>
      </c>
      <c r="K1279" s="136"/>
      <c r="L1279" s="146">
        <v>46212</v>
      </c>
      <c r="M1279" s="136"/>
      <c r="N1279" s="281" t="s">
        <v>2785</v>
      </c>
      <c r="O1279" s="146">
        <v>46217</v>
      </c>
      <c r="P1279" s="138">
        <v>0</v>
      </c>
      <c r="Q1279" s="138">
        <v>130</v>
      </c>
      <c r="R1279" s="138">
        <v>50</v>
      </c>
      <c r="S1279" s="138">
        <v>180</v>
      </c>
      <c r="T1279" s="138">
        <v>180</v>
      </c>
      <c r="U1279" s="136"/>
      <c r="V1279" s="136"/>
      <c r="W1279" s="147">
        <v>90.7</v>
      </c>
      <c r="X1279" s="147">
        <v>90.7</v>
      </c>
      <c r="Y1279" s="147">
        <v>727867.5</v>
      </c>
      <c r="Z1279" s="443">
        <v>40.1</v>
      </c>
      <c r="AA1279" s="147">
        <v>18196.689999999999</v>
      </c>
      <c r="AB1279" s="147">
        <v>18196.689999999999</v>
      </c>
      <c r="AC1279" s="147">
        <v>764260.88</v>
      </c>
      <c r="AD1279" s="315">
        <f t="shared" si="879"/>
        <v>763496.61912000005</v>
      </c>
      <c r="AE1279" s="236">
        <v>40.1</v>
      </c>
      <c r="AF1279" s="147">
        <v>42</v>
      </c>
      <c r="AG1279" s="236">
        <v>40.1</v>
      </c>
      <c r="AH1279" s="287">
        <v>3.0000000000000001E-3</v>
      </c>
      <c r="AI1279" s="287">
        <v>0.04</v>
      </c>
      <c r="AJ1279" s="287">
        <v>0.05</v>
      </c>
      <c r="AK1279" s="318">
        <f t="shared" si="860"/>
        <v>32927.339285714261</v>
      </c>
      <c r="AL1279" s="193">
        <v>0</v>
      </c>
      <c r="AM1279" s="319">
        <v>0</v>
      </c>
      <c r="AN1279" s="319"/>
      <c r="AO1279" s="320">
        <f t="shared" si="861"/>
        <v>0</v>
      </c>
      <c r="AP1279" s="193">
        <v>0</v>
      </c>
      <c r="AQ1279" s="318">
        <v>0</v>
      </c>
      <c r="AR1279" s="318">
        <f t="shared" si="862"/>
        <v>32927.339285714261</v>
      </c>
      <c r="AS1279" s="318">
        <f t="shared" si="863"/>
        <v>34574</v>
      </c>
      <c r="AT1279" s="321">
        <v>0</v>
      </c>
      <c r="AU1279" s="157"/>
      <c r="AV1279" s="136"/>
      <c r="AW1279" s="318">
        <f t="shared" si="864"/>
        <v>9070</v>
      </c>
      <c r="AX1279" s="193"/>
      <c r="AY1279" s="318">
        <f t="shared" si="865"/>
        <v>9070</v>
      </c>
      <c r="AZ1279" s="318">
        <f t="shared" si="866"/>
        <v>9070</v>
      </c>
      <c r="BA1279" s="318">
        <f t="shared" si="867"/>
        <v>0</v>
      </c>
      <c r="BB1279" s="318">
        <f t="shared" si="868"/>
        <v>18.14</v>
      </c>
      <c r="BC1279" s="318">
        <v>0</v>
      </c>
      <c r="BD1279" s="136"/>
      <c r="BE1279" s="138">
        <v>90.7</v>
      </c>
      <c r="BF1279" s="321">
        <f t="shared" si="869"/>
        <v>0.13605</v>
      </c>
      <c r="BG1279" s="197">
        <f t="shared" si="870"/>
        <v>90.563950000000006</v>
      </c>
      <c r="BH1279" s="321">
        <f t="shared" si="871"/>
        <v>90.7</v>
      </c>
      <c r="BI1279" s="322">
        <f t="shared" si="872"/>
        <v>0</v>
      </c>
      <c r="BJ1279" s="322">
        <v>0</v>
      </c>
      <c r="BK1279" s="318">
        <f t="shared" si="873"/>
        <v>0</v>
      </c>
      <c r="BL1279" s="67"/>
      <c r="BM1279" s="68" t="str">
        <f t="shared" si="874"/>
        <v>Unloading no. 1244 Bill No 2026-27/405 ,Deduction For Oil Deduction= 32927.3392857143 ,Bardana= 0 ,F.M= 0 Brokerage/Rate Difference  ,Shortage = 0 ,Greenish= 0 ,Moisture= 0</v>
      </c>
      <c r="BN1279" s="69"/>
      <c r="BO1279" s="70" t="str">
        <f t="shared" si="875"/>
        <v xml:space="preserve"> Party Condition 42  ,F.M% 0.3 ,Greenish 4 ,Moisture 5 ,Shortage in KG= 0  ,Oil% 40.1</v>
      </c>
      <c r="BP1279" s="71">
        <f t="shared" si="876"/>
        <v>7661.9642857142853</v>
      </c>
      <c r="BQ1279" s="55"/>
      <c r="BR1279" s="55"/>
      <c r="BS1279" s="41"/>
      <c r="BT1279" s="41"/>
      <c r="BU1279" s="41"/>
      <c r="BV1279" s="41"/>
      <c r="BW1279" s="85"/>
      <c r="BX1279" s="89">
        <v>39.93</v>
      </c>
      <c r="BY1279" s="27">
        <v>39.630000000000003</v>
      </c>
    </row>
    <row r="1280" spans="1:77" ht="14.1" hidden="1" customHeight="1" x14ac:dyDescent="0.3">
      <c r="A1280" s="128" t="s">
        <v>2667</v>
      </c>
      <c r="B1280" s="146">
        <v>46216</v>
      </c>
      <c r="C1280" s="138">
        <v>1245</v>
      </c>
      <c r="D1280" s="138" t="s">
        <v>2712</v>
      </c>
      <c r="E1280" s="129">
        <v>46217</v>
      </c>
      <c r="F1280" s="128" t="s">
        <v>1144</v>
      </c>
      <c r="G1280" s="128" t="s">
        <v>1145</v>
      </c>
      <c r="H1280" s="128" t="s">
        <v>100</v>
      </c>
      <c r="I1280" s="136"/>
      <c r="J1280" s="138" t="s">
        <v>1146</v>
      </c>
      <c r="K1280" s="136"/>
      <c r="L1280" s="146">
        <v>46216</v>
      </c>
      <c r="M1280" s="136"/>
      <c r="N1280" s="281" t="s">
        <v>2786</v>
      </c>
      <c r="O1280" s="146">
        <v>46217</v>
      </c>
      <c r="P1280" s="138">
        <v>0</v>
      </c>
      <c r="Q1280" s="138">
        <v>160</v>
      </c>
      <c r="R1280" s="138">
        <v>20</v>
      </c>
      <c r="S1280" s="138">
        <v>180</v>
      </c>
      <c r="T1280" s="138">
        <v>180</v>
      </c>
      <c r="U1280" s="136"/>
      <c r="V1280" s="136"/>
      <c r="W1280" s="147">
        <v>89.9</v>
      </c>
      <c r="X1280" s="147">
        <v>89.9</v>
      </c>
      <c r="Y1280" s="147">
        <v>724683.9</v>
      </c>
      <c r="Z1280" s="443">
        <v>39.909999999999997</v>
      </c>
      <c r="AA1280" s="147">
        <v>18117.099999999999</v>
      </c>
      <c r="AB1280" s="147">
        <v>18117.099999999999</v>
      </c>
      <c r="AC1280" s="147">
        <v>760918.1</v>
      </c>
      <c r="AD1280" s="315">
        <f t="shared" si="879"/>
        <v>760157.18189999997</v>
      </c>
      <c r="AE1280" s="236">
        <v>39.909999999999997</v>
      </c>
      <c r="AF1280" s="147">
        <v>42</v>
      </c>
      <c r="AG1280" s="236">
        <v>39.909999999999997</v>
      </c>
      <c r="AH1280" s="287">
        <v>2.8E-3</v>
      </c>
      <c r="AI1280" s="287">
        <v>4.7800000000000002E-2</v>
      </c>
      <c r="AJ1280" s="287">
        <v>4.9000000000000002E-2</v>
      </c>
      <c r="AK1280" s="318">
        <f t="shared" si="860"/>
        <v>36061.651214285775</v>
      </c>
      <c r="AL1280" s="193">
        <v>0</v>
      </c>
      <c r="AM1280" s="319">
        <v>0</v>
      </c>
      <c r="AN1280" s="319"/>
      <c r="AO1280" s="320">
        <f t="shared" si="861"/>
        <v>0</v>
      </c>
      <c r="AP1280" s="193">
        <v>0</v>
      </c>
      <c r="AQ1280" s="318">
        <v>0</v>
      </c>
      <c r="AR1280" s="318">
        <f t="shared" si="862"/>
        <v>36061.651214285775</v>
      </c>
      <c r="AS1280" s="318">
        <f t="shared" si="863"/>
        <v>37865</v>
      </c>
      <c r="AT1280" s="321">
        <v>0</v>
      </c>
      <c r="AU1280" s="157"/>
      <c r="AV1280" s="136"/>
      <c r="AW1280" s="318">
        <f t="shared" si="864"/>
        <v>8990</v>
      </c>
      <c r="AX1280" s="193"/>
      <c r="AY1280" s="318">
        <f t="shared" si="865"/>
        <v>8990</v>
      </c>
      <c r="AZ1280" s="318">
        <f t="shared" si="866"/>
        <v>8990</v>
      </c>
      <c r="BA1280" s="318">
        <f t="shared" si="867"/>
        <v>0</v>
      </c>
      <c r="BB1280" s="318">
        <f t="shared" si="868"/>
        <v>17.98</v>
      </c>
      <c r="BC1280" s="318">
        <v>0</v>
      </c>
      <c r="BD1280" s="136"/>
      <c r="BE1280" s="138">
        <v>89.9</v>
      </c>
      <c r="BF1280" s="321">
        <f t="shared" si="869"/>
        <v>0.13485000000000003</v>
      </c>
      <c r="BG1280" s="197">
        <f t="shared" si="870"/>
        <v>89.765150000000006</v>
      </c>
      <c r="BH1280" s="321">
        <f t="shared" si="871"/>
        <v>89.9</v>
      </c>
      <c r="BI1280" s="322">
        <f t="shared" si="872"/>
        <v>0</v>
      </c>
      <c r="BJ1280" s="322">
        <v>0</v>
      </c>
      <c r="BK1280" s="318">
        <f t="shared" si="873"/>
        <v>0</v>
      </c>
      <c r="BL1280" s="67"/>
      <c r="BM1280" s="68" t="str">
        <f t="shared" si="874"/>
        <v>Unloading no. 1245 Bill No 2026-27/406 ,Deduction For Oil Deduction= 36061.6512142858 ,Bardana= 0 ,F.M= 0 Brokerage/Rate Difference  ,Shortage = 0 ,Greenish= 0 ,Moisture= 0</v>
      </c>
      <c r="BN1280" s="69"/>
      <c r="BO1280" s="70" t="str">
        <f t="shared" si="875"/>
        <v xml:space="preserve"> Party Condition 42  ,F.M% 0.28 ,Greenish 4.78 ,Moisture 4.9 ,Shortage in KG= 0  ,Oil% 39.91</v>
      </c>
      <c r="BP1280" s="71">
        <f t="shared" si="876"/>
        <v>7659.8692857142851</v>
      </c>
      <c r="BQ1280" s="55"/>
      <c r="BR1280" s="55"/>
      <c r="BS1280" s="41"/>
      <c r="BT1280" s="41"/>
      <c r="BU1280" s="41"/>
      <c r="BV1280" s="41"/>
      <c r="BW1280" s="85"/>
      <c r="BX1280" s="89">
        <v>39.700000000000003</v>
      </c>
      <c r="BY1280" s="27">
        <v>39.4</v>
      </c>
    </row>
    <row r="1281" spans="1:85" ht="14.1" hidden="1" customHeight="1" x14ac:dyDescent="0.3">
      <c r="A1281" s="128" t="s">
        <v>2667</v>
      </c>
      <c r="B1281" s="146">
        <v>46216</v>
      </c>
      <c r="C1281" s="138">
        <v>1246</v>
      </c>
      <c r="D1281" s="138" t="s">
        <v>2713</v>
      </c>
      <c r="E1281" s="129">
        <v>46217</v>
      </c>
      <c r="F1281" s="128" t="s">
        <v>1144</v>
      </c>
      <c r="G1281" s="128" t="s">
        <v>1145</v>
      </c>
      <c r="H1281" s="128" t="s">
        <v>100</v>
      </c>
      <c r="I1281" s="136"/>
      <c r="J1281" s="138" t="s">
        <v>1146</v>
      </c>
      <c r="K1281" s="136"/>
      <c r="L1281" s="146">
        <v>46216</v>
      </c>
      <c r="M1281" s="136"/>
      <c r="N1281" s="281" t="s">
        <v>2787</v>
      </c>
      <c r="O1281" s="146">
        <v>46217</v>
      </c>
      <c r="P1281" s="138">
        <v>0</v>
      </c>
      <c r="Q1281" s="138">
        <v>170</v>
      </c>
      <c r="R1281" s="138">
        <v>10</v>
      </c>
      <c r="S1281" s="138">
        <v>180</v>
      </c>
      <c r="T1281" s="138">
        <v>180</v>
      </c>
      <c r="U1281" s="136"/>
      <c r="V1281" s="136"/>
      <c r="W1281" s="147">
        <v>90.6</v>
      </c>
      <c r="X1281" s="147">
        <v>90.5</v>
      </c>
      <c r="Y1281" s="147">
        <v>730326.6</v>
      </c>
      <c r="Z1281" s="443">
        <v>39.94</v>
      </c>
      <c r="AA1281" s="147">
        <v>18258.169999999998</v>
      </c>
      <c r="AB1281" s="147">
        <v>18258.169999999998</v>
      </c>
      <c r="AC1281" s="147">
        <v>766842.93</v>
      </c>
      <c r="AD1281" s="315">
        <f t="shared" si="879"/>
        <v>766076.08707000001</v>
      </c>
      <c r="AE1281" s="236">
        <v>39.94</v>
      </c>
      <c r="AF1281" s="147">
        <v>42</v>
      </c>
      <c r="AG1281" s="236">
        <v>39.94</v>
      </c>
      <c r="AH1281" s="287">
        <v>2.3E-3</v>
      </c>
      <c r="AI1281" s="287">
        <v>3.4700000000000002E-2</v>
      </c>
      <c r="AJ1281" s="287">
        <v>4.7E-2</v>
      </c>
      <c r="AK1281" s="318">
        <f t="shared" si="860"/>
        <v>35820.780857142898</v>
      </c>
      <c r="AL1281" s="193">
        <v>0</v>
      </c>
      <c r="AM1281" s="319">
        <v>0</v>
      </c>
      <c r="AN1281" s="319"/>
      <c r="AO1281" s="320">
        <f t="shared" si="861"/>
        <v>0</v>
      </c>
      <c r="AP1281" s="193">
        <v>0</v>
      </c>
      <c r="AQ1281" s="318">
        <v>0</v>
      </c>
      <c r="AR1281" s="318">
        <f t="shared" si="862"/>
        <v>35820.780857142898</v>
      </c>
      <c r="AS1281" s="318">
        <f t="shared" si="863"/>
        <v>37612</v>
      </c>
      <c r="AT1281" s="321">
        <v>0</v>
      </c>
      <c r="AU1281" s="157"/>
      <c r="AV1281" s="136"/>
      <c r="AW1281" s="318">
        <f t="shared" si="864"/>
        <v>9060</v>
      </c>
      <c r="AX1281" s="193"/>
      <c r="AY1281" s="318">
        <f t="shared" si="865"/>
        <v>9060</v>
      </c>
      <c r="AZ1281" s="318">
        <f t="shared" si="866"/>
        <v>9050</v>
      </c>
      <c r="BA1281" s="318">
        <f t="shared" si="867"/>
        <v>10</v>
      </c>
      <c r="BB1281" s="318">
        <f t="shared" si="868"/>
        <v>18.12</v>
      </c>
      <c r="BC1281" s="318">
        <v>0</v>
      </c>
      <c r="BD1281" s="136"/>
      <c r="BE1281" s="138">
        <v>90.6</v>
      </c>
      <c r="BF1281" s="321">
        <f t="shared" si="869"/>
        <v>0.13589999999999999</v>
      </c>
      <c r="BG1281" s="197">
        <f t="shared" si="870"/>
        <v>90.464099999999988</v>
      </c>
      <c r="BH1281" s="321">
        <f t="shared" si="871"/>
        <v>90.5</v>
      </c>
      <c r="BI1281" s="322">
        <f t="shared" si="872"/>
        <v>9.9999999999994316</v>
      </c>
      <c r="BJ1281" s="322">
        <v>0</v>
      </c>
      <c r="BK1281" s="318">
        <f t="shared" si="873"/>
        <v>9.9999999999994316</v>
      </c>
      <c r="BL1281" s="67"/>
      <c r="BM1281" s="68" t="str">
        <f t="shared" si="874"/>
        <v>Unloading no. 1246 Bill No 2026-27/407 ,Deduction For Oil Deduction= 35820.7808571429 ,Bardana= 0 ,F.M= 0 Brokerage/Rate Difference  ,Shortage = 0 ,Greenish= 0 ,Moisture= 0</v>
      </c>
      <c r="BN1281" s="69"/>
      <c r="BO1281" s="70" t="str">
        <f t="shared" si="875"/>
        <v xml:space="preserve"> Party Condition 42  ,F.M% 0.23 ,Greenish 3.47 ,Moisture 4.7 ,Shortage in KG= 0  ,Oil% 39.94</v>
      </c>
      <c r="BP1281" s="71">
        <f t="shared" si="876"/>
        <v>7674.0974490923436</v>
      </c>
      <c r="BQ1281" s="55"/>
      <c r="BR1281" s="55"/>
      <c r="BS1281" s="41"/>
      <c r="BT1281" s="41"/>
      <c r="BU1281" s="41"/>
      <c r="BV1281" s="41"/>
      <c r="BW1281" s="85"/>
      <c r="BX1281" s="89">
        <v>39.78</v>
      </c>
      <c r="BY1281" s="27">
        <v>39.65</v>
      </c>
    </row>
    <row r="1282" spans="1:85" ht="14.1" hidden="1" customHeight="1" x14ac:dyDescent="0.3">
      <c r="A1282" s="128" t="s">
        <v>2667</v>
      </c>
      <c r="B1282" s="146">
        <v>46216</v>
      </c>
      <c r="C1282" s="138">
        <v>1247</v>
      </c>
      <c r="D1282" s="138" t="s">
        <v>2714</v>
      </c>
      <c r="E1282" s="129">
        <v>46217</v>
      </c>
      <c r="F1282" s="128" t="s">
        <v>1144</v>
      </c>
      <c r="G1282" s="128" t="s">
        <v>1145</v>
      </c>
      <c r="H1282" s="128" t="s">
        <v>100</v>
      </c>
      <c r="I1282" s="136"/>
      <c r="J1282" s="138" t="s">
        <v>1146</v>
      </c>
      <c r="K1282" s="136"/>
      <c r="L1282" s="146">
        <v>46216</v>
      </c>
      <c r="M1282" s="136"/>
      <c r="N1282" s="281" t="s">
        <v>2788</v>
      </c>
      <c r="O1282" s="146">
        <v>46217</v>
      </c>
      <c r="P1282" s="138">
        <v>0</v>
      </c>
      <c r="Q1282" s="138">
        <v>150</v>
      </c>
      <c r="R1282" s="138">
        <v>30</v>
      </c>
      <c r="S1282" s="138">
        <v>180</v>
      </c>
      <c r="T1282" s="138">
        <v>180</v>
      </c>
      <c r="U1282" s="136"/>
      <c r="V1282" s="136"/>
      <c r="W1282" s="147">
        <v>90.3</v>
      </c>
      <c r="X1282" s="147">
        <v>90.3</v>
      </c>
      <c r="Y1282" s="147">
        <v>727908.3</v>
      </c>
      <c r="Z1282" s="443">
        <v>40.01</v>
      </c>
      <c r="AA1282" s="147">
        <v>18197.71</v>
      </c>
      <c r="AB1282" s="147">
        <v>18197.71</v>
      </c>
      <c r="AC1282" s="147">
        <v>764303.72</v>
      </c>
      <c r="AD1282" s="315">
        <f t="shared" si="879"/>
        <v>763539.41628</v>
      </c>
      <c r="AE1282" s="236">
        <v>40.01</v>
      </c>
      <c r="AF1282" s="147">
        <v>42</v>
      </c>
      <c r="AG1282" s="236">
        <v>40.01</v>
      </c>
      <c r="AH1282" s="287">
        <v>2.0999999999999999E-3</v>
      </c>
      <c r="AI1282" s="287">
        <v>2.9000000000000001E-2</v>
      </c>
      <c r="AJ1282" s="287">
        <v>4.8000000000000001E-2</v>
      </c>
      <c r="AK1282" s="318">
        <f t="shared" si="860"/>
        <v>34488.988500000036</v>
      </c>
      <c r="AL1282" s="193">
        <v>0</v>
      </c>
      <c r="AM1282" s="319">
        <v>0</v>
      </c>
      <c r="AN1282" s="319"/>
      <c r="AO1282" s="320">
        <f t="shared" si="861"/>
        <v>0</v>
      </c>
      <c r="AP1282" s="193">
        <v>0</v>
      </c>
      <c r="AQ1282" s="318">
        <v>0</v>
      </c>
      <c r="AR1282" s="318">
        <f t="shared" si="862"/>
        <v>34488.988500000036</v>
      </c>
      <c r="AS1282" s="318">
        <f t="shared" si="863"/>
        <v>36213</v>
      </c>
      <c r="AT1282" s="321">
        <v>0</v>
      </c>
      <c r="AU1282" s="157"/>
      <c r="AV1282" s="136"/>
      <c r="AW1282" s="318">
        <f t="shared" si="864"/>
        <v>9030</v>
      </c>
      <c r="AX1282" s="193"/>
      <c r="AY1282" s="318">
        <f t="shared" si="865"/>
        <v>9030</v>
      </c>
      <c r="AZ1282" s="318">
        <f t="shared" si="866"/>
        <v>9030</v>
      </c>
      <c r="BA1282" s="318">
        <f t="shared" si="867"/>
        <v>0</v>
      </c>
      <c r="BB1282" s="318">
        <f t="shared" si="868"/>
        <v>18.059999999999999</v>
      </c>
      <c r="BC1282" s="318">
        <v>0</v>
      </c>
      <c r="BD1282" s="136"/>
      <c r="BE1282" s="138">
        <v>90.3</v>
      </c>
      <c r="BF1282" s="321">
        <f t="shared" si="869"/>
        <v>0.13544999999999999</v>
      </c>
      <c r="BG1282" s="197">
        <f t="shared" si="870"/>
        <v>90.164549999999991</v>
      </c>
      <c r="BH1282" s="321">
        <f t="shared" si="871"/>
        <v>90.3</v>
      </c>
      <c r="BI1282" s="322">
        <f t="shared" si="872"/>
        <v>0</v>
      </c>
      <c r="BJ1282" s="322">
        <v>0</v>
      </c>
      <c r="BK1282" s="318">
        <f t="shared" si="873"/>
        <v>0</v>
      </c>
      <c r="BL1282" s="67"/>
      <c r="BM1282" s="68" t="str">
        <f t="shared" si="874"/>
        <v>Unloading no. 1247 Bill No 2026-27/408 ,Deduction For Oil Deduction= 34488.9885 ,Bardana= 0 ,F.M= 0 Brokerage/Rate Difference  ,Shortage = 0 ,Greenish= 0 ,Moisture= 0</v>
      </c>
      <c r="BN1282" s="69"/>
      <c r="BO1282" s="70" t="str">
        <f t="shared" si="875"/>
        <v xml:space="preserve"> Party Condition 42  ,F.M% 0.21 ,Greenish 2.9 ,Moisture 4.8 ,Shortage in KG= 0  ,Oil% 40.01</v>
      </c>
      <c r="BP1282" s="71">
        <f t="shared" si="876"/>
        <v>7679.062142857144</v>
      </c>
      <c r="BQ1282" s="55"/>
      <c r="BR1282" s="55"/>
      <c r="BS1282" s="41"/>
      <c r="BT1282" s="41"/>
      <c r="BU1282" s="41"/>
      <c r="BV1282" s="41"/>
      <c r="BW1282" s="85"/>
      <c r="BX1282" s="89">
        <v>40.07</v>
      </c>
      <c r="BY1282" s="27">
        <v>39.869999999999997</v>
      </c>
    </row>
    <row r="1283" spans="1:85" ht="14.1" hidden="1" customHeight="1" x14ac:dyDescent="0.3">
      <c r="A1283" s="128" t="s">
        <v>2667</v>
      </c>
      <c r="B1283" s="146">
        <v>46216</v>
      </c>
      <c r="C1283" s="138">
        <v>1248</v>
      </c>
      <c r="D1283" s="138" t="s">
        <v>2715</v>
      </c>
      <c r="E1283" s="129">
        <v>46217</v>
      </c>
      <c r="F1283" s="128" t="s">
        <v>1144</v>
      </c>
      <c r="G1283" s="128" t="s">
        <v>1145</v>
      </c>
      <c r="H1283" s="128" t="s">
        <v>100</v>
      </c>
      <c r="I1283" s="136"/>
      <c r="J1283" s="138" t="s">
        <v>1146</v>
      </c>
      <c r="K1283" s="136"/>
      <c r="L1283" s="146">
        <v>46216</v>
      </c>
      <c r="M1283" s="136"/>
      <c r="N1283" s="281" t="s">
        <v>2789</v>
      </c>
      <c r="O1283" s="146">
        <v>46217</v>
      </c>
      <c r="P1283" s="138">
        <v>0</v>
      </c>
      <c r="Q1283" s="138">
        <v>130</v>
      </c>
      <c r="R1283" s="138">
        <v>50</v>
      </c>
      <c r="S1283" s="138">
        <v>180</v>
      </c>
      <c r="T1283" s="138">
        <v>180</v>
      </c>
      <c r="U1283" s="136"/>
      <c r="V1283" s="136"/>
      <c r="W1283" s="147">
        <v>90.5</v>
      </c>
      <c r="X1283" s="147">
        <v>90.5</v>
      </c>
      <c r="Y1283" s="147">
        <v>729520.5</v>
      </c>
      <c r="Z1283" s="443">
        <v>40.61</v>
      </c>
      <c r="AA1283" s="147">
        <v>18238.009999999998</v>
      </c>
      <c r="AB1283" s="147">
        <v>18238.009999999998</v>
      </c>
      <c r="AC1283" s="147">
        <v>765996.53</v>
      </c>
      <c r="AD1283" s="315">
        <f t="shared" si="879"/>
        <v>765230.53347000002</v>
      </c>
      <c r="AE1283" s="236">
        <v>40.61</v>
      </c>
      <c r="AF1283" s="147">
        <v>42</v>
      </c>
      <c r="AG1283" s="236">
        <v>40.61</v>
      </c>
      <c r="AH1283" s="287">
        <v>2.2000000000000001E-3</v>
      </c>
      <c r="AI1283" s="287">
        <v>4.8599999999999997E-2</v>
      </c>
      <c r="AJ1283" s="287">
        <v>5.0999999999999997E-2</v>
      </c>
      <c r="AK1283" s="318">
        <f t="shared" si="860"/>
        <v>24143.654642857153</v>
      </c>
      <c r="AL1283" s="193">
        <v>0</v>
      </c>
      <c r="AM1283" s="319">
        <v>0</v>
      </c>
      <c r="AN1283" s="319"/>
      <c r="AO1283" s="320">
        <f t="shared" si="861"/>
        <v>0</v>
      </c>
      <c r="AP1283" s="193">
        <v>0</v>
      </c>
      <c r="AQ1283" s="318">
        <v>0</v>
      </c>
      <c r="AR1283" s="318">
        <f t="shared" si="862"/>
        <v>24143.654642857153</v>
      </c>
      <c r="AS1283" s="318">
        <f t="shared" si="863"/>
        <v>25351</v>
      </c>
      <c r="AT1283" s="321">
        <v>0</v>
      </c>
      <c r="AU1283" s="157"/>
      <c r="AV1283" s="136"/>
      <c r="AW1283" s="318">
        <f t="shared" si="864"/>
        <v>9050</v>
      </c>
      <c r="AX1283" s="193"/>
      <c r="AY1283" s="318">
        <f t="shared" si="865"/>
        <v>9050</v>
      </c>
      <c r="AZ1283" s="318">
        <f t="shared" si="866"/>
        <v>9050</v>
      </c>
      <c r="BA1283" s="318">
        <f t="shared" si="867"/>
        <v>0</v>
      </c>
      <c r="BB1283" s="318">
        <f t="shared" si="868"/>
        <v>18.100000000000001</v>
      </c>
      <c r="BC1283" s="318">
        <v>0</v>
      </c>
      <c r="BD1283" s="136"/>
      <c r="BE1283" s="138">
        <v>90.5</v>
      </c>
      <c r="BF1283" s="321">
        <f t="shared" si="869"/>
        <v>0.13574999999999998</v>
      </c>
      <c r="BG1283" s="197">
        <f t="shared" si="870"/>
        <v>90.364249999999998</v>
      </c>
      <c r="BH1283" s="321">
        <f t="shared" si="871"/>
        <v>90.5</v>
      </c>
      <c r="BI1283" s="322">
        <f t="shared" si="872"/>
        <v>0</v>
      </c>
      <c r="BJ1283" s="322">
        <v>0</v>
      </c>
      <c r="BK1283" s="318">
        <f t="shared" si="873"/>
        <v>0</v>
      </c>
      <c r="BL1283" s="67"/>
      <c r="BM1283" s="68" t="str">
        <f t="shared" si="874"/>
        <v>Unloading no. 1248 Bill No 2026-27/410 ,Deduction For Oil Deduction= 24143.6546428572 ,Bardana= 0 ,F.M= 0 Brokerage/Rate Difference  ,Shortage = 0 ,Greenish= 0 ,Moisture= 0</v>
      </c>
      <c r="BN1283" s="69"/>
      <c r="BO1283" s="70" t="str">
        <f t="shared" si="875"/>
        <v xml:space="preserve"> Party Condition 42  ,F.M% 0.22 ,Greenish 4.86 ,Moisture 5.1 ,Shortage in KG= 0  ,Oil% 40.61</v>
      </c>
      <c r="BP1283" s="71">
        <f t="shared" si="876"/>
        <v>7794.2192857142854</v>
      </c>
      <c r="BQ1283" s="55"/>
      <c r="BR1283" s="55"/>
      <c r="BS1283" s="41"/>
      <c r="BT1283" s="41"/>
      <c r="BU1283" s="41"/>
      <c r="BV1283" s="41"/>
      <c r="BW1283" s="85"/>
      <c r="BX1283" s="89">
        <v>40.64</v>
      </c>
      <c r="BY1283" s="27">
        <v>40.33</v>
      </c>
    </row>
    <row r="1284" spans="1:85" ht="14.1" hidden="1" customHeight="1" x14ac:dyDescent="0.3">
      <c r="A1284" s="128" t="s">
        <v>2667</v>
      </c>
      <c r="B1284" s="146">
        <v>46216</v>
      </c>
      <c r="C1284" s="138">
        <v>1249</v>
      </c>
      <c r="D1284" s="138" t="s">
        <v>2716</v>
      </c>
      <c r="E1284" s="129">
        <v>46217</v>
      </c>
      <c r="F1284" s="128" t="s">
        <v>1144</v>
      </c>
      <c r="G1284" s="128" t="s">
        <v>1145</v>
      </c>
      <c r="H1284" s="128" t="s">
        <v>100</v>
      </c>
      <c r="I1284" s="136"/>
      <c r="J1284" s="138" t="s">
        <v>1146</v>
      </c>
      <c r="K1284" s="136"/>
      <c r="L1284" s="146">
        <v>46216</v>
      </c>
      <c r="M1284" s="136"/>
      <c r="N1284" s="281" t="s">
        <v>2790</v>
      </c>
      <c r="O1284" s="146">
        <v>46217</v>
      </c>
      <c r="P1284" s="138">
        <v>0</v>
      </c>
      <c r="Q1284" s="138">
        <v>100</v>
      </c>
      <c r="R1284" s="138">
        <v>80</v>
      </c>
      <c r="S1284" s="138">
        <v>180</v>
      </c>
      <c r="T1284" s="138">
        <v>180</v>
      </c>
      <c r="U1284" s="136"/>
      <c r="V1284" s="136"/>
      <c r="W1284" s="147">
        <v>90.2</v>
      </c>
      <c r="X1284" s="147">
        <v>90.1</v>
      </c>
      <c r="Y1284" s="147">
        <v>727102.2</v>
      </c>
      <c r="Z1284" s="443">
        <v>40.04</v>
      </c>
      <c r="AA1284" s="147">
        <v>18177.560000000001</v>
      </c>
      <c r="AB1284" s="147">
        <v>18177.560000000001</v>
      </c>
      <c r="AC1284" s="147">
        <v>763457.31</v>
      </c>
      <c r="AD1284" s="315">
        <f t="shared" si="879"/>
        <v>762693.85269000009</v>
      </c>
      <c r="AE1284" s="236">
        <v>40.04</v>
      </c>
      <c r="AF1284" s="147">
        <v>42</v>
      </c>
      <c r="AG1284" s="236">
        <v>40.04</v>
      </c>
      <c r="AH1284" s="287">
        <v>1.9E-3</v>
      </c>
      <c r="AI1284" s="287">
        <v>3.9199999999999999E-2</v>
      </c>
      <c r="AJ1284" s="287">
        <v>0.05</v>
      </c>
      <c r="AK1284" s="318">
        <f t="shared" si="860"/>
        <v>33931.436000000016</v>
      </c>
      <c r="AL1284" s="193">
        <v>0</v>
      </c>
      <c r="AM1284" s="319">
        <v>0</v>
      </c>
      <c r="AN1284" s="319"/>
      <c r="AO1284" s="320">
        <f t="shared" si="861"/>
        <v>0</v>
      </c>
      <c r="AP1284" s="193">
        <v>0</v>
      </c>
      <c r="AQ1284" s="318">
        <v>0</v>
      </c>
      <c r="AR1284" s="318">
        <f t="shared" si="862"/>
        <v>33931.436000000016</v>
      </c>
      <c r="AS1284" s="318">
        <f t="shared" si="863"/>
        <v>35628</v>
      </c>
      <c r="AT1284" s="321">
        <v>0</v>
      </c>
      <c r="AU1284" s="157"/>
      <c r="AV1284" s="136"/>
      <c r="AW1284" s="318">
        <f t="shared" si="864"/>
        <v>9020</v>
      </c>
      <c r="AX1284" s="193"/>
      <c r="AY1284" s="318">
        <f t="shared" si="865"/>
        <v>9020</v>
      </c>
      <c r="AZ1284" s="318">
        <f t="shared" si="866"/>
        <v>9010</v>
      </c>
      <c r="BA1284" s="318">
        <f t="shared" si="867"/>
        <v>10</v>
      </c>
      <c r="BB1284" s="318">
        <f t="shared" si="868"/>
        <v>18.04</v>
      </c>
      <c r="BC1284" s="318">
        <v>0</v>
      </c>
      <c r="BD1284" s="136"/>
      <c r="BE1284" s="138">
        <v>90.2</v>
      </c>
      <c r="BF1284" s="321">
        <f t="shared" si="869"/>
        <v>0.1353</v>
      </c>
      <c r="BG1284" s="197">
        <f t="shared" si="870"/>
        <v>90.064700000000002</v>
      </c>
      <c r="BH1284" s="321">
        <f t="shared" si="871"/>
        <v>90.1</v>
      </c>
      <c r="BI1284" s="322">
        <f t="shared" si="872"/>
        <v>10.000000000000853</v>
      </c>
      <c r="BJ1284" s="322">
        <v>0</v>
      </c>
      <c r="BK1284" s="318">
        <f t="shared" si="873"/>
        <v>10.000000000000853</v>
      </c>
      <c r="BL1284" s="67"/>
      <c r="BM1284" s="68" t="str">
        <f t="shared" si="874"/>
        <v>Unloading no. 1249 Bill No 2026-27/409 ,Deduction For Oil Deduction= 33931.436 ,Bardana= 0 ,F.M= 0 Brokerage/Rate Difference  ,Shortage = 0 ,Greenish= 0 ,Moisture= 0</v>
      </c>
      <c r="BN1284" s="69"/>
      <c r="BO1284" s="70" t="str">
        <f t="shared" si="875"/>
        <v xml:space="preserve"> Party Condition 42  ,F.M% 0.19 ,Greenish 3.92 ,Moisture 5 ,Shortage in KG= 0  ,Oil% 40.04</v>
      </c>
      <c r="BP1284" s="71">
        <f t="shared" si="876"/>
        <v>7693.3492119866814</v>
      </c>
      <c r="BQ1284" s="55"/>
      <c r="BR1284" s="55"/>
      <c r="BS1284" s="41"/>
      <c r="BT1284" s="41"/>
      <c r="BU1284" s="41"/>
      <c r="BV1284" s="41"/>
      <c r="BW1284" s="85"/>
      <c r="BX1284" s="89">
        <v>39.950000000000003</v>
      </c>
      <c r="BY1284" s="27">
        <v>39.64</v>
      </c>
    </row>
    <row r="1285" spans="1:85" ht="14.1" hidden="1" customHeight="1" x14ac:dyDescent="0.3">
      <c r="A1285" s="128" t="s">
        <v>2667</v>
      </c>
      <c r="B1285" s="146">
        <v>46216</v>
      </c>
      <c r="C1285" s="138">
        <v>1250</v>
      </c>
      <c r="D1285" s="138" t="s">
        <v>2717</v>
      </c>
      <c r="E1285" s="129">
        <v>46217</v>
      </c>
      <c r="F1285" s="128" t="s">
        <v>1144</v>
      </c>
      <c r="G1285" s="128" t="s">
        <v>1145</v>
      </c>
      <c r="H1285" s="128" t="s">
        <v>100</v>
      </c>
      <c r="I1285" s="136"/>
      <c r="J1285" s="138" t="s">
        <v>1146</v>
      </c>
      <c r="K1285" s="136"/>
      <c r="L1285" s="146">
        <v>46216</v>
      </c>
      <c r="M1285" s="136"/>
      <c r="N1285" s="281" t="s">
        <v>2791</v>
      </c>
      <c r="O1285" s="146">
        <v>46217</v>
      </c>
      <c r="P1285" s="138">
        <v>0</v>
      </c>
      <c r="Q1285" s="138">
        <v>120</v>
      </c>
      <c r="R1285" s="138">
        <v>60</v>
      </c>
      <c r="S1285" s="138">
        <v>180</v>
      </c>
      <c r="T1285" s="138">
        <v>180</v>
      </c>
      <c r="U1285" s="136"/>
      <c r="V1285" s="136"/>
      <c r="W1285" s="147">
        <v>90.5</v>
      </c>
      <c r="X1285" s="147">
        <v>90.6</v>
      </c>
      <c r="Y1285" s="147">
        <v>729520.5</v>
      </c>
      <c r="Z1285" s="443">
        <v>40.36</v>
      </c>
      <c r="AA1285" s="147">
        <v>18238.009999999998</v>
      </c>
      <c r="AB1285" s="147">
        <v>18238.009999999998</v>
      </c>
      <c r="AC1285" s="147">
        <v>765996.53</v>
      </c>
      <c r="AD1285" s="315">
        <f t="shared" si="879"/>
        <v>765230.53347000002</v>
      </c>
      <c r="AE1285" s="236">
        <v>40.36</v>
      </c>
      <c r="AF1285" s="147">
        <v>42</v>
      </c>
      <c r="AG1285" s="236">
        <v>40.36</v>
      </c>
      <c r="AH1285" s="287">
        <v>3.8999999999999998E-3</v>
      </c>
      <c r="AI1285" s="287">
        <v>3.5999999999999997E-2</v>
      </c>
      <c r="AJ1285" s="287">
        <v>4.5999999999999999E-2</v>
      </c>
      <c r="AK1285" s="318">
        <f t="shared" si="860"/>
        <v>28486.03857142858</v>
      </c>
      <c r="AL1285" s="193">
        <v>0</v>
      </c>
      <c r="AM1285" s="319">
        <v>0</v>
      </c>
      <c r="AN1285" s="319"/>
      <c r="AO1285" s="320">
        <f t="shared" si="861"/>
        <v>0</v>
      </c>
      <c r="AP1285" s="193">
        <v>0</v>
      </c>
      <c r="AQ1285" s="318">
        <v>0</v>
      </c>
      <c r="AR1285" s="318">
        <f t="shared" si="862"/>
        <v>28486.03857142858</v>
      </c>
      <c r="AS1285" s="318">
        <f t="shared" si="863"/>
        <v>29910</v>
      </c>
      <c r="AT1285" s="321">
        <v>0</v>
      </c>
      <c r="AU1285" s="157"/>
      <c r="AV1285" s="136"/>
      <c r="AW1285" s="318">
        <f t="shared" si="864"/>
        <v>9050</v>
      </c>
      <c r="AX1285" s="193"/>
      <c r="AY1285" s="318">
        <f t="shared" si="865"/>
        <v>9050</v>
      </c>
      <c r="AZ1285" s="318">
        <f t="shared" si="866"/>
        <v>9060</v>
      </c>
      <c r="BA1285" s="318">
        <f t="shared" si="867"/>
        <v>-10</v>
      </c>
      <c r="BB1285" s="318">
        <f t="shared" si="868"/>
        <v>18.100000000000001</v>
      </c>
      <c r="BC1285" s="318">
        <v>0</v>
      </c>
      <c r="BD1285" s="136"/>
      <c r="BE1285" s="138">
        <v>90.5</v>
      </c>
      <c r="BF1285" s="321">
        <f t="shared" si="869"/>
        <v>0.13574999999999998</v>
      </c>
      <c r="BG1285" s="197">
        <f t="shared" si="870"/>
        <v>90.364249999999998</v>
      </c>
      <c r="BH1285" s="321">
        <f t="shared" si="871"/>
        <v>90.6</v>
      </c>
      <c r="BI1285" s="322">
        <f t="shared" si="872"/>
        <v>-9.9999999999994316</v>
      </c>
      <c r="BJ1285" s="322">
        <v>0</v>
      </c>
      <c r="BK1285" s="318">
        <f t="shared" si="873"/>
        <v>-9.9999999999994316</v>
      </c>
      <c r="BL1285" s="67"/>
      <c r="BM1285" s="68" t="str">
        <f t="shared" si="874"/>
        <v>Unloading no. 1250 Bill No 2026-27/411 ,Deduction For Oil Deduction= 28486.0385714286 ,Bardana= 0 ,F.M= 0 Brokerage/Rate Difference  ,Shortage = 0 ,Greenish= 0 ,Moisture= 0</v>
      </c>
      <c r="BN1285" s="69"/>
      <c r="BO1285" s="70" t="str">
        <f t="shared" si="875"/>
        <v xml:space="preserve"> Party Condition 42  ,F.M% 0.39 ,Greenish 3.6 ,Moisture 4.6 ,Shortage in KG= 0  ,Oil% 40.36</v>
      </c>
      <c r="BP1285" s="71">
        <f t="shared" si="876"/>
        <v>7737.6872122358873</v>
      </c>
      <c r="BQ1285" s="55"/>
      <c r="BR1285" s="55"/>
      <c r="BS1285" s="41"/>
      <c r="BT1285" s="41"/>
      <c r="BU1285" s="41"/>
      <c r="BV1285" s="41"/>
      <c r="BW1285" s="85"/>
      <c r="BX1285" s="89">
        <v>40.4</v>
      </c>
      <c r="BY1285" s="27">
        <v>40.1</v>
      </c>
    </row>
    <row r="1286" spans="1:85" ht="14.1" hidden="1" customHeight="1" x14ac:dyDescent="0.3">
      <c r="A1286" s="128" t="s">
        <v>2668</v>
      </c>
      <c r="B1286" s="146">
        <v>46213</v>
      </c>
      <c r="C1286" s="138">
        <v>1251</v>
      </c>
      <c r="D1286" s="138" t="s">
        <v>2718</v>
      </c>
      <c r="E1286" s="129">
        <v>46218</v>
      </c>
      <c r="F1286" s="128" t="s">
        <v>2079</v>
      </c>
      <c r="G1286" s="159" t="s">
        <v>2080</v>
      </c>
      <c r="H1286" s="128" t="s">
        <v>2081</v>
      </c>
      <c r="I1286" s="136"/>
      <c r="J1286" s="128"/>
      <c r="K1286" s="136"/>
      <c r="L1286" s="146">
        <v>46213</v>
      </c>
      <c r="M1286" s="136"/>
      <c r="N1286" s="281" t="s">
        <v>2792</v>
      </c>
      <c r="O1286" s="146">
        <v>46217</v>
      </c>
      <c r="P1286" s="138">
        <v>0</v>
      </c>
      <c r="Q1286" s="138">
        <v>70</v>
      </c>
      <c r="R1286" s="138">
        <v>345</v>
      </c>
      <c r="S1286" s="138">
        <v>415</v>
      </c>
      <c r="T1286" s="138">
        <v>415</v>
      </c>
      <c r="U1286" s="136"/>
      <c r="V1286" s="136"/>
      <c r="W1286" s="147">
        <v>246</v>
      </c>
      <c r="X1286" s="147">
        <v>246.3</v>
      </c>
      <c r="Y1286" s="147">
        <v>1968000</v>
      </c>
      <c r="Z1286" s="169"/>
      <c r="AA1286" s="147">
        <v>49200</v>
      </c>
      <c r="AB1286" s="147">
        <v>49200</v>
      </c>
      <c r="AC1286" s="147">
        <v>2066400</v>
      </c>
      <c r="AD1286" s="315">
        <f t="shared" si="879"/>
        <v>2064333.6</v>
      </c>
      <c r="AE1286" s="444">
        <v>40.299999999999997</v>
      </c>
      <c r="AF1286" s="147">
        <v>42</v>
      </c>
      <c r="AG1286" s="147">
        <v>40.18</v>
      </c>
      <c r="AH1286" s="418">
        <v>4.7999999999999996E-3</v>
      </c>
      <c r="AI1286" s="287">
        <v>3.5999999999999997E-2</v>
      </c>
      <c r="AJ1286" s="397">
        <v>5.91E-2</v>
      </c>
      <c r="AK1286" s="318">
        <f>+IF(AF1286=42,IF(MIN(AE1286,AG1286)&lt;AF1286,Y1286*((AF1286-MIN(AE1286,AG1286))/AF1286)),IF(MIN(AE1286,AG1286)&lt;AF1286,Y1286*((AF1286-MIN(AE1286,AG1286))/AF1286),0))-34.11</f>
        <v>85245.890000000014</v>
      </c>
      <c r="AL1286" s="193">
        <f>70*10+345*15</f>
        <v>5875</v>
      </c>
      <c r="AM1286" s="319">
        <f>Y1286*AH1286</f>
        <v>9446.4</v>
      </c>
      <c r="AN1286" s="319"/>
      <c r="AO1286" s="320">
        <f t="shared" si="861"/>
        <v>0</v>
      </c>
      <c r="AP1286" s="193">
        <v>0</v>
      </c>
      <c r="AQ1286" s="318">
        <f>Y1286*0.91/100</f>
        <v>17908.8</v>
      </c>
      <c r="AR1286" s="318">
        <f t="shared" si="862"/>
        <v>118476.09000000001</v>
      </c>
      <c r="AS1286" s="318">
        <f t="shared" si="863"/>
        <v>124400</v>
      </c>
      <c r="AT1286" s="321">
        <v>0</v>
      </c>
      <c r="AU1286" s="206" t="s">
        <v>2208</v>
      </c>
      <c r="AV1286" s="136"/>
      <c r="AW1286" s="318">
        <f t="shared" si="864"/>
        <v>24600</v>
      </c>
      <c r="AX1286" s="193"/>
      <c r="AY1286" s="318">
        <f t="shared" si="865"/>
        <v>24600</v>
      </c>
      <c r="AZ1286" s="318">
        <f t="shared" si="866"/>
        <v>24630</v>
      </c>
      <c r="BA1286" s="325">
        <f t="shared" si="867"/>
        <v>-30</v>
      </c>
      <c r="BB1286" s="325">
        <f t="shared" si="868"/>
        <v>49.2</v>
      </c>
      <c r="BC1286" s="318">
        <v>0</v>
      </c>
      <c r="BD1286" s="136"/>
      <c r="BE1286" s="138">
        <v>246</v>
      </c>
      <c r="BF1286" s="321">
        <f t="shared" si="869"/>
        <v>0.36899999999999999</v>
      </c>
      <c r="BG1286" s="197">
        <f t="shared" si="870"/>
        <v>245.631</v>
      </c>
      <c r="BH1286" s="321">
        <f t="shared" si="871"/>
        <v>246.3</v>
      </c>
      <c r="BI1286" s="322">
        <f t="shared" si="872"/>
        <v>-30.000000000001137</v>
      </c>
      <c r="BJ1286" s="322">
        <v>0</v>
      </c>
      <c r="BK1286" s="318">
        <f t="shared" si="873"/>
        <v>-30.000000000001137</v>
      </c>
      <c r="BL1286" s="67"/>
      <c r="BM1286" s="68" t="str">
        <f t="shared" si="874"/>
        <v>Unloading no. 1251 Bill No FMT27MLR002015 ,Deduction For Oil Deduction= 85245.89 ,Bardana= 5875 ,F.M= 9446.4 Brokerage/Rate Difference  ,Shortage = 0 ,Greenish= 0 ,Moisture= 17908.8</v>
      </c>
      <c r="BN1286" s="69"/>
      <c r="BO1286" s="70" t="str">
        <f t="shared" si="875"/>
        <v xml:space="preserve"> Party Condition 42  ,F.M% 0.48 ,Greenish 3.6 ,Moisture 5.91 ,Shortage in KG= 0  ,Oil% 40.18</v>
      </c>
      <c r="BP1286" s="71">
        <f t="shared" si="876"/>
        <v>7509.232277710109</v>
      </c>
      <c r="BQ1286" s="55"/>
      <c r="BR1286" s="55"/>
      <c r="BS1286" s="41"/>
      <c r="BT1286" s="41"/>
      <c r="BU1286" s="41"/>
      <c r="BV1286" s="41"/>
      <c r="BW1286" s="85"/>
      <c r="BX1286" s="89">
        <v>40.299999999999997</v>
      </c>
      <c r="BY1286" s="27">
        <v>40.18</v>
      </c>
      <c r="CA1286" s="56">
        <v>124399.91</v>
      </c>
      <c r="CC1286" s="57">
        <f t="shared" ref="CC1286" si="880">AS1286-CA1286</f>
        <v>8.999999999650754E-2</v>
      </c>
      <c r="CE1286" s="88">
        <f t="shared" ref="CE1286" si="881">CC1286/105%</f>
        <v>8.5714285710959556E-2</v>
      </c>
    </row>
    <row r="1287" spans="1:85" ht="14.1" hidden="1" customHeight="1" x14ac:dyDescent="0.3">
      <c r="A1287" s="128" t="s">
        <v>2669</v>
      </c>
      <c r="B1287" s="146">
        <v>46216</v>
      </c>
      <c r="C1287" s="138">
        <v>1252</v>
      </c>
      <c r="D1287" s="138" t="s">
        <v>2719</v>
      </c>
      <c r="E1287" s="129">
        <v>46218</v>
      </c>
      <c r="F1287" s="128" t="s">
        <v>1689</v>
      </c>
      <c r="G1287" s="159" t="s">
        <v>1690</v>
      </c>
      <c r="H1287" s="128" t="s">
        <v>1511</v>
      </c>
      <c r="I1287" s="136"/>
      <c r="J1287" s="128"/>
      <c r="K1287" s="136"/>
      <c r="L1287" s="146">
        <v>46216</v>
      </c>
      <c r="M1287" s="136"/>
      <c r="N1287" s="281" t="s">
        <v>2793</v>
      </c>
      <c r="O1287" s="146">
        <v>46217</v>
      </c>
      <c r="P1287" s="138">
        <v>0</v>
      </c>
      <c r="Q1287" s="138">
        <v>229</v>
      </c>
      <c r="R1287" s="138">
        <v>50</v>
      </c>
      <c r="S1287" s="138">
        <v>279</v>
      </c>
      <c r="T1287" s="138">
        <v>279</v>
      </c>
      <c r="U1287" s="136"/>
      <c r="V1287" s="136"/>
      <c r="W1287" s="147">
        <v>170.25</v>
      </c>
      <c r="X1287" s="147">
        <v>170.4</v>
      </c>
      <c r="Y1287" s="147">
        <v>1374768.75</v>
      </c>
      <c r="Z1287" s="179"/>
      <c r="AA1287" s="147">
        <v>34369.22</v>
      </c>
      <c r="AB1287" s="147">
        <v>34369.22</v>
      </c>
      <c r="AC1287" s="147">
        <v>1443507.19</v>
      </c>
      <c r="AD1287" s="315">
        <f t="shared" si="879"/>
        <v>1442063.6828099999</v>
      </c>
      <c r="AE1287" s="444">
        <v>40.729999999999997</v>
      </c>
      <c r="AF1287" s="147">
        <v>42</v>
      </c>
      <c r="AG1287" s="147">
        <v>40.51</v>
      </c>
      <c r="AH1287" s="287">
        <v>2E-3</v>
      </c>
      <c r="AI1287" s="287">
        <v>4.8000000000000001E-2</v>
      </c>
      <c r="AJ1287" s="397">
        <v>5.1999999999999998E-2</v>
      </c>
      <c r="AK1287" s="318">
        <f>+IF(AF1287=42,IF(MIN(AE1287,AG1287)&lt;AF1287,Y1287*((AF1287-MIN(AE1287,AG1287))/AF1287)),IF(MIN(AE1287,AG1287)&lt;AF1287,Y1287*((AF1287-MIN(AE1287,AG1287))/AF1287),0))-19.95</f>
        <v>48751.608035714351</v>
      </c>
      <c r="AL1287" s="193">
        <f>229*10+50*15</f>
        <v>3040</v>
      </c>
      <c r="AM1287" s="319">
        <f>Y1287*AH1287</f>
        <v>2749.5374999999999</v>
      </c>
      <c r="AN1287" s="319"/>
      <c r="AO1287" s="320">
        <f t="shared" si="861"/>
        <v>0</v>
      </c>
      <c r="AP1287" s="193">
        <v>0</v>
      </c>
      <c r="AQ1287" s="318">
        <f>Y1287*0.2/100</f>
        <v>2749.5374999999999</v>
      </c>
      <c r="AR1287" s="318">
        <f t="shared" si="862"/>
        <v>57290.683035714348</v>
      </c>
      <c r="AS1287" s="318">
        <f t="shared" si="863"/>
        <v>60155</v>
      </c>
      <c r="AT1287" s="321">
        <v>0</v>
      </c>
      <c r="AU1287" s="206" t="s">
        <v>2208</v>
      </c>
      <c r="AV1287" s="136"/>
      <c r="AW1287" s="318">
        <f t="shared" si="864"/>
        <v>17025</v>
      </c>
      <c r="AX1287" s="193"/>
      <c r="AY1287" s="318">
        <f t="shared" si="865"/>
        <v>17025</v>
      </c>
      <c r="AZ1287" s="318">
        <f t="shared" si="866"/>
        <v>17040</v>
      </c>
      <c r="BA1287" s="325">
        <f t="shared" si="867"/>
        <v>-15</v>
      </c>
      <c r="BB1287" s="325">
        <f t="shared" si="868"/>
        <v>34.049999999999997</v>
      </c>
      <c r="BC1287" s="318">
        <v>0</v>
      </c>
      <c r="BD1287" s="136"/>
      <c r="BE1287" s="138">
        <v>170.25</v>
      </c>
      <c r="BF1287" s="321">
        <f t="shared" si="869"/>
        <v>0.25537499999999996</v>
      </c>
      <c r="BG1287" s="197">
        <f t="shared" si="870"/>
        <v>169.99462500000001</v>
      </c>
      <c r="BH1287" s="321">
        <f t="shared" si="871"/>
        <v>170.4</v>
      </c>
      <c r="BI1287" s="322">
        <f t="shared" si="872"/>
        <v>-15.000000000000568</v>
      </c>
      <c r="BJ1287" s="322">
        <v>0</v>
      </c>
      <c r="BK1287" s="318">
        <f t="shared" si="873"/>
        <v>-15.000000000000568</v>
      </c>
      <c r="BL1287" s="67"/>
      <c r="BM1287" s="68" t="str">
        <f t="shared" si="874"/>
        <v>Unloading no. 1252 Bill No GST45 ,Deduction For Oil Deduction= 48751.6080357144 ,Bardana= 3040 ,F.M= 2749.5375 Brokerage/Rate Difference  ,Shortage = 0 ,Greenish= 0 ,Moisture= 2749.5375</v>
      </c>
      <c r="BN1287" s="69"/>
      <c r="BO1287" s="70" t="str">
        <f t="shared" si="875"/>
        <v xml:space="preserve"> Party Condition 42  ,F.M% 0.2 ,Greenish 4.8 ,Moisture 5.2 ,Shortage in KG= 0  ,Oil% 40.51</v>
      </c>
      <c r="BP1287" s="71">
        <f t="shared" si="876"/>
        <v>7731.6787967387654</v>
      </c>
      <c r="BQ1287" s="55"/>
      <c r="BR1287" s="55"/>
      <c r="BS1287" s="41"/>
      <c r="BT1287" s="41"/>
      <c r="BU1287" s="41"/>
      <c r="BV1287" s="41"/>
      <c r="BW1287" s="85"/>
      <c r="BX1287" s="89">
        <v>40.729999999999997</v>
      </c>
      <c r="BY1287" s="27">
        <v>40.51</v>
      </c>
      <c r="CA1287" s="56">
        <v>57268.67</v>
      </c>
      <c r="CC1287" s="57">
        <f t="shared" ref="CC1287" si="882">AS1287-CA1287</f>
        <v>2886.3300000000017</v>
      </c>
      <c r="CE1287" s="88">
        <f t="shared" ref="CE1287" si="883">CC1287/105%</f>
        <v>2748.8857142857159</v>
      </c>
      <c r="CG1287" s="56" t="s">
        <v>2819</v>
      </c>
    </row>
    <row r="1288" spans="1:85" ht="14.1" hidden="1" customHeight="1" x14ac:dyDescent="0.3">
      <c r="A1288" s="281" t="s">
        <v>2450</v>
      </c>
      <c r="B1288" s="146">
        <v>46210</v>
      </c>
      <c r="C1288" s="138">
        <v>1254</v>
      </c>
      <c r="D1288" s="138" t="s">
        <v>2720</v>
      </c>
      <c r="E1288" s="129">
        <v>46218</v>
      </c>
      <c r="F1288" s="128" t="s">
        <v>2497</v>
      </c>
      <c r="G1288" s="128" t="s">
        <v>2498</v>
      </c>
      <c r="H1288" s="128" t="s">
        <v>100</v>
      </c>
      <c r="I1288" s="136"/>
      <c r="J1288" s="138" t="s">
        <v>1146</v>
      </c>
      <c r="K1288" s="136"/>
      <c r="L1288" s="146">
        <v>46210</v>
      </c>
      <c r="M1288" s="136"/>
      <c r="N1288" s="281" t="s">
        <v>2794</v>
      </c>
      <c r="O1288" s="146">
        <v>46218</v>
      </c>
      <c r="P1288" s="138">
        <v>0</v>
      </c>
      <c r="Q1288" s="138">
        <v>150</v>
      </c>
      <c r="R1288" s="138">
        <v>30</v>
      </c>
      <c r="S1288" s="138">
        <v>180</v>
      </c>
      <c r="T1288" s="138">
        <v>180</v>
      </c>
      <c r="U1288" s="136"/>
      <c r="V1288" s="136"/>
      <c r="W1288" s="147">
        <v>91</v>
      </c>
      <c r="X1288" s="147">
        <v>90.8</v>
      </c>
      <c r="Y1288" s="445">
        <v>723450</v>
      </c>
      <c r="Z1288" s="443">
        <v>40.15</v>
      </c>
      <c r="AA1288" s="390">
        <v>18086.25</v>
      </c>
      <c r="AB1288" s="147">
        <v>18086.25</v>
      </c>
      <c r="AC1288" s="147">
        <v>759622.5</v>
      </c>
      <c r="AD1288" s="315">
        <f t="shared" si="879"/>
        <v>758862.87749999994</v>
      </c>
      <c r="AE1288" s="236">
        <v>40.15</v>
      </c>
      <c r="AF1288" s="147">
        <v>42</v>
      </c>
      <c r="AG1288" s="236">
        <v>40.15</v>
      </c>
      <c r="AH1288" s="287">
        <v>1.8E-3</v>
      </c>
      <c r="AI1288" s="287">
        <v>0.03</v>
      </c>
      <c r="AJ1288" s="287">
        <v>4.9000000000000002E-2</v>
      </c>
      <c r="AK1288" s="318">
        <f t="shared" si="860"/>
        <v>31866.250000000022</v>
      </c>
      <c r="AL1288" s="193">
        <v>0</v>
      </c>
      <c r="AM1288" s="319">
        <v>0</v>
      </c>
      <c r="AN1288" s="319"/>
      <c r="AO1288" s="320">
        <f t="shared" si="861"/>
        <v>159</v>
      </c>
      <c r="AP1288" s="193">
        <v>0</v>
      </c>
      <c r="AQ1288" s="318">
        <v>0</v>
      </c>
      <c r="AR1288" s="318">
        <f t="shared" si="862"/>
        <v>32025.250000000022</v>
      </c>
      <c r="AS1288" s="318">
        <f t="shared" si="863"/>
        <v>33627</v>
      </c>
      <c r="AT1288" s="321">
        <v>2</v>
      </c>
      <c r="AU1288" s="157"/>
      <c r="AV1288" s="136"/>
      <c r="AW1288" s="318">
        <f t="shared" si="864"/>
        <v>9100</v>
      </c>
      <c r="AX1288" s="193"/>
      <c r="AY1288" s="318">
        <f t="shared" si="865"/>
        <v>9100</v>
      </c>
      <c r="AZ1288" s="318">
        <f t="shared" si="866"/>
        <v>9080</v>
      </c>
      <c r="BA1288" s="318">
        <f t="shared" si="867"/>
        <v>20</v>
      </c>
      <c r="BB1288" s="318">
        <f t="shared" si="868"/>
        <v>18.2</v>
      </c>
      <c r="BC1288" s="318">
        <v>0</v>
      </c>
      <c r="BD1288" s="136"/>
      <c r="BE1288" s="138">
        <v>91</v>
      </c>
      <c r="BF1288" s="321">
        <f t="shared" si="869"/>
        <v>0.13650000000000001</v>
      </c>
      <c r="BG1288" s="197">
        <f t="shared" si="870"/>
        <v>90.863500000000002</v>
      </c>
      <c r="BH1288" s="321">
        <f t="shared" si="871"/>
        <v>90.8</v>
      </c>
      <c r="BI1288" s="322">
        <f t="shared" si="872"/>
        <v>20.000000000000284</v>
      </c>
      <c r="BJ1288" s="322">
        <v>0</v>
      </c>
      <c r="BK1288" s="318">
        <f t="shared" si="873"/>
        <v>20.000000000000284</v>
      </c>
      <c r="BL1288" s="67"/>
      <c r="BM1288" s="68" t="str">
        <f t="shared" si="874"/>
        <v>Unloading no. 1254 Bill No HA/26-27/0398 ,Deduction For Oil Deduction= 31866.25 ,Bardana= 0 ,F.M= 0 Brokerage/Rate Difference  ,Shortage = 159 ,Greenish= 0 ,Moisture= 0</v>
      </c>
      <c r="BN1288" s="69"/>
      <c r="BO1288" s="70" t="str">
        <f t="shared" si="875"/>
        <v xml:space="preserve"> Party Condition 42  ,F.M% 0.18 ,Greenish 3 ,Moisture 4.9 ,Shortage in KG= 2  ,Oil% 40.15</v>
      </c>
      <c r="BP1288" s="71">
        <f t="shared" si="876"/>
        <v>7614.8100220264323</v>
      </c>
      <c r="BQ1288" s="55"/>
      <c r="BR1288" s="55"/>
      <c r="BS1288" s="41"/>
      <c r="BT1288" s="41"/>
      <c r="BU1288" s="41"/>
      <c r="BV1288" s="41"/>
      <c r="BW1288" s="85"/>
      <c r="BX1288" s="89">
        <v>40</v>
      </c>
      <c r="BY1288" s="27">
        <v>39.729999999999997</v>
      </c>
    </row>
    <row r="1289" spans="1:85" ht="14.1" hidden="1" customHeight="1" x14ac:dyDescent="0.3">
      <c r="A1289" s="128" t="s">
        <v>2450</v>
      </c>
      <c r="B1289" s="146">
        <v>46210</v>
      </c>
      <c r="C1289" s="138">
        <v>1255</v>
      </c>
      <c r="D1289" s="138" t="s">
        <v>2721</v>
      </c>
      <c r="E1289" s="129">
        <v>46218</v>
      </c>
      <c r="F1289" s="128" t="s">
        <v>2497</v>
      </c>
      <c r="G1289" s="128" t="s">
        <v>2498</v>
      </c>
      <c r="H1289" s="128" t="s">
        <v>100</v>
      </c>
      <c r="I1289" s="136"/>
      <c r="J1289" s="138" t="s">
        <v>1146</v>
      </c>
      <c r="K1289" s="136"/>
      <c r="L1289" s="146">
        <v>46210</v>
      </c>
      <c r="M1289" s="136"/>
      <c r="N1289" s="281" t="s">
        <v>2795</v>
      </c>
      <c r="O1289" s="146">
        <v>46218</v>
      </c>
      <c r="P1289" s="138">
        <v>0</v>
      </c>
      <c r="Q1289" s="138">
        <v>110</v>
      </c>
      <c r="R1289" s="138">
        <v>12</v>
      </c>
      <c r="S1289" s="138">
        <v>122</v>
      </c>
      <c r="T1289" s="138">
        <v>122</v>
      </c>
      <c r="U1289" s="136"/>
      <c r="V1289" s="136"/>
      <c r="W1289" s="147">
        <v>61.9</v>
      </c>
      <c r="X1289" s="147">
        <v>61.9</v>
      </c>
      <c r="Y1289" s="445">
        <v>492105</v>
      </c>
      <c r="Z1289" s="443">
        <v>39.72</v>
      </c>
      <c r="AA1289" s="390">
        <v>12302.63</v>
      </c>
      <c r="AB1289" s="147">
        <v>12302.63</v>
      </c>
      <c r="AC1289" s="147">
        <v>516710.25</v>
      </c>
      <c r="AD1289" s="315">
        <f t="shared" si="879"/>
        <v>516193.53975</v>
      </c>
      <c r="AE1289" s="236">
        <v>39.72</v>
      </c>
      <c r="AF1289" s="147">
        <v>42</v>
      </c>
      <c r="AG1289" s="236">
        <v>39.72</v>
      </c>
      <c r="AH1289" s="287">
        <v>1.8E-3</v>
      </c>
      <c r="AI1289" s="287">
        <v>5.0999999999999997E-2</v>
      </c>
      <c r="AJ1289" s="287">
        <v>5.0999999999999997E-2</v>
      </c>
      <c r="AK1289" s="318">
        <f t="shared" si="860"/>
        <v>26714.271428571443</v>
      </c>
      <c r="AL1289" s="193">
        <v>0</v>
      </c>
      <c r="AM1289" s="319">
        <v>0</v>
      </c>
      <c r="AN1289" s="319"/>
      <c r="AO1289" s="320">
        <f t="shared" si="861"/>
        <v>0</v>
      </c>
      <c r="AP1289" s="193">
        <v>0</v>
      </c>
      <c r="AQ1289" s="318">
        <v>0</v>
      </c>
      <c r="AR1289" s="318">
        <f t="shared" si="862"/>
        <v>26714.271428571443</v>
      </c>
      <c r="AS1289" s="318">
        <f t="shared" si="863"/>
        <v>28050</v>
      </c>
      <c r="AT1289" s="321">
        <v>0</v>
      </c>
      <c r="AU1289" s="157"/>
      <c r="AV1289" s="136"/>
      <c r="AW1289" s="318">
        <f t="shared" si="864"/>
        <v>6190</v>
      </c>
      <c r="AX1289" s="193"/>
      <c r="AY1289" s="318">
        <f t="shared" si="865"/>
        <v>6190</v>
      </c>
      <c r="AZ1289" s="318">
        <f t="shared" si="866"/>
        <v>6190</v>
      </c>
      <c r="BA1289" s="318">
        <f t="shared" si="867"/>
        <v>0</v>
      </c>
      <c r="BB1289" s="318">
        <f t="shared" si="868"/>
        <v>12.38</v>
      </c>
      <c r="BC1289" s="318">
        <v>0</v>
      </c>
      <c r="BD1289" s="136"/>
      <c r="BE1289" s="138">
        <v>61.9</v>
      </c>
      <c r="BF1289" s="321">
        <f t="shared" si="869"/>
        <v>9.2850000000000002E-2</v>
      </c>
      <c r="BG1289" s="197">
        <f t="shared" si="870"/>
        <v>61.80715</v>
      </c>
      <c r="BH1289" s="321">
        <f t="shared" si="871"/>
        <v>61.9</v>
      </c>
      <c r="BI1289" s="322">
        <f t="shared" si="872"/>
        <v>0</v>
      </c>
      <c r="BJ1289" s="322">
        <v>0</v>
      </c>
      <c r="BK1289" s="318">
        <f t="shared" si="873"/>
        <v>0</v>
      </c>
      <c r="BL1289" s="67"/>
      <c r="BM1289" s="68" t="str">
        <f t="shared" si="874"/>
        <v>Unloading no. 1255 Bill No HA/26-27/0399 ,Deduction For Oil Deduction= 26714.2714285714 ,Bardana= 0 ,F.M= 0 Brokerage/Rate Difference  ,Shortage = 0 ,Greenish= 0 ,Moisture= 0</v>
      </c>
      <c r="BN1289" s="69"/>
      <c r="BO1289" s="70" t="str">
        <f t="shared" si="875"/>
        <v xml:space="preserve"> Party Condition 42  ,F.M% 0.18 ,Greenish 5.1 ,Moisture 5.1 ,Shortage in KG= 0  ,Oil% 39.72</v>
      </c>
      <c r="BP1289" s="71">
        <f t="shared" si="876"/>
        <v>7518.4285714285716</v>
      </c>
      <c r="BQ1289" s="55"/>
      <c r="BR1289" s="55"/>
      <c r="BS1289" s="41"/>
      <c r="BT1289" s="41"/>
      <c r="BU1289" s="41"/>
      <c r="BV1289" s="41"/>
      <c r="BW1289" s="85"/>
      <c r="BX1289" s="89">
        <v>39.49</v>
      </c>
      <c r="BY1289" s="27">
        <v>39.33</v>
      </c>
    </row>
    <row r="1290" spans="1:85" ht="14.1" hidden="1" customHeight="1" x14ac:dyDescent="0.3">
      <c r="A1290" s="128" t="s">
        <v>2667</v>
      </c>
      <c r="B1290" s="146">
        <v>46216</v>
      </c>
      <c r="C1290" s="138">
        <v>1256</v>
      </c>
      <c r="D1290" s="138" t="s">
        <v>2722</v>
      </c>
      <c r="E1290" s="129">
        <v>46218</v>
      </c>
      <c r="F1290" s="128" t="s">
        <v>1144</v>
      </c>
      <c r="G1290" s="128" t="s">
        <v>1145</v>
      </c>
      <c r="H1290" s="128" t="s">
        <v>100</v>
      </c>
      <c r="I1290" s="136"/>
      <c r="J1290" s="138" t="s">
        <v>1146</v>
      </c>
      <c r="K1290" s="136"/>
      <c r="L1290" s="146">
        <v>46216</v>
      </c>
      <c r="M1290" s="136"/>
      <c r="N1290" s="281" t="s">
        <v>2796</v>
      </c>
      <c r="O1290" s="146">
        <v>46218</v>
      </c>
      <c r="P1290" s="138">
        <v>0</v>
      </c>
      <c r="Q1290" s="138">
        <v>150</v>
      </c>
      <c r="R1290" s="138">
        <v>30</v>
      </c>
      <c r="S1290" s="138">
        <v>180</v>
      </c>
      <c r="T1290" s="138">
        <v>180</v>
      </c>
      <c r="U1290" s="136"/>
      <c r="V1290" s="136"/>
      <c r="W1290" s="147">
        <v>90.9</v>
      </c>
      <c r="X1290" s="147">
        <v>90.8</v>
      </c>
      <c r="Y1290" s="445">
        <v>732744.9</v>
      </c>
      <c r="Z1290" s="443">
        <v>39.700000000000003</v>
      </c>
      <c r="AA1290" s="390">
        <v>18318.62</v>
      </c>
      <c r="AB1290" s="147">
        <v>18318.62</v>
      </c>
      <c r="AC1290" s="147">
        <v>769382.15</v>
      </c>
      <c r="AD1290" s="315">
        <f t="shared" si="879"/>
        <v>768612.76785000006</v>
      </c>
      <c r="AE1290" s="236">
        <v>39.700000000000003</v>
      </c>
      <c r="AF1290" s="147">
        <v>42</v>
      </c>
      <c r="AG1290" s="236">
        <v>39.700000000000003</v>
      </c>
      <c r="AH1290" s="287">
        <v>3.0999999999999999E-3</v>
      </c>
      <c r="AI1290" s="287">
        <v>0.03</v>
      </c>
      <c r="AJ1290" s="287">
        <v>5.5E-2</v>
      </c>
      <c r="AK1290" s="318">
        <f t="shared" si="860"/>
        <v>40126.506428571382</v>
      </c>
      <c r="AL1290" s="193">
        <v>0</v>
      </c>
      <c r="AM1290" s="319">
        <v>0</v>
      </c>
      <c r="AN1290" s="319"/>
      <c r="AO1290" s="320">
        <f t="shared" si="861"/>
        <v>0</v>
      </c>
      <c r="AP1290" s="193">
        <v>0</v>
      </c>
      <c r="AQ1290" s="318">
        <v>0</v>
      </c>
      <c r="AR1290" s="318">
        <f t="shared" si="862"/>
        <v>40126.506428571382</v>
      </c>
      <c r="AS1290" s="318">
        <f t="shared" si="863"/>
        <v>42133</v>
      </c>
      <c r="AT1290" s="321">
        <v>0</v>
      </c>
      <c r="AU1290" s="157"/>
      <c r="AV1290" s="136"/>
      <c r="AW1290" s="318">
        <f t="shared" si="864"/>
        <v>9090</v>
      </c>
      <c r="AX1290" s="193"/>
      <c r="AY1290" s="318">
        <f t="shared" si="865"/>
        <v>9090</v>
      </c>
      <c r="AZ1290" s="318">
        <f t="shared" si="866"/>
        <v>9080</v>
      </c>
      <c r="BA1290" s="318">
        <f t="shared" si="867"/>
        <v>10</v>
      </c>
      <c r="BB1290" s="318">
        <f t="shared" si="868"/>
        <v>18.18</v>
      </c>
      <c r="BC1290" s="318">
        <v>0</v>
      </c>
      <c r="BD1290" s="136"/>
      <c r="BE1290" s="138">
        <v>90.9</v>
      </c>
      <c r="BF1290" s="321">
        <f t="shared" si="869"/>
        <v>0.13635</v>
      </c>
      <c r="BG1290" s="197">
        <f t="shared" si="870"/>
        <v>90.763650000000013</v>
      </c>
      <c r="BH1290" s="321">
        <f t="shared" si="871"/>
        <v>90.8</v>
      </c>
      <c r="BI1290" s="322">
        <f t="shared" si="872"/>
        <v>10.000000000000853</v>
      </c>
      <c r="BJ1290" s="322">
        <v>0</v>
      </c>
      <c r="BK1290" s="318">
        <f t="shared" si="873"/>
        <v>10.000000000000853</v>
      </c>
      <c r="BL1290" s="67"/>
      <c r="BM1290" s="68" t="str">
        <f t="shared" si="874"/>
        <v>Unloading no. 1256 Bill No 2026-27/413 ,Deduction For Oil Deduction= 40126.5064285714 ,Bardana= 0 ,F.M= 0 Brokerage/Rate Difference  ,Shortage = 0 ,Greenish= 0 ,Moisture= 0</v>
      </c>
      <c r="BN1290" s="69"/>
      <c r="BO1290" s="70" t="str">
        <f t="shared" si="875"/>
        <v xml:space="preserve"> Party Condition 42  ,F.M% 0.31 ,Greenish 3 ,Moisture 5.5 ,Shortage in KG= 0  ,Oil% 39.7</v>
      </c>
      <c r="BP1290" s="71">
        <f t="shared" si="876"/>
        <v>7627.9558763373198</v>
      </c>
      <c r="BQ1290" s="55"/>
      <c r="BR1290" s="55"/>
      <c r="BS1290" s="41"/>
      <c r="BT1290" s="41"/>
      <c r="BU1290" s="41"/>
      <c r="BV1290" s="41"/>
      <c r="BW1290" s="85"/>
      <c r="BX1290" s="89">
        <v>39.72</v>
      </c>
      <c r="BY1290" s="27">
        <v>39.700000000000003</v>
      </c>
    </row>
    <row r="1291" spans="1:85" ht="14.1" hidden="1" customHeight="1" x14ac:dyDescent="0.3">
      <c r="A1291" s="163" t="s">
        <v>2670</v>
      </c>
      <c r="B1291" s="171">
        <v>46212</v>
      </c>
      <c r="C1291" s="187">
        <v>1257</v>
      </c>
      <c r="D1291" s="187" t="s">
        <v>2723</v>
      </c>
      <c r="E1291" s="162">
        <v>46218</v>
      </c>
      <c r="F1291" s="163" t="s">
        <v>2497</v>
      </c>
      <c r="G1291" s="163" t="s">
        <v>2498</v>
      </c>
      <c r="H1291" s="163" t="s">
        <v>100</v>
      </c>
      <c r="I1291" s="157"/>
      <c r="J1291" s="187" t="s">
        <v>1146</v>
      </c>
      <c r="K1291" s="157"/>
      <c r="L1291" s="171">
        <v>46212</v>
      </c>
      <c r="M1291" s="157"/>
      <c r="N1291" s="282" t="s">
        <v>2797</v>
      </c>
      <c r="O1291" s="146">
        <v>46218</v>
      </c>
      <c r="P1291" s="138">
        <v>0</v>
      </c>
      <c r="Q1291" s="138">
        <v>145</v>
      </c>
      <c r="R1291" s="138">
        <v>15</v>
      </c>
      <c r="S1291" s="138">
        <v>160</v>
      </c>
      <c r="T1291" s="138">
        <v>160</v>
      </c>
      <c r="U1291" s="136"/>
      <c r="V1291" s="136"/>
      <c r="W1291" s="147">
        <v>95.8</v>
      </c>
      <c r="X1291" s="147">
        <v>95.7</v>
      </c>
      <c r="Y1291" s="445">
        <v>766495.8</v>
      </c>
      <c r="Z1291" s="443">
        <v>40.19</v>
      </c>
      <c r="AA1291" s="390">
        <v>19162.400000000001</v>
      </c>
      <c r="AB1291" s="147">
        <v>19162.400000000001</v>
      </c>
      <c r="AC1291" s="147">
        <v>804820.59</v>
      </c>
      <c r="AD1291" s="315">
        <f t="shared" si="879"/>
        <v>804015.76940999995</v>
      </c>
      <c r="AE1291" s="236">
        <v>40.19</v>
      </c>
      <c r="AF1291" s="147">
        <v>42</v>
      </c>
      <c r="AG1291" s="236">
        <v>40.19</v>
      </c>
      <c r="AH1291" s="287">
        <v>2.3999999999999998E-3</v>
      </c>
      <c r="AI1291" s="287">
        <v>2.8000000000000001E-2</v>
      </c>
      <c r="AJ1291" s="287">
        <v>4.9000000000000002E-2</v>
      </c>
      <c r="AK1291" s="318">
        <f t="shared" si="860"/>
        <v>33032.319000000047</v>
      </c>
      <c r="AL1291" s="193">
        <v>0</v>
      </c>
      <c r="AM1291" s="319">
        <v>0</v>
      </c>
      <c r="AN1291" s="319"/>
      <c r="AO1291" s="320">
        <f t="shared" si="861"/>
        <v>0</v>
      </c>
      <c r="AP1291" s="193">
        <v>0</v>
      </c>
      <c r="AQ1291" s="318">
        <v>0</v>
      </c>
      <c r="AR1291" s="318">
        <f t="shared" si="862"/>
        <v>33032.319000000047</v>
      </c>
      <c r="AS1291" s="318">
        <f t="shared" si="863"/>
        <v>34684</v>
      </c>
      <c r="AT1291" s="321">
        <v>0</v>
      </c>
      <c r="AU1291" s="157"/>
      <c r="AV1291" s="136"/>
      <c r="AW1291" s="318">
        <f t="shared" si="864"/>
        <v>9580</v>
      </c>
      <c r="AX1291" s="193"/>
      <c r="AY1291" s="318">
        <f t="shared" si="865"/>
        <v>9580</v>
      </c>
      <c r="AZ1291" s="318">
        <f t="shared" si="866"/>
        <v>9570</v>
      </c>
      <c r="BA1291" s="318">
        <f t="shared" si="867"/>
        <v>10</v>
      </c>
      <c r="BB1291" s="318">
        <f t="shared" si="868"/>
        <v>19.16</v>
      </c>
      <c r="BC1291" s="318">
        <v>0</v>
      </c>
      <c r="BD1291" s="136"/>
      <c r="BE1291" s="138">
        <v>95.8</v>
      </c>
      <c r="BF1291" s="321">
        <f t="shared" si="869"/>
        <v>0.14369999999999999</v>
      </c>
      <c r="BG1291" s="197">
        <f t="shared" si="870"/>
        <v>95.656300000000002</v>
      </c>
      <c r="BH1291" s="321">
        <f t="shared" si="871"/>
        <v>95.7</v>
      </c>
      <c r="BI1291" s="322">
        <f t="shared" si="872"/>
        <v>9.9999999999994316</v>
      </c>
      <c r="BJ1291" s="322">
        <v>0</v>
      </c>
      <c r="BK1291" s="318">
        <f t="shared" si="873"/>
        <v>9.9999999999994316</v>
      </c>
      <c r="BL1291" s="67"/>
      <c r="BM1291" s="68" t="str">
        <f t="shared" si="874"/>
        <v>Unloading no. 1257 Bill No HA/26-27/0400 ,Deduction For Oil Deduction= 33032.319 ,Bardana= 0 ,F.M= 0 Brokerage/Rate Difference  ,Shortage = 0 ,Greenish= 0 ,Moisture= 0</v>
      </c>
      <c r="BN1291" s="69"/>
      <c r="BO1291" s="70" t="str">
        <f t="shared" si="875"/>
        <v xml:space="preserve"> Party Condition 42  ,F.M% 0.24 ,Greenish 2.8 ,Moisture 4.9 ,Shortage in KG= 0  ,Oil% 40.19</v>
      </c>
      <c r="BP1291" s="71">
        <f t="shared" si="876"/>
        <v>7664.1952037617557</v>
      </c>
      <c r="BQ1291" s="55"/>
      <c r="BR1291" s="55"/>
      <c r="BS1291" s="41"/>
      <c r="BT1291" s="41"/>
      <c r="BU1291" s="41"/>
      <c r="BV1291" s="41"/>
      <c r="BW1291" s="85"/>
      <c r="BX1291" s="89">
        <v>40.119999999999997</v>
      </c>
      <c r="BY1291" s="27">
        <v>39.950000000000003</v>
      </c>
    </row>
    <row r="1292" spans="1:85" ht="14.1" hidden="1" customHeight="1" x14ac:dyDescent="0.3">
      <c r="A1292" s="163" t="s">
        <v>2670</v>
      </c>
      <c r="B1292" s="171">
        <v>46212</v>
      </c>
      <c r="C1292" s="187">
        <v>1258</v>
      </c>
      <c r="D1292" s="187" t="s">
        <v>2724</v>
      </c>
      <c r="E1292" s="162">
        <v>46218</v>
      </c>
      <c r="F1292" s="163" t="s">
        <v>2497</v>
      </c>
      <c r="G1292" s="163" t="s">
        <v>2498</v>
      </c>
      <c r="H1292" s="163" t="s">
        <v>100</v>
      </c>
      <c r="I1292" s="157"/>
      <c r="J1292" s="187" t="s">
        <v>1146</v>
      </c>
      <c r="K1292" s="157"/>
      <c r="L1292" s="171">
        <v>46212</v>
      </c>
      <c r="M1292" s="157"/>
      <c r="N1292" s="282" t="s">
        <v>2798</v>
      </c>
      <c r="O1292" s="146">
        <v>46218</v>
      </c>
      <c r="P1292" s="138">
        <v>0</v>
      </c>
      <c r="Q1292" s="138">
        <v>148</v>
      </c>
      <c r="R1292" s="138">
        <v>12</v>
      </c>
      <c r="S1292" s="138">
        <v>160</v>
      </c>
      <c r="T1292" s="138">
        <v>160</v>
      </c>
      <c r="U1292" s="136"/>
      <c r="V1292" s="136"/>
      <c r="W1292" s="147">
        <v>96.7</v>
      </c>
      <c r="X1292" s="147">
        <v>96.6</v>
      </c>
      <c r="Y1292" s="445">
        <v>773696.7</v>
      </c>
      <c r="Z1292" s="443">
        <v>40</v>
      </c>
      <c r="AA1292" s="390">
        <v>19342.419999999998</v>
      </c>
      <c r="AB1292" s="147">
        <v>19342.419999999998</v>
      </c>
      <c r="AC1292" s="147">
        <v>812381.54</v>
      </c>
      <c r="AD1292" s="315">
        <f t="shared" si="879"/>
        <v>811569.15846000006</v>
      </c>
      <c r="AE1292" s="236">
        <v>40</v>
      </c>
      <c r="AF1292" s="147">
        <v>42</v>
      </c>
      <c r="AG1292" s="236">
        <v>40</v>
      </c>
      <c r="AH1292" s="287">
        <v>2E-3</v>
      </c>
      <c r="AI1292" s="287">
        <v>2.7799999999999998E-2</v>
      </c>
      <c r="AJ1292" s="287">
        <v>4.2999999999999997E-2</v>
      </c>
      <c r="AK1292" s="318">
        <f t="shared" si="860"/>
        <v>36842.699999999997</v>
      </c>
      <c r="AL1292" s="193">
        <v>0</v>
      </c>
      <c r="AM1292" s="319">
        <v>0</v>
      </c>
      <c r="AN1292" s="319"/>
      <c r="AO1292" s="320">
        <f t="shared" si="861"/>
        <v>0</v>
      </c>
      <c r="AP1292" s="193">
        <v>0</v>
      </c>
      <c r="AQ1292" s="318">
        <v>0</v>
      </c>
      <c r="AR1292" s="318">
        <f t="shared" si="862"/>
        <v>36842.699999999997</v>
      </c>
      <c r="AS1292" s="318">
        <f t="shared" si="863"/>
        <v>38685</v>
      </c>
      <c r="AT1292" s="321">
        <v>0</v>
      </c>
      <c r="AU1292" s="157"/>
      <c r="AV1292" s="136"/>
      <c r="AW1292" s="318">
        <f t="shared" si="864"/>
        <v>9670</v>
      </c>
      <c r="AX1292" s="193"/>
      <c r="AY1292" s="318">
        <f t="shared" si="865"/>
        <v>9670</v>
      </c>
      <c r="AZ1292" s="318">
        <f t="shared" si="866"/>
        <v>9660</v>
      </c>
      <c r="BA1292" s="318">
        <f t="shared" si="867"/>
        <v>10</v>
      </c>
      <c r="BB1292" s="318">
        <f t="shared" si="868"/>
        <v>19.34</v>
      </c>
      <c r="BC1292" s="318">
        <v>0</v>
      </c>
      <c r="BD1292" s="136"/>
      <c r="BE1292" s="138">
        <v>96.7</v>
      </c>
      <c r="BF1292" s="321">
        <f t="shared" si="869"/>
        <v>0.14504999999999998</v>
      </c>
      <c r="BG1292" s="197">
        <f t="shared" si="870"/>
        <v>96.554950000000005</v>
      </c>
      <c r="BH1292" s="321">
        <f t="shared" si="871"/>
        <v>96.6</v>
      </c>
      <c r="BI1292" s="322">
        <f t="shared" si="872"/>
        <v>10.000000000000853</v>
      </c>
      <c r="BJ1292" s="322">
        <v>0</v>
      </c>
      <c r="BK1292" s="318">
        <f t="shared" si="873"/>
        <v>10.000000000000853</v>
      </c>
      <c r="BL1292" s="67"/>
      <c r="BM1292" s="68" t="str">
        <f t="shared" si="874"/>
        <v>Unloading no. 1258 Bill No HA/26-27/0401 ,Deduction For Oil Deduction= 36842.7 ,Bardana= 0 ,F.M= 0 Brokerage/Rate Difference  ,Shortage = 0 ,Greenish= 0 ,Moisture= 0</v>
      </c>
      <c r="BN1292" s="69"/>
      <c r="BO1292" s="70" t="str">
        <f t="shared" si="875"/>
        <v xml:space="preserve"> Party Condition 42  ,F.M% 0.2 ,Greenish 2.78 ,Moisture 4.3 ,Shortage in KG= 0  ,Oil% 40</v>
      </c>
      <c r="BP1292" s="71">
        <f t="shared" si="876"/>
        <v>7627.8881987577643</v>
      </c>
      <c r="BQ1292" s="55"/>
      <c r="BR1292" s="55"/>
      <c r="BS1292" s="41"/>
      <c r="BT1292" s="41"/>
      <c r="BU1292" s="41"/>
      <c r="BV1292" s="41"/>
      <c r="BW1292" s="85"/>
      <c r="BX1292" s="89">
        <v>39.799999999999997</v>
      </c>
      <c r="BY1292" s="27">
        <v>39.76</v>
      </c>
    </row>
    <row r="1293" spans="1:85" ht="14.1" hidden="1" customHeight="1" x14ac:dyDescent="0.3">
      <c r="A1293" s="281" t="s">
        <v>2670</v>
      </c>
      <c r="B1293" s="146">
        <v>46212</v>
      </c>
      <c r="C1293" s="138">
        <v>1259</v>
      </c>
      <c r="D1293" s="138" t="s">
        <v>2725</v>
      </c>
      <c r="E1293" s="129">
        <v>46218</v>
      </c>
      <c r="F1293" s="128" t="s">
        <v>2497</v>
      </c>
      <c r="G1293" s="128" t="s">
        <v>2498</v>
      </c>
      <c r="H1293" s="128" t="s">
        <v>100</v>
      </c>
      <c r="I1293" s="136"/>
      <c r="J1293" s="138" t="s">
        <v>1146</v>
      </c>
      <c r="K1293" s="136"/>
      <c r="L1293" s="146">
        <v>46212</v>
      </c>
      <c r="M1293" s="136"/>
      <c r="N1293" s="281" t="s">
        <v>2799</v>
      </c>
      <c r="O1293" s="146">
        <v>46218</v>
      </c>
      <c r="P1293" s="138">
        <v>0</v>
      </c>
      <c r="Q1293" s="138">
        <v>140</v>
      </c>
      <c r="R1293" s="138">
        <v>20</v>
      </c>
      <c r="S1293" s="138">
        <v>160</v>
      </c>
      <c r="T1293" s="138">
        <v>160</v>
      </c>
      <c r="U1293" s="136"/>
      <c r="V1293" s="136"/>
      <c r="W1293" s="147">
        <v>97.3</v>
      </c>
      <c r="X1293" s="147">
        <v>97</v>
      </c>
      <c r="Y1293" s="445">
        <v>778497.3</v>
      </c>
      <c r="Z1293" s="443">
        <v>40.06</v>
      </c>
      <c r="AA1293" s="390">
        <v>19462.43</v>
      </c>
      <c r="AB1293" s="147">
        <v>19462.43</v>
      </c>
      <c r="AC1293" s="147">
        <v>817422.17</v>
      </c>
      <c r="AD1293" s="315">
        <f t="shared" si="879"/>
        <v>816604.74783000001</v>
      </c>
      <c r="AE1293" s="236">
        <v>40.06</v>
      </c>
      <c r="AF1293" s="147">
        <v>42</v>
      </c>
      <c r="AG1293" s="236">
        <v>40.06</v>
      </c>
      <c r="AH1293" s="287">
        <v>1.8E-3</v>
      </c>
      <c r="AI1293" s="287">
        <v>2.3E-2</v>
      </c>
      <c r="AJ1293" s="287">
        <v>4.2999999999999997E-2</v>
      </c>
      <c r="AK1293" s="318">
        <f t="shared" si="860"/>
        <v>35959.160999999956</v>
      </c>
      <c r="AL1293" s="193">
        <v>0</v>
      </c>
      <c r="AM1293" s="319">
        <v>0</v>
      </c>
      <c r="AN1293" s="319"/>
      <c r="AO1293" s="320">
        <f t="shared" si="861"/>
        <v>880.11000000000013</v>
      </c>
      <c r="AP1293" s="193">
        <v>0</v>
      </c>
      <c r="AQ1293" s="318">
        <v>0</v>
      </c>
      <c r="AR1293" s="318">
        <f t="shared" si="862"/>
        <v>36839.270999999957</v>
      </c>
      <c r="AS1293" s="318">
        <f t="shared" si="863"/>
        <v>38681</v>
      </c>
      <c r="AT1293" s="321">
        <v>11</v>
      </c>
      <c r="AU1293" s="157"/>
      <c r="AV1293" s="136"/>
      <c r="AW1293" s="318">
        <f t="shared" si="864"/>
        <v>9730</v>
      </c>
      <c r="AX1293" s="193"/>
      <c r="AY1293" s="318">
        <f t="shared" si="865"/>
        <v>9730</v>
      </c>
      <c r="AZ1293" s="318">
        <f t="shared" si="866"/>
        <v>9700</v>
      </c>
      <c r="BA1293" s="318">
        <f t="shared" si="867"/>
        <v>30</v>
      </c>
      <c r="BB1293" s="318">
        <f t="shared" si="868"/>
        <v>19.46</v>
      </c>
      <c r="BC1293" s="318">
        <v>0</v>
      </c>
      <c r="BD1293" s="136"/>
      <c r="BE1293" s="138">
        <v>97.3</v>
      </c>
      <c r="BF1293" s="321">
        <f t="shared" si="869"/>
        <v>0.14595</v>
      </c>
      <c r="BG1293" s="197">
        <f t="shared" si="870"/>
        <v>97.154049999999998</v>
      </c>
      <c r="BH1293" s="321">
        <f t="shared" si="871"/>
        <v>97</v>
      </c>
      <c r="BI1293" s="322">
        <f t="shared" si="872"/>
        <v>29.999999999999716</v>
      </c>
      <c r="BJ1293" s="322">
        <v>0</v>
      </c>
      <c r="BK1293" s="318">
        <f t="shared" si="873"/>
        <v>29.999999999999716</v>
      </c>
      <c r="BL1293" s="67"/>
      <c r="BM1293" s="68" t="str">
        <f t="shared" si="874"/>
        <v>Unloading no. 1259 Bill No HA/26-27/0402 ,Deduction For Oil Deduction= 35959.161 ,Bardana= 0 ,F.M= 0 Brokerage/Rate Difference  ,Shortage = 880.11 ,Greenish= 0 ,Moisture= 0</v>
      </c>
      <c r="BN1293" s="69"/>
      <c r="BO1293" s="70" t="str">
        <f t="shared" si="875"/>
        <v xml:space="preserve"> Party Condition 42  ,F.M% 0.18 ,Greenish 2.3 ,Moisture 4.3 ,Shortage in KG= 11  ,Oil% 40.06</v>
      </c>
      <c r="BP1293" s="71">
        <f t="shared" si="876"/>
        <v>7645.9590618556713</v>
      </c>
      <c r="BQ1293" s="55"/>
      <c r="BR1293" s="55"/>
      <c r="BS1293" s="41"/>
      <c r="BT1293" s="41"/>
      <c r="BU1293" s="41"/>
      <c r="BV1293" s="41"/>
      <c r="BW1293" s="85"/>
      <c r="BX1293" s="89">
        <v>40</v>
      </c>
      <c r="BY1293" s="27">
        <v>39.81</v>
      </c>
    </row>
    <row r="1294" spans="1:85" ht="14.1" hidden="1" customHeight="1" x14ac:dyDescent="0.3">
      <c r="A1294" s="128" t="s">
        <v>2670</v>
      </c>
      <c r="B1294" s="146">
        <v>46212</v>
      </c>
      <c r="C1294" s="138">
        <v>1260</v>
      </c>
      <c r="D1294" s="138" t="s">
        <v>2726</v>
      </c>
      <c r="E1294" s="129">
        <v>46218</v>
      </c>
      <c r="F1294" s="128" t="s">
        <v>2497</v>
      </c>
      <c r="G1294" s="128" t="s">
        <v>2498</v>
      </c>
      <c r="H1294" s="128" t="s">
        <v>100</v>
      </c>
      <c r="I1294" s="136"/>
      <c r="J1294" s="138" t="s">
        <v>1146</v>
      </c>
      <c r="K1294" s="136"/>
      <c r="L1294" s="146">
        <v>46212</v>
      </c>
      <c r="M1294" s="136"/>
      <c r="N1294" s="281" t="s">
        <v>2800</v>
      </c>
      <c r="O1294" s="146">
        <v>46218</v>
      </c>
      <c r="P1294" s="138">
        <v>0</v>
      </c>
      <c r="Q1294" s="138">
        <v>130</v>
      </c>
      <c r="R1294" s="138">
        <v>30</v>
      </c>
      <c r="S1294" s="138">
        <v>160</v>
      </c>
      <c r="T1294" s="138">
        <v>160</v>
      </c>
      <c r="U1294" s="136"/>
      <c r="V1294" s="136"/>
      <c r="W1294" s="147">
        <v>97.2</v>
      </c>
      <c r="X1294" s="147">
        <v>97.1</v>
      </c>
      <c r="Y1294" s="445">
        <v>777697.2</v>
      </c>
      <c r="Z1294" s="443">
        <v>39.96</v>
      </c>
      <c r="AA1294" s="390">
        <v>19442.43</v>
      </c>
      <c r="AB1294" s="147">
        <v>19442.43</v>
      </c>
      <c r="AC1294" s="147">
        <v>816582.06</v>
      </c>
      <c r="AD1294" s="315">
        <f t="shared" si="879"/>
        <v>815765.47794000001</v>
      </c>
      <c r="AE1294" s="236">
        <v>39.96</v>
      </c>
      <c r="AF1294" s="147">
        <v>42</v>
      </c>
      <c r="AG1294" s="236">
        <v>39.96</v>
      </c>
      <c r="AH1294" s="287">
        <v>2.2000000000000001E-3</v>
      </c>
      <c r="AI1294" s="287">
        <v>0.03</v>
      </c>
      <c r="AJ1294" s="287">
        <v>4.2000000000000003E-2</v>
      </c>
      <c r="AK1294" s="318">
        <f t="shared" si="860"/>
        <v>37773.86399999998</v>
      </c>
      <c r="AL1294" s="193">
        <v>0</v>
      </c>
      <c r="AM1294" s="319">
        <v>0</v>
      </c>
      <c r="AN1294" s="319"/>
      <c r="AO1294" s="320">
        <f t="shared" si="861"/>
        <v>0</v>
      </c>
      <c r="AP1294" s="193">
        <v>0</v>
      </c>
      <c r="AQ1294" s="318">
        <v>0</v>
      </c>
      <c r="AR1294" s="318">
        <f t="shared" si="862"/>
        <v>37773.86399999998</v>
      </c>
      <c r="AS1294" s="318">
        <f t="shared" si="863"/>
        <v>39663</v>
      </c>
      <c r="AT1294" s="321">
        <v>0</v>
      </c>
      <c r="AU1294" s="157"/>
      <c r="AV1294" s="136"/>
      <c r="AW1294" s="318">
        <f t="shared" si="864"/>
        <v>9720</v>
      </c>
      <c r="AX1294" s="193"/>
      <c r="AY1294" s="318">
        <f t="shared" si="865"/>
        <v>9720</v>
      </c>
      <c r="AZ1294" s="318">
        <f t="shared" si="866"/>
        <v>9710</v>
      </c>
      <c r="BA1294" s="318">
        <f t="shared" si="867"/>
        <v>10</v>
      </c>
      <c r="BB1294" s="318">
        <f t="shared" si="868"/>
        <v>19.440000000000001</v>
      </c>
      <c r="BC1294" s="318">
        <v>0</v>
      </c>
      <c r="BD1294" s="136"/>
      <c r="BE1294" s="138">
        <v>97.2</v>
      </c>
      <c r="BF1294" s="321">
        <f t="shared" si="869"/>
        <v>0.14580000000000001</v>
      </c>
      <c r="BG1294" s="197">
        <f t="shared" si="870"/>
        <v>97.054200000000009</v>
      </c>
      <c r="BH1294" s="321">
        <f t="shared" si="871"/>
        <v>97.1</v>
      </c>
      <c r="BI1294" s="322">
        <f t="shared" si="872"/>
        <v>10.000000000000853</v>
      </c>
      <c r="BJ1294" s="322">
        <v>0</v>
      </c>
      <c r="BK1294" s="318">
        <f t="shared" si="873"/>
        <v>10.000000000000853</v>
      </c>
      <c r="BL1294" s="67"/>
      <c r="BM1294" s="68" t="str">
        <f t="shared" si="874"/>
        <v>Unloading no. 1260 Bill No HA/26-27/0403 ,Deduction For Oil Deduction= 37773.864 ,Bardana= 0 ,F.M= 0 Brokerage/Rate Difference  ,Shortage = 0 ,Greenish= 0 ,Moisture= 0</v>
      </c>
      <c r="BN1294" s="69"/>
      <c r="BO1294" s="70" t="str">
        <f t="shared" si="875"/>
        <v xml:space="preserve"> Party Condition 42  ,F.M% 0.22 ,Greenish 3 ,Moisture 4.2 ,Shortage in KG= 0  ,Oil% 39.96</v>
      </c>
      <c r="BP1294" s="71">
        <f t="shared" si="876"/>
        <v>7620.2197322348102</v>
      </c>
      <c r="BQ1294" s="55"/>
      <c r="BR1294" s="55"/>
      <c r="BS1294" s="41"/>
      <c r="BT1294" s="41"/>
      <c r="BU1294" s="41"/>
      <c r="BV1294" s="41"/>
      <c r="BW1294" s="85"/>
      <c r="BX1294" s="89">
        <v>39.79</v>
      </c>
      <c r="BY1294" s="27">
        <v>39.590000000000003</v>
      </c>
    </row>
    <row r="1295" spans="1:85" ht="14.1" hidden="1" customHeight="1" x14ac:dyDescent="0.3">
      <c r="A1295" s="128" t="s">
        <v>2670</v>
      </c>
      <c r="B1295" s="146">
        <v>46212</v>
      </c>
      <c r="C1295" s="138">
        <v>1261</v>
      </c>
      <c r="D1295" s="138" t="s">
        <v>2727</v>
      </c>
      <c r="E1295" s="129">
        <v>46218</v>
      </c>
      <c r="F1295" s="128" t="s">
        <v>2497</v>
      </c>
      <c r="G1295" s="128" t="s">
        <v>2498</v>
      </c>
      <c r="H1295" s="128" t="s">
        <v>100</v>
      </c>
      <c r="I1295" s="136"/>
      <c r="J1295" s="138" t="s">
        <v>1146</v>
      </c>
      <c r="K1295" s="136"/>
      <c r="L1295" s="146">
        <v>46212</v>
      </c>
      <c r="M1295" s="136"/>
      <c r="N1295" s="281" t="s">
        <v>2801</v>
      </c>
      <c r="O1295" s="146">
        <v>46218</v>
      </c>
      <c r="P1295" s="138">
        <v>0</v>
      </c>
      <c r="Q1295" s="138">
        <v>130</v>
      </c>
      <c r="R1295" s="138">
        <v>30</v>
      </c>
      <c r="S1295" s="138">
        <v>160</v>
      </c>
      <c r="T1295" s="138">
        <v>160</v>
      </c>
      <c r="U1295" s="136"/>
      <c r="V1295" s="136"/>
      <c r="W1295" s="147">
        <v>97.2</v>
      </c>
      <c r="X1295" s="147">
        <v>97.1</v>
      </c>
      <c r="Y1295" s="445">
        <v>777697.2</v>
      </c>
      <c r="Z1295" s="443">
        <v>40.74</v>
      </c>
      <c r="AA1295" s="390">
        <v>19442.43</v>
      </c>
      <c r="AB1295" s="147">
        <v>19442.43</v>
      </c>
      <c r="AC1295" s="147">
        <v>816582.06</v>
      </c>
      <c r="AD1295" s="315">
        <f t="shared" si="879"/>
        <v>815765.47794000001</v>
      </c>
      <c r="AE1295" s="236">
        <v>40.74</v>
      </c>
      <c r="AF1295" s="147">
        <v>42</v>
      </c>
      <c r="AG1295" s="236">
        <v>40.74</v>
      </c>
      <c r="AH1295" s="287">
        <v>2.5000000000000001E-3</v>
      </c>
      <c r="AI1295" s="287">
        <v>3.3000000000000002E-2</v>
      </c>
      <c r="AJ1295" s="287">
        <v>4.2000000000000003E-2</v>
      </c>
      <c r="AK1295" s="318">
        <f t="shared" si="860"/>
        <v>23330.915999999961</v>
      </c>
      <c r="AL1295" s="193">
        <v>0</v>
      </c>
      <c r="AM1295" s="319">
        <v>0</v>
      </c>
      <c r="AN1295" s="319"/>
      <c r="AO1295" s="320">
        <f t="shared" si="861"/>
        <v>0</v>
      </c>
      <c r="AP1295" s="193">
        <v>0</v>
      </c>
      <c r="AQ1295" s="318">
        <v>0</v>
      </c>
      <c r="AR1295" s="318">
        <f t="shared" si="862"/>
        <v>23330.915999999961</v>
      </c>
      <c r="AS1295" s="318">
        <f t="shared" si="863"/>
        <v>24497</v>
      </c>
      <c r="AT1295" s="321">
        <v>0</v>
      </c>
      <c r="AU1295" s="157"/>
      <c r="AV1295" s="136"/>
      <c r="AW1295" s="318">
        <f t="shared" si="864"/>
        <v>9720</v>
      </c>
      <c r="AX1295" s="193"/>
      <c r="AY1295" s="318">
        <f t="shared" si="865"/>
        <v>9720</v>
      </c>
      <c r="AZ1295" s="318">
        <f t="shared" si="866"/>
        <v>9710</v>
      </c>
      <c r="BA1295" s="318">
        <f t="shared" si="867"/>
        <v>10</v>
      </c>
      <c r="BB1295" s="318">
        <f t="shared" si="868"/>
        <v>19.440000000000001</v>
      </c>
      <c r="BC1295" s="318">
        <v>0</v>
      </c>
      <c r="BD1295" s="136"/>
      <c r="BE1295" s="138">
        <v>97.2</v>
      </c>
      <c r="BF1295" s="321">
        <f t="shared" si="869"/>
        <v>0.14580000000000001</v>
      </c>
      <c r="BG1295" s="197">
        <f t="shared" si="870"/>
        <v>97.054200000000009</v>
      </c>
      <c r="BH1295" s="321">
        <f t="shared" si="871"/>
        <v>97.1</v>
      </c>
      <c r="BI1295" s="322">
        <f t="shared" si="872"/>
        <v>10.000000000000853</v>
      </c>
      <c r="BJ1295" s="322">
        <v>0</v>
      </c>
      <c r="BK1295" s="318">
        <f t="shared" si="873"/>
        <v>10.000000000000853</v>
      </c>
      <c r="BL1295" s="67"/>
      <c r="BM1295" s="68" t="str">
        <f t="shared" si="874"/>
        <v>Unloading no. 1261 Bill No HA/26-27/0404 ,Deduction For Oil Deduction= 23330.916 ,Bardana= 0 ,F.M= 0 Brokerage/Rate Difference  ,Shortage = 0 ,Greenish= 0 ,Moisture= 0</v>
      </c>
      <c r="BN1295" s="69"/>
      <c r="BO1295" s="70" t="str">
        <f t="shared" si="875"/>
        <v xml:space="preserve"> Party Condition 42  ,F.M% 0.25 ,Greenish 3.3 ,Moisture 4.2 ,Shortage in KG= 0  ,Oil% 40.74</v>
      </c>
      <c r="BP1295" s="71">
        <f t="shared" si="876"/>
        <v>7768.962760041195</v>
      </c>
      <c r="BQ1295" s="55"/>
      <c r="BR1295" s="55"/>
      <c r="BS1295" s="41"/>
      <c r="BT1295" s="41"/>
      <c r="BU1295" s="41"/>
      <c r="BV1295" s="41"/>
      <c r="BW1295" s="85"/>
      <c r="BX1295" s="89">
        <v>40.700000000000003</v>
      </c>
      <c r="BY1295" s="27">
        <v>40.409999999999997</v>
      </c>
    </row>
    <row r="1296" spans="1:85" ht="14.1" hidden="1" customHeight="1" x14ac:dyDescent="0.3">
      <c r="A1296" s="281" t="s">
        <v>2670</v>
      </c>
      <c r="B1296" s="146">
        <v>46212</v>
      </c>
      <c r="C1296" s="138">
        <v>1262</v>
      </c>
      <c r="D1296" s="138" t="s">
        <v>2728</v>
      </c>
      <c r="E1296" s="129">
        <v>46218</v>
      </c>
      <c r="F1296" s="128" t="s">
        <v>2497</v>
      </c>
      <c r="G1296" s="128" t="s">
        <v>2498</v>
      </c>
      <c r="H1296" s="128" t="s">
        <v>100</v>
      </c>
      <c r="I1296" s="136"/>
      <c r="J1296" s="138" t="s">
        <v>1146</v>
      </c>
      <c r="K1296" s="136"/>
      <c r="L1296" s="146">
        <v>46212</v>
      </c>
      <c r="M1296" s="136"/>
      <c r="N1296" s="281" t="s">
        <v>2802</v>
      </c>
      <c r="O1296" s="146">
        <v>46218</v>
      </c>
      <c r="P1296" s="138">
        <v>0</v>
      </c>
      <c r="Q1296" s="138">
        <v>145</v>
      </c>
      <c r="R1296" s="138">
        <v>15</v>
      </c>
      <c r="S1296" s="138">
        <v>160</v>
      </c>
      <c r="T1296" s="138">
        <v>160</v>
      </c>
      <c r="U1296" s="136"/>
      <c r="V1296" s="136"/>
      <c r="W1296" s="147">
        <v>95.8</v>
      </c>
      <c r="X1296" s="147">
        <v>95.6</v>
      </c>
      <c r="Y1296" s="445">
        <v>766495.8</v>
      </c>
      <c r="Z1296" s="443">
        <v>41.19</v>
      </c>
      <c r="AA1296" s="390">
        <v>19162.400000000001</v>
      </c>
      <c r="AB1296" s="147">
        <v>19162.400000000001</v>
      </c>
      <c r="AC1296" s="147">
        <v>804820.59</v>
      </c>
      <c r="AD1296" s="315">
        <f t="shared" si="879"/>
        <v>804015.76940999995</v>
      </c>
      <c r="AE1296" s="236">
        <v>41.19</v>
      </c>
      <c r="AF1296" s="147">
        <v>42</v>
      </c>
      <c r="AG1296" s="236">
        <v>41.19</v>
      </c>
      <c r="AH1296" s="287">
        <v>2.3999999999999998E-3</v>
      </c>
      <c r="AI1296" s="287">
        <v>4.1200000000000001E-2</v>
      </c>
      <c r="AJ1296" s="287">
        <v>4.3999999999999997E-2</v>
      </c>
      <c r="AK1296" s="318">
        <f t="shared" si="860"/>
        <v>14782.419000000042</v>
      </c>
      <c r="AL1296" s="193">
        <v>0</v>
      </c>
      <c r="AM1296" s="319">
        <v>0</v>
      </c>
      <c r="AN1296" s="319"/>
      <c r="AO1296" s="320">
        <f t="shared" si="861"/>
        <v>80.010000000000005</v>
      </c>
      <c r="AP1296" s="193">
        <v>0</v>
      </c>
      <c r="AQ1296" s="318">
        <v>0</v>
      </c>
      <c r="AR1296" s="318">
        <f t="shared" si="862"/>
        <v>14862.429000000042</v>
      </c>
      <c r="AS1296" s="318">
        <f t="shared" si="863"/>
        <v>15606</v>
      </c>
      <c r="AT1296" s="321">
        <v>1</v>
      </c>
      <c r="AU1296" s="157"/>
      <c r="AV1296" s="136"/>
      <c r="AW1296" s="318">
        <f t="shared" si="864"/>
        <v>9580</v>
      </c>
      <c r="AX1296" s="193"/>
      <c r="AY1296" s="318">
        <f t="shared" si="865"/>
        <v>9580</v>
      </c>
      <c r="AZ1296" s="318">
        <f t="shared" si="866"/>
        <v>9560</v>
      </c>
      <c r="BA1296" s="318">
        <f t="shared" si="867"/>
        <v>20</v>
      </c>
      <c r="BB1296" s="318">
        <f t="shared" si="868"/>
        <v>19.16</v>
      </c>
      <c r="BC1296" s="318">
        <v>0</v>
      </c>
      <c r="BD1296" s="136"/>
      <c r="BE1296" s="138">
        <v>95.8</v>
      </c>
      <c r="BF1296" s="321">
        <f t="shared" si="869"/>
        <v>0.14369999999999999</v>
      </c>
      <c r="BG1296" s="197">
        <f t="shared" si="870"/>
        <v>95.656300000000002</v>
      </c>
      <c r="BH1296" s="321">
        <f t="shared" si="871"/>
        <v>95.6</v>
      </c>
      <c r="BI1296" s="322">
        <f t="shared" si="872"/>
        <v>20.000000000000284</v>
      </c>
      <c r="BJ1296" s="322">
        <v>0</v>
      </c>
      <c r="BK1296" s="318">
        <f t="shared" si="873"/>
        <v>20.000000000000284</v>
      </c>
      <c r="BL1296" s="67"/>
      <c r="BM1296" s="68" t="str">
        <f t="shared" si="874"/>
        <v>Unloading no. 1262 Bill No HA/26-27/0405 ,Deduction For Oil Deduction= 14782.419 ,Bardana= 0 ,F.M= 0 Brokerage/Rate Difference  ,Shortage = 80.01 ,Greenish= 0 ,Moisture= 0</v>
      </c>
      <c r="BN1296" s="69"/>
      <c r="BO1296" s="70" t="str">
        <f t="shared" si="875"/>
        <v xml:space="preserve"> Party Condition 42  ,F.M% 0.24 ,Greenish 4.12 ,Moisture 4.4 ,Shortage in KG= 1  ,Oil% 41.19</v>
      </c>
      <c r="BP1296" s="71">
        <f t="shared" si="876"/>
        <v>7862.2737552301269</v>
      </c>
      <c r="BQ1296" s="55"/>
      <c r="BR1296" s="55"/>
      <c r="BS1296" s="41"/>
      <c r="BT1296" s="41"/>
      <c r="BU1296" s="41"/>
      <c r="BV1296" s="41"/>
      <c r="BW1296" s="85"/>
      <c r="BX1296" s="89">
        <v>41.3</v>
      </c>
      <c r="BY1296" s="27">
        <v>41</v>
      </c>
    </row>
    <row r="1297" spans="1:77" ht="14.1" hidden="1" customHeight="1" x14ac:dyDescent="0.3">
      <c r="A1297" s="128" t="s">
        <v>2667</v>
      </c>
      <c r="B1297" s="146">
        <v>46216</v>
      </c>
      <c r="C1297" s="138">
        <v>1263</v>
      </c>
      <c r="D1297" s="138" t="s">
        <v>2729</v>
      </c>
      <c r="E1297" s="129">
        <v>46218</v>
      </c>
      <c r="F1297" s="128" t="s">
        <v>1144</v>
      </c>
      <c r="G1297" s="128" t="s">
        <v>1145</v>
      </c>
      <c r="H1297" s="128" t="s">
        <v>100</v>
      </c>
      <c r="I1297" s="136"/>
      <c r="J1297" s="138" t="s">
        <v>1146</v>
      </c>
      <c r="K1297" s="136"/>
      <c r="L1297" s="146">
        <v>46216</v>
      </c>
      <c r="M1297" s="136"/>
      <c r="N1297" s="281" t="s">
        <v>2803</v>
      </c>
      <c r="O1297" s="146">
        <v>46218</v>
      </c>
      <c r="P1297" s="138">
        <v>0</v>
      </c>
      <c r="Q1297" s="138">
        <v>160</v>
      </c>
      <c r="R1297" s="138">
        <v>15</v>
      </c>
      <c r="S1297" s="138">
        <v>175</v>
      </c>
      <c r="T1297" s="138">
        <v>175</v>
      </c>
      <c r="U1297" s="136"/>
      <c r="V1297" s="136"/>
      <c r="W1297" s="147">
        <v>88.9</v>
      </c>
      <c r="X1297" s="147">
        <v>88.7</v>
      </c>
      <c r="Y1297" s="445">
        <v>716622.9</v>
      </c>
      <c r="Z1297" s="443">
        <v>40.159999999999997</v>
      </c>
      <c r="AA1297" s="390">
        <v>17915.57</v>
      </c>
      <c r="AB1297" s="147">
        <v>17915.57</v>
      </c>
      <c r="AC1297" s="147">
        <v>752454.05</v>
      </c>
      <c r="AD1297" s="315">
        <f t="shared" si="879"/>
        <v>751701.5959500001</v>
      </c>
      <c r="AE1297" s="236">
        <v>40.159999999999997</v>
      </c>
      <c r="AF1297" s="147">
        <v>42</v>
      </c>
      <c r="AG1297" s="236">
        <v>40.159999999999997</v>
      </c>
      <c r="AH1297" s="287">
        <v>2.7000000000000001E-3</v>
      </c>
      <c r="AI1297" s="287">
        <v>3.2399999999999998E-2</v>
      </c>
      <c r="AJ1297" s="287">
        <v>4.5999999999999999E-2</v>
      </c>
      <c r="AK1297" s="318">
        <f t="shared" si="860"/>
        <v>31394.908000000058</v>
      </c>
      <c r="AL1297" s="193">
        <v>0</v>
      </c>
      <c r="AM1297" s="319">
        <v>0</v>
      </c>
      <c r="AN1297" s="319"/>
      <c r="AO1297" s="320">
        <f t="shared" si="861"/>
        <v>161.22</v>
      </c>
      <c r="AP1297" s="193">
        <v>0</v>
      </c>
      <c r="AQ1297" s="318">
        <v>0</v>
      </c>
      <c r="AR1297" s="318">
        <f t="shared" si="862"/>
        <v>31556.128000000059</v>
      </c>
      <c r="AS1297" s="318">
        <f t="shared" si="863"/>
        <v>33134</v>
      </c>
      <c r="AT1297" s="321">
        <v>2</v>
      </c>
      <c r="AU1297" s="157"/>
      <c r="AV1297" s="136"/>
      <c r="AW1297" s="318">
        <f t="shared" si="864"/>
        <v>8890</v>
      </c>
      <c r="AX1297" s="193"/>
      <c r="AY1297" s="318">
        <f t="shared" si="865"/>
        <v>8890</v>
      </c>
      <c r="AZ1297" s="318">
        <f t="shared" si="866"/>
        <v>8870</v>
      </c>
      <c r="BA1297" s="318">
        <f t="shared" si="867"/>
        <v>20</v>
      </c>
      <c r="BB1297" s="318">
        <f t="shared" si="868"/>
        <v>17.78</v>
      </c>
      <c r="BC1297" s="318">
        <v>0</v>
      </c>
      <c r="BD1297" s="136"/>
      <c r="BE1297" s="138">
        <v>88.9</v>
      </c>
      <c r="BF1297" s="321">
        <f t="shared" si="869"/>
        <v>0.13335</v>
      </c>
      <c r="BG1297" s="197">
        <f t="shared" si="870"/>
        <v>88.766650000000013</v>
      </c>
      <c r="BH1297" s="321">
        <f t="shared" si="871"/>
        <v>88.7</v>
      </c>
      <c r="BI1297" s="322">
        <f t="shared" si="872"/>
        <v>20.000000000000284</v>
      </c>
      <c r="BJ1297" s="322">
        <v>0</v>
      </c>
      <c r="BK1297" s="318">
        <f t="shared" si="873"/>
        <v>20.000000000000284</v>
      </c>
      <c r="BL1297" s="67"/>
      <c r="BM1297" s="68" t="str">
        <f t="shared" si="874"/>
        <v>Unloading no. 1263 Bill No 2026-27/414 ,Deduction For Oil Deduction= 31394.9080000001 ,Bardana= 0 ,F.M= 0 Brokerage/Rate Difference  ,Shortage = 161.22 ,Greenish= 0 ,Moisture= 0</v>
      </c>
      <c r="BN1297" s="69"/>
      <c r="BO1297" s="70" t="str">
        <f t="shared" si="875"/>
        <v xml:space="preserve"> Party Condition 42  ,F.M% 0.27 ,Greenish 3.24 ,Moisture 4.6 ,Shortage in KG= 2  ,Oil% 40.16</v>
      </c>
      <c r="BP1297" s="71">
        <f t="shared" si="876"/>
        <v>7723.4134385569332</v>
      </c>
      <c r="BQ1297" s="55"/>
      <c r="BR1297" s="55"/>
      <c r="BS1297" s="41"/>
      <c r="BT1297" s="41"/>
      <c r="BU1297" s="41"/>
      <c r="BV1297" s="41"/>
      <c r="BW1297" s="85"/>
      <c r="BX1297" s="27">
        <v>39.97</v>
      </c>
      <c r="BY1297" s="27">
        <v>39.770000000000003</v>
      </c>
    </row>
    <row r="1298" spans="1:77" ht="14.1" hidden="1" customHeight="1" x14ac:dyDescent="0.3">
      <c r="A1298" s="128" t="s">
        <v>2667</v>
      </c>
      <c r="B1298" s="146">
        <v>46216</v>
      </c>
      <c r="C1298" s="138">
        <v>1264</v>
      </c>
      <c r="D1298" s="138" t="s">
        <v>2730</v>
      </c>
      <c r="E1298" s="129">
        <v>46218</v>
      </c>
      <c r="F1298" s="128" t="s">
        <v>1144</v>
      </c>
      <c r="G1298" s="128" t="s">
        <v>1145</v>
      </c>
      <c r="H1298" s="128" t="s">
        <v>100</v>
      </c>
      <c r="I1298" s="136"/>
      <c r="J1298" s="138" t="s">
        <v>1146</v>
      </c>
      <c r="K1298" s="136"/>
      <c r="L1298" s="146">
        <v>46216</v>
      </c>
      <c r="M1298" s="136"/>
      <c r="N1298" s="281" t="s">
        <v>2804</v>
      </c>
      <c r="O1298" s="146">
        <v>46218</v>
      </c>
      <c r="P1298" s="138">
        <v>0</v>
      </c>
      <c r="Q1298" s="138">
        <v>100</v>
      </c>
      <c r="R1298" s="138">
        <v>50</v>
      </c>
      <c r="S1298" s="138">
        <v>150</v>
      </c>
      <c r="T1298" s="138">
        <v>150</v>
      </c>
      <c r="U1298" s="136"/>
      <c r="V1298" s="136"/>
      <c r="W1298" s="147">
        <v>90.4</v>
      </c>
      <c r="X1298" s="147">
        <v>90.3</v>
      </c>
      <c r="Y1298" s="445">
        <v>728714.4</v>
      </c>
      <c r="Z1298" s="443">
        <v>40.01</v>
      </c>
      <c r="AA1298" s="390">
        <v>18217.86</v>
      </c>
      <c r="AB1298" s="147">
        <v>18217.86</v>
      </c>
      <c r="AC1298" s="147">
        <v>765150.12</v>
      </c>
      <c r="AD1298" s="315">
        <f t="shared" si="879"/>
        <v>764384.96987999999</v>
      </c>
      <c r="AE1298" s="236">
        <v>40.01</v>
      </c>
      <c r="AF1298" s="147">
        <v>42</v>
      </c>
      <c r="AG1298" s="236">
        <v>40.01</v>
      </c>
      <c r="AH1298" s="287">
        <v>1.8E-3</v>
      </c>
      <c r="AI1298" s="287">
        <v>4.5699999999999998E-2</v>
      </c>
      <c r="AJ1298" s="287">
        <v>4.2999999999999997E-2</v>
      </c>
      <c r="AK1298" s="318">
        <f t="shared" si="860"/>
        <v>34527.18228571432</v>
      </c>
      <c r="AL1298" s="193">
        <v>0</v>
      </c>
      <c r="AM1298" s="319">
        <v>0</v>
      </c>
      <c r="AN1298" s="319"/>
      <c r="AO1298" s="320">
        <f t="shared" si="861"/>
        <v>0</v>
      </c>
      <c r="AP1298" s="193">
        <v>0</v>
      </c>
      <c r="AQ1298" s="318">
        <v>0</v>
      </c>
      <c r="AR1298" s="318">
        <f t="shared" si="862"/>
        <v>34527.18228571432</v>
      </c>
      <c r="AS1298" s="318">
        <f t="shared" si="863"/>
        <v>36254</v>
      </c>
      <c r="AT1298" s="321">
        <v>0</v>
      </c>
      <c r="AU1298" s="157"/>
      <c r="AV1298" s="136"/>
      <c r="AW1298" s="318">
        <f t="shared" si="864"/>
        <v>9040</v>
      </c>
      <c r="AX1298" s="193"/>
      <c r="AY1298" s="318">
        <f t="shared" si="865"/>
        <v>9040</v>
      </c>
      <c r="AZ1298" s="318">
        <f t="shared" si="866"/>
        <v>9030</v>
      </c>
      <c r="BA1298" s="318">
        <f t="shared" si="867"/>
        <v>10</v>
      </c>
      <c r="BB1298" s="318">
        <f t="shared" si="868"/>
        <v>18.079999999999998</v>
      </c>
      <c r="BC1298" s="318">
        <v>0</v>
      </c>
      <c r="BD1298" s="136"/>
      <c r="BE1298" s="138">
        <v>90.4</v>
      </c>
      <c r="BF1298" s="321">
        <f t="shared" si="869"/>
        <v>0.1356</v>
      </c>
      <c r="BG1298" s="197">
        <f t="shared" si="870"/>
        <v>90.264400000000009</v>
      </c>
      <c r="BH1298" s="321">
        <f t="shared" si="871"/>
        <v>90.3</v>
      </c>
      <c r="BI1298" s="322">
        <f t="shared" si="872"/>
        <v>10.000000000000853</v>
      </c>
      <c r="BJ1298" s="322">
        <v>0</v>
      </c>
      <c r="BK1298" s="318">
        <f t="shared" si="873"/>
        <v>10.000000000000853</v>
      </c>
      <c r="BL1298" s="67"/>
      <c r="BM1298" s="68" t="str">
        <f t="shared" si="874"/>
        <v>Unloading no. 1264 Bill No 2026-27/415 ,Deduction For Oil Deduction= 34527.1822857143 ,Bardana= 0 ,F.M= 0 Brokerage/Rate Difference  ,Shortage = 0 ,Greenish= 0 ,Moisture= 0</v>
      </c>
      <c r="BN1298" s="69"/>
      <c r="BO1298" s="70" t="str">
        <f t="shared" si="875"/>
        <v xml:space="preserve"> Party Condition 42  ,F.M% 0.18 ,Greenish 4.57 ,Moisture 4.3 ,Shortage in KG= 0  ,Oil% 40.01</v>
      </c>
      <c r="BP1298" s="71">
        <f t="shared" si="876"/>
        <v>7687.5660876443599</v>
      </c>
      <c r="BQ1298" s="55"/>
      <c r="BR1298" s="55"/>
      <c r="BS1298" s="41"/>
      <c r="BT1298" s="41"/>
      <c r="BU1298" s="41"/>
      <c r="BV1298" s="41"/>
      <c r="BW1298" s="85"/>
      <c r="BX1298" s="27">
        <v>39.770000000000003</v>
      </c>
      <c r="BY1298" s="27">
        <v>39.770000000000003</v>
      </c>
    </row>
    <row r="1299" spans="1:77" ht="14.1" hidden="1" customHeight="1" x14ac:dyDescent="0.3">
      <c r="A1299" s="128" t="s">
        <v>2667</v>
      </c>
      <c r="B1299" s="146">
        <v>46216</v>
      </c>
      <c r="C1299" s="138">
        <v>1265</v>
      </c>
      <c r="D1299" s="138" t="s">
        <v>2731</v>
      </c>
      <c r="E1299" s="129">
        <v>46218</v>
      </c>
      <c r="F1299" s="128" t="s">
        <v>1144</v>
      </c>
      <c r="G1299" s="128" t="s">
        <v>1145</v>
      </c>
      <c r="H1299" s="128" t="s">
        <v>100</v>
      </c>
      <c r="I1299" s="136"/>
      <c r="J1299" s="138" t="s">
        <v>1146</v>
      </c>
      <c r="K1299" s="136"/>
      <c r="L1299" s="146">
        <v>46216</v>
      </c>
      <c r="M1299" s="136"/>
      <c r="N1299" s="281" t="s">
        <v>2805</v>
      </c>
      <c r="O1299" s="146">
        <v>46218</v>
      </c>
      <c r="P1299" s="138">
        <v>0</v>
      </c>
      <c r="Q1299" s="138">
        <v>130</v>
      </c>
      <c r="R1299" s="138">
        <v>20</v>
      </c>
      <c r="S1299" s="138">
        <v>150</v>
      </c>
      <c r="T1299" s="138">
        <v>150</v>
      </c>
      <c r="U1299" s="136"/>
      <c r="V1299" s="136"/>
      <c r="W1299" s="147">
        <v>90.6</v>
      </c>
      <c r="X1299" s="147">
        <v>90.5</v>
      </c>
      <c r="Y1299" s="445">
        <v>730326.6</v>
      </c>
      <c r="Z1299" s="443">
        <v>39.979999999999997</v>
      </c>
      <c r="AA1299" s="390">
        <v>18258.169999999998</v>
      </c>
      <c r="AB1299" s="147">
        <v>18258.169999999998</v>
      </c>
      <c r="AC1299" s="147">
        <v>766842.93</v>
      </c>
      <c r="AD1299" s="315">
        <f t="shared" si="879"/>
        <v>766076.08707000001</v>
      </c>
      <c r="AE1299" s="236">
        <v>39.979999999999997</v>
      </c>
      <c r="AF1299" s="147">
        <v>42</v>
      </c>
      <c r="AG1299" s="236">
        <v>39.979999999999997</v>
      </c>
      <c r="AH1299" s="287">
        <v>2E-3</v>
      </c>
      <c r="AI1299" s="287">
        <v>2.9499999999999998E-2</v>
      </c>
      <c r="AJ1299" s="287">
        <v>4.8000000000000001E-2</v>
      </c>
      <c r="AK1299" s="318">
        <f t="shared" si="860"/>
        <v>35125.231714285765</v>
      </c>
      <c r="AL1299" s="193">
        <v>0</v>
      </c>
      <c r="AM1299" s="319">
        <v>0</v>
      </c>
      <c r="AN1299" s="319"/>
      <c r="AO1299" s="320">
        <f t="shared" si="861"/>
        <v>0</v>
      </c>
      <c r="AP1299" s="193">
        <v>0</v>
      </c>
      <c r="AQ1299" s="318">
        <v>0</v>
      </c>
      <c r="AR1299" s="318">
        <f t="shared" si="862"/>
        <v>35125.231714285765</v>
      </c>
      <c r="AS1299" s="318">
        <f t="shared" si="863"/>
        <v>36881</v>
      </c>
      <c r="AT1299" s="321">
        <v>0</v>
      </c>
      <c r="AU1299" s="157"/>
      <c r="AV1299" s="136"/>
      <c r="AW1299" s="318">
        <f t="shared" si="864"/>
        <v>9060</v>
      </c>
      <c r="AX1299" s="193"/>
      <c r="AY1299" s="318">
        <f t="shared" si="865"/>
        <v>9060</v>
      </c>
      <c r="AZ1299" s="318">
        <f t="shared" si="866"/>
        <v>9050</v>
      </c>
      <c r="BA1299" s="318">
        <f t="shared" si="867"/>
        <v>10</v>
      </c>
      <c r="BB1299" s="318">
        <f t="shared" si="868"/>
        <v>18.12</v>
      </c>
      <c r="BC1299" s="318">
        <v>0</v>
      </c>
      <c r="BD1299" s="136"/>
      <c r="BE1299" s="138">
        <v>90.6</v>
      </c>
      <c r="BF1299" s="321">
        <f t="shared" si="869"/>
        <v>0.13589999999999999</v>
      </c>
      <c r="BG1299" s="197">
        <f t="shared" si="870"/>
        <v>90.464099999999988</v>
      </c>
      <c r="BH1299" s="321">
        <f t="shared" si="871"/>
        <v>90.5</v>
      </c>
      <c r="BI1299" s="322">
        <f t="shared" si="872"/>
        <v>9.9999999999994316</v>
      </c>
      <c r="BJ1299" s="322">
        <v>0</v>
      </c>
      <c r="BK1299" s="318">
        <f t="shared" si="873"/>
        <v>9.9999999999994316</v>
      </c>
      <c r="BL1299" s="67"/>
      <c r="BM1299" s="68" t="str">
        <f t="shared" si="874"/>
        <v>Unloading no. 1265 Bill No 2026-27/416 ,Deduction For Oil Deduction= 35125.2317142858 ,Bardana= 0 ,F.M= 0 Brokerage/Rate Difference  ,Shortage = 0 ,Greenish= 0 ,Moisture= 0</v>
      </c>
      <c r="BN1299" s="69"/>
      <c r="BO1299" s="70" t="str">
        <f t="shared" si="875"/>
        <v xml:space="preserve"> Party Condition 42  ,F.M% 0.2 ,Greenish 2.95 ,Moisture 4.8 ,Shortage in KG= 0  ,Oil% 39.98</v>
      </c>
      <c r="BP1299" s="71">
        <f t="shared" si="876"/>
        <v>7681.783074980267</v>
      </c>
      <c r="BQ1299" s="55"/>
      <c r="BR1299" s="55"/>
      <c r="BS1299" s="41"/>
      <c r="BT1299" s="41"/>
      <c r="BU1299" s="41"/>
      <c r="BV1299" s="41"/>
      <c r="BW1299" s="85"/>
      <c r="BX1299" s="27">
        <v>39.85</v>
      </c>
      <c r="BY1299" s="27">
        <v>39.69</v>
      </c>
    </row>
    <row r="1300" spans="1:77" ht="14.1" hidden="1" customHeight="1" x14ac:dyDescent="0.3">
      <c r="A1300" s="128" t="s">
        <v>2670</v>
      </c>
      <c r="B1300" s="146">
        <v>46212</v>
      </c>
      <c r="C1300" s="138">
        <v>1266</v>
      </c>
      <c r="D1300" s="138" t="s">
        <v>2732</v>
      </c>
      <c r="E1300" s="129">
        <v>46218</v>
      </c>
      <c r="F1300" s="128" t="s">
        <v>2497</v>
      </c>
      <c r="G1300" s="128" t="s">
        <v>2498</v>
      </c>
      <c r="H1300" s="128" t="s">
        <v>100</v>
      </c>
      <c r="I1300" s="136"/>
      <c r="J1300" s="138" t="s">
        <v>1146</v>
      </c>
      <c r="K1300" s="136"/>
      <c r="L1300" s="146">
        <v>46212</v>
      </c>
      <c r="M1300" s="136"/>
      <c r="N1300" s="281" t="s">
        <v>2806</v>
      </c>
      <c r="O1300" s="146">
        <v>46218</v>
      </c>
      <c r="P1300" s="138">
        <v>0</v>
      </c>
      <c r="Q1300" s="138">
        <v>140</v>
      </c>
      <c r="R1300" s="138">
        <v>20</v>
      </c>
      <c r="S1300" s="138">
        <v>160</v>
      </c>
      <c r="T1300" s="138">
        <v>160</v>
      </c>
      <c r="U1300" s="136"/>
      <c r="V1300" s="136"/>
      <c r="W1300" s="147">
        <v>96.8</v>
      </c>
      <c r="X1300" s="147">
        <v>96.8</v>
      </c>
      <c r="Y1300" s="445">
        <v>774496.8</v>
      </c>
      <c r="Z1300" s="443">
        <v>40.51</v>
      </c>
      <c r="AA1300" s="390">
        <v>19362.419999999998</v>
      </c>
      <c r="AB1300" s="147">
        <v>19362.419999999998</v>
      </c>
      <c r="AC1300" s="147">
        <v>813221.64</v>
      </c>
      <c r="AD1300" s="315">
        <f t="shared" si="879"/>
        <v>812408.41836000001</v>
      </c>
      <c r="AE1300" s="236">
        <v>40.51</v>
      </c>
      <c r="AF1300" s="147">
        <v>42</v>
      </c>
      <c r="AG1300" s="236">
        <v>40.51</v>
      </c>
      <c r="AH1300" s="287">
        <v>2E-3</v>
      </c>
      <c r="AI1300" s="287">
        <v>4.6399999999999997E-2</v>
      </c>
      <c r="AJ1300" s="287">
        <v>4.2999999999999997E-2</v>
      </c>
      <c r="AK1300" s="318">
        <f t="shared" si="860"/>
        <v>27476.196000000036</v>
      </c>
      <c r="AL1300" s="193">
        <v>0</v>
      </c>
      <c r="AM1300" s="319">
        <v>0</v>
      </c>
      <c r="AN1300" s="319"/>
      <c r="AO1300" s="320">
        <f t="shared" si="861"/>
        <v>0</v>
      </c>
      <c r="AP1300" s="193">
        <v>0</v>
      </c>
      <c r="AQ1300" s="318">
        <v>0</v>
      </c>
      <c r="AR1300" s="318">
        <f t="shared" si="862"/>
        <v>27476.196000000036</v>
      </c>
      <c r="AS1300" s="318">
        <f t="shared" si="863"/>
        <v>28850</v>
      </c>
      <c r="AT1300" s="321">
        <v>0</v>
      </c>
      <c r="AU1300" s="157"/>
      <c r="AV1300" s="136"/>
      <c r="AW1300" s="318">
        <f t="shared" si="864"/>
        <v>9680</v>
      </c>
      <c r="AX1300" s="193"/>
      <c r="AY1300" s="318">
        <f t="shared" si="865"/>
        <v>9680</v>
      </c>
      <c r="AZ1300" s="318">
        <f t="shared" si="866"/>
        <v>9680</v>
      </c>
      <c r="BA1300" s="318">
        <f t="shared" si="867"/>
        <v>0</v>
      </c>
      <c r="BB1300" s="318">
        <f t="shared" si="868"/>
        <v>19.36</v>
      </c>
      <c r="BC1300" s="318">
        <v>0</v>
      </c>
      <c r="BD1300" s="136"/>
      <c r="BE1300" s="138">
        <v>96.8</v>
      </c>
      <c r="BF1300" s="321">
        <f t="shared" si="869"/>
        <v>0.1452</v>
      </c>
      <c r="BG1300" s="197">
        <f t="shared" si="870"/>
        <v>96.654799999999994</v>
      </c>
      <c r="BH1300" s="321">
        <f t="shared" si="871"/>
        <v>96.8</v>
      </c>
      <c r="BI1300" s="322">
        <f t="shared" si="872"/>
        <v>0</v>
      </c>
      <c r="BJ1300" s="322">
        <v>0</v>
      </c>
      <c r="BK1300" s="318">
        <f t="shared" si="873"/>
        <v>0</v>
      </c>
      <c r="BL1300" s="67"/>
      <c r="BM1300" s="68" t="str">
        <f t="shared" si="874"/>
        <v>Unloading no. 1266 Bill No HA/26-27/0407 ,Deduction For Oil Deduction= 27476.196 ,Bardana= 0 ,F.M= 0 Brokerage/Rate Difference  ,Shortage = 0 ,Greenish= 0 ,Moisture= 0</v>
      </c>
      <c r="BN1300" s="69"/>
      <c r="BO1300" s="70" t="str">
        <f t="shared" si="875"/>
        <v xml:space="preserve"> Party Condition 42  ,F.M% 0.2 ,Greenish 4.64 ,Moisture 4.3 ,Shortage in KG= 0  ,Oil% 40.51</v>
      </c>
      <c r="BP1300" s="71">
        <f t="shared" si="876"/>
        <v>7717.1550000000007</v>
      </c>
      <c r="BQ1300" s="55"/>
      <c r="BR1300" s="55"/>
      <c r="BS1300" s="41"/>
      <c r="BT1300" s="41"/>
      <c r="BU1300" s="41"/>
      <c r="BV1300" s="41"/>
      <c r="BW1300" s="85"/>
      <c r="BX1300" s="27">
        <v>40.4</v>
      </c>
      <c r="BY1300" s="27">
        <v>40.340000000000003</v>
      </c>
    </row>
    <row r="1301" spans="1:77" ht="14.1" hidden="1" customHeight="1" x14ac:dyDescent="0.3">
      <c r="A1301" s="128" t="s">
        <v>2670</v>
      </c>
      <c r="B1301" s="146">
        <v>46212</v>
      </c>
      <c r="C1301" s="138">
        <v>1267</v>
      </c>
      <c r="D1301" s="138" t="s">
        <v>2733</v>
      </c>
      <c r="E1301" s="129">
        <v>46218</v>
      </c>
      <c r="F1301" s="128" t="s">
        <v>2497</v>
      </c>
      <c r="G1301" s="128" t="s">
        <v>2498</v>
      </c>
      <c r="H1301" s="128" t="s">
        <v>100</v>
      </c>
      <c r="I1301" s="136"/>
      <c r="J1301" s="138" t="s">
        <v>1146</v>
      </c>
      <c r="K1301" s="136"/>
      <c r="L1301" s="146">
        <v>46212</v>
      </c>
      <c r="M1301" s="136"/>
      <c r="N1301" s="281" t="s">
        <v>2807</v>
      </c>
      <c r="O1301" s="146">
        <v>46218</v>
      </c>
      <c r="P1301" s="138">
        <v>0</v>
      </c>
      <c r="Q1301" s="138">
        <v>130</v>
      </c>
      <c r="R1301" s="138">
        <v>30</v>
      </c>
      <c r="S1301" s="138">
        <v>160</v>
      </c>
      <c r="T1301" s="138">
        <v>160</v>
      </c>
      <c r="U1301" s="136"/>
      <c r="V1301" s="136"/>
      <c r="W1301" s="147">
        <v>96.4</v>
      </c>
      <c r="X1301" s="147">
        <v>96.4</v>
      </c>
      <c r="Y1301" s="445">
        <v>771296.4</v>
      </c>
      <c r="Z1301" s="443">
        <v>40.25</v>
      </c>
      <c r="AA1301" s="390">
        <v>19282.41</v>
      </c>
      <c r="AB1301" s="147">
        <v>19282.41</v>
      </c>
      <c r="AC1301" s="147">
        <v>809861.22</v>
      </c>
      <c r="AD1301" s="315">
        <f t="shared" si="879"/>
        <v>809051.35878000001</v>
      </c>
      <c r="AE1301" s="236">
        <v>40.25</v>
      </c>
      <c r="AF1301" s="147">
        <v>42</v>
      </c>
      <c r="AG1301" s="236">
        <v>40.25</v>
      </c>
      <c r="AH1301" s="287">
        <v>2.3999999999999998E-3</v>
      </c>
      <c r="AI1301" s="287">
        <v>6.1199999999999997E-2</v>
      </c>
      <c r="AJ1301" s="287">
        <v>4.1000000000000002E-2</v>
      </c>
      <c r="AK1301" s="318">
        <f t="shared" si="860"/>
        <v>32137.35</v>
      </c>
      <c r="AL1301" s="193">
        <v>0</v>
      </c>
      <c r="AM1301" s="319">
        <v>0</v>
      </c>
      <c r="AN1301" s="319"/>
      <c r="AO1301" s="320">
        <f t="shared" si="861"/>
        <v>0</v>
      </c>
      <c r="AP1301" s="193">
        <v>0</v>
      </c>
      <c r="AQ1301" s="318">
        <v>0</v>
      </c>
      <c r="AR1301" s="318">
        <f t="shared" si="862"/>
        <v>32137.35</v>
      </c>
      <c r="AS1301" s="318">
        <f t="shared" si="863"/>
        <v>33744</v>
      </c>
      <c r="AT1301" s="321">
        <v>0</v>
      </c>
      <c r="AU1301" s="157"/>
      <c r="AV1301" s="136"/>
      <c r="AW1301" s="318">
        <f t="shared" si="864"/>
        <v>9640</v>
      </c>
      <c r="AX1301" s="193"/>
      <c r="AY1301" s="318">
        <f t="shared" si="865"/>
        <v>9640</v>
      </c>
      <c r="AZ1301" s="318">
        <f t="shared" si="866"/>
        <v>9640</v>
      </c>
      <c r="BA1301" s="318">
        <f t="shared" si="867"/>
        <v>0</v>
      </c>
      <c r="BB1301" s="318">
        <f t="shared" si="868"/>
        <v>19.28</v>
      </c>
      <c r="BC1301" s="318">
        <v>0</v>
      </c>
      <c r="BD1301" s="136"/>
      <c r="BE1301" s="138">
        <v>96.4</v>
      </c>
      <c r="BF1301" s="321">
        <f t="shared" si="869"/>
        <v>0.14460000000000001</v>
      </c>
      <c r="BG1301" s="197">
        <f t="shared" si="870"/>
        <v>96.255400000000009</v>
      </c>
      <c r="BH1301" s="321">
        <f t="shared" si="871"/>
        <v>96.4</v>
      </c>
      <c r="BI1301" s="322">
        <f t="shared" si="872"/>
        <v>0</v>
      </c>
      <c r="BJ1301" s="322">
        <v>0</v>
      </c>
      <c r="BK1301" s="318">
        <f t="shared" si="873"/>
        <v>0</v>
      </c>
      <c r="BL1301" s="67"/>
      <c r="BM1301" s="68" t="str">
        <f t="shared" si="874"/>
        <v>Unloading no. 1267 Bill No HA/26-27/0406 ,Deduction For Oil Deduction= 32137.35 ,Bardana= 0 ,F.M= 0 Brokerage/Rate Difference  ,Shortage = 0 ,Greenish= 0 ,Moisture= 0</v>
      </c>
      <c r="BN1301" s="69"/>
      <c r="BO1301" s="70" t="str">
        <f t="shared" si="875"/>
        <v xml:space="preserve"> Party Condition 42  ,F.M% 0.24 ,Greenish 6.12 ,Moisture 4.1 ,Shortage in KG= 0  ,Oil% 40.25</v>
      </c>
      <c r="BP1301" s="71">
        <f t="shared" si="876"/>
        <v>7667.625</v>
      </c>
      <c r="BQ1301" s="55"/>
      <c r="BR1301" s="55"/>
      <c r="BS1301" s="41"/>
      <c r="BT1301" s="41"/>
      <c r="BU1301" s="41"/>
      <c r="BV1301" s="41"/>
      <c r="BW1301" s="85"/>
      <c r="BX1301" s="27">
        <v>39.81</v>
      </c>
      <c r="BY1301" s="27">
        <v>39.799999999999997</v>
      </c>
    </row>
    <row r="1302" spans="1:77" ht="14.1" hidden="1" customHeight="1" x14ac:dyDescent="0.3">
      <c r="A1302" s="281" t="s">
        <v>2670</v>
      </c>
      <c r="B1302" s="146">
        <v>46212</v>
      </c>
      <c r="C1302" s="138">
        <v>1268</v>
      </c>
      <c r="D1302" s="138" t="s">
        <v>2734</v>
      </c>
      <c r="E1302" s="129">
        <v>46218</v>
      </c>
      <c r="F1302" s="128" t="s">
        <v>2497</v>
      </c>
      <c r="G1302" s="128" t="s">
        <v>2498</v>
      </c>
      <c r="H1302" s="128" t="s">
        <v>100</v>
      </c>
      <c r="I1302" s="136"/>
      <c r="J1302" s="138" t="s">
        <v>1146</v>
      </c>
      <c r="K1302" s="136"/>
      <c r="L1302" s="146">
        <v>46212</v>
      </c>
      <c r="M1302" s="136"/>
      <c r="N1302" s="281" t="s">
        <v>2808</v>
      </c>
      <c r="O1302" s="146">
        <v>46218</v>
      </c>
      <c r="P1302" s="138">
        <v>0</v>
      </c>
      <c r="Q1302" s="138">
        <v>140</v>
      </c>
      <c r="R1302" s="138">
        <v>20</v>
      </c>
      <c r="S1302" s="138">
        <v>160</v>
      </c>
      <c r="T1302" s="138">
        <v>160</v>
      </c>
      <c r="U1302" s="136"/>
      <c r="V1302" s="136"/>
      <c r="W1302" s="147">
        <v>97</v>
      </c>
      <c r="X1302" s="147">
        <v>96.8</v>
      </c>
      <c r="Y1302" s="445">
        <v>776097</v>
      </c>
      <c r="Z1302" s="443">
        <v>40.22</v>
      </c>
      <c r="AA1302" s="390">
        <v>19402.43</v>
      </c>
      <c r="AB1302" s="147">
        <v>19402.43</v>
      </c>
      <c r="AC1302" s="147">
        <v>814901.85</v>
      </c>
      <c r="AD1302" s="315">
        <f t="shared" si="879"/>
        <v>814086.94814999995</v>
      </c>
      <c r="AE1302" s="236">
        <v>40.22</v>
      </c>
      <c r="AF1302" s="147">
        <v>42</v>
      </c>
      <c r="AG1302" s="236">
        <v>40.22</v>
      </c>
      <c r="AH1302" s="287">
        <v>3.8E-3</v>
      </c>
      <c r="AI1302" s="287">
        <v>4.3799999999999999E-2</v>
      </c>
      <c r="AJ1302" s="287">
        <v>4.2999999999999997E-2</v>
      </c>
      <c r="AK1302" s="318">
        <f t="shared" si="860"/>
        <v>32891.730000000018</v>
      </c>
      <c r="AL1302" s="193">
        <v>0</v>
      </c>
      <c r="AM1302" s="319">
        <v>0</v>
      </c>
      <c r="AN1302" s="319"/>
      <c r="AO1302" s="320">
        <f t="shared" si="861"/>
        <v>80.010000000000005</v>
      </c>
      <c r="AP1302" s="193">
        <v>0</v>
      </c>
      <c r="AQ1302" s="318">
        <v>0</v>
      </c>
      <c r="AR1302" s="318">
        <f t="shared" si="862"/>
        <v>32971.74000000002</v>
      </c>
      <c r="AS1302" s="318">
        <f t="shared" si="863"/>
        <v>34620</v>
      </c>
      <c r="AT1302" s="321">
        <v>1</v>
      </c>
      <c r="AU1302" s="157"/>
      <c r="AV1302" s="136"/>
      <c r="AW1302" s="318">
        <f t="shared" si="864"/>
        <v>9700</v>
      </c>
      <c r="AX1302" s="193"/>
      <c r="AY1302" s="318">
        <f t="shared" si="865"/>
        <v>9700</v>
      </c>
      <c r="AZ1302" s="318">
        <f t="shared" si="866"/>
        <v>9680</v>
      </c>
      <c r="BA1302" s="318">
        <f t="shared" si="867"/>
        <v>20</v>
      </c>
      <c r="BB1302" s="318">
        <f t="shared" si="868"/>
        <v>19.399999999999999</v>
      </c>
      <c r="BC1302" s="318">
        <v>0</v>
      </c>
      <c r="BD1302" s="136"/>
      <c r="BE1302" s="138">
        <v>97</v>
      </c>
      <c r="BF1302" s="321">
        <f t="shared" si="869"/>
        <v>0.14549999999999999</v>
      </c>
      <c r="BG1302" s="197">
        <f t="shared" si="870"/>
        <v>96.854500000000002</v>
      </c>
      <c r="BH1302" s="321">
        <f t="shared" si="871"/>
        <v>96.8</v>
      </c>
      <c r="BI1302" s="322">
        <f t="shared" si="872"/>
        <v>20.000000000000284</v>
      </c>
      <c r="BJ1302" s="322">
        <v>0</v>
      </c>
      <c r="BK1302" s="318">
        <f t="shared" si="873"/>
        <v>20.000000000000284</v>
      </c>
      <c r="BL1302" s="67"/>
      <c r="BM1302" s="68" t="str">
        <f t="shared" si="874"/>
        <v>Unloading no. 1268 Bill No HA/26-27/0408 ,Deduction For Oil Deduction= 32891.73 ,Bardana= 0 ,F.M= 0 Brokerage/Rate Difference  ,Shortage = 80.01 ,Greenish= 0 ,Moisture= 0</v>
      </c>
      <c r="BN1302" s="69"/>
      <c r="BO1302" s="70" t="str">
        <f t="shared" si="875"/>
        <v xml:space="preserve"> Party Condition 42  ,F.M% 0.38 ,Greenish 4.38 ,Moisture 4.3 ,Shortage in KG= 1  ,Oil% 40.22</v>
      </c>
      <c r="BP1302" s="71">
        <f t="shared" si="876"/>
        <v>7676.9138429752065</v>
      </c>
      <c r="BQ1302" s="55"/>
      <c r="BR1302" s="55"/>
      <c r="BS1302" s="41"/>
      <c r="BT1302" s="41"/>
      <c r="BU1302" s="41"/>
      <c r="BV1302" s="41"/>
      <c r="BW1302" s="85"/>
      <c r="BX1302" s="27">
        <v>39.840000000000003</v>
      </c>
      <c r="BY1302" s="27">
        <v>39.65</v>
      </c>
    </row>
    <row r="1303" spans="1:77" ht="14.1" hidden="1" customHeight="1" x14ac:dyDescent="0.3">
      <c r="A1303" s="128" t="s">
        <v>2667</v>
      </c>
      <c r="B1303" s="146">
        <v>46216</v>
      </c>
      <c r="C1303" s="138">
        <v>1269</v>
      </c>
      <c r="D1303" s="138" t="s">
        <v>2735</v>
      </c>
      <c r="E1303" s="129">
        <v>46218</v>
      </c>
      <c r="F1303" s="128" t="s">
        <v>1144</v>
      </c>
      <c r="G1303" s="128" t="s">
        <v>1145</v>
      </c>
      <c r="H1303" s="128" t="s">
        <v>100</v>
      </c>
      <c r="I1303" s="136"/>
      <c r="J1303" s="138" t="s">
        <v>1146</v>
      </c>
      <c r="K1303" s="136"/>
      <c r="L1303" s="146">
        <v>46216</v>
      </c>
      <c r="M1303" s="136"/>
      <c r="N1303" s="281" t="s">
        <v>2809</v>
      </c>
      <c r="O1303" s="146">
        <v>46218</v>
      </c>
      <c r="P1303" s="138">
        <v>0</v>
      </c>
      <c r="Q1303" s="138">
        <v>120</v>
      </c>
      <c r="R1303" s="138">
        <v>30</v>
      </c>
      <c r="S1303" s="138">
        <v>150</v>
      </c>
      <c r="T1303" s="138">
        <v>150</v>
      </c>
      <c r="U1303" s="136"/>
      <c r="V1303" s="136"/>
      <c r="W1303" s="147">
        <v>88.6</v>
      </c>
      <c r="X1303" s="147">
        <v>88.6</v>
      </c>
      <c r="Y1303" s="445">
        <v>714204.6</v>
      </c>
      <c r="Z1303" s="443">
        <v>40.25</v>
      </c>
      <c r="AA1303" s="390">
        <v>17855.12</v>
      </c>
      <c r="AB1303" s="147">
        <v>17855.12</v>
      </c>
      <c r="AC1303" s="147">
        <v>749914.83</v>
      </c>
      <c r="AD1303" s="315">
        <f t="shared" si="879"/>
        <v>749164.91516999993</v>
      </c>
      <c r="AE1303" s="236">
        <v>40.25</v>
      </c>
      <c r="AF1303" s="147">
        <v>42</v>
      </c>
      <c r="AG1303" s="236">
        <v>40.25</v>
      </c>
      <c r="AH1303" s="287">
        <v>2E-3</v>
      </c>
      <c r="AI1303" s="287">
        <v>3.5200000000000002E-2</v>
      </c>
      <c r="AJ1303" s="287">
        <v>4.3999999999999997E-2</v>
      </c>
      <c r="AK1303" s="318">
        <f t="shared" ref="AK1303:AK1311" si="884">+IF(AF1303=42,IF(MIN(AE1303,AG1303)&lt;AF1303,Y1303*((AF1303-MIN(AE1303,AG1303))/AF1303)),IF(MIN(AE1303,AG1303)&lt;AF1303,Y1303*((AF1303-MIN(AE1303,AG1303))/AF1303),0))</f>
        <v>29758.524999999998</v>
      </c>
      <c r="AL1303" s="193">
        <v>0</v>
      </c>
      <c r="AM1303" s="319">
        <v>0</v>
      </c>
      <c r="AN1303" s="319"/>
      <c r="AO1303" s="320">
        <f t="shared" ref="AO1303:AO1311" si="885">AT1303*Y1303/AW1303</f>
        <v>0</v>
      </c>
      <c r="AP1303" s="193">
        <v>0</v>
      </c>
      <c r="AQ1303" s="318">
        <v>0</v>
      </c>
      <c r="AR1303" s="318">
        <f t="shared" ref="AR1303:AR1311" si="886">SUM(AK1303:AQ1303)</f>
        <v>29758.524999999998</v>
      </c>
      <c r="AS1303" s="318">
        <f t="shared" ref="AS1303:AS1311" si="887">ROUND(AR1303*1.05,0)</f>
        <v>31246</v>
      </c>
      <c r="AT1303" s="321">
        <v>0</v>
      </c>
      <c r="AU1303" s="157"/>
      <c r="AV1303" s="136"/>
      <c r="AW1303" s="318">
        <f t="shared" ref="AW1303:AW1311" si="888">W1303*100</f>
        <v>8860</v>
      </c>
      <c r="AX1303" s="193"/>
      <c r="AY1303" s="318">
        <f t="shared" ref="AY1303:AY1311" si="889">+AW1303+AX1303</f>
        <v>8860</v>
      </c>
      <c r="AZ1303" s="318">
        <f t="shared" ref="AZ1303:AZ1311" si="890">X1303*100</f>
        <v>8860</v>
      </c>
      <c r="BA1303" s="318">
        <f t="shared" ref="BA1303:BA1311" si="891">AY1303-AZ1303</f>
        <v>0</v>
      </c>
      <c r="BB1303" s="318">
        <f t="shared" ref="BB1303:BB1311" si="892">AW1303*2/1000</f>
        <v>17.72</v>
      </c>
      <c r="BC1303" s="318">
        <v>0</v>
      </c>
      <c r="BD1303" s="136"/>
      <c r="BE1303" s="138">
        <v>88.6</v>
      </c>
      <c r="BF1303" s="321">
        <f t="shared" ref="BF1303:BF1311" si="893">+BE1303*0.15/100</f>
        <v>0.13289999999999999</v>
      </c>
      <c r="BG1303" s="197">
        <f t="shared" ref="BG1303:BG1311" si="894">BE1303-BF1303</f>
        <v>88.467099999999988</v>
      </c>
      <c r="BH1303" s="321">
        <f t="shared" ref="BH1303:BH1311" si="895">X1303</f>
        <v>88.6</v>
      </c>
      <c r="BI1303" s="322">
        <f t="shared" ref="BI1303:BI1311" si="896">(BE1303-BH1303)*100</f>
        <v>0</v>
      </c>
      <c r="BJ1303" s="322">
        <v>0</v>
      </c>
      <c r="BK1303" s="318">
        <f t="shared" ref="BK1303:BK1311" si="897">BI1303</f>
        <v>0</v>
      </c>
      <c r="BL1303" s="67"/>
      <c r="BM1303" s="68" t="str">
        <f t="shared" ref="BM1303:BM1311" si="898">+$C$1&amp;" "&amp;C1303 &amp;" "&amp;$N$1&amp;" "&amp;N1303&amp;" "&amp;$BM$1&amp;" "&amp;$AK$1&amp;" "&amp;AK1303&amp;" "&amp;$AL$1&amp;" "&amp;AL1303&amp;" "&amp;$AM$1&amp;" "&amp;AM1303&amp;" "&amp;$AN$1&amp;" "&amp;AN1303&amp;" "&amp;$AO$1&amp;" "&amp;AO1303&amp;" "&amp;$AP$1&amp;" "&amp;AP1303&amp;" "&amp;$AQ$1&amp;" "&amp;AQ1303</f>
        <v>Unloading no. 1269 Bill No 2026-27/417 ,Deduction For Oil Deduction= 29758.525 ,Bardana= 0 ,F.M= 0 Brokerage/Rate Difference  ,Shortage = 0 ,Greenish= 0 ,Moisture= 0</v>
      </c>
      <c r="BN1303" s="69"/>
      <c r="BO1303" s="70" t="str">
        <f t="shared" ref="BO1303:BO1311" si="899">+" "&amp;$AF$1&amp;" "&amp;AF1303&amp;" "&amp;" "&amp;$AH$1&amp;" "&amp;AH1303*100&amp;" "&amp;$AI$1&amp;" "&amp;AI1303*100&amp;" "&amp;$AJ$1&amp;" "&amp;AJ1303*100&amp;" ,"&amp;$AT$1&amp;" "&amp;AT1303&amp;" "&amp;IF(AE1303&gt;AG1303," ,Oil%"&amp;" "&amp;AG1303," ,Oil%"&amp;" "&amp;AE1303)</f>
        <v xml:space="preserve"> Party Condition 42  ,F.M% 0.2 ,Greenish 3.52 ,Moisture 4.4 ,Shortage in KG= 0  ,Oil% 40.25</v>
      </c>
      <c r="BP1303" s="71">
        <f t="shared" ref="BP1303:BP1311" si="900">(Y1303-AR1303)/X1303</f>
        <v>7725.125</v>
      </c>
      <c r="BQ1303" s="55"/>
      <c r="BR1303" s="55"/>
      <c r="BS1303" s="41"/>
      <c r="BT1303" s="41"/>
      <c r="BU1303" s="41"/>
      <c r="BV1303" s="41"/>
      <c r="BW1303" s="85"/>
      <c r="BX1303" s="27">
        <v>40.090000000000003</v>
      </c>
      <c r="BY1303" s="27">
        <v>39.86</v>
      </c>
    </row>
    <row r="1304" spans="1:77" ht="14.1" hidden="1" customHeight="1" x14ac:dyDescent="0.3">
      <c r="A1304" s="128" t="s">
        <v>2667</v>
      </c>
      <c r="B1304" s="146">
        <v>46216</v>
      </c>
      <c r="C1304" s="138">
        <v>1270</v>
      </c>
      <c r="D1304" s="138" t="s">
        <v>2736</v>
      </c>
      <c r="E1304" s="129">
        <v>46218</v>
      </c>
      <c r="F1304" s="128" t="s">
        <v>1144</v>
      </c>
      <c r="G1304" s="128" t="s">
        <v>1145</v>
      </c>
      <c r="H1304" s="128" t="s">
        <v>100</v>
      </c>
      <c r="I1304" s="136"/>
      <c r="J1304" s="138" t="s">
        <v>1146</v>
      </c>
      <c r="K1304" s="136"/>
      <c r="L1304" s="146">
        <v>46216</v>
      </c>
      <c r="M1304" s="136"/>
      <c r="N1304" s="281" t="s">
        <v>2810</v>
      </c>
      <c r="O1304" s="146">
        <v>46218</v>
      </c>
      <c r="P1304" s="138">
        <v>0</v>
      </c>
      <c r="Q1304" s="138">
        <v>140</v>
      </c>
      <c r="R1304" s="138">
        <v>10</v>
      </c>
      <c r="S1304" s="138">
        <v>150</v>
      </c>
      <c r="T1304" s="138">
        <v>150</v>
      </c>
      <c r="U1304" s="136"/>
      <c r="V1304" s="136"/>
      <c r="W1304" s="147">
        <v>89.8</v>
      </c>
      <c r="X1304" s="147">
        <v>89.6</v>
      </c>
      <c r="Y1304" s="445">
        <v>723877.8</v>
      </c>
      <c r="Z1304" s="443">
        <v>39.909999999999997</v>
      </c>
      <c r="AA1304" s="390">
        <v>18096.95</v>
      </c>
      <c r="AB1304" s="147">
        <v>18096.95</v>
      </c>
      <c r="AC1304" s="147">
        <v>760071.69</v>
      </c>
      <c r="AD1304" s="315">
        <f t="shared" si="879"/>
        <v>759311.61830999993</v>
      </c>
      <c r="AE1304" s="236">
        <v>39.909999999999997</v>
      </c>
      <c r="AF1304" s="147">
        <v>42</v>
      </c>
      <c r="AG1304" s="236">
        <v>39.909999999999997</v>
      </c>
      <c r="AH1304" s="287">
        <v>2.7000000000000001E-3</v>
      </c>
      <c r="AI1304" s="287">
        <v>3.9600000000000003E-2</v>
      </c>
      <c r="AJ1304" s="287">
        <v>4.8000000000000001E-2</v>
      </c>
      <c r="AK1304" s="318">
        <f t="shared" si="884"/>
        <v>36021.5381428572</v>
      </c>
      <c r="AL1304" s="193">
        <v>0</v>
      </c>
      <c r="AM1304" s="319">
        <v>0</v>
      </c>
      <c r="AN1304" s="319"/>
      <c r="AO1304" s="320">
        <f t="shared" si="885"/>
        <v>161.22</v>
      </c>
      <c r="AP1304" s="193">
        <v>0</v>
      </c>
      <c r="AQ1304" s="318">
        <v>0</v>
      </c>
      <c r="AR1304" s="318">
        <f t="shared" si="886"/>
        <v>36182.758142857201</v>
      </c>
      <c r="AS1304" s="318">
        <f t="shared" si="887"/>
        <v>37992</v>
      </c>
      <c r="AT1304" s="321">
        <v>2</v>
      </c>
      <c r="AU1304" s="157"/>
      <c r="AV1304" s="136"/>
      <c r="AW1304" s="318">
        <f t="shared" si="888"/>
        <v>8980</v>
      </c>
      <c r="AX1304" s="193"/>
      <c r="AY1304" s="318">
        <f t="shared" si="889"/>
        <v>8980</v>
      </c>
      <c r="AZ1304" s="318">
        <f t="shared" si="890"/>
        <v>8960</v>
      </c>
      <c r="BA1304" s="318">
        <f t="shared" si="891"/>
        <v>20</v>
      </c>
      <c r="BB1304" s="318">
        <f t="shared" si="892"/>
        <v>17.96</v>
      </c>
      <c r="BC1304" s="318">
        <v>0</v>
      </c>
      <c r="BD1304" s="136"/>
      <c r="BE1304" s="138">
        <v>89.8</v>
      </c>
      <c r="BF1304" s="321">
        <f t="shared" si="893"/>
        <v>0.13469999999999999</v>
      </c>
      <c r="BG1304" s="197">
        <f t="shared" si="894"/>
        <v>89.665300000000002</v>
      </c>
      <c r="BH1304" s="321">
        <f t="shared" si="895"/>
        <v>89.6</v>
      </c>
      <c r="BI1304" s="322">
        <f t="shared" si="896"/>
        <v>20.000000000000284</v>
      </c>
      <c r="BJ1304" s="322">
        <v>0</v>
      </c>
      <c r="BK1304" s="318">
        <f t="shared" si="897"/>
        <v>20.000000000000284</v>
      </c>
      <c r="BL1304" s="67"/>
      <c r="BM1304" s="68" t="str">
        <f t="shared" si="898"/>
        <v>Unloading no. 1270 Bill No 2026-27/418 ,Deduction For Oil Deduction= 36021.5381428572 ,Bardana= 0 ,F.M= 0 Brokerage/Rate Difference  ,Shortage = 161.22 ,Greenish= 0 ,Moisture= 0</v>
      </c>
      <c r="BN1304" s="69"/>
      <c r="BO1304" s="70" t="str">
        <f t="shared" si="899"/>
        <v xml:space="preserve"> Party Condition 42  ,F.M% 0.27 ,Greenish 3.96 ,Moisture 4.8 ,Shortage in KG= 2  ,Oil% 39.91</v>
      </c>
      <c r="BP1304" s="71">
        <f t="shared" si="900"/>
        <v>7675.1678778698979</v>
      </c>
      <c r="BQ1304" s="55"/>
      <c r="BR1304" s="55"/>
      <c r="BS1304" s="41"/>
      <c r="BT1304" s="41"/>
      <c r="BU1304" s="41"/>
      <c r="BV1304" s="41"/>
      <c r="BW1304" s="85"/>
      <c r="BX1304" s="27">
        <v>39.68</v>
      </c>
      <c r="BY1304" s="27">
        <v>39.68</v>
      </c>
    </row>
    <row r="1305" spans="1:77" ht="14.1" hidden="1" customHeight="1" x14ac:dyDescent="0.3">
      <c r="A1305" s="128" t="s">
        <v>2670</v>
      </c>
      <c r="B1305" s="146">
        <v>46212</v>
      </c>
      <c r="C1305" s="138">
        <v>1271</v>
      </c>
      <c r="D1305" s="138" t="s">
        <v>2737</v>
      </c>
      <c r="E1305" s="129">
        <v>46218</v>
      </c>
      <c r="F1305" s="128" t="s">
        <v>2497</v>
      </c>
      <c r="G1305" s="128" t="s">
        <v>2498</v>
      </c>
      <c r="H1305" s="128" t="s">
        <v>100</v>
      </c>
      <c r="I1305" s="136"/>
      <c r="J1305" s="138" t="s">
        <v>1146</v>
      </c>
      <c r="K1305" s="136"/>
      <c r="L1305" s="146">
        <v>46212</v>
      </c>
      <c r="M1305" s="136"/>
      <c r="N1305" s="281" t="s">
        <v>2811</v>
      </c>
      <c r="O1305" s="146">
        <v>46218</v>
      </c>
      <c r="P1305" s="138">
        <v>0</v>
      </c>
      <c r="Q1305" s="138">
        <v>140</v>
      </c>
      <c r="R1305" s="138">
        <v>20</v>
      </c>
      <c r="S1305" s="138">
        <v>160</v>
      </c>
      <c r="T1305" s="138">
        <v>160</v>
      </c>
      <c r="U1305" s="136"/>
      <c r="V1305" s="136"/>
      <c r="W1305" s="147">
        <v>96.4</v>
      </c>
      <c r="X1305" s="147">
        <v>96.3</v>
      </c>
      <c r="Y1305" s="445">
        <v>771296.4</v>
      </c>
      <c r="Z1305" s="443">
        <v>39.770000000000003</v>
      </c>
      <c r="AA1305" s="390">
        <v>19282.41</v>
      </c>
      <c r="AB1305" s="147">
        <v>19282.41</v>
      </c>
      <c r="AC1305" s="147">
        <v>809861.22</v>
      </c>
      <c r="AD1305" s="315">
        <f t="shared" si="879"/>
        <v>809051.35878000001</v>
      </c>
      <c r="AE1305" s="236">
        <v>39.770000000000003</v>
      </c>
      <c r="AF1305" s="147">
        <v>42</v>
      </c>
      <c r="AG1305" s="236">
        <v>39.770000000000003</v>
      </c>
      <c r="AH1305" s="287">
        <v>2.8999999999999998E-3</v>
      </c>
      <c r="AI1305" s="287">
        <v>3.4000000000000002E-2</v>
      </c>
      <c r="AJ1305" s="287">
        <v>4.7E-2</v>
      </c>
      <c r="AK1305" s="318">
        <f t="shared" si="884"/>
        <v>40952.165999999947</v>
      </c>
      <c r="AL1305" s="193">
        <v>0</v>
      </c>
      <c r="AM1305" s="319">
        <v>0</v>
      </c>
      <c r="AN1305" s="319"/>
      <c r="AO1305" s="320">
        <f t="shared" si="885"/>
        <v>0</v>
      </c>
      <c r="AP1305" s="193">
        <v>0</v>
      </c>
      <c r="AQ1305" s="318">
        <v>0</v>
      </c>
      <c r="AR1305" s="318">
        <f t="shared" si="886"/>
        <v>40952.165999999947</v>
      </c>
      <c r="AS1305" s="318">
        <f t="shared" si="887"/>
        <v>43000</v>
      </c>
      <c r="AT1305" s="321">
        <v>0</v>
      </c>
      <c r="AU1305" s="157"/>
      <c r="AV1305" s="136"/>
      <c r="AW1305" s="318">
        <f t="shared" si="888"/>
        <v>9640</v>
      </c>
      <c r="AX1305" s="193"/>
      <c r="AY1305" s="318">
        <f t="shared" si="889"/>
        <v>9640</v>
      </c>
      <c r="AZ1305" s="318">
        <f t="shared" si="890"/>
        <v>9630</v>
      </c>
      <c r="BA1305" s="318">
        <f t="shared" si="891"/>
        <v>10</v>
      </c>
      <c r="BB1305" s="318">
        <f t="shared" si="892"/>
        <v>19.28</v>
      </c>
      <c r="BC1305" s="318">
        <v>0</v>
      </c>
      <c r="BD1305" s="136"/>
      <c r="BE1305" s="138">
        <v>96.4</v>
      </c>
      <c r="BF1305" s="321">
        <f t="shared" si="893"/>
        <v>0.14460000000000001</v>
      </c>
      <c r="BG1305" s="197">
        <f t="shared" si="894"/>
        <v>96.255400000000009</v>
      </c>
      <c r="BH1305" s="321">
        <f t="shared" si="895"/>
        <v>96.3</v>
      </c>
      <c r="BI1305" s="322">
        <f t="shared" si="896"/>
        <v>10.000000000000853</v>
      </c>
      <c r="BJ1305" s="322">
        <v>0</v>
      </c>
      <c r="BK1305" s="318">
        <f t="shared" si="897"/>
        <v>10.000000000000853</v>
      </c>
      <c r="BL1305" s="67"/>
      <c r="BM1305" s="68" t="str">
        <f t="shared" si="898"/>
        <v>Unloading no. 1271 Bill No HA/26-27/0409 ,Deduction For Oil Deduction= 40952.1659999999 ,Bardana= 0 ,F.M= 0 Brokerage/Rate Difference  ,Shortage = 0 ,Greenish= 0 ,Moisture= 0</v>
      </c>
      <c r="BN1305" s="69"/>
      <c r="BO1305" s="70" t="str">
        <f t="shared" si="899"/>
        <v xml:space="preserve"> Party Condition 42  ,F.M% 0.29 ,Greenish 3.4 ,Moisture 4.7 ,Shortage in KG= 0  ,Oil% 39.77</v>
      </c>
      <c r="BP1305" s="71">
        <f t="shared" si="900"/>
        <v>7584.0522741433033</v>
      </c>
      <c r="BQ1305" s="55"/>
      <c r="BR1305" s="55"/>
      <c r="BS1305" s="41"/>
      <c r="BT1305" s="41"/>
      <c r="BU1305" s="41"/>
      <c r="BV1305" s="41"/>
      <c r="BW1305" s="85"/>
      <c r="BX1305" s="27">
        <v>39.520000000000003</v>
      </c>
      <c r="BY1305" s="27">
        <v>39.479999999999997</v>
      </c>
    </row>
    <row r="1306" spans="1:77" ht="14.1" hidden="1" customHeight="1" x14ac:dyDescent="0.3">
      <c r="A1306" s="128" t="s">
        <v>2667</v>
      </c>
      <c r="B1306" s="146">
        <v>46216</v>
      </c>
      <c r="C1306" s="138">
        <v>1272</v>
      </c>
      <c r="D1306" s="138" t="s">
        <v>2738</v>
      </c>
      <c r="E1306" s="129">
        <v>46218</v>
      </c>
      <c r="F1306" s="128" t="s">
        <v>1144</v>
      </c>
      <c r="G1306" s="128" t="s">
        <v>1145</v>
      </c>
      <c r="H1306" s="128" t="s">
        <v>100</v>
      </c>
      <c r="I1306" s="136"/>
      <c r="J1306" s="138" t="s">
        <v>1146</v>
      </c>
      <c r="K1306" s="136"/>
      <c r="L1306" s="146">
        <v>46216</v>
      </c>
      <c r="M1306" s="136"/>
      <c r="N1306" s="281" t="s">
        <v>2812</v>
      </c>
      <c r="O1306" s="146">
        <v>46218</v>
      </c>
      <c r="P1306" s="138">
        <v>0</v>
      </c>
      <c r="Q1306" s="138">
        <v>100</v>
      </c>
      <c r="R1306" s="138">
        <v>50</v>
      </c>
      <c r="S1306" s="138">
        <v>150</v>
      </c>
      <c r="T1306" s="138">
        <v>150</v>
      </c>
      <c r="U1306" s="136"/>
      <c r="V1306" s="136"/>
      <c r="W1306" s="147">
        <v>89.8</v>
      </c>
      <c r="X1306" s="147">
        <v>89.6</v>
      </c>
      <c r="Y1306" s="445">
        <v>723877.8</v>
      </c>
      <c r="Z1306" s="443">
        <v>39.36</v>
      </c>
      <c r="AA1306" s="390">
        <v>18096.95</v>
      </c>
      <c r="AB1306" s="147">
        <v>18096.95</v>
      </c>
      <c r="AC1306" s="147">
        <v>760071.69</v>
      </c>
      <c r="AD1306" s="315">
        <f t="shared" si="879"/>
        <v>759311.61830999993</v>
      </c>
      <c r="AE1306" s="236">
        <v>39.36</v>
      </c>
      <c r="AF1306" s="147">
        <v>42</v>
      </c>
      <c r="AG1306" s="236">
        <v>39.36</v>
      </c>
      <c r="AH1306" s="287">
        <v>3.0000000000000001E-3</v>
      </c>
      <c r="AI1306" s="287">
        <v>3.9E-2</v>
      </c>
      <c r="AJ1306" s="287">
        <v>5.3999999999999999E-2</v>
      </c>
      <c r="AK1306" s="318">
        <f t="shared" si="884"/>
        <v>45500.890285714304</v>
      </c>
      <c r="AL1306" s="193">
        <v>0</v>
      </c>
      <c r="AM1306" s="319">
        <v>0</v>
      </c>
      <c r="AN1306" s="319"/>
      <c r="AO1306" s="320">
        <f t="shared" si="885"/>
        <v>161.22</v>
      </c>
      <c r="AP1306" s="193">
        <v>0</v>
      </c>
      <c r="AQ1306" s="318">
        <v>0</v>
      </c>
      <c r="AR1306" s="318">
        <f t="shared" si="886"/>
        <v>45662.110285714305</v>
      </c>
      <c r="AS1306" s="318">
        <f t="shared" si="887"/>
        <v>47945</v>
      </c>
      <c r="AT1306" s="321">
        <v>2</v>
      </c>
      <c r="AU1306" s="157"/>
      <c r="AV1306" s="136"/>
      <c r="AW1306" s="318">
        <f t="shared" si="888"/>
        <v>8980</v>
      </c>
      <c r="AX1306" s="193"/>
      <c r="AY1306" s="318">
        <f t="shared" si="889"/>
        <v>8980</v>
      </c>
      <c r="AZ1306" s="318">
        <f t="shared" si="890"/>
        <v>8960</v>
      </c>
      <c r="BA1306" s="318">
        <f t="shared" si="891"/>
        <v>20</v>
      </c>
      <c r="BB1306" s="318">
        <f t="shared" si="892"/>
        <v>17.96</v>
      </c>
      <c r="BC1306" s="318">
        <v>0</v>
      </c>
      <c r="BD1306" s="136"/>
      <c r="BE1306" s="138">
        <v>89.8</v>
      </c>
      <c r="BF1306" s="321">
        <f t="shared" si="893"/>
        <v>0.13469999999999999</v>
      </c>
      <c r="BG1306" s="197">
        <f t="shared" si="894"/>
        <v>89.665300000000002</v>
      </c>
      <c r="BH1306" s="321">
        <f t="shared" si="895"/>
        <v>89.6</v>
      </c>
      <c r="BI1306" s="322">
        <f t="shared" si="896"/>
        <v>20.000000000000284</v>
      </c>
      <c r="BJ1306" s="322">
        <v>0</v>
      </c>
      <c r="BK1306" s="318">
        <f t="shared" si="897"/>
        <v>20.000000000000284</v>
      </c>
      <c r="BL1306" s="67"/>
      <c r="BM1306" s="68" t="str">
        <f t="shared" si="898"/>
        <v>Unloading no. 1272 Bill No 2026-27/419 ,Deduction For Oil Deduction= 45500.8902857143 ,Bardana= 0 ,F.M= 0 Brokerage/Rate Difference  ,Shortage = 161.22 ,Greenish= 0 ,Moisture= 0</v>
      </c>
      <c r="BN1306" s="69"/>
      <c r="BO1306" s="70" t="str">
        <f t="shared" si="899"/>
        <v xml:space="preserve"> Party Condition 42  ,F.M% 0.3 ,Greenish 3.9 ,Moisture 5.4 ,Shortage in KG= 2  ,Oil% 39.36</v>
      </c>
      <c r="BP1306" s="71">
        <f t="shared" si="900"/>
        <v>7569.3715369897973</v>
      </c>
      <c r="BQ1306" s="55"/>
      <c r="BR1306" s="55"/>
      <c r="BS1306" s="41"/>
      <c r="BT1306" s="41"/>
      <c r="BU1306" s="41"/>
      <c r="BV1306" s="41"/>
      <c r="BW1306" s="85"/>
      <c r="BX1306" s="27">
        <v>39.21</v>
      </c>
      <c r="BY1306" s="27">
        <v>39.08</v>
      </c>
    </row>
    <row r="1307" spans="1:77" ht="14.1" hidden="1" customHeight="1" x14ac:dyDescent="0.3">
      <c r="A1307" s="128" t="s">
        <v>2667</v>
      </c>
      <c r="B1307" s="146">
        <v>46216</v>
      </c>
      <c r="C1307" s="138">
        <v>1273</v>
      </c>
      <c r="D1307" s="138" t="s">
        <v>2739</v>
      </c>
      <c r="E1307" s="129">
        <v>46218</v>
      </c>
      <c r="F1307" s="128" t="s">
        <v>1144</v>
      </c>
      <c r="G1307" s="128" t="s">
        <v>1145</v>
      </c>
      <c r="H1307" s="128" t="s">
        <v>100</v>
      </c>
      <c r="I1307" s="136"/>
      <c r="J1307" s="138" t="s">
        <v>1146</v>
      </c>
      <c r="K1307" s="136"/>
      <c r="L1307" s="146">
        <v>46216</v>
      </c>
      <c r="M1307" s="136"/>
      <c r="N1307" s="281" t="s">
        <v>2813</v>
      </c>
      <c r="O1307" s="146">
        <v>46218</v>
      </c>
      <c r="P1307" s="138">
        <v>0</v>
      </c>
      <c r="Q1307" s="138">
        <v>130</v>
      </c>
      <c r="R1307" s="138">
        <v>20</v>
      </c>
      <c r="S1307" s="138">
        <v>150</v>
      </c>
      <c r="T1307" s="138">
        <v>150</v>
      </c>
      <c r="U1307" s="136"/>
      <c r="V1307" s="136"/>
      <c r="W1307" s="147">
        <v>88.9</v>
      </c>
      <c r="X1307" s="147">
        <v>88.9</v>
      </c>
      <c r="Y1307" s="445">
        <v>716622.9</v>
      </c>
      <c r="Z1307" s="443">
        <v>39.369999999999997</v>
      </c>
      <c r="AA1307" s="390">
        <v>17915.57</v>
      </c>
      <c r="AB1307" s="147">
        <v>17915.57</v>
      </c>
      <c r="AC1307" s="147">
        <v>752454.05</v>
      </c>
      <c r="AD1307" s="315">
        <f t="shared" si="879"/>
        <v>751701.5959500001</v>
      </c>
      <c r="AE1307" s="236">
        <v>39.369999999999997</v>
      </c>
      <c r="AF1307" s="147">
        <v>42</v>
      </c>
      <c r="AG1307" s="236">
        <v>39.369999999999997</v>
      </c>
      <c r="AH1307" s="287">
        <v>2E-3</v>
      </c>
      <c r="AI1307" s="287">
        <v>2.8400000000000002E-2</v>
      </c>
      <c r="AJ1307" s="287">
        <v>5.5E-2</v>
      </c>
      <c r="AK1307" s="318">
        <f t="shared" si="884"/>
        <v>44874.243500000048</v>
      </c>
      <c r="AL1307" s="193">
        <v>0</v>
      </c>
      <c r="AM1307" s="319">
        <v>0</v>
      </c>
      <c r="AN1307" s="319"/>
      <c r="AO1307" s="320">
        <f t="shared" si="885"/>
        <v>0</v>
      </c>
      <c r="AP1307" s="193">
        <v>0</v>
      </c>
      <c r="AQ1307" s="318">
        <v>0</v>
      </c>
      <c r="AR1307" s="318">
        <f t="shared" si="886"/>
        <v>44874.243500000048</v>
      </c>
      <c r="AS1307" s="318">
        <f t="shared" si="887"/>
        <v>47118</v>
      </c>
      <c r="AT1307" s="321">
        <v>0</v>
      </c>
      <c r="AU1307" s="157"/>
      <c r="AV1307" s="136"/>
      <c r="AW1307" s="318">
        <f t="shared" si="888"/>
        <v>8890</v>
      </c>
      <c r="AX1307" s="193"/>
      <c r="AY1307" s="318">
        <f t="shared" si="889"/>
        <v>8890</v>
      </c>
      <c r="AZ1307" s="318">
        <f t="shared" si="890"/>
        <v>8890</v>
      </c>
      <c r="BA1307" s="318">
        <f t="shared" si="891"/>
        <v>0</v>
      </c>
      <c r="BB1307" s="318">
        <f t="shared" si="892"/>
        <v>17.78</v>
      </c>
      <c r="BC1307" s="318">
        <v>0</v>
      </c>
      <c r="BD1307" s="136"/>
      <c r="BE1307" s="138">
        <v>88.9</v>
      </c>
      <c r="BF1307" s="321">
        <f t="shared" si="893"/>
        <v>0.13335</v>
      </c>
      <c r="BG1307" s="197">
        <f t="shared" si="894"/>
        <v>88.766650000000013</v>
      </c>
      <c r="BH1307" s="321">
        <f t="shared" si="895"/>
        <v>88.9</v>
      </c>
      <c r="BI1307" s="322">
        <f t="shared" si="896"/>
        <v>0</v>
      </c>
      <c r="BJ1307" s="322">
        <v>0</v>
      </c>
      <c r="BK1307" s="318">
        <f t="shared" si="897"/>
        <v>0</v>
      </c>
      <c r="BL1307" s="67"/>
      <c r="BM1307" s="68" t="str">
        <f t="shared" si="898"/>
        <v>Unloading no. 1273 Bill No 2026-27/421 ,Deduction For Oil Deduction= 44874.2435 ,Bardana= 0 ,F.M= 0 Brokerage/Rate Difference  ,Shortage = 0 ,Greenish= 0 ,Moisture= 0</v>
      </c>
      <c r="BN1307" s="69"/>
      <c r="BO1307" s="70" t="str">
        <f t="shared" si="899"/>
        <v xml:space="preserve"> Party Condition 42  ,F.M% 0.2 ,Greenish 2.84 ,Moisture 5.5 ,Shortage in KG= 0  ,Oil% 39.37</v>
      </c>
      <c r="BP1307" s="71">
        <f t="shared" si="900"/>
        <v>7556.227857142856</v>
      </c>
      <c r="BQ1307" s="55"/>
      <c r="BR1307" s="55"/>
      <c r="BS1307" s="41"/>
      <c r="BT1307" s="41"/>
      <c r="BU1307" s="41"/>
      <c r="BV1307" s="41"/>
      <c r="BW1307" s="85"/>
      <c r="BX1307" s="27">
        <v>39.1</v>
      </c>
      <c r="BY1307" s="27">
        <v>38.94</v>
      </c>
    </row>
    <row r="1308" spans="1:77" ht="14.1" hidden="1" customHeight="1" x14ac:dyDescent="0.3">
      <c r="A1308" s="128" t="s">
        <v>2670</v>
      </c>
      <c r="B1308" s="146">
        <v>46212</v>
      </c>
      <c r="C1308" s="138">
        <v>1274</v>
      </c>
      <c r="D1308" s="138" t="s">
        <v>2740</v>
      </c>
      <c r="E1308" s="129">
        <v>46218</v>
      </c>
      <c r="F1308" s="128" t="s">
        <v>2497</v>
      </c>
      <c r="G1308" s="128" t="s">
        <v>2498</v>
      </c>
      <c r="H1308" s="128" t="s">
        <v>100</v>
      </c>
      <c r="I1308" s="136"/>
      <c r="J1308" s="138" t="s">
        <v>1146</v>
      </c>
      <c r="K1308" s="136"/>
      <c r="L1308" s="146">
        <v>46212</v>
      </c>
      <c r="M1308" s="136"/>
      <c r="N1308" s="281" t="s">
        <v>2814</v>
      </c>
      <c r="O1308" s="146">
        <v>46218</v>
      </c>
      <c r="P1308" s="138">
        <v>0</v>
      </c>
      <c r="Q1308" s="138">
        <v>140</v>
      </c>
      <c r="R1308" s="138">
        <v>20</v>
      </c>
      <c r="S1308" s="138">
        <v>160</v>
      </c>
      <c r="T1308" s="138">
        <v>160</v>
      </c>
      <c r="U1308" s="136"/>
      <c r="V1308" s="136"/>
      <c r="W1308" s="147">
        <v>96.2</v>
      </c>
      <c r="X1308" s="147">
        <v>96.1</v>
      </c>
      <c r="Y1308" s="445">
        <v>769696.2</v>
      </c>
      <c r="Z1308" s="443">
        <v>39.57</v>
      </c>
      <c r="AA1308" s="390">
        <v>19242.41</v>
      </c>
      <c r="AB1308" s="147">
        <v>19242.41</v>
      </c>
      <c r="AC1308" s="147">
        <v>808181.01</v>
      </c>
      <c r="AD1308" s="315">
        <f t="shared" si="879"/>
        <v>807372.82899000007</v>
      </c>
      <c r="AE1308" s="236">
        <v>39.57</v>
      </c>
      <c r="AF1308" s="147">
        <v>42</v>
      </c>
      <c r="AG1308" s="236">
        <v>39.57</v>
      </c>
      <c r="AH1308" s="287">
        <v>2.8E-3</v>
      </c>
      <c r="AI1308" s="287">
        <v>3.5400000000000001E-2</v>
      </c>
      <c r="AJ1308" s="287">
        <v>5.6000000000000001E-2</v>
      </c>
      <c r="AK1308" s="318">
        <f t="shared" si="884"/>
        <v>44532.422999999995</v>
      </c>
      <c r="AL1308" s="193">
        <v>0</v>
      </c>
      <c r="AM1308" s="319">
        <v>0</v>
      </c>
      <c r="AN1308" s="319"/>
      <c r="AO1308" s="320">
        <f t="shared" si="885"/>
        <v>0</v>
      </c>
      <c r="AP1308" s="193">
        <v>0</v>
      </c>
      <c r="AQ1308" s="318">
        <v>0</v>
      </c>
      <c r="AR1308" s="318">
        <f t="shared" si="886"/>
        <v>44532.422999999995</v>
      </c>
      <c r="AS1308" s="318">
        <f t="shared" si="887"/>
        <v>46759</v>
      </c>
      <c r="AT1308" s="321">
        <v>0</v>
      </c>
      <c r="AU1308" s="157"/>
      <c r="AV1308" s="136"/>
      <c r="AW1308" s="318">
        <f t="shared" si="888"/>
        <v>9620</v>
      </c>
      <c r="AX1308" s="193"/>
      <c r="AY1308" s="318">
        <f t="shared" si="889"/>
        <v>9620</v>
      </c>
      <c r="AZ1308" s="318">
        <f t="shared" si="890"/>
        <v>9610</v>
      </c>
      <c r="BA1308" s="318">
        <f t="shared" si="891"/>
        <v>10</v>
      </c>
      <c r="BB1308" s="318">
        <f t="shared" si="892"/>
        <v>19.239999999999998</v>
      </c>
      <c r="BC1308" s="318">
        <v>0</v>
      </c>
      <c r="BD1308" s="136"/>
      <c r="BE1308" s="138">
        <v>96.2</v>
      </c>
      <c r="BF1308" s="321">
        <f t="shared" si="893"/>
        <v>0.14429999999999998</v>
      </c>
      <c r="BG1308" s="197">
        <f t="shared" si="894"/>
        <v>96.055700000000002</v>
      </c>
      <c r="BH1308" s="321">
        <f t="shared" si="895"/>
        <v>96.1</v>
      </c>
      <c r="BI1308" s="322">
        <f t="shared" si="896"/>
        <v>10.000000000000853</v>
      </c>
      <c r="BJ1308" s="322">
        <v>0</v>
      </c>
      <c r="BK1308" s="318">
        <f t="shared" si="897"/>
        <v>10.000000000000853</v>
      </c>
      <c r="BL1308" s="67"/>
      <c r="BM1308" s="68" t="str">
        <f t="shared" si="898"/>
        <v>Unloading no. 1274 Bill No HA/26-27/0411 ,Deduction For Oil Deduction= 44532.423 ,Bardana= 0 ,F.M= 0 Brokerage/Rate Difference  ,Shortage = 0 ,Greenish= 0 ,Moisture= 0</v>
      </c>
      <c r="BN1308" s="69"/>
      <c r="BO1308" s="70" t="str">
        <f t="shared" si="899"/>
        <v xml:space="preserve"> Party Condition 42  ,F.M% 0.28 ,Greenish 3.54 ,Moisture 5.6 ,Shortage in KG= 0  ,Oil% 39.57</v>
      </c>
      <c r="BP1308" s="71">
        <f t="shared" si="900"/>
        <v>7545.929001040583</v>
      </c>
      <c r="BQ1308" s="55"/>
      <c r="BR1308" s="55"/>
      <c r="BS1308" s="41"/>
      <c r="BT1308" s="41"/>
      <c r="BU1308" s="41"/>
      <c r="BV1308" s="41"/>
      <c r="BW1308" s="85"/>
      <c r="BX1308" s="27">
        <v>39.35</v>
      </c>
      <c r="BY1308" s="27">
        <v>39.33</v>
      </c>
    </row>
    <row r="1309" spans="1:77" ht="14.1" hidden="1" customHeight="1" x14ac:dyDescent="0.3">
      <c r="A1309" s="281" t="s">
        <v>2670</v>
      </c>
      <c r="B1309" s="146">
        <v>46212</v>
      </c>
      <c r="C1309" s="138">
        <v>1275</v>
      </c>
      <c r="D1309" s="138" t="s">
        <v>2741</v>
      </c>
      <c r="E1309" s="129">
        <v>46218</v>
      </c>
      <c r="F1309" s="128" t="s">
        <v>2497</v>
      </c>
      <c r="G1309" s="128" t="s">
        <v>2498</v>
      </c>
      <c r="H1309" s="128" t="s">
        <v>100</v>
      </c>
      <c r="I1309" s="136"/>
      <c r="J1309" s="138" t="s">
        <v>1146</v>
      </c>
      <c r="K1309" s="136"/>
      <c r="L1309" s="146">
        <v>46212</v>
      </c>
      <c r="M1309" s="136"/>
      <c r="N1309" s="281" t="s">
        <v>2815</v>
      </c>
      <c r="O1309" s="146">
        <v>46218</v>
      </c>
      <c r="P1309" s="138">
        <v>0</v>
      </c>
      <c r="Q1309" s="138">
        <v>110</v>
      </c>
      <c r="R1309" s="138">
        <v>50</v>
      </c>
      <c r="S1309" s="138">
        <v>160</v>
      </c>
      <c r="T1309" s="138">
        <v>160</v>
      </c>
      <c r="U1309" s="136"/>
      <c r="V1309" s="136"/>
      <c r="W1309" s="147">
        <v>95.6</v>
      </c>
      <c r="X1309" s="147">
        <v>95.4</v>
      </c>
      <c r="Y1309" s="445">
        <v>764895.6</v>
      </c>
      <c r="Z1309" s="443">
        <v>39.79</v>
      </c>
      <c r="AA1309" s="390">
        <v>19122.39</v>
      </c>
      <c r="AB1309" s="147">
        <v>19122.39</v>
      </c>
      <c r="AC1309" s="147">
        <v>803140.38</v>
      </c>
      <c r="AD1309" s="315">
        <f t="shared" si="879"/>
        <v>802337.23962000001</v>
      </c>
      <c r="AE1309" s="236">
        <v>39.79</v>
      </c>
      <c r="AF1309" s="147">
        <v>42</v>
      </c>
      <c r="AG1309" s="236">
        <v>39.79</v>
      </c>
      <c r="AH1309" s="287">
        <v>2.5000000000000001E-3</v>
      </c>
      <c r="AI1309" s="287">
        <v>2.6599999999999999E-2</v>
      </c>
      <c r="AJ1309" s="287">
        <v>5.3999999999999999E-2</v>
      </c>
      <c r="AK1309" s="318">
        <f t="shared" si="884"/>
        <v>40248.078000000016</v>
      </c>
      <c r="AL1309" s="193">
        <v>0</v>
      </c>
      <c r="AM1309" s="319">
        <v>0</v>
      </c>
      <c r="AN1309" s="319"/>
      <c r="AO1309" s="320">
        <f t="shared" si="885"/>
        <v>80.009999999999991</v>
      </c>
      <c r="AP1309" s="193">
        <v>0</v>
      </c>
      <c r="AQ1309" s="318">
        <v>0</v>
      </c>
      <c r="AR1309" s="318">
        <f t="shared" si="886"/>
        <v>40328.088000000018</v>
      </c>
      <c r="AS1309" s="318">
        <f t="shared" si="887"/>
        <v>42344</v>
      </c>
      <c r="AT1309" s="321">
        <v>1</v>
      </c>
      <c r="AU1309" s="157"/>
      <c r="AV1309" s="136"/>
      <c r="AW1309" s="318">
        <f t="shared" si="888"/>
        <v>9560</v>
      </c>
      <c r="AX1309" s="193"/>
      <c r="AY1309" s="318">
        <f t="shared" si="889"/>
        <v>9560</v>
      </c>
      <c r="AZ1309" s="318">
        <f t="shared" si="890"/>
        <v>9540</v>
      </c>
      <c r="BA1309" s="318">
        <f t="shared" si="891"/>
        <v>20</v>
      </c>
      <c r="BB1309" s="318">
        <f t="shared" si="892"/>
        <v>19.12</v>
      </c>
      <c r="BC1309" s="318">
        <v>0</v>
      </c>
      <c r="BD1309" s="136"/>
      <c r="BE1309" s="138">
        <v>95.6</v>
      </c>
      <c r="BF1309" s="321">
        <f t="shared" si="893"/>
        <v>0.14339999999999997</v>
      </c>
      <c r="BG1309" s="197">
        <f t="shared" si="894"/>
        <v>95.456599999999995</v>
      </c>
      <c r="BH1309" s="321">
        <f t="shared" si="895"/>
        <v>95.4</v>
      </c>
      <c r="BI1309" s="322">
        <f t="shared" si="896"/>
        <v>19.999999999998863</v>
      </c>
      <c r="BJ1309" s="322">
        <v>0</v>
      </c>
      <c r="BK1309" s="318">
        <f t="shared" si="897"/>
        <v>19.999999999998863</v>
      </c>
      <c r="BL1309" s="67"/>
      <c r="BM1309" s="68" t="str">
        <f t="shared" si="898"/>
        <v>Unloading no. 1275 Bill No HA/26-27/0410 ,Deduction For Oil Deduction= 40248.078 ,Bardana= 0 ,F.M= 0 Brokerage/Rate Difference  ,Shortage = 80.01 ,Greenish= 0 ,Moisture= 0</v>
      </c>
      <c r="BN1309" s="69"/>
      <c r="BO1309" s="70" t="str">
        <f t="shared" si="899"/>
        <v xml:space="preserve"> Party Condition 42  ,F.M% 0.25 ,Greenish 2.66 ,Moisture 5.4 ,Shortage in KG= 1  ,Oil% 39.79</v>
      </c>
      <c r="BP1309" s="71">
        <f t="shared" si="900"/>
        <v>7595.0472955974838</v>
      </c>
      <c r="BQ1309" s="55"/>
      <c r="BR1309" s="55"/>
      <c r="BS1309" s="41"/>
      <c r="BT1309" s="41"/>
      <c r="BU1309" s="41"/>
      <c r="BV1309" s="41"/>
      <c r="BW1309" s="85"/>
      <c r="BX1309" s="27">
        <v>39.549999999999997</v>
      </c>
      <c r="BY1309" s="27">
        <v>39.51</v>
      </c>
    </row>
    <row r="1310" spans="1:77" ht="14.1" hidden="1" customHeight="1" x14ac:dyDescent="0.3">
      <c r="A1310" s="128" t="s">
        <v>2667</v>
      </c>
      <c r="B1310" s="146">
        <v>46216</v>
      </c>
      <c r="C1310" s="138">
        <v>1276</v>
      </c>
      <c r="D1310" s="138" t="s">
        <v>2742</v>
      </c>
      <c r="E1310" s="129">
        <v>46218</v>
      </c>
      <c r="F1310" s="128" t="s">
        <v>1144</v>
      </c>
      <c r="G1310" s="128" t="s">
        <v>1145</v>
      </c>
      <c r="H1310" s="128" t="s">
        <v>100</v>
      </c>
      <c r="I1310" s="136"/>
      <c r="J1310" s="138" t="s">
        <v>1146</v>
      </c>
      <c r="K1310" s="136"/>
      <c r="L1310" s="146">
        <v>46216</v>
      </c>
      <c r="M1310" s="136"/>
      <c r="N1310" s="281" t="s">
        <v>2816</v>
      </c>
      <c r="O1310" s="146">
        <v>46218</v>
      </c>
      <c r="P1310" s="138">
        <v>0</v>
      </c>
      <c r="Q1310" s="138">
        <v>140</v>
      </c>
      <c r="R1310" s="138">
        <v>10</v>
      </c>
      <c r="S1310" s="138">
        <v>150</v>
      </c>
      <c r="T1310" s="138">
        <v>150</v>
      </c>
      <c r="U1310" s="136"/>
      <c r="V1310" s="136"/>
      <c r="W1310" s="147">
        <v>89.6</v>
      </c>
      <c r="X1310" s="147">
        <v>89.6</v>
      </c>
      <c r="Y1310" s="445">
        <v>722265.59999999998</v>
      </c>
      <c r="Z1310" s="443">
        <v>39.799999999999997</v>
      </c>
      <c r="AA1310" s="390">
        <v>18056.64</v>
      </c>
      <c r="AB1310" s="147">
        <v>18056.64</v>
      </c>
      <c r="AC1310" s="147">
        <v>758378.88</v>
      </c>
      <c r="AD1310" s="315">
        <f t="shared" si="879"/>
        <v>757620.50112000003</v>
      </c>
      <c r="AE1310" s="236">
        <v>39.799999999999997</v>
      </c>
      <c r="AF1310" s="147">
        <v>42</v>
      </c>
      <c r="AG1310" s="236">
        <v>39.799999999999997</v>
      </c>
      <c r="AH1310" s="287">
        <v>2E-3</v>
      </c>
      <c r="AI1310" s="287">
        <v>3.78E-2</v>
      </c>
      <c r="AJ1310" s="287">
        <v>5.6000000000000001E-2</v>
      </c>
      <c r="AK1310" s="318">
        <f t="shared" si="884"/>
        <v>37832.96000000005</v>
      </c>
      <c r="AL1310" s="193">
        <v>0</v>
      </c>
      <c r="AM1310" s="319">
        <v>0</v>
      </c>
      <c r="AN1310" s="319"/>
      <c r="AO1310" s="320">
        <f t="shared" si="885"/>
        <v>0</v>
      </c>
      <c r="AP1310" s="193">
        <v>0</v>
      </c>
      <c r="AQ1310" s="318">
        <v>0</v>
      </c>
      <c r="AR1310" s="318">
        <f t="shared" si="886"/>
        <v>37832.96000000005</v>
      </c>
      <c r="AS1310" s="318">
        <f t="shared" si="887"/>
        <v>39725</v>
      </c>
      <c r="AT1310" s="321">
        <v>0</v>
      </c>
      <c r="AU1310" s="157"/>
      <c r="AV1310" s="136"/>
      <c r="AW1310" s="318">
        <f t="shared" si="888"/>
        <v>8960</v>
      </c>
      <c r="AX1310" s="193"/>
      <c r="AY1310" s="318">
        <f t="shared" si="889"/>
        <v>8960</v>
      </c>
      <c r="AZ1310" s="318">
        <f t="shared" si="890"/>
        <v>8960</v>
      </c>
      <c r="BA1310" s="318">
        <f t="shared" si="891"/>
        <v>0</v>
      </c>
      <c r="BB1310" s="318">
        <f t="shared" si="892"/>
        <v>17.920000000000002</v>
      </c>
      <c r="BC1310" s="318">
        <v>0</v>
      </c>
      <c r="BD1310" s="136"/>
      <c r="BE1310" s="138">
        <v>89.6</v>
      </c>
      <c r="BF1310" s="321">
        <f t="shared" si="893"/>
        <v>0.13439999999999999</v>
      </c>
      <c r="BG1310" s="197">
        <f t="shared" si="894"/>
        <v>89.465599999999995</v>
      </c>
      <c r="BH1310" s="321">
        <f t="shared" si="895"/>
        <v>89.6</v>
      </c>
      <c r="BI1310" s="322">
        <f t="shared" si="896"/>
        <v>0</v>
      </c>
      <c r="BJ1310" s="322">
        <v>0</v>
      </c>
      <c r="BK1310" s="318">
        <f t="shared" si="897"/>
        <v>0</v>
      </c>
      <c r="BL1310" s="67"/>
      <c r="BM1310" s="68" t="str">
        <f t="shared" si="898"/>
        <v>Unloading no. 1276 Bill No 2026-27/422 ,Deduction For Oil Deduction= 37832.9600000001 ,Bardana= 0 ,F.M= 0 Brokerage/Rate Difference  ,Shortage = 0 ,Greenish= 0 ,Moisture= 0</v>
      </c>
      <c r="BN1310" s="69"/>
      <c r="BO1310" s="70" t="str">
        <f t="shared" si="899"/>
        <v xml:space="preserve"> Party Condition 42  ,F.M% 0.2 ,Greenish 3.78 ,Moisture 5.6 ,Shortage in KG= 0  ,Oil% 39.8</v>
      </c>
      <c r="BP1310" s="71">
        <f t="shared" si="900"/>
        <v>7638.7571428571418</v>
      </c>
      <c r="BQ1310" s="55"/>
      <c r="BR1310" s="55"/>
      <c r="BS1310" s="41"/>
      <c r="BT1310" s="41"/>
      <c r="BU1310" s="41"/>
      <c r="BV1310" s="41"/>
      <c r="BW1310" s="85"/>
      <c r="BX1310" s="27">
        <v>39.57</v>
      </c>
      <c r="BY1310" s="27">
        <v>39.53</v>
      </c>
    </row>
    <row r="1311" spans="1:77" ht="14.1" hidden="1" customHeight="1" x14ac:dyDescent="0.3">
      <c r="A1311" s="174" t="s">
        <v>2670</v>
      </c>
      <c r="B1311" s="376">
        <v>46212</v>
      </c>
      <c r="C1311" s="275">
        <v>1277</v>
      </c>
      <c r="D1311" s="275" t="s">
        <v>2743</v>
      </c>
      <c r="E1311" s="231">
        <v>46218</v>
      </c>
      <c r="F1311" s="174" t="s">
        <v>2497</v>
      </c>
      <c r="G1311" s="174" t="s">
        <v>2498</v>
      </c>
      <c r="H1311" s="174" t="s">
        <v>100</v>
      </c>
      <c r="I1311" s="176"/>
      <c r="J1311" s="275" t="s">
        <v>1146</v>
      </c>
      <c r="K1311" s="176"/>
      <c r="L1311" s="376">
        <v>46212</v>
      </c>
      <c r="M1311" s="176"/>
      <c r="N1311" s="284" t="s">
        <v>2817</v>
      </c>
      <c r="O1311" s="376">
        <v>46218</v>
      </c>
      <c r="P1311" s="275">
        <v>0</v>
      </c>
      <c r="Q1311" s="275">
        <v>140</v>
      </c>
      <c r="R1311" s="275">
        <v>20</v>
      </c>
      <c r="S1311" s="275">
        <v>160</v>
      </c>
      <c r="T1311" s="275">
        <v>160</v>
      </c>
      <c r="U1311" s="176"/>
      <c r="V1311" s="176"/>
      <c r="W1311" s="178">
        <v>96.5</v>
      </c>
      <c r="X1311" s="178">
        <v>96.5</v>
      </c>
      <c r="Y1311" s="446">
        <v>772096.5</v>
      </c>
      <c r="Z1311" s="447">
        <v>40.57</v>
      </c>
      <c r="AA1311" s="448">
        <v>19302.41</v>
      </c>
      <c r="AB1311" s="178">
        <v>19302.41</v>
      </c>
      <c r="AC1311" s="178">
        <v>810701.33</v>
      </c>
      <c r="AD1311" s="339">
        <f t="shared" si="879"/>
        <v>809890.62867000001</v>
      </c>
      <c r="AE1311" s="280">
        <v>40.57</v>
      </c>
      <c r="AF1311" s="178">
        <v>42</v>
      </c>
      <c r="AG1311" s="280">
        <v>40.57</v>
      </c>
      <c r="AH1311" s="308">
        <v>2.7000000000000001E-3</v>
      </c>
      <c r="AI1311" s="308">
        <v>4.9799999999999997E-2</v>
      </c>
      <c r="AJ1311" s="308">
        <v>5.5E-2</v>
      </c>
      <c r="AK1311" s="342">
        <f t="shared" si="884"/>
        <v>26288.047499999997</v>
      </c>
      <c r="AL1311" s="335">
        <v>0</v>
      </c>
      <c r="AM1311" s="343">
        <v>0</v>
      </c>
      <c r="AN1311" s="343"/>
      <c r="AO1311" s="344">
        <f t="shared" si="885"/>
        <v>0</v>
      </c>
      <c r="AP1311" s="335">
        <v>0</v>
      </c>
      <c r="AQ1311" s="342">
        <v>0</v>
      </c>
      <c r="AR1311" s="342">
        <f t="shared" si="886"/>
        <v>26288.047499999997</v>
      </c>
      <c r="AS1311" s="342">
        <f t="shared" si="887"/>
        <v>27602</v>
      </c>
      <c r="AT1311" s="345">
        <v>0</v>
      </c>
      <c r="AU1311" s="208"/>
      <c r="AV1311" s="176"/>
      <c r="AW1311" s="342">
        <f t="shared" si="888"/>
        <v>9650</v>
      </c>
      <c r="AX1311" s="335"/>
      <c r="AY1311" s="342">
        <f t="shared" si="889"/>
        <v>9650</v>
      </c>
      <c r="AZ1311" s="342">
        <f t="shared" si="890"/>
        <v>9650</v>
      </c>
      <c r="BA1311" s="342">
        <f t="shared" si="891"/>
        <v>0</v>
      </c>
      <c r="BB1311" s="342">
        <f t="shared" si="892"/>
        <v>19.3</v>
      </c>
      <c r="BC1311" s="342">
        <v>0</v>
      </c>
      <c r="BD1311" s="176"/>
      <c r="BE1311" s="275">
        <v>96.5</v>
      </c>
      <c r="BF1311" s="345">
        <f t="shared" si="893"/>
        <v>0.14474999999999999</v>
      </c>
      <c r="BG1311" s="210">
        <f t="shared" si="894"/>
        <v>96.355249999999998</v>
      </c>
      <c r="BH1311" s="345">
        <f t="shared" si="895"/>
        <v>96.5</v>
      </c>
      <c r="BI1311" s="346">
        <f t="shared" si="896"/>
        <v>0</v>
      </c>
      <c r="BJ1311" s="346">
        <v>0</v>
      </c>
      <c r="BK1311" s="342">
        <f t="shared" si="897"/>
        <v>0</v>
      </c>
      <c r="BL1311" s="73"/>
      <c r="BM1311" s="74" t="str">
        <f t="shared" si="898"/>
        <v>Unloading no. 1277 Bill No HA/26-27/0412 ,Deduction For Oil Deduction= 26288.0475 ,Bardana= 0 ,F.M= 0 Brokerage/Rate Difference  ,Shortage = 0 ,Greenish= 0 ,Moisture= 0</v>
      </c>
      <c r="BN1311" s="72"/>
      <c r="BO1311" s="77" t="str">
        <f t="shared" si="899"/>
        <v xml:space="preserve"> Party Condition 42  ,F.M% 0.27 ,Greenish 4.98 ,Moisture 5.5 ,Shortage in KG= 0  ,Oil% 40.57</v>
      </c>
      <c r="BP1311" s="78">
        <f t="shared" si="900"/>
        <v>7728.585</v>
      </c>
      <c r="BQ1311" s="60"/>
      <c r="BR1311" s="60"/>
      <c r="BS1311" s="52"/>
      <c r="BT1311" s="52"/>
      <c r="BU1311" s="52"/>
      <c r="BV1311" s="52"/>
      <c r="BW1311" s="86"/>
      <c r="BX1311" s="49">
        <v>40.119999999999997</v>
      </c>
      <c r="BY1311" s="49">
        <v>40.06</v>
      </c>
    </row>
    <row r="1312" spans="1:77" ht="14.1" hidden="1" customHeight="1" x14ac:dyDescent="0.3">
      <c r="A1312" s="281" t="s">
        <v>2667</v>
      </c>
      <c r="B1312" s="146">
        <v>46216</v>
      </c>
      <c r="C1312" s="138">
        <v>1253</v>
      </c>
      <c r="D1312" s="138" t="s">
        <v>2828</v>
      </c>
      <c r="E1312" s="129">
        <v>46219</v>
      </c>
      <c r="F1312" s="128" t="s">
        <v>1144</v>
      </c>
      <c r="G1312" s="128" t="s">
        <v>1145</v>
      </c>
      <c r="H1312" s="281" t="s">
        <v>100</v>
      </c>
      <c r="I1312" s="136"/>
      <c r="J1312" s="138" t="s">
        <v>1146</v>
      </c>
      <c r="K1312" s="136"/>
      <c r="L1312" s="146">
        <v>46216</v>
      </c>
      <c r="M1312" s="136"/>
      <c r="N1312" s="281" t="s">
        <v>2886</v>
      </c>
      <c r="O1312" s="146">
        <v>46218</v>
      </c>
      <c r="P1312" s="138">
        <v>0</v>
      </c>
      <c r="Q1312" s="138">
        <v>165</v>
      </c>
      <c r="R1312" s="138">
        <v>15</v>
      </c>
      <c r="S1312" s="138">
        <v>180</v>
      </c>
      <c r="T1312" s="138">
        <v>180</v>
      </c>
      <c r="U1312" s="136"/>
      <c r="V1312" s="136"/>
      <c r="W1312" s="147">
        <v>91.9</v>
      </c>
      <c r="X1312" s="147">
        <v>92</v>
      </c>
      <c r="Y1312" s="147">
        <v>740805.9</v>
      </c>
      <c r="Z1312" s="147">
        <v>40.409999999999997</v>
      </c>
      <c r="AA1312" s="147">
        <v>18520.150000000001</v>
      </c>
      <c r="AB1312" s="147">
        <v>18520.150000000001</v>
      </c>
      <c r="AC1312" s="147">
        <v>777846.2</v>
      </c>
      <c r="AD1312" s="315">
        <f t="shared" si="879"/>
        <v>777068.35379999992</v>
      </c>
      <c r="AE1312" s="147">
        <v>40.409999999999997</v>
      </c>
      <c r="AF1312" s="147">
        <v>42</v>
      </c>
      <c r="AG1312" s="445">
        <v>40.409999999999997</v>
      </c>
      <c r="AH1312" s="287">
        <v>2.8E-3</v>
      </c>
      <c r="AI1312" s="395">
        <v>2.8400000000000002E-2</v>
      </c>
      <c r="AJ1312" s="287">
        <v>4.7E-2</v>
      </c>
      <c r="AK1312" s="318">
        <f t="shared" ref="AK1312:AK1367" si="901">+IF(AF1312=42,IF(MIN(AE1312,AG1312)&lt;AF1312,Y1312*((AF1312-MIN(AE1312,AG1312))/AF1312)),IF(MIN(AE1312,AG1312)&lt;AF1312,Y1312*((AF1312-MIN(AE1312,AG1312))/AF1312),0))</f>
        <v>28044.794785714344</v>
      </c>
      <c r="AL1312" s="193">
        <v>0</v>
      </c>
      <c r="AM1312" s="319">
        <v>0</v>
      </c>
      <c r="AN1312" s="319"/>
      <c r="AO1312" s="320">
        <f t="shared" ref="AO1312:AO1367" si="902">AT1312*Y1312/AW1312</f>
        <v>0</v>
      </c>
      <c r="AP1312" s="193">
        <v>0</v>
      </c>
      <c r="AQ1312" s="318">
        <v>0</v>
      </c>
      <c r="AR1312" s="318">
        <f t="shared" ref="AR1312:AR1367" si="903">SUM(AK1312:AQ1312)</f>
        <v>28044.794785714344</v>
      </c>
      <c r="AS1312" s="318">
        <f t="shared" ref="AS1312:AS1367" si="904">ROUND(AR1312*1.05,0)</f>
        <v>29447</v>
      </c>
      <c r="AT1312" s="321">
        <v>0</v>
      </c>
      <c r="AU1312" s="157"/>
      <c r="AV1312" s="136"/>
      <c r="AW1312" s="318">
        <f t="shared" ref="AW1312:AW1367" si="905">W1312*100</f>
        <v>9190</v>
      </c>
      <c r="AX1312" s="193"/>
      <c r="AY1312" s="318">
        <f t="shared" ref="AY1312:AY1367" si="906">+AW1312+AX1312</f>
        <v>9190</v>
      </c>
      <c r="AZ1312" s="318">
        <f t="shared" ref="AZ1312:AZ1367" si="907">X1312*100</f>
        <v>9200</v>
      </c>
      <c r="BA1312" s="318">
        <f t="shared" ref="BA1312:BA1367" si="908">AY1312-AZ1312</f>
        <v>-10</v>
      </c>
      <c r="BB1312" s="318">
        <f t="shared" ref="BB1312:BB1367" si="909">AW1312*2/1000</f>
        <v>18.38</v>
      </c>
      <c r="BC1312" s="318">
        <v>0</v>
      </c>
      <c r="BD1312" s="136"/>
      <c r="BE1312" s="138">
        <v>91.9</v>
      </c>
      <c r="BF1312" s="321">
        <f t="shared" ref="BF1312:BF1367" si="910">+BE1312*0.15/100</f>
        <v>0.13785</v>
      </c>
      <c r="BG1312" s="197">
        <f t="shared" ref="BG1312:BG1367" si="911">BE1312-BF1312</f>
        <v>91.762150000000005</v>
      </c>
      <c r="BH1312" s="321">
        <f t="shared" ref="BH1312:BH1367" si="912">X1312</f>
        <v>92</v>
      </c>
      <c r="BI1312" s="322">
        <f t="shared" ref="BI1312:BI1367" si="913">(BE1312-BH1312)*100</f>
        <v>-9.9999999999994316</v>
      </c>
      <c r="BJ1312" s="322">
        <v>0</v>
      </c>
      <c r="BK1312" s="318">
        <f t="shared" ref="BK1312:BK1367" si="914">BI1312</f>
        <v>-9.9999999999994316</v>
      </c>
      <c r="BL1312" s="67"/>
      <c r="BM1312" s="68" t="str">
        <f t="shared" ref="BM1312:BM1367" si="915">+$C$1&amp;" "&amp;C1312 &amp;" "&amp;$N$1&amp;" "&amp;N1312&amp;" "&amp;$BM$1&amp;" "&amp;$AK$1&amp;" "&amp;AK1312&amp;" "&amp;$AL$1&amp;" "&amp;AL1312&amp;" "&amp;$AM$1&amp;" "&amp;AM1312&amp;" "&amp;$AN$1&amp;" "&amp;AN1312&amp;" "&amp;$AO$1&amp;" "&amp;AO1312&amp;" "&amp;$AP$1&amp;" "&amp;AP1312&amp;" "&amp;$AQ$1&amp;" "&amp;AQ1312</f>
        <v>Unloading no. 1253 Bill No 2026-27/412 ,Deduction For Oil Deduction= 28044.7947857143 ,Bardana= 0 ,F.M= 0 Brokerage/Rate Difference  ,Shortage = 0 ,Greenish= 0 ,Moisture= 0</v>
      </c>
      <c r="BN1312" s="69"/>
      <c r="BO1312" s="70" t="str">
        <f t="shared" ref="BO1312:BO1367" si="916">+" "&amp;$AF$1&amp;" "&amp;AF1312&amp;" "&amp;" "&amp;$AH$1&amp;" "&amp;AH1312*100&amp;" "&amp;$AI$1&amp;" "&amp;AI1312*100&amp;" "&amp;$AJ$1&amp;" "&amp;AJ1312*100&amp;" ,"&amp;$AT$1&amp;" "&amp;AT1312&amp;" "&amp;IF(AE1312&gt;AG1312," ,Oil%"&amp;" "&amp;AG1312," ,Oil%"&amp;" "&amp;AE1312)</f>
        <v xml:space="preserve"> Party Condition 42  ,F.M% 0.28 ,Greenish 2.84 ,Moisture 4.7 ,Shortage in KG= 0  ,Oil% 40.41</v>
      </c>
      <c r="BP1312" s="71">
        <f t="shared" ref="BP1312:BP1367" si="917">(Y1312-AR1312)/X1312</f>
        <v>7747.4033175465829</v>
      </c>
      <c r="BQ1312" s="55"/>
      <c r="BR1312" s="55"/>
      <c r="BS1312" s="41"/>
      <c r="BT1312" s="41"/>
      <c r="BU1312" s="41"/>
      <c r="BV1312" s="41"/>
      <c r="BW1312" s="85"/>
      <c r="BX1312" s="27">
        <v>40.479999999999997</v>
      </c>
      <c r="BY1312" s="27">
        <v>40.18</v>
      </c>
    </row>
    <row r="1313" spans="1:83" ht="14.1" hidden="1" customHeight="1" x14ac:dyDescent="0.3">
      <c r="A1313" s="281" t="s">
        <v>2820</v>
      </c>
      <c r="B1313" s="146">
        <v>46217</v>
      </c>
      <c r="C1313" s="138">
        <v>1278</v>
      </c>
      <c r="D1313" s="138" t="s">
        <v>2829</v>
      </c>
      <c r="E1313" s="129">
        <v>46219</v>
      </c>
      <c r="F1313" s="128" t="s">
        <v>1691</v>
      </c>
      <c r="G1313" s="159" t="s">
        <v>1692</v>
      </c>
      <c r="H1313" s="281" t="s">
        <v>1693</v>
      </c>
      <c r="I1313" s="136"/>
      <c r="J1313" s="138" t="s">
        <v>2499</v>
      </c>
      <c r="K1313" s="136"/>
      <c r="L1313" s="146">
        <v>46217</v>
      </c>
      <c r="M1313" s="136"/>
      <c r="N1313" s="281" t="s">
        <v>1319</v>
      </c>
      <c r="O1313" s="146">
        <v>46218</v>
      </c>
      <c r="P1313" s="138">
        <v>0</v>
      </c>
      <c r="Q1313" s="138">
        <v>210</v>
      </c>
      <c r="R1313" s="138">
        <v>40</v>
      </c>
      <c r="S1313" s="138">
        <v>250</v>
      </c>
      <c r="T1313" s="138">
        <v>250</v>
      </c>
      <c r="U1313" s="136"/>
      <c r="V1313" s="136"/>
      <c r="W1313" s="147">
        <v>152.4</v>
      </c>
      <c r="X1313" s="147">
        <v>152.30000000000001</v>
      </c>
      <c r="Y1313" s="147">
        <v>1238250</v>
      </c>
      <c r="Z1313" s="169"/>
      <c r="AA1313" s="147">
        <v>30956.25</v>
      </c>
      <c r="AB1313" s="147">
        <v>30956.25</v>
      </c>
      <c r="AC1313" s="147">
        <v>1300162.5</v>
      </c>
      <c r="AD1313" s="315">
        <f t="shared" si="879"/>
        <v>1298862.3374999999</v>
      </c>
      <c r="AE1313" s="147">
        <v>40.020000000000003</v>
      </c>
      <c r="AF1313" s="147">
        <v>42</v>
      </c>
      <c r="AG1313" s="445">
        <v>39.74</v>
      </c>
      <c r="AH1313" s="287">
        <v>1.6999999999999999E-3</v>
      </c>
      <c r="AI1313" s="395">
        <v>3.4000000000000002E-2</v>
      </c>
      <c r="AJ1313" s="397">
        <v>5.7000000000000002E-2</v>
      </c>
      <c r="AK1313" s="318">
        <f t="shared" si="901"/>
        <v>66629.642857142797</v>
      </c>
      <c r="AL1313" s="193">
        <f>210*10+40*15</f>
        <v>2700</v>
      </c>
      <c r="AM1313" s="319">
        <f>Y1313*AH1313</f>
        <v>2105.0250000000001</v>
      </c>
      <c r="AN1313" s="319"/>
      <c r="AO1313" s="320">
        <f t="shared" si="902"/>
        <v>812.5</v>
      </c>
      <c r="AP1313" s="193">
        <v>0</v>
      </c>
      <c r="AQ1313" s="318">
        <f>Y1313*0.7/100</f>
        <v>8667.75</v>
      </c>
      <c r="AR1313" s="318">
        <f t="shared" si="903"/>
        <v>80914.917857142791</v>
      </c>
      <c r="AS1313" s="325">
        <f t="shared" si="904"/>
        <v>84961</v>
      </c>
      <c r="AT1313" s="321">
        <v>10</v>
      </c>
      <c r="AU1313" s="157"/>
      <c r="AV1313" s="136"/>
      <c r="AW1313" s="318">
        <f t="shared" si="905"/>
        <v>15240</v>
      </c>
      <c r="AX1313" s="193"/>
      <c r="AY1313" s="318">
        <f t="shared" si="906"/>
        <v>15240</v>
      </c>
      <c r="AZ1313" s="318">
        <f t="shared" si="907"/>
        <v>15230.000000000002</v>
      </c>
      <c r="BA1313" s="318">
        <f t="shared" si="908"/>
        <v>9.999999999998181</v>
      </c>
      <c r="BB1313" s="318">
        <f t="shared" si="909"/>
        <v>30.48</v>
      </c>
      <c r="BC1313" s="318">
        <v>0</v>
      </c>
      <c r="BD1313" s="136"/>
      <c r="BE1313" s="138">
        <v>152.4</v>
      </c>
      <c r="BF1313" s="321">
        <f t="shared" si="910"/>
        <v>0.2286</v>
      </c>
      <c r="BG1313" s="197">
        <f t="shared" si="911"/>
        <v>152.17140000000001</v>
      </c>
      <c r="BH1313" s="321">
        <f t="shared" si="912"/>
        <v>152.30000000000001</v>
      </c>
      <c r="BI1313" s="322">
        <f t="shared" si="913"/>
        <v>9.9999999999994316</v>
      </c>
      <c r="BJ1313" s="322">
        <v>0</v>
      </c>
      <c r="BK1313" s="318">
        <f t="shared" si="914"/>
        <v>9.9999999999994316</v>
      </c>
      <c r="BL1313" s="67"/>
      <c r="BM1313" s="68" t="str">
        <f t="shared" si="915"/>
        <v>Unloading no. 1278 Bill No 2026-27/80 ,Deduction For Oil Deduction= 66629.6428571428 ,Bardana= 2700 ,F.M= 2105.025 Brokerage/Rate Difference  ,Shortage = 812.5 ,Greenish= 0 ,Moisture= 8667.75</v>
      </c>
      <c r="BN1313" s="69"/>
      <c r="BO1313" s="70" t="str">
        <f t="shared" si="916"/>
        <v xml:space="preserve"> Party Condition 42  ,F.M% 0.17 ,Greenish 3.4 ,Moisture 5.7 ,Shortage in KG= 10  ,Oil% 39.74</v>
      </c>
      <c r="BP1313" s="71">
        <f t="shared" si="917"/>
        <v>7599.0484710627516</v>
      </c>
      <c r="BQ1313" s="55"/>
      <c r="BR1313" s="55"/>
      <c r="BS1313" s="41"/>
      <c r="BT1313" s="41"/>
      <c r="BU1313" s="41"/>
      <c r="BV1313" s="41"/>
      <c r="BW1313" s="85"/>
      <c r="BX1313" s="27">
        <v>40.020000000000003</v>
      </c>
      <c r="BY1313" s="27">
        <v>39.74</v>
      </c>
      <c r="CA1313" s="56">
        <v>81970.28</v>
      </c>
      <c r="CC1313" s="57">
        <f t="shared" ref="CC1313" si="918">AS1313-CA1313</f>
        <v>2990.7200000000012</v>
      </c>
      <c r="CE1313" s="88">
        <f t="shared" ref="CE1313" si="919">CC1313/105%</f>
        <v>2848.3047619047629</v>
      </c>
    </row>
    <row r="1314" spans="1:83" ht="14.1" hidden="1" customHeight="1" x14ac:dyDescent="0.3">
      <c r="A1314" s="281" t="s">
        <v>2668</v>
      </c>
      <c r="B1314" s="146">
        <v>46213</v>
      </c>
      <c r="C1314" s="138">
        <v>1279</v>
      </c>
      <c r="D1314" s="138" t="s">
        <v>2830</v>
      </c>
      <c r="E1314" s="129">
        <v>46219</v>
      </c>
      <c r="F1314" s="128" t="s">
        <v>2079</v>
      </c>
      <c r="G1314" s="159" t="s">
        <v>2080</v>
      </c>
      <c r="H1314" s="281" t="s">
        <v>2081</v>
      </c>
      <c r="I1314" s="136"/>
      <c r="J1314" s="138" t="s">
        <v>2499</v>
      </c>
      <c r="K1314" s="136"/>
      <c r="L1314" s="146">
        <v>46213</v>
      </c>
      <c r="M1314" s="136"/>
      <c r="N1314" s="281" t="s">
        <v>2887</v>
      </c>
      <c r="O1314" s="146">
        <v>46219</v>
      </c>
      <c r="P1314" s="138">
        <v>0</v>
      </c>
      <c r="Q1314" s="138">
        <v>200</v>
      </c>
      <c r="R1314" s="138">
        <v>200</v>
      </c>
      <c r="S1314" s="138">
        <v>400</v>
      </c>
      <c r="T1314" s="138">
        <v>400</v>
      </c>
      <c r="U1314" s="136"/>
      <c r="V1314" s="136"/>
      <c r="W1314" s="147">
        <v>240.9</v>
      </c>
      <c r="X1314" s="147">
        <v>240.5</v>
      </c>
      <c r="Y1314" s="147">
        <v>1927200</v>
      </c>
      <c r="Z1314" s="169"/>
      <c r="AA1314" s="147">
        <v>48180</v>
      </c>
      <c r="AB1314" s="147">
        <v>48180</v>
      </c>
      <c r="AC1314" s="147">
        <v>2023560</v>
      </c>
      <c r="AD1314" s="315">
        <f t="shared" si="879"/>
        <v>2021536.44</v>
      </c>
      <c r="AE1314" s="147">
        <v>40</v>
      </c>
      <c r="AF1314" s="147">
        <v>42</v>
      </c>
      <c r="AG1314" s="445">
        <v>39.700000000000003</v>
      </c>
      <c r="AH1314" s="287">
        <v>2.5999999999999999E-3</v>
      </c>
      <c r="AI1314" s="395">
        <v>0.04</v>
      </c>
      <c r="AJ1314" s="397">
        <v>5.8999999999999997E-2</v>
      </c>
      <c r="AK1314" s="318">
        <f t="shared" si="901"/>
        <v>105537.14285714272</v>
      </c>
      <c r="AL1314" s="193">
        <f>200*10+200*15</f>
        <v>5000</v>
      </c>
      <c r="AM1314" s="319">
        <f>Y1314*AH1314</f>
        <v>5010.7199999999993</v>
      </c>
      <c r="AN1314" s="319"/>
      <c r="AO1314" s="320">
        <f t="shared" si="902"/>
        <v>3200</v>
      </c>
      <c r="AP1314" s="193">
        <v>0</v>
      </c>
      <c r="AQ1314" s="318">
        <f>Y1314*0.9/100</f>
        <v>17344.8</v>
      </c>
      <c r="AR1314" s="318">
        <f t="shared" si="903"/>
        <v>136092.66285714271</v>
      </c>
      <c r="AS1314" s="325">
        <f t="shared" si="904"/>
        <v>142897</v>
      </c>
      <c r="AT1314" s="321">
        <v>40</v>
      </c>
      <c r="AU1314" s="157"/>
      <c r="AV1314" s="136"/>
      <c r="AW1314" s="318">
        <f t="shared" si="905"/>
        <v>24090</v>
      </c>
      <c r="AX1314" s="193"/>
      <c r="AY1314" s="318">
        <f t="shared" si="906"/>
        <v>24090</v>
      </c>
      <c r="AZ1314" s="318">
        <f t="shared" si="907"/>
        <v>24050</v>
      </c>
      <c r="BA1314" s="318">
        <f t="shared" si="908"/>
        <v>40</v>
      </c>
      <c r="BB1314" s="318">
        <f t="shared" si="909"/>
        <v>48.18</v>
      </c>
      <c r="BC1314" s="318">
        <v>0</v>
      </c>
      <c r="BD1314" s="136"/>
      <c r="BE1314" s="138">
        <v>240.9</v>
      </c>
      <c r="BF1314" s="321">
        <f t="shared" si="910"/>
        <v>0.36135</v>
      </c>
      <c r="BG1314" s="197">
        <f t="shared" si="911"/>
        <v>240.53865000000002</v>
      </c>
      <c r="BH1314" s="321">
        <f t="shared" si="912"/>
        <v>240.5</v>
      </c>
      <c r="BI1314" s="322">
        <f t="shared" si="913"/>
        <v>40.000000000000568</v>
      </c>
      <c r="BJ1314" s="322">
        <v>0</v>
      </c>
      <c r="BK1314" s="318">
        <f t="shared" si="914"/>
        <v>40.000000000000568</v>
      </c>
      <c r="BL1314" s="67"/>
      <c r="BM1314" s="68" t="str">
        <f t="shared" si="915"/>
        <v>Unloading no. 1279 Bill No FMT27MLR002040 ,Deduction For Oil Deduction= 105537.142857143 ,Bardana= 5000 ,F.M= 5010.72 Brokerage/Rate Difference  ,Shortage = 3200 ,Greenish= 0 ,Moisture= 17344.8</v>
      </c>
      <c r="BN1314" s="69"/>
      <c r="BO1314" s="70" t="str">
        <f t="shared" si="916"/>
        <v xml:space="preserve"> Party Condition 42  ,F.M% 0.26 ,Greenish 4 ,Moisture 5.9 ,Shortage in KG= 40  ,Oil% 39.7</v>
      </c>
      <c r="BP1314" s="71">
        <f t="shared" si="917"/>
        <v>7447.4317552717557</v>
      </c>
      <c r="BQ1314" s="55"/>
      <c r="BR1314" s="55"/>
      <c r="BS1314" s="41"/>
      <c r="BT1314" s="41"/>
      <c r="BU1314" s="41"/>
      <c r="BV1314" s="41"/>
      <c r="BW1314" s="85"/>
      <c r="BX1314" s="27">
        <v>40</v>
      </c>
      <c r="BY1314" s="27">
        <v>39.700000000000003</v>
      </c>
      <c r="CA1314" s="56">
        <v>141885.51999999999</v>
      </c>
      <c r="CC1314" s="57">
        <f t="shared" ref="CC1314" si="920">AS1314-CA1314</f>
        <v>1011.4800000000105</v>
      </c>
      <c r="CE1314" s="88">
        <f t="shared" ref="CE1314" si="921">CC1314/105%</f>
        <v>963.31428571429569</v>
      </c>
    </row>
    <row r="1315" spans="1:83" ht="14.1" hidden="1" customHeight="1" x14ac:dyDescent="0.3">
      <c r="A1315" s="281" t="s">
        <v>2667</v>
      </c>
      <c r="B1315" s="146">
        <v>46216</v>
      </c>
      <c r="C1315" s="138">
        <v>1280</v>
      </c>
      <c r="D1315" s="138" t="s">
        <v>2831</v>
      </c>
      <c r="E1315" s="129">
        <v>46219</v>
      </c>
      <c r="F1315" s="128" t="s">
        <v>1144</v>
      </c>
      <c r="G1315" s="128" t="s">
        <v>1145</v>
      </c>
      <c r="H1315" s="281" t="s">
        <v>100</v>
      </c>
      <c r="I1315" s="136"/>
      <c r="J1315" s="138" t="s">
        <v>1146</v>
      </c>
      <c r="K1315" s="136"/>
      <c r="L1315" s="146">
        <v>46216</v>
      </c>
      <c r="M1315" s="136"/>
      <c r="N1315" s="281" t="s">
        <v>2888</v>
      </c>
      <c r="O1315" s="146">
        <v>46219</v>
      </c>
      <c r="P1315" s="138">
        <v>0</v>
      </c>
      <c r="Q1315" s="138">
        <v>120</v>
      </c>
      <c r="R1315" s="138">
        <v>34</v>
      </c>
      <c r="S1315" s="138">
        <v>154</v>
      </c>
      <c r="T1315" s="138">
        <v>154</v>
      </c>
      <c r="U1315" s="136"/>
      <c r="V1315" s="136"/>
      <c r="W1315" s="147">
        <v>92.4</v>
      </c>
      <c r="X1315" s="147">
        <v>92.4</v>
      </c>
      <c r="Y1315" s="147">
        <v>744836.4</v>
      </c>
      <c r="Z1315" s="147">
        <v>40.159999999999997</v>
      </c>
      <c r="AA1315" s="147">
        <v>18620.91</v>
      </c>
      <c r="AB1315" s="147">
        <v>18620.91</v>
      </c>
      <c r="AC1315" s="147">
        <v>782078.22</v>
      </c>
      <c r="AD1315" s="315">
        <f t="shared" si="879"/>
        <v>781296.14177999995</v>
      </c>
      <c r="AE1315" s="147">
        <v>40.159999999999997</v>
      </c>
      <c r="AF1315" s="147">
        <v>42</v>
      </c>
      <c r="AG1315" s="147">
        <v>40.159999999999997</v>
      </c>
      <c r="AH1315" s="287">
        <v>1.5E-3</v>
      </c>
      <c r="AI1315" s="395">
        <v>3.3000000000000002E-2</v>
      </c>
      <c r="AJ1315" s="287">
        <v>5.1999999999999998E-2</v>
      </c>
      <c r="AK1315" s="318">
        <f t="shared" si="901"/>
        <v>32630.928000000058</v>
      </c>
      <c r="AL1315" s="193">
        <v>0</v>
      </c>
      <c r="AM1315" s="319">
        <v>0</v>
      </c>
      <c r="AN1315" s="319"/>
      <c r="AO1315" s="320">
        <f t="shared" si="902"/>
        <v>0</v>
      </c>
      <c r="AP1315" s="193">
        <v>0</v>
      </c>
      <c r="AQ1315" s="318">
        <v>0</v>
      </c>
      <c r="AR1315" s="318">
        <f t="shared" si="903"/>
        <v>32630.928000000058</v>
      </c>
      <c r="AS1315" s="318">
        <f t="shared" si="904"/>
        <v>34262</v>
      </c>
      <c r="AT1315" s="321">
        <v>0</v>
      </c>
      <c r="AU1315" s="157"/>
      <c r="AV1315" s="136"/>
      <c r="AW1315" s="318">
        <f t="shared" si="905"/>
        <v>9240</v>
      </c>
      <c r="AX1315" s="193"/>
      <c r="AY1315" s="318">
        <f t="shared" si="906"/>
        <v>9240</v>
      </c>
      <c r="AZ1315" s="318">
        <f t="shared" si="907"/>
        <v>9240</v>
      </c>
      <c r="BA1315" s="318">
        <f t="shared" si="908"/>
        <v>0</v>
      </c>
      <c r="BB1315" s="318">
        <f t="shared" si="909"/>
        <v>18.48</v>
      </c>
      <c r="BC1315" s="318">
        <v>0</v>
      </c>
      <c r="BD1315" s="136"/>
      <c r="BE1315" s="138">
        <v>92.4</v>
      </c>
      <c r="BF1315" s="321">
        <f t="shared" si="910"/>
        <v>0.1386</v>
      </c>
      <c r="BG1315" s="197">
        <f t="shared" si="911"/>
        <v>92.261400000000009</v>
      </c>
      <c r="BH1315" s="321">
        <f t="shared" si="912"/>
        <v>92.4</v>
      </c>
      <c r="BI1315" s="322">
        <f t="shared" si="913"/>
        <v>0</v>
      </c>
      <c r="BJ1315" s="322">
        <v>0</v>
      </c>
      <c r="BK1315" s="318">
        <f t="shared" si="914"/>
        <v>0</v>
      </c>
      <c r="BL1315" s="67"/>
      <c r="BM1315" s="68" t="str">
        <f t="shared" si="915"/>
        <v>Unloading no. 1280 Bill No 2026-27/425 ,Deduction For Oil Deduction= 32630.9280000001 ,Bardana= 0 ,F.M= 0 Brokerage/Rate Difference  ,Shortage = 0 ,Greenish= 0 ,Moisture= 0</v>
      </c>
      <c r="BN1315" s="69"/>
      <c r="BO1315" s="70" t="str">
        <f t="shared" si="916"/>
        <v xml:space="preserve"> Party Condition 42  ,F.M% 0.15 ,Greenish 3.3 ,Moisture 5.2 ,Shortage in KG= 0  ,Oil% 40.16</v>
      </c>
      <c r="BP1315" s="71">
        <f t="shared" si="917"/>
        <v>7707.8514285714273</v>
      </c>
      <c r="BQ1315" s="55"/>
      <c r="BR1315" s="55"/>
      <c r="BS1315" s="41"/>
      <c r="BT1315" s="41"/>
      <c r="BU1315" s="41"/>
      <c r="BV1315" s="41"/>
      <c r="BW1315" s="85"/>
      <c r="BX1315" s="27">
        <v>39.83</v>
      </c>
      <c r="BY1315" s="27">
        <v>39.659999999999997</v>
      </c>
    </row>
    <row r="1316" spans="1:83" ht="14.1" hidden="1" customHeight="1" x14ac:dyDescent="0.3">
      <c r="A1316" s="281" t="s">
        <v>2670</v>
      </c>
      <c r="B1316" s="146">
        <v>46212</v>
      </c>
      <c r="C1316" s="138">
        <v>1281</v>
      </c>
      <c r="D1316" s="138" t="s">
        <v>2832</v>
      </c>
      <c r="E1316" s="129">
        <v>46219</v>
      </c>
      <c r="F1316" s="128" t="s">
        <v>2497</v>
      </c>
      <c r="G1316" s="128" t="s">
        <v>2498</v>
      </c>
      <c r="H1316" s="281" t="s">
        <v>100</v>
      </c>
      <c r="I1316" s="136"/>
      <c r="J1316" s="138" t="s">
        <v>1146</v>
      </c>
      <c r="K1316" s="136"/>
      <c r="L1316" s="146">
        <v>46212</v>
      </c>
      <c r="M1316" s="136"/>
      <c r="N1316" s="281" t="s">
        <v>2889</v>
      </c>
      <c r="O1316" s="146">
        <v>46219</v>
      </c>
      <c r="P1316" s="138">
        <v>0</v>
      </c>
      <c r="Q1316" s="138">
        <v>140</v>
      </c>
      <c r="R1316" s="138">
        <v>20</v>
      </c>
      <c r="S1316" s="138">
        <v>160</v>
      </c>
      <c r="T1316" s="138">
        <v>160</v>
      </c>
      <c r="U1316" s="136"/>
      <c r="V1316" s="136"/>
      <c r="W1316" s="147">
        <v>96.9</v>
      </c>
      <c r="X1316" s="147">
        <v>96.9</v>
      </c>
      <c r="Y1316" s="147">
        <v>775296.9</v>
      </c>
      <c r="Z1316" s="147">
        <v>39.9</v>
      </c>
      <c r="AA1316" s="147">
        <v>19382.419999999998</v>
      </c>
      <c r="AB1316" s="147">
        <v>19382.419999999998</v>
      </c>
      <c r="AC1316" s="147">
        <v>814061.75</v>
      </c>
      <c r="AD1316" s="315">
        <f t="shared" si="879"/>
        <v>813247.68825000001</v>
      </c>
      <c r="AE1316" s="147">
        <v>39.9</v>
      </c>
      <c r="AF1316" s="147">
        <v>42</v>
      </c>
      <c r="AG1316" s="147">
        <v>39.9</v>
      </c>
      <c r="AH1316" s="287">
        <v>1.9E-3</v>
      </c>
      <c r="AI1316" s="395">
        <v>3.1800000000000002E-2</v>
      </c>
      <c r="AJ1316" s="287">
        <v>5.0999999999999997E-2</v>
      </c>
      <c r="AK1316" s="318">
        <f t="shared" si="901"/>
        <v>38764.845000000023</v>
      </c>
      <c r="AL1316" s="193">
        <v>0</v>
      </c>
      <c r="AM1316" s="319">
        <v>0</v>
      </c>
      <c r="AN1316" s="319"/>
      <c r="AO1316" s="320">
        <f t="shared" si="902"/>
        <v>0</v>
      </c>
      <c r="AP1316" s="193">
        <v>0</v>
      </c>
      <c r="AQ1316" s="318">
        <v>0</v>
      </c>
      <c r="AR1316" s="318">
        <f t="shared" si="903"/>
        <v>38764.845000000023</v>
      </c>
      <c r="AS1316" s="318">
        <f t="shared" si="904"/>
        <v>40703</v>
      </c>
      <c r="AT1316" s="321">
        <v>0</v>
      </c>
      <c r="AU1316" s="157"/>
      <c r="AV1316" s="136"/>
      <c r="AW1316" s="318">
        <f t="shared" si="905"/>
        <v>9690</v>
      </c>
      <c r="AX1316" s="193"/>
      <c r="AY1316" s="318">
        <f t="shared" si="906"/>
        <v>9690</v>
      </c>
      <c r="AZ1316" s="318">
        <f t="shared" si="907"/>
        <v>9690</v>
      </c>
      <c r="BA1316" s="318">
        <f t="shared" si="908"/>
        <v>0</v>
      </c>
      <c r="BB1316" s="318">
        <f t="shared" si="909"/>
        <v>19.38</v>
      </c>
      <c r="BC1316" s="318">
        <v>0</v>
      </c>
      <c r="BD1316" s="136"/>
      <c r="BE1316" s="138">
        <v>96.9</v>
      </c>
      <c r="BF1316" s="321">
        <f t="shared" si="910"/>
        <v>0.14535000000000001</v>
      </c>
      <c r="BG1316" s="197">
        <f t="shared" si="911"/>
        <v>96.754650000000012</v>
      </c>
      <c r="BH1316" s="321">
        <f t="shared" si="912"/>
        <v>96.9</v>
      </c>
      <c r="BI1316" s="322">
        <f t="shared" si="913"/>
        <v>0</v>
      </c>
      <c r="BJ1316" s="322">
        <v>0</v>
      </c>
      <c r="BK1316" s="318">
        <f t="shared" si="914"/>
        <v>0</v>
      </c>
      <c r="BL1316" s="67"/>
      <c r="BM1316" s="68" t="str">
        <f t="shared" si="915"/>
        <v>Unloading no. 1281 Bill No HA/26-27/0414 ,Deduction For Oil Deduction= 38764.845 ,Bardana= 0 ,F.M= 0 Brokerage/Rate Difference  ,Shortage = 0 ,Greenish= 0 ,Moisture= 0</v>
      </c>
      <c r="BN1316" s="69"/>
      <c r="BO1316" s="70" t="str">
        <f t="shared" si="916"/>
        <v xml:space="preserve"> Party Condition 42  ,F.M% 0.19 ,Greenish 3.18 ,Moisture 5.1 ,Shortage in KG= 0  ,Oil% 39.9</v>
      </c>
      <c r="BP1316" s="71">
        <f t="shared" si="917"/>
        <v>7600.95</v>
      </c>
      <c r="BQ1316" s="55"/>
      <c r="BR1316" s="55"/>
      <c r="BS1316" s="41"/>
      <c r="BT1316" s="41"/>
      <c r="BU1316" s="41"/>
      <c r="BV1316" s="41"/>
      <c r="BW1316" s="85"/>
      <c r="BX1316" s="27">
        <v>39.6</v>
      </c>
      <c r="BY1316" s="27">
        <v>39.53</v>
      </c>
    </row>
    <row r="1317" spans="1:83" ht="14.1" hidden="1" customHeight="1" x14ac:dyDescent="0.3">
      <c r="A1317" s="281" t="s">
        <v>2670</v>
      </c>
      <c r="B1317" s="146">
        <v>46212</v>
      </c>
      <c r="C1317" s="138">
        <v>1282</v>
      </c>
      <c r="D1317" s="138" t="s">
        <v>2833</v>
      </c>
      <c r="E1317" s="129">
        <v>46219</v>
      </c>
      <c r="F1317" s="128" t="s">
        <v>2497</v>
      </c>
      <c r="G1317" s="128" t="s">
        <v>2498</v>
      </c>
      <c r="H1317" s="281" t="s">
        <v>100</v>
      </c>
      <c r="I1317" s="136"/>
      <c r="J1317" s="138" t="s">
        <v>1146</v>
      </c>
      <c r="K1317" s="136"/>
      <c r="L1317" s="146">
        <v>46212</v>
      </c>
      <c r="M1317" s="136"/>
      <c r="N1317" s="281" t="s">
        <v>2890</v>
      </c>
      <c r="O1317" s="146">
        <v>46219</v>
      </c>
      <c r="P1317" s="138">
        <v>0</v>
      </c>
      <c r="Q1317" s="138">
        <v>150</v>
      </c>
      <c r="R1317" s="138">
        <v>10</v>
      </c>
      <c r="S1317" s="138">
        <v>160</v>
      </c>
      <c r="T1317" s="138">
        <v>160</v>
      </c>
      <c r="U1317" s="136"/>
      <c r="V1317" s="136"/>
      <c r="W1317" s="147">
        <v>94.5</v>
      </c>
      <c r="X1317" s="147">
        <v>94.5</v>
      </c>
      <c r="Y1317" s="147">
        <v>756094.5</v>
      </c>
      <c r="Z1317" s="147">
        <v>39.82</v>
      </c>
      <c r="AA1317" s="147">
        <v>18902.36</v>
      </c>
      <c r="AB1317" s="147">
        <v>18902.36</v>
      </c>
      <c r="AC1317" s="147">
        <v>793899.23</v>
      </c>
      <c r="AD1317" s="315">
        <f t="shared" si="879"/>
        <v>793105.33077</v>
      </c>
      <c r="AE1317" s="147">
        <v>39.82</v>
      </c>
      <c r="AF1317" s="147">
        <v>42</v>
      </c>
      <c r="AG1317" s="147">
        <v>39.82</v>
      </c>
      <c r="AH1317" s="287">
        <v>1.6999999999999999E-3</v>
      </c>
      <c r="AI1317" s="395">
        <v>3.4799999999999998E-2</v>
      </c>
      <c r="AJ1317" s="287">
        <v>5.2999999999999999E-2</v>
      </c>
      <c r="AK1317" s="318">
        <f t="shared" si="901"/>
        <v>39244.904999999992</v>
      </c>
      <c r="AL1317" s="193">
        <v>0</v>
      </c>
      <c r="AM1317" s="319">
        <v>0</v>
      </c>
      <c r="AN1317" s="319"/>
      <c r="AO1317" s="320">
        <f t="shared" si="902"/>
        <v>0</v>
      </c>
      <c r="AP1317" s="193">
        <v>0</v>
      </c>
      <c r="AQ1317" s="318">
        <v>0</v>
      </c>
      <c r="AR1317" s="318">
        <f t="shared" si="903"/>
        <v>39244.904999999992</v>
      </c>
      <c r="AS1317" s="318">
        <f t="shared" si="904"/>
        <v>41207</v>
      </c>
      <c r="AT1317" s="321">
        <v>0</v>
      </c>
      <c r="AU1317" s="157"/>
      <c r="AV1317" s="136"/>
      <c r="AW1317" s="318">
        <f t="shared" si="905"/>
        <v>9450</v>
      </c>
      <c r="AX1317" s="193"/>
      <c r="AY1317" s="318">
        <f t="shared" si="906"/>
        <v>9450</v>
      </c>
      <c r="AZ1317" s="318">
        <f t="shared" si="907"/>
        <v>9450</v>
      </c>
      <c r="BA1317" s="318">
        <f t="shared" si="908"/>
        <v>0</v>
      </c>
      <c r="BB1317" s="318">
        <f t="shared" si="909"/>
        <v>18.899999999999999</v>
      </c>
      <c r="BC1317" s="318">
        <v>0</v>
      </c>
      <c r="BD1317" s="136"/>
      <c r="BE1317" s="138">
        <v>94.5</v>
      </c>
      <c r="BF1317" s="321">
        <f t="shared" si="910"/>
        <v>0.14174999999999999</v>
      </c>
      <c r="BG1317" s="197">
        <f t="shared" si="911"/>
        <v>94.358249999999998</v>
      </c>
      <c r="BH1317" s="321">
        <f t="shared" si="912"/>
        <v>94.5</v>
      </c>
      <c r="BI1317" s="322">
        <f t="shared" si="913"/>
        <v>0</v>
      </c>
      <c r="BJ1317" s="322">
        <v>0</v>
      </c>
      <c r="BK1317" s="318">
        <f t="shared" si="914"/>
        <v>0</v>
      </c>
      <c r="BL1317" s="67"/>
      <c r="BM1317" s="68" t="str">
        <f t="shared" si="915"/>
        <v>Unloading no. 1282 Bill No HA/26-27/0415 ,Deduction For Oil Deduction= 39244.905 ,Bardana= 0 ,F.M= 0 Brokerage/Rate Difference  ,Shortage = 0 ,Greenish= 0 ,Moisture= 0</v>
      </c>
      <c r="BN1317" s="69"/>
      <c r="BO1317" s="70" t="str">
        <f t="shared" si="916"/>
        <v xml:space="preserve"> Party Condition 42  ,F.M% 0.17 ,Greenish 3.48 ,Moisture 5.3 ,Shortage in KG= 0  ,Oil% 39.82</v>
      </c>
      <c r="BP1317" s="71">
        <f t="shared" si="917"/>
        <v>7585.71</v>
      </c>
      <c r="BQ1317" s="55"/>
      <c r="BR1317" s="55"/>
      <c r="BS1317" s="41"/>
      <c r="BT1317" s="41"/>
      <c r="BU1317" s="41"/>
      <c r="BV1317" s="41"/>
      <c r="BW1317" s="85"/>
      <c r="BX1317" s="27">
        <v>39.78</v>
      </c>
      <c r="BY1317" s="27">
        <v>39.56</v>
      </c>
    </row>
    <row r="1318" spans="1:83" ht="14.1" hidden="1" customHeight="1" x14ac:dyDescent="0.3">
      <c r="A1318" s="281" t="s">
        <v>2667</v>
      </c>
      <c r="B1318" s="146">
        <v>46216</v>
      </c>
      <c r="C1318" s="138">
        <v>1283</v>
      </c>
      <c r="D1318" s="138" t="s">
        <v>2834</v>
      </c>
      <c r="E1318" s="129">
        <v>46219</v>
      </c>
      <c r="F1318" s="128" t="s">
        <v>1144</v>
      </c>
      <c r="G1318" s="128" t="s">
        <v>1145</v>
      </c>
      <c r="H1318" s="281" t="s">
        <v>100</v>
      </c>
      <c r="I1318" s="136"/>
      <c r="J1318" s="138" t="s">
        <v>1146</v>
      </c>
      <c r="K1318" s="136"/>
      <c r="L1318" s="146">
        <v>46216</v>
      </c>
      <c r="M1318" s="136"/>
      <c r="N1318" s="281" t="s">
        <v>2891</v>
      </c>
      <c r="O1318" s="146">
        <v>46219</v>
      </c>
      <c r="P1318" s="138">
        <v>0</v>
      </c>
      <c r="Q1318" s="138">
        <v>124</v>
      </c>
      <c r="R1318" s="138">
        <v>30</v>
      </c>
      <c r="S1318" s="138">
        <v>154</v>
      </c>
      <c r="T1318" s="138">
        <v>154</v>
      </c>
      <c r="U1318" s="136"/>
      <c r="V1318" s="136"/>
      <c r="W1318" s="147">
        <v>92.5</v>
      </c>
      <c r="X1318" s="147">
        <v>92.6</v>
      </c>
      <c r="Y1318" s="147">
        <v>745642.5</v>
      </c>
      <c r="Z1318" s="147">
        <v>39.83</v>
      </c>
      <c r="AA1318" s="147">
        <v>18641.060000000001</v>
      </c>
      <c r="AB1318" s="147">
        <v>18641.060000000001</v>
      </c>
      <c r="AC1318" s="147">
        <v>782924.63</v>
      </c>
      <c r="AD1318" s="315">
        <f t="shared" si="879"/>
        <v>782141.70536999998</v>
      </c>
      <c r="AE1318" s="147">
        <v>39.83</v>
      </c>
      <c r="AF1318" s="147">
        <v>42</v>
      </c>
      <c r="AG1318" s="147">
        <v>39.83</v>
      </c>
      <c r="AH1318" s="287">
        <v>1.5E-3</v>
      </c>
      <c r="AI1318" s="395">
        <v>0.03</v>
      </c>
      <c r="AJ1318" s="287">
        <v>4.5999999999999999E-2</v>
      </c>
      <c r="AK1318" s="318">
        <f t="shared" si="901"/>
        <v>38524.862500000032</v>
      </c>
      <c r="AL1318" s="193">
        <v>0</v>
      </c>
      <c r="AM1318" s="319">
        <v>0</v>
      </c>
      <c r="AN1318" s="319"/>
      <c r="AO1318" s="320">
        <f t="shared" si="902"/>
        <v>0</v>
      </c>
      <c r="AP1318" s="193">
        <v>0</v>
      </c>
      <c r="AQ1318" s="318">
        <v>0</v>
      </c>
      <c r="AR1318" s="318">
        <f t="shared" si="903"/>
        <v>38524.862500000032</v>
      </c>
      <c r="AS1318" s="318">
        <f t="shared" si="904"/>
        <v>40451</v>
      </c>
      <c r="AT1318" s="321">
        <v>0</v>
      </c>
      <c r="AU1318" s="157"/>
      <c r="AV1318" s="136"/>
      <c r="AW1318" s="318">
        <f t="shared" si="905"/>
        <v>9250</v>
      </c>
      <c r="AX1318" s="193"/>
      <c r="AY1318" s="318">
        <f t="shared" si="906"/>
        <v>9250</v>
      </c>
      <c r="AZ1318" s="318">
        <f t="shared" si="907"/>
        <v>9260</v>
      </c>
      <c r="BA1318" s="318">
        <f t="shared" si="908"/>
        <v>-10</v>
      </c>
      <c r="BB1318" s="318">
        <f t="shared" si="909"/>
        <v>18.5</v>
      </c>
      <c r="BC1318" s="318">
        <v>0</v>
      </c>
      <c r="BD1318" s="136"/>
      <c r="BE1318" s="138">
        <v>92.5</v>
      </c>
      <c r="BF1318" s="321">
        <f t="shared" si="910"/>
        <v>0.13875000000000001</v>
      </c>
      <c r="BG1318" s="197">
        <f t="shared" si="911"/>
        <v>92.361249999999998</v>
      </c>
      <c r="BH1318" s="321">
        <f t="shared" si="912"/>
        <v>92.6</v>
      </c>
      <c r="BI1318" s="322">
        <f t="shared" si="913"/>
        <v>-9.9999999999994316</v>
      </c>
      <c r="BJ1318" s="322">
        <v>0</v>
      </c>
      <c r="BK1318" s="318">
        <f t="shared" si="914"/>
        <v>-9.9999999999994316</v>
      </c>
      <c r="BL1318" s="67"/>
      <c r="BM1318" s="68" t="str">
        <f t="shared" si="915"/>
        <v>Unloading no. 1283 Bill No 2026-27/426 ,Deduction For Oil Deduction= 38524.8625 ,Bardana= 0 ,F.M= 0 Brokerage/Rate Difference  ,Shortage = 0 ,Greenish= 0 ,Moisture= 0</v>
      </c>
      <c r="BN1318" s="69"/>
      <c r="BO1318" s="70" t="str">
        <f t="shared" si="916"/>
        <v xml:space="preserve"> Party Condition 42  ,F.M% 0.15 ,Greenish 3 ,Moisture 4.6 ,Shortage in KG= 0  ,Oil% 39.83</v>
      </c>
      <c r="BP1318" s="71">
        <f t="shared" si="917"/>
        <v>7636.2595842332612</v>
      </c>
      <c r="BQ1318" s="55"/>
      <c r="BR1318" s="55"/>
      <c r="BS1318" s="41"/>
      <c r="BT1318" s="41"/>
      <c r="BU1318" s="41"/>
      <c r="BV1318" s="41"/>
      <c r="BW1318" s="85"/>
      <c r="BX1318" s="27">
        <v>39.78</v>
      </c>
      <c r="BY1318" s="27">
        <v>39.47</v>
      </c>
    </row>
    <row r="1319" spans="1:83" ht="14.1" hidden="1" customHeight="1" x14ac:dyDescent="0.3">
      <c r="A1319" s="281" t="s">
        <v>2667</v>
      </c>
      <c r="B1319" s="146">
        <v>46216</v>
      </c>
      <c r="C1319" s="138">
        <v>1284</v>
      </c>
      <c r="D1319" s="138" t="s">
        <v>2835</v>
      </c>
      <c r="E1319" s="129">
        <v>46219</v>
      </c>
      <c r="F1319" s="128" t="s">
        <v>1144</v>
      </c>
      <c r="G1319" s="128" t="s">
        <v>1145</v>
      </c>
      <c r="H1319" s="281" t="s">
        <v>100</v>
      </c>
      <c r="I1319" s="136"/>
      <c r="J1319" s="138" t="s">
        <v>1146</v>
      </c>
      <c r="K1319" s="136"/>
      <c r="L1319" s="146">
        <v>46216</v>
      </c>
      <c r="M1319" s="136"/>
      <c r="N1319" s="281" t="s">
        <v>2892</v>
      </c>
      <c r="O1319" s="146">
        <v>46219</v>
      </c>
      <c r="P1319" s="138">
        <v>0</v>
      </c>
      <c r="Q1319" s="138">
        <v>140</v>
      </c>
      <c r="R1319" s="138">
        <v>14</v>
      </c>
      <c r="S1319" s="138">
        <v>154</v>
      </c>
      <c r="T1319" s="138">
        <v>154</v>
      </c>
      <c r="U1319" s="136"/>
      <c r="V1319" s="136"/>
      <c r="W1319" s="147">
        <v>92.4</v>
      </c>
      <c r="X1319" s="147">
        <v>92.3</v>
      </c>
      <c r="Y1319" s="147">
        <v>744836.4</v>
      </c>
      <c r="Z1319" s="147">
        <v>39.909999999999997</v>
      </c>
      <c r="AA1319" s="147">
        <v>18620.91</v>
      </c>
      <c r="AB1319" s="147">
        <v>18620.91</v>
      </c>
      <c r="AC1319" s="147">
        <v>782078.22</v>
      </c>
      <c r="AD1319" s="315">
        <f t="shared" si="879"/>
        <v>781296.14177999995</v>
      </c>
      <c r="AE1319" s="147">
        <v>39.909999999999997</v>
      </c>
      <c r="AF1319" s="147">
        <v>42</v>
      </c>
      <c r="AG1319" s="147">
        <v>39.909999999999997</v>
      </c>
      <c r="AH1319" s="287">
        <v>1.6000000000000001E-3</v>
      </c>
      <c r="AI1319" s="395">
        <v>3.2000000000000001E-2</v>
      </c>
      <c r="AJ1319" s="287">
        <v>5.3999999999999999E-2</v>
      </c>
      <c r="AK1319" s="318">
        <f t="shared" si="901"/>
        <v>37064.478000000061</v>
      </c>
      <c r="AL1319" s="193">
        <v>0</v>
      </c>
      <c r="AM1319" s="319">
        <v>0</v>
      </c>
      <c r="AN1319" s="319"/>
      <c r="AO1319" s="320">
        <f t="shared" si="902"/>
        <v>0</v>
      </c>
      <c r="AP1319" s="193">
        <v>0</v>
      </c>
      <c r="AQ1319" s="318">
        <v>0</v>
      </c>
      <c r="AR1319" s="318">
        <f t="shared" si="903"/>
        <v>37064.478000000061</v>
      </c>
      <c r="AS1319" s="318">
        <f t="shared" si="904"/>
        <v>38918</v>
      </c>
      <c r="AT1319" s="321">
        <v>0</v>
      </c>
      <c r="AU1319" s="157"/>
      <c r="AV1319" s="136"/>
      <c r="AW1319" s="318">
        <f t="shared" si="905"/>
        <v>9240</v>
      </c>
      <c r="AX1319" s="193"/>
      <c r="AY1319" s="318">
        <f t="shared" si="906"/>
        <v>9240</v>
      </c>
      <c r="AZ1319" s="318">
        <f t="shared" si="907"/>
        <v>9230</v>
      </c>
      <c r="BA1319" s="318">
        <f t="shared" si="908"/>
        <v>10</v>
      </c>
      <c r="BB1319" s="318">
        <f t="shared" si="909"/>
        <v>18.48</v>
      </c>
      <c r="BC1319" s="318">
        <v>0</v>
      </c>
      <c r="BD1319" s="136"/>
      <c r="BE1319" s="138">
        <v>92.4</v>
      </c>
      <c r="BF1319" s="321">
        <f t="shared" si="910"/>
        <v>0.1386</v>
      </c>
      <c r="BG1319" s="197">
        <f t="shared" si="911"/>
        <v>92.261400000000009</v>
      </c>
      <c r="BH1319" s="321">
        <f t="shared" si="912"/>
        <v>92.3</v>
      </c>
      <c r="BI1319" s="322">
        <f t="shared" si="913"/>
        <v>10.000000000000853</v>
      </c>
      <c r="BJ1319" s="322">
        <v>0</v>
      </c>
      <c r="BK1319" s="318">
        <f t="shared" si="914"/>
        <v>10.000000000000853</v>
      </c>
      <c r="BL1319" s="67"/>
      <c r="BM1319" s="68" t="str">
        <f t="shared" si="915"/>
        <v>Unloading no. 1284 Bill No 2026-27/427 ,Deduction For Oil Deduction= 37064.4780000001 ,Bardana= 0 ,F.M= 0 Brokerage/Rate Difference  ,Shortage = 0 ,Greenish= 0 ,Moisture= 0</v>
      </c>
      <c r="BN1319" s="69"/>
      <c r="BO1319" s="70" t="str">
        <f t="shared" si="916"/>
        <v xml:space="preserve"> Party Condition 42  ,F.M% 0.16 ,Greenish 3.2 ,Moisture 5.4 ,Shortage in KG= 0  ,Oil% 39.91</v>
      </c>
      <c r="BP1319" s="71">
        <f t="shared" si="917"/>
        <v>7668.1681690140849</v>
      </c>
      <c r="BQ1319" s="55"/>
      <c r="BR1319" s="55"/>
      <c r="BS1319" s="41"/>
      <c r="BT1319" s="41"/>
      <c r="BU1319" s="41"/>
      <c r="BV1319" s="41"/>
      <c r="BW1319" s="85"/>
      <c r="BX1319" s="27">
        <v>39.65</v>
      </c>
      <c r="BY1319" s="27">
        <v>39.590000000000003</v>
      </c>
    </row>
    <row r="1320" spans="1:83" ht="14.1" hidden="1" customHeight="1" x14ac:dyDescent="0.3">
      <c r="A1320" s="281" t="s">
        <v>2670</v>
      </c>
      <c r="B1320" s="146">
        <v>46212</v>
      </c>
      <c r="C1320" s="138">
        <v>1285</v>
      </c>
      <c r="D1320" s="138" t="s">
        <v>2836</v>
      </c>
      <c r="E1320" s="129">
        <v>46219</v>
      </c>
      <c r="F1320" s="128" t="s">
        <v>2497</v>
      </c>
      <c r="G1320" s="128" t="s">
        <v>2498</v>
      </c>
      <c r="H1320" s="281" t="s">
        <v>100</v>
      </c>
      <c r="I1320" s="136"/>
      <c r="J1320" s="138" t="s">
        <v>1146</v>
      </c>
      <c r="K1320" s="136"/>
      <c r="L1320" s="146">
        <v>46212</v>
      </c>
      <c r="M1320" s="136"/>
      <c r="N1320" s="281" t="s">
        <v>2893</v>
      </c>
      <c r="O1320" s="146">
        <v>46219</v>
      </c>
      <c r="P1320" s="138">
        <v>0</v>
      </c>
      <c r="Q1320" s="138">
        <v>120</v>
      </c>
      <c r="R1320" s="138">
        <v>40</v>
      </c>
      <c r="S1320" s="138">
        <v>160</v>
      </c>
      <c r="T1320" s="138">
        <v>160</v>
      </c>
      <c r="U1320" s="136"/>
      <c r="V1320" s="136"/>
      <c r="W1320" s="147">
        <v>94.5</v>
      </c>
      <c r="X1320" s="147">
        <v>94.4</v>
      </c>
      <c r="Y1320" s="147">
        <v>756094.5</v>
      </c>
      <c r="Z1320" s="147">
        <v>39.97</v>
      </c>
      <c r="AA1320" s="147">
        <v>18902.36</v>
      </c>
      <c r="AB1320" s="147">
        <v>18902.36</v>
      </c>
      <c r="AC1320" s="147">
        <v>793899.23</v>
      </c>
      <c r="AD1320" s="315">
        <f t="shared" ref="AD1320:AD1383" si="922">SUM(AC1320-AC1320*0.1%)</f>
        <v>793105.33077</v>
      </c>
      <c r="AE1320" s="147">
        <v>39.97</v>
      </c>
      <c r="AF1320" s="147">
        <v>42</v>
      </c>
      <c r="AG1320" s="147">
        <v>39.97</v>
      </c>
      <c r="AH1320" s="287">
        <v>2.2000000000000001E-3</v>
      </c>
      <c r="AI1320" s="395">
        <v>0.03</v>
      </c>
      <c r="AJ1320" s="287">
        <v>5.0999999999999997E-2</v>
      </c>
      <c r="AK1320" s="318">
        <f t="shared" si="901"/>
        <v>36544.567500000019</v>
      </c>
      <c r="AL1320" s="193">
        <v>0</v>
      </c>
      <c r="AM1320" s="319">
        <v>0</v>
      </c>
      <c r="AN1320" s="319"/>
      <c r="AO1320" s="320">
        <f t="shared" si="902"/>
        <v>0</v>
      </c>
      <c r="AP1320" s="193">
        <v>0</v>
      </c>
      <c r="AQ1320" s="318">
        <v>0</v>
      </c>
      <c r="AR1320" s="318">
        <f t="shared" si="903"/>
        <v>36544.567500000019</v>
      </c>
      <c r="AS1320" s="318">
        <f t="shared" si="904"/>
        <v>38372</v>
      </c>
      <c r="AT1320" s="321">
        <v>0</v>
      </c>
      <c r="AU1320" s="157"/>
      <c r="AV1320" s="136"/>
      <c r="AW1320" s="318">
        <f t="shared" si="905"/>
        <v>9450</v>
      </c>
      <c r="AX1320" s="193"/>
      <c r="AY1320" s="318">
        <f t="shared" si="906"/>
        <v>9450</v>
      </c>
      <c r="AZ1320" s="318">
        <f t="shared" si="907"/>
        <v>9440</v>
      </c>
      <c r="BA1320" s="318">
        <f t="shared" si="908"/>
        <v>10</v>
      </c>
      <c r="BB1320" s="318">
        <f t="shared" si="909"/>
        <v>18.899999999999999</v>
      </c>
      <c r="BC1320" s="318">
        <v>0</v>
      </c>
      <c r="BD1320" s="136"/>
      <c r="BE1320" s="138">
        <v>94.5</v>
      </c>
      <c r="BF1320" s="321">
        <f t="shared" si="910"/>
        <v>0.14174999999999999</v>
      </c>
      <c r="BG1320" s="197">
        <f t="shared" si="911"/>
        <v>94.358249999999998</v>
      </c>
      <c r="BH1320" s="321">
        <f t="shared" si="912"/>
        <v>94.4</v>
      </c>
      <c r="BI1320" s="322">
        <f t="shared" si="913"/>
        <v>9.9999999999994316</v>
      </c>
      <c r="BJ1320" s="322">
        <v>0</v>
      </c>
      <c r="BK1320" s="318">
        <f t="shared" si="914"/>
        <v>9.9999999999994316</v>
      </c>
      <c r="BL1320" s="67"/>
      <c r="BM1320" s="68" t="str">
        <f t="shared" si="915"/>
        <v>Unloading no. 1285 Bill No HA/26-27/0416 ,Deduction For Oil Deduction= 36544.5675 ,Bardana= 0 ,F.M= 0 Brokerage/Rate Difference  ,Shortage = 0 ,Greenish= 0 ,Moisture= 0</v>
      </c>
      <c r="BN1320" s="69"/>
      <c r="BO1320" s="70" t="str">
        <f t="shared" si="916"/>
        <v xml:space="preserve"> Party Condition 42  ,F.M% 0.22 ,Greenish 3 ,Moisture 5.1 ,Shortage in KG= 0  ,Oil% 39.97</v>
      </c>
      <c r="BP1320" s="71">
        <f t="shared" si="917"/>
        <v>7622.350979872881</v>
      </c>
      <c r="BQ1320" s="55"/>
      <c r="BR1320" s="55"/>
      <c r="BS1320" s="41"/>
      <c r="BT1320" s="41"/>
      <c r="BU1320" s="41"/>
      <c r="BV1320" s="41"/>
      <c r="BW1320" s="85"/>
      <c r="BX1320" s="27">
        <v>39.6</v>
      </c>
      <c r="BY1320" s="27">
        <v>39.57</v>
      </c>
    </row>
    <row r="1321" spans="1:83" ht="14.1" hidden="1" customHeight="1" x14ac:dyDescent="0.3">
      <c r="A1321" s="281" t="s">
        <v>2670</v>
      </c>
      <c r="B1321" s="146">
        <v>46212</v>
      </c>
      <c r="C1321" s="138">
        <v>1286</v>
      </c>
      <c r="D1321" s="138" t="s">
        <v>2837</v>
      </c>
      <c r="E1321" s="129">
        <v>46219</v>
      </c>
      <c r="F1321" s="128" t="s">
        <v>2497</v>
      </c>
      <c r="G1321" s="128" t="s">
        <v>2498</v>
      </c>
      <c r="H1321" s="281" t="s">
        <v>100</v>
      </c>
      <c r="I1321" s="136"/>
      <c r="J1321" s="138" t="s">
        <v>1146</v>
      </c>
      <c r="K1321" s="136"/>
      <c r="L1321" s="146">
        <v>46212</v>
      </c>
      <c r="M1321" s="136"/>
      <c r="N1321" s="281" t="s">
        <v>2894</v>
      </c>
      <c r="O1321" s="146">
        <v>46219</v>
      </c>
      <c r="P1321" s="138">
        <v>0</v>
      </c>
      <c r="Q1321" s="138">
        <v>130</v>
      </c>
      <c r="R1321" s="138">
        <v>30</v>
      </c>
      <c r="S1321" s="138">
        <v>160</v>
      </c>
      <c r="T1321" s="138">
        <v>160</v>
      </c>
      <c r="U1321" s="136"/>
      <c r="V1321" s="136"/>
      <c r="W1321" s="147">
        <v>94.4</v>
      </c>
      <c r="X1321" s="147">
        <v>94.3</v>
      </c>
      <c r="Y1321" s="147">
        <v>755294.4</v>
      </c>
      <c r="Z1321" s="147">
        <v>39.42</v>
      </c>
      <c r="AA1321" s="147">
        <v>18882.36</v>
      </c>
      <c r="AB1321" s="147">
        <v>18882.36</v>
      </c>
      <c r="AC1321" s="147">
        <v>793059.12</v>
      </c>
      <c r="AD1321" s="315">
        <f t="shared" si="922"/>
        <v>792266.06088</v>
      </c>
      <c r="AE1321" s="147">
        <v>39.42</v>
      </c>
      <c r="AF1321" s="147">
        <v>42</v>
      </c>
      <c r="AG1321" s="147">
        <v>39.42</v>
      </c>
      <c r="AH1321" s="287">
        <v>2.3999999999999998E-3</v>
      </c>
      <c r="AI1321" s="395">
        <v>3.5999999999999997E-2</v>
      </c>
      <c r="AJ1321" s="287">
        <v>0.05</v>
      </c>
      <c r="AK1321" s="318">
        <f t="shared" si="901"/>
        <v>46396.655999999974</v>
      </c>
      <c r="AL1321" s="193">
        <v>0</v>
      </c>
      <c r="AM1321" s="319">
        <v>0</v>
      </c>
      <c r="AN1321" s="319"/>
      <c r="AO1321" s="320">
        <f t="shared" si="902"/>
        <v>0</v>
      </c>
      <c r="AP1321" s="193">
        <v>0</v>
      </c>
      <c r="AQ1321" s="318">
        <v>0</v>
      </c>
      <c r="AR1321" s="318">
        <f t="shared" si="903"/>
        <v>46396.655999999974</v>
      </c>
      <c r="AS1321" s="318">
        <f t="shared" si="904"/>
        <v>48716</v>
      </c>
      <c r="AT1321" s="321">
        <v>0</v>
      </c>
      <c r="AU1321" s="157"/>
      <c r="AV1321" s="136"/>
      <c r="AW1321" s="318">
        <f t="shared" si="905"/>
        <v>9440</v>
      </c>
      <c r="AX1321" s="193"/>
      <c r="AY1321" s="318">
        <f t="shared" si="906"/>
        <v>9440</v>
      </c>
      <c r="AZ1321" s="318">
        <f t="shared" si="907"/>
        <v>9430</v>
      </c>
      <c r="BA1321" s="318">
        <f t="shared" si="908"/>
        <v>10</v>
      </c>
      <c r="BB1321" s="318">
        <f t="shared" si="909"/>
        <v>18.88</v>
      </c>
      <c r="BC1321" s="318">
        <v>0</v>
      </c>
      <c r="BD1321" s="136"/>
      <c r="BE1321" s="138">
        <v>94.4</v>
      </c>
      <c r="BF1321" s="321">
        <f t="shared" si="910"/>
        <v>0.1416</v>
      </c>
      <c r="BG1321" s="197">
        <f t="shared" si="911"/>
        <v>94.258400000000009</v>
      </c>
      <c r="BH1321" s="321">
        <f t="shared" si="912"/>
        <v>94.3</v>
      </c>
      <c r="BI1321" s="322">
        <f t="shared" si="913"/>
        <v>10.000000000000853</v>
      </c>
      <c r="BJ1321" s="322">
        <v>0</v>
      </c>
      <c r="BK1321" s="318">
        <f t="shared" si="914"/>
        <v>10.000000000000853</v>
      </c>
      <c r="BL1321" s="67"/>
      <c r="BM1321" s="68" t="str">
        <f t="shared" si="915"/>
        <v>Unloading no. 1286 Bill No HA/26-27/0417 ,Deduction For Oil Deduction= 46396.656 ,Bardana= 0 ,F.M= 0 Brokerage/Rate Difference  ,Shortage = 0 ,Greenish= 0 ,Moisture= 0</v>
      </c>
      <c r="BN1321" s="69"/>
      <c r="BO1321" s="70" t="str">
        <f t="shared" si="916"/>
        <v xml:space="preserve"> Party Condition 42  ,F.M% 0.24 ,Greenish 3.6 ,Moisture 5 ,Shortage in KG= 0  ,Oil% 39.42</v>
      </c>
      <c r="BP1321" s="71">
        <f t="shared" si="917"/>
        <v>7517.4734252386015</v>
      </c>
      <c r="BQ1321" s="55"/>
      <c r="BR1321" s="55"/>
      <c r="BS1321" s="41"/>
      <c r="BT1321" s="41"/>
      <c r="BU1321" s="41"/>
      <c r="BV1321" s="41"/>
      <c r="BW1321" s="85"/>
      <c r="BX1321" s="27">
        <v>39.200000000000003</v>
      </c>
      <c r="BY1321" s="27">
        <v>39.33</v>
      </c>
    </row>
    <row r="1322" spans="1:83" ht="14.1" hidden="1" customHeight="1" x14ac:dyDescent="0.3">
      <c r="A1322" s="281" t="s">
        <v>2667</v>
      </c>
      <c r="B1322" s="146">
        <v>46216</v>
      </c>
      <c r="C1322" s="138">
        <v>1287</v>
      </c>
      <c r="D1322" s="138" t="s">
        <v>2838</v>
      </c>
      <c r="E1322" s="129">
        <v>46219</v>
      </c>
      <c r="F1322" s="128" t="s">
        <v>1144</v>
      </c>
      <c r="G1322" s="128" t="s">
        <v>1145</v>
      </c>
      <c r="H1322" s="281" t="s">
        <v>100</v>
      </c>
      <c r="I1322" s="136"/>
      <c r="J1322" s="138" t="s">
        <v>1146</v>
      </c>
      <c r="K1322" s="136"/>
      <c r="L1322" s="146">
        <v>46216</v>
      </c>
      <c r="M1322" s="136"/>
      <c r="N1322" s="281" t="s">
        <v>2895</v>
      </c>
      <c r="O1322" s="146">
        <v>46219</v>
      </c>
      <c r="P1322" s="138">
        <v>0</v>
      </c>
      <c r="Q1322" s="138">
        <v>130</v>
      </c>
      <c r="R1322" s="138">
        <v>24</v>
      </c>
      <c r="S1322" s="138">
        <v>154</v>
      </c>
      <c r="T1322" s="138">
        <v>154</v>
      </c>
      <c r="U1322" s="136"/>
      <c r="V1322" s="136"/>
      <c r="W1322" s="147">
        <v>91.7</v>
      </c>
      <c r="X1322" s="147">
        <v>91.7</v>
      </c>
      <c r="Y1322" s="147">
        <v>739193.7</v>
      </c>
      <c r="Z1322" s="147">
        <v>39.99</v>
      </c>
      <c r="AA1322" s="147">
        <v>18479.84</v>
      </c>
      <c r="AB1322" s="147">
        <v>18479.84</v>
      </c>
      <c r="AC1322" s="147">
        <v>776153.39</v>
      </c>
      <c r="AD1322" s="315">
        <f t="shared" si="922"/>
        <v>775377.23661000002</v>
      </c>
      <c r="AE1322" s="147">
        <v>39.99</v>
      </c>
      <c r="AF1322" s="147">
        <v>42</v>
      </c>
      <c r="AG1322" s="147">
        <v>39.99</v>
      </c>
      <c r="AH1322" s="287">
        <v>1.4E-3</v>
      </c>
      <c r="AI1322" s="395">
        <v>3.4500000000000003E-2</v>
      </c>
      <c r="AJ1322" s="287">
        <v>4.9000000000000002E-2</v>
      </c>
      <c r="AK1322" s="318">
        <f t="shared" si="901"/>
        <v>35375.698499999962</v>
      </c>
      <c r="AL1322" s="193">
        <v>0</v>
      </c>
      <c r="AM1322" s="319">
        <v>0</v>
      </c>
      <c r="AN1322" s="319"/>
      <c r="AO1322" s="320">
        <f t="shared" si="902"/>
        <v>0</v>
      </c>
      <c r="AP1322" s="193">
        <v>0</v>
      </c>
      <c r="AQ1322" s="318">
        <v>0</v>
      </c>
      <c r="AR1322" s="318">
        <f t="shared" si="903"/>
        <v>35375.698499999962</v>
      </c>
      <c r="AS1322" s="318">
        <f t="shared" si="904"/>
        <v>37144</v>
      </c>
      <c r="AT1322" s="321">
        <v>0</v>
      </c>
      <c r="AU1322" s="157"/>
      <c r="AV1322" s="136"/>
      <c r="AW1322" s="318">
        <f t="shared" si="905"/>
        <v>9170</v>
      </c>
      <c r="AX1322" s="193"/>
      <c r="AY1322" s="318">
        <f t="shared" si="906"/>
        <v>9170</v>
      </c>
      <c r="AZ1322" s="318">
        <f t="shared" si="907"/>
        <v>9170</v>
      </c>
      <c r="BA1322" s="318">
        <f t="shared" si="908"/>
        <v>0</v>
      </c>
      <c r="BB1322" s="318">
        <f t="shared" si="909"/>
        <v>18.34</v>
      </c>
      <c r="BC1322" s="318">
        <v>0</v>
      </c>
      <c r="BD1322" s="136"/>
      <c r="BE1322" s="138">
        <v>91.7</v>
      </c>
      <c r="BF1322" s="321">
        <f t="shared" si="910"/>
        <v>0.13755000000000001</v>
      </c>
      <c r="BG1322" s="197">
        <f t="shared" si="911"/>
        <v>91.562449999999998</v>
      </c>
      <c r="BH1322" s="321">
        <f t="shared" si="912"/>
        <v>91.7</v>
      </c>
      <c r="BI1322" s="322">
        <f t="shared" si="913"/>
        <v>0</v>
      </c>
      <c r="BJ1322" s="322">
        <v>0</v>
      </c>
      <c r="BK1322" s="318">
        <f t="shared" si="914"/>
        <v>0</v>
      </c>
      <c r="BL1322" s="67"/>
      <c r="BM1322" s="68" t="str">
        <f t="shared" si="915"/>
        <v>Unloading no. 1287 Bill No 2026-27/428 ,Deduction For Oil Deduction= 35375.6985 ,Bardana= 0 ,F.M= 0 Brokerage/Rate Difference  ,Shortage = 0 ,Greenish= 0 ,Moisture= 0</v>
      </c>
      <c r="BN1322" s="69"/>
      <c r="BO1322" s="70" t="str">
        <f t="shared" si="916"/>
        <v xml:space="preserve"> Party Condition 42  ,F.M% 0.14 ,Greenish 3.45 ,Moisture 4.9 ,Shortage in KG= 0  ,Oil% 39.99</v>
      </c>
      <c r="BP1322" s="71">
        <f t="shared" si="917"/>
        <v>7675.2235714285716</v>
      </c>
      <c r="BQ1322" s="55"/>
      <c r="BR1322" s="55"/>
      <c r="BS1322" s="41"/>
      <c r="BT1322" s="41"/>
      <c r="BU1322" s="41"/>
      <c r="BV1322" s="41"/>
      <c r="BW1322" s="85"/>
      <c r="BX1322" s="27">
        <v>39.75</v>
      </c>
      <c r="BY1322" s="27">
        <v>39.69</v>
      </c>
    </row>
    <row r="1323" spans="1:83" ht="14.1" hidden="1" customHeight="1" x14ac:dyDescent="0.3">
      <c r="A1323" s="281" t="s">
        <v>2670</v>
      </c>
      <c r="B1323" s="146">
        <v>46212</v>
      </c>
      <c r="C1323" s="138">
        <v>1288</v>
      </c>
      <c r="D1323" s="138" t="s">
        <v>2839</v>
      </c>
      <c r="E1323" s="129">
        <v>46219</v>
      </c>
      <c r="F1323" s="128" t="s">
        <v>2497</v>
      </c>
      <c r="G1323" s="128" t="s">
        <v>2498</v>
      </c>
      <c r="H1323" s="281" t="s">
        <v>100</v>
      </c>
      <c r="I1323" s="136"/>
      <c r="J1323" s="138" t="s">
        <v>1146</v>
      </c>
      <c r="K1323" s="136"/>
      <c r="L1323" s="146">
        <v>46212</v>
      </c>
      <c r="M1323" s="136"/>
      <c r="N1323" s="281" t="s">
        <v>2896</v>
      </c>
      <c r="O1323" s="146">
        <v>46219</v>
      </c>
      <c r="P1323" s="138">
        <v>0</v>
      </c>
      <c r="Q1323" s="138">
        <v>120</v>
      </c>
      <c r="R1323" s="138">
        <v>40</v>
      </c>
      <c r="S1323" s="138">
        <v>160</v>
      </c>
      <c r="T1323" s="138">
        <v>160</v>
      </c>
      <c r="U1323" s="136"/>
      <c r="V1323" s="136"/>
      <c r="W1323" s="147">
        <v>93.8</v>
      </c>
      <c r="X1323" s="147">
        <v>93.8</v>
      </c>
      <c r="Y1323" s="147">
        <v>750493.8</v>
      </c>
      <c r="Z1323" s="147">
        <v>39.78</v>
      </c>
      <c r="AA1323" s="147">
        <v>18762.349999999999</v>
      </c>
      <c r="AB1323" s="147">
        <v>18762.349999999999</v>
      </c>
      <c r="AC1323" s="147">
        <v>788018.49</v>
      </c>
      <c r="AD1323" s="315">
        <f t="shared" si="922"/>
        <v>787230.47150999994</v>
      </c>
      <c r="AE1323" s="147">
        <v>39.78</v>
      </c>
      <c r="AF1323" s="147">
        <v>42</v>
      </c>
      <c r="AG1323" s="147">
        <v>39.78</v>
      </c>
      <c r="AH1323" s="287">
        <v>2.3E-3</v>
      </c>
      <c r="AI1323" s="395">
        <v>2.9600000000000001E-2</v>
      </c>
      <c r="AJ1323" s="287">
        <v>4.8000000000000001E-2</v>
      </c>
      <c r="AK1323" s="318">
        <f t="shared" si="901"/>
        <v>39668.957999999984</v>
      </c>
      <c r="AL1323" s="193">
        <v>0</v>
      </c>
      <c r="AM1323" s="319">
        <v>0</v>
      </c>
      <c r="AN1323" s="319"/>
      <c r="AO1323" s="320">
        <f t="shared" si="902"/>
        <v>0</v>
      </c>
      <c r="AP1323" s="193">
        <v>0</v>
      </c>
      <c r="AQ1323" s="318">
        <v>0</v>
      </c>
      <c r="AR1323" s="318">
        <f t="shared" si="903"/>
        <v>39668.957999999984</v>
      </c>
      <c r="AS1323" s="318">
        <f t="shared" si="904"/>
        <v>41652</v>
      </c>
      <c r="AT1323" s="321">
        <v>0</v>
      </c>
      <c r="AU1323" s="157"/>
      <c r="AV1323" s="136"/>
      <c r="AW1323" s="318">
        <f t="shared" si="905"/>
        <v>9380</v>
      </c>
      <c r="AX1323" s="193"/>
      <c r="AY1323" s="318">
        <f t="shared" si="906"/>
        <v>9380</v>
      </c>
      <c r="AZ1323" s="318">
        <f t="shared" si="907"/>
        <v>9380</v>
      </c>
      <c r="BA1323" s="318">
        <f t="shared" si="908"/>
        <v>0</v>
      </c>
      <c r="BB1323" s="318">
        <f t="shared" si="909"/>
        <v>18.760000000000002</v>
      </c>
      <c r="BC1323" s="318">
        <v>0</v>
      </c>
      <c r="BD1323" s="136"/>
      <c r="BE1323" s="138">
        <v>93.8</v>
      </c>
      <c r="BF1323" s="321">
        <f t="shared" si="910"/>
        <v>0.14069999999999999</v>
      </c>
      <c r="BG1323" s="197">
        <f t="shared" si="911"/>
        <v>93.659300000000002</v>
      </c>
      <c r="BH1323" s="321">
        <f t="shared" si="912"/>
        <v>93.8</v>
      </c>
      <c r="BI1323" s="322">
        <f t="shared" si="913"/>
        <v>0</v>
      </c>
      <c r="BJ1323" s="322">
        <v>0</v>
      </c>
      <c r="BK1323" s="318">
        <f t="shared" si="914"/>
        <v>0</v>
      </c>
      <c r="BL1323" s="67"/>
      <c r="BM1323" s="68" t="str">
        <f t="shared" si="915"/>
        <v>Unloading no. 1288 Bill No HA/26-27/0418 ,Deduction For Oil Deduction= 39668.958 ,Bardana= 0 ,F.M= 0 Brokerage/Rate Difference  ,Shortage = 0 ,Greenish= 0 ,Moisture= 0</v>
      </c>
      <c r="BN1323" s="69"/>
      <c r="BO1323" s="70" t="str">
        <f t="shared" si="916"/>
        <v xml:space="preserve"> Party Condition 42  ,F.M% 0.23 ,Greenish 2.96 ,Moisture 4.8 ,Shortage in KG= 0  ,Oil% 39.78</v>
      </c>
      <c r="BP1323" s="71">
        <f t="shared" si="917"/>
        <v>7578.0900000000011</v>
      </c>
      <c r="BQ1323" s="55"/>
      <c r="BR1323" s="55"/>
      <c r="BS1323" s="41"/>
      <c r="BT1323" s="41"/>
      <c r="BU1323" s="41"/>
      <c r="BV1323" s="41"/>
      <c r="BW1323" s="85"/>
      <c r="BX1323" s="27">
        <v>39.65</v>
      </c>
      <c r="BY1323" s="27">
        <v>39.479999999999997</v>
      </c>
    </row>
    <row r="1324" spans="1:83" ht="14.1" hidden="1" customHeight="1" x14ac:dyDescent="0.3">
      <c r="A1324" s="281" t="s">
        <v>2821</v>
      </c>
      <c r="B1324" s="146">
        <v>46218</v>
      </c>
      <c r="C1324" s="138">
        <v>1289</v>
      </c>
      <c r="D1324" s="138" t="s">
        <v>2840</v>
      </c>
      <c r="E1324" s="129">
        <v>46219</v>
      </c>
      <c r="F1324" s="128" t="s">
        <v>2629</v>
      </c>
      <c r="G1324" s="159" t="s">
        <v>2630</v>
      </c>
      <c r="H1324" s="281" t="s">
        <v>2884</v>
      </c>
      <c r="I1324" s="136"/>
      <c r="J1324" s="138" t="s">
        <v>2499</v>
      </c>
      <c r="K1324" s="136"/>
      <c r="L1324" s="146">
        <v>46218</v>
      </c>
      <c r="M1324" s="136"/>
      <c r="N1324" s="281">
        <v>418</v>
      </c>
      <c r="O1324" s="146">
        <v>46219</v>
      </c>
      <c r="P1324" s="138">
        <v>0</v>
      </c>
      <c r="Q1324" s="138">
        <v>110</v>
      </c>
      <c r="R1324" s="138">
        <v>25</v>
      </c>
      <c r="S1324" s="138">
        <v>135</v>
      </c>
      <c r="T1324" s="138">
        <v>135</v>
      </c>
      <c r="U1324" s="136"/>
      <c r="V1324" s="136"/>
      <c r="W1324" s="147">
        <v>74.2</v>
      </c>
      <c r="X1324" s="147">
        <v>74.099999999999994</v>
      </c>
      <c r="Y1324" s="147">
        <v>602875</v>
      </c>
      <c r="Z1324" s="169"/>
      <c r="AA1324" s="147">
        <v>15071.88</v>
      </c>
      <c r="AB1324" s="147">
        <v>15071.88</v>
      </c>
      <c r="AC1324" s="147">
        <v>633018.75</v>
      </c>
      <c r="AD1324" s="315">
        <f t="shared" si="922"/>
        <v>632385.73124999995</v>
      </c>
      <c r="AE1324" s="147">
        <v>40</v>
      </c>
      <c r="AF1324" s="147">
        <v>42</v>
      </c>
      <c r="AG1324" s="445">
        <v>39.69</v>
      </c>
      <c r="AH1324" s="418">
        <v>2.3E-3</v>
      </c>
      <c r="AI1324" s="395">
        <v>2.8400000000000002E-2</v>
      </c>
      <c r="AJ1324" s="397">
        <v>5.3600000000000002E-2</v>
      </c>
      <c r="AK1324" s="318">
        <f>+IF(AF1324=42,IF(MIN(AE1324,AG1324)&lt;AF1324,Y1324*((AF1324-MIN(AE1324,AG1324))/AF1324)),IF(MIN(AE1324,AG1324)&lt;AF1324,Y1324*((AF1324-MIN(AE1324,AG1324))/AF1324),0))-13.14</f>
        <v>33144.985000000037</v>
      </c>
      <c r="AL1324" s="193">
        <f>110*10+25*15</f>
        <v>1475</v>
      </c>
      <c r="AM1324" s="319">
        <f>Y1324*AH1324</f>
        <v>1386.6125</v>
      </c>
      <c r="AN1324" s="319"/>
      <c r="AO1324" s="320">
        <f t="shared" si="902"/>
        <v>812.5</v>
      </c>
      <c r="AP1324" s="193">
        <v>0</v>
      </c>
      <c r="AQ1324" s="318">
        <f>Y1324*0.36/100</f>
        <v>2170.35</v>
      </c>
      <c r="AR1324" s="318">
        <f t="shared" si="903"/>
        <v>38989.447500000038</v>
      </c>
      <c r="AS1324" s="318">
        <f t="shared" si="904"/>
        <v>40939</v>
      </c>
      <c r="AT1324" s="321">
        <v>10</v>
      </c>
      <c r="AU1324" s="157"/>
      <c r="AV1324" s="136"/>
      <c r="AW1324" s="318">
        <f t="shared" si="905"/>
        <v>7420</v>
      </c>
      <c r="AX1324" s="193"/>
      <c r="AY1324" s="318">
        <f t="shared" si="906"/>
        <v>7420</v>
      </c>
      <c r="AZ1324" s="318">
        <f t="shared" si="907"/>
        <v>7409.9999999999991</v>
      </c>
      <c r="BA1324" s="318">
        <f t="shared" si="908"/>
        <v>10.000000000000909</v>
      </c>
      <c r="BB1324" s="318">
        <f t="shared" si="909"/>
        <v>14.84</v>
      </c>
      <c r="BC1324" s="318">
        <v>0</v>
      </c>
      <c r="BD1324" s="136"/>
      <c r="BE1324" s="138">
        <v>74.2</v>
      </c>
      <c r="BF1324" s="321">
        <f t="shared" si="910"/>
        <v>0.11130000000000001</v>
      </c>
      <c r="BG1324" s="197">
        <f t="shared" si="911"/>
        <v>74.088700000000003</v>
      </c>
      <c r="BH1324" s="321">
        <f t="shared" si="912"/>
        <v>74.099999999999994</v>
      </c>
      <c r="BI1324" s="322">
        <f t="shared" si="913"/>
        <v>10.000000000000853</v>
      </c>
      <c r="BJ1324" s="322">
        <v>0</v>
      </c>
      <c r="BK1324" s="318">
        <f t="shared" si="914"/>
        <v>10.000000000000853</v>
      </c>
      <c r="BL1324" s="67"/>
      <c r="BM1324" s="68" t="str">
        <f t="shared" si="915"/>
        <v>Unloading no. 1289 Bill No 418 ,Deduction For Oil Deduction= 33144.985 ,Bardana= 1475 ,F.M= 1386.6125 Brokerage/Rate Difference  ,Shortage = 812.5 ,Greenish= 0 ,Moisture= 2170.35</v>
      </c>
      <c r="BN1324" s="69"/>
      <c r="BO1324" s="70" t="str">
        <f t="shared" si="916"/>
        <v xml:space="preserve"> Party Condition 42  ,F.M% 0.23 ,Greenish 2.84 ,Moisture 5.36 ,Shortage in KG= 10  ,Oil% 39.69</v>
      </c>
      <c r="BP1324" s="71">
        <f t="shared" si="917"/>
        <v>7609.7915317139004</v>
      </c>
      <c r="BQ1324" s="55"/>
      <c r="BR1324" s="55"/>
      <c r="BS1324" s="41"/>
      <c r="BT1324" s="41"/>
      <c r="BU1324" s="41"/>
      <c r="BV1324" s="41"/>
      <c r="BW1324" s="85"/>
      <c r="BX1324" s="27">
        <v>40</v>
      </c>
      <c r="BY1324" s="27">
        <v>39.69</v>
      </c>
      <c r="CA1324" s="56">
        <v>40938.800000000003</v>
      </c>
      <c r="CC1324" s="57">
        <f t="shared" ref="CC1324:CC1325" si="923">AS1324-CA1324</f>
        <v>0.19999999999708962</v>
      </c>
      <c r="CE1324" s="88">
        <f t="shared" ref="CE1324:CE1325" si="924">CC1324/105%</f>
        <v>0.19047619047341868</v>
      </c>
    </row>
    <row r="1325" spans="1:83" ht="14.1" hidden="1" customHeight="1" x14ac:dyDescent="0.3">
      <c r="A1325" s="281" t="s">
        <v>2821</v>
      </c>
      <c r="B1325" s="146">
        <v>46218</v>
      </c>
      <c r="C1325" s="138">
        <v>1290</v>
      </c>
      <c r="D1325" s="138" t="s">
        <v>2841</v>
      </c>
      <c r="E1325" s="129">
        <v>46219</v>
      </c>
      <c r="F1325" s="128" t="s">
        <v>2629</v>
      </c>
      <c r="G1325" s="159" t="s">
        <v>2630</v>
      </c>
      <c r="H1325" s="281" t="s">
        <v>2884</v>
      </c>
      <c r="I1325" s="136"/>
      <c r="J1325" s="138" t="s">
        <v>2499</v>
      </c>
      <c r="K1325" s="136"/>
      <c r="L1325" s="146">
        <v>46218</v>
      </c>
      <c r="M1325" s="136"/>
      <c r="N1325" s="281">
        <v>419</v>
      </c>
      <c r="O1325" s="146">
        <v>46219</v>
      </c>
      <c r="P1325" s="138">
        <v>0</v>
      </c>
      <c r="Q1325" s="138">
        <v>110</v>
      </c>
      <c r="R1325" s="138">
        <v>25</v>
      </c>
      <c r="S1325" s="138">
        <v>135</v>
      </c>
      <c r="T1325" s="138">
        <v>135</v>
      </c>
      <c r="U1325" s="136"/>
      <c r="V1325" s="136"/>
      <c r="W1325" s="147">
        <v>74.7</v>
      </c>
      <c r="X1325" s="147">
        <v>74.7</v>
      </c>
      <c r="Y1325" s="147">
        <v>606937.5</v>
      </c>
      <c r="Z1325" s="169"/>
      <c r="AA1325" s="147">
        <v>15173.44</v>
      </c>
      <c r="AB1325" s="147">
        <v>15173.44</v>
      </c>
      <c r="AC1325" s="147">
        <v>637284.38</v>
      </c>
      <c r="AD1325" s="315">
        <f t="shared" si="922"/>
        <v>636647.09562000004</v>
      </c>
      <c r="AE1325" s="147">
        <v>39.700000000000003</v>
      </c>
      <c r="AF1325" s="147">
        <v>42</v>
      </c>
      <c r="AG1325" s="445">
        <v>39.42</v>
      </c>
      <c r="AH1325" s="418">
        <v>2.3999999999999998E-3</v>
      </c>
      <c r="AI1325" s="395">
        <v>2.4400000000000002E-2</v>
      </c>
      <c r="AJ1325" s="397">
        <v>5.7599999999999998E-2</v>
      </c>
      <c r="AK1325" s="318">
        <f>+IF(AF1325=42,IF(MIN(AE1325,AG1325)&lt;AF1325,Y1325*((AF1325-MIN(AE1325,AG1325))/AF1325)),IF(MIN(AE1325,AG1325)&lt;AF1325,Y1325*((AF1325-MIN(AE1325,AG1325))/AF1325),0))-14.61</f>
        <v>37268.693571428543</v>
      </c>
      <c r="AL1325" s="193">
        <f>110*10+25*15</f>
        <v>1475</v>
      </c>
      <c r="AM1325" s="319">
        <f>Y1325*AH1325</f>
        <v>1456.6499999999999</v>
      </c>
      <c r="AN1325" s="319"/>
      <c r="AO1325" s="320">
        <f t="shared" si="902"/>
        <v>0</v>
      </c>
      <c r="AP1325" s="193">
        <v>0</v>
      </c>
      <c r="AQ1325" s="318">
        <f>Y1325*0.76/100</f>
        <v>4612.7250000000004</v>
      </c>
      <c r="AR1325" s="318">
        <f t="shared" si="903"/>
        <v>44813.068571428543</v>
      </c>
      <c r="AS1325" s="318">
        <f t="shared" si="904"/>
        <v>47054</v>
      </c>
      <c r="AT1325" s="321">
        <v>0</v>
      </c>
      <c r="AU1325" s="157" t="s">
        <v>2208</v>
      </c>
      <c r="AV1325" s="136"/>
      <c r="AW1325" s="318">
        <f t="shared" si="905"/>
        <v>7470</v>
      </c>
      <c r="AX1325" s="193"/>
      <c r="AY1325" s="318">
        <f t="shared" si="906"/>
        <v>7470</v>
      </c>
      <c r="AZ1325" s="318">
        <f t="shared" si="907"/>
        <v>7470</v>
      </c>
      <c r="BA1325" s="318">
        <f t="shared" si="908"/>
        <v>0</v>
      </c>
      <c r="BB1325" s="318">
        <f t="shared" si="909"/>
        <v>14.94</v>
      </c>
      <c r="BC1325" s="318">
        <v>0</v>
      </c>
      <c r="BD1325" s="136"/>
      <c r="BE1325" s="138">
        <v>74.7</v>
      </c>
      <c r="BF1325" s="321">
        <f t="shared" si="910"/>
        <v>0.11205</v>
      </c>
      <c r="BG1325" s="197">
        <f t="shared" si="911"/>
        <v>74.587950000000006</v>
      </c>
      <c r="BH1325" s="321">
        <f t="shared" si="912"/>
        <v>74.7</v>
      </c>
      <c r="BI1325" s="322">
        <f t="shared" si="913"/>
        <v>0</v>
      </c>
      <c r="BJ1325" s="322">
        <v>0</v>
      </c>
      <c r="BK1325" s="318">
        <f t="shared" si="914"/>
        <v>0</v>
      </c>
      <c r="BL1325" s="67"/>
      <c r="BM1325" s="68" t="str">
        <f t="shared" si="915"/>
        <v>Unloading no. 1290 Bill No 419 ,Deduction For Oil Deduction= 37268.6935714285 ,Bardana= 1475 ,F.M= 1456.65 Brokerage/Rate Difference  ,Shortage = 0 ,Greenish= 0 ,Moisture= 4612.725</v>
      </c>
      <c r="BN1325" s="69"/>
      <c r="BO1325" s="70" t="str">
        <f t="shared" si="916"/>
        <v xml:space="preserve"> Party Condition 42  ,F.M% 0.24 ,Greenish 2.44 ,Moisture 5.76 ,Shortage in KG= 0  ,Oil% 39.42</v>
      </c>
      <c r="BP1325" s="71">
        <f t="shared" si="917"/>
        <v>7525.0927902084532</v>
      </c>
      <c r="BQ1325" s="55"/>
      <c r="BR1325" s="55"/>
      <c r="BS1325" s="41"/>
      <c r="BT1325" s="41"/>
      <c r="BU1325" s="41"/>
      <c r="BV1325" s="41"/>
      <c r="BW1325" s="85"/>
      <c r="BX1325" s="27">
        <v>39.700000000000003</v>
      </c>
      <c r="BY1325" s="27">
        <v>39.42</v>
      </c>
      <c r="CA1325" s="56">
        <v>47053.42</v>
      </c>
      <c r="CC1325" s="57">
        <f t="shared" si="923"/>
        <v>0.58000000000174623</v>
      </c>
      <c r="CE1325" s="88">
        <f t="shared" si="924"/>
        <v>0.55238095238261542</v>
      </c>
    </row>
    <row r="1326" spans="1:83" ht="14.1" hidden="1" customHeight="1" x14ac:dyDescent="0.3">
      <c r="A1326" s="281" t="s">
        <v>2667</v>
      </c>
      <c r="B1326" s="146">
        <v>46216</v>
      </c>
      <c r="C1326" s="138">
        <v>1291</v>
      </c>
      <c r="D1326" s="138" t="s">
        <v>2842</v>
      </c>
      <c r="E1326" s="129">
        <v>46219</v>
      </c>
      <c r="F1326" s="128" t="s">
        <v>1144</v>
      </c>
      <c r="G1326" s="128" t="s">
        <v>1145</v>
      </c>
      <c r="H1326" s="281" t="s">
        <v>100</v>
      </c>
      <c r="I1326" s="136"/>
      <c r="J1326" s="138" t="s">
        <v>1146</v>
      </c>
      <c r="K1326" s="136"/>
      <c r="L1326" s="146">
        <v>46216</v>
      </c>
      <c r="M1326" s="136"/>
      <c r="N1326" s="281" t="s">
        <v>2897</v>
      </c>
      <c r="O1326" s="146">
        <v>46219</v>
      </c>
      <c r="P1326" s="138">
        <v>0</v>
      </c>
      <c r="Q1326" s="138">
        <v>124</v>
      </c>
      <c r="R1326" s="138">
        <v>30</v>
      </c>
      <c r="S1326" s="138">
        <v>154</v>
      </c>
      <c r="T1326" s="138">
        <v>154</v>
      </c>
      <c r="U1326" s="136"/>
      <c r="V1326" s="136"/>
      <c r="W1326" s="147">
        <v>92.5</v>
      </c>
      <c r="X1326" s="147">
        <v>92.5</v>
      </c>
      <c r="Y1326" s="147">
        <v>745642.5</v>
      </c>
      <c r="Z1326" s="147">
        <v>39.28</v>
      </c>
      <c r="AA1326" s="147">
        <v>18641.060000000001</v>
      </c>
      <c r="AB1326" s="147">
        <v>18641.060000000001</v>
      </c>
      <c r="AC1326" s="147">
        <v>782924.63</v>
      </c>
      <c r="AD1326" s="315">
        <f t="shared" si="922"/>
        <v>782141.70536999998</v>
      </c>
      <c r="AE1326" s="147">
        <v>39.28</v>
      </c>
      <c r="AF1326" s="147">
        <v>42</v>
      </c>
      <c r="AG1326" s="147">
        <v>39.28</v>
      </c>
      <c r="AH1326" s="287">
        <v>1.6000000000000001E-3</v>
      </c>
      <c r="AI1326" s="395">
        <v>3.1199999999999999E-2</v>
      </c>
      <c r="AJ1326" s="287">
        <v>5.1999999999999998E-2</v>
      </c>
      <c r="AK1326" s="318">
        <f t="shared" si="901"/>
        <v>48289.228571428546</v>
      </c>
      <c r="AL1326" s="193">
        <v>0</v>
      </c>
      <c r="AM1326" s="319">
        <v>0</v>
      </c>
      <c r="AN1326" s="319"/>
      <c r="AO1326" s="320">
        <f t="shared" si="902"/>
        <v>0</v>
      </c>
      <c r="AP1326" s="193">
        <v>0</v>
      </c>
      <c r="AQ1326" s="318">
        <v>0</v>
      </c>
      <c r="AR1326" s="318">
        <f t="shared" si="903"/>
        <v>48289.228571428546</v>
      </c>
      <c r="AS1326" s="318">
        <f t="shared" si="904"/>
        <v>50704</v>
      </c>
      <c r="AT1326" s="321">
        <v>0</v>
      </c>
      <c r="AU1326" s="157"/>
      <c r="AV1326" s="136"/>
      <c r="AW1326" s="318">
        <f t="shared" si="905"/>
        <v>9250</v>
      </c>
      <c r="AX1326" s="193"/>
      <c r="AY1326" s="318">
        <f t="shared" si="906"/>
        <v>9250</v>
      </c>
      <c r="AZ1326" s="318">
        <f t="shared" si="907"/>
        <v>9250</v>
      </c>
      <c r="BA1326" s="318">
        <f t="shared" si="908"/>
        <v>0</v>
      </c>
      <c r="BB1326" s="318">
        <f t="shared" si="909"/>
        <v>18.5</v>
      </c>
      <c r="BC1326" s="318">
        <v>0</v>
      </c>
      <c r="BD1326" s="136"/>
      <c r="BE1326" s="138">
        <v>92.5</v>
      </c>
      <c r="BF1326" s="321">
        <f t="shared" si="910"/>
        <v>0.13875000000000001</v>
      </c>
      <c r="BG1326" s="197">
        <f t="shared" si="911"/>
        <v>92.361249999999998</v>
      </c>
      <c r="BH1326" s="321">
        <f t="shared" si="912"/>
        <v>92.5</v>
      </c>
      <c r="BI1326" s="322">
        <f t="shared" si="913"/>
        <v>0</v>
      </c>
      <c r="BJ1326" s="322">
        <v>0</v>
      </c>
      <c r="BK1326" s="318">
        <f t="shared" si="914"/>
        <v>0</v>
      </c>
      <c r="BL1326" s="67"/>
      <c r="BM1326" s="68" t="str">
        <f t="shared" si="915"/>
        <v>Unloading no. 1291 Bill No 2026-27/429 ,Deduction For Oil Deduction= 48289.2285714285 ,Bardana= 0 ,F.M= 0 Brokerage/Rate Difference  ,Shortage = 0 ,Greenish= 0 ,Moisture= 0</v>
      </c>
      <c r="BN1326" s="69"/>
      <c r="BO1326" s="70" t="str">
        <f t="shared" si="916"/>
        <v xml:space="preserve"> Party Condition 42  ,F.M% 0.16 ,Greenish 3.12 ,Moisture 5.2 ,Shortage in KG= 0  ,Oil% 39.28</v>
      </c>
      <c r="BP1326" s="71">
        <f t="shared" si="917"/>
        <v>7538.954285714286</v>
      </c>
      <c r="BQ1326" s="55"/>
      <c r="BR1326" s="55"/>
      <c r="BS1326" s="41"/>
      <c r="BT1326" s="41"/>
      <c r="BU1326" s="41"/>
      <c r="BV1326" s="41"/>
      <c r="BW1326" s="85"/>
      <c r="BX1326" s="27">
        <v>39.049999999999997</v>
      </c>
      <c r="BY1326" s="27">
        <v>39.049999999999997</v>
      </c>
    </row>
    <row r="1327" spans="1:83" ht="14.1" hidden="1" customHeight="1" x14ac:dyDescent="0.3">
      <c r="A1327" s="281" t="s">
        <v>2667</v>
      </c>
      <c r="B1327" s="146">
        <v>46216</v>
      </c>
      <c r="C1327" s="138">
        <v>1292</v>
      </c>
      <c r="D1327" s="138" t="s">
        <v>2843</v>
      </c>
      <c r="E1327" s="129">
        <v>46219</v>
      </c>
      <c r="F1327" s="128" t="s">
        <v>1144</v>
      </c>
      <c r="G1327" s="128" t="s">
        <v>1145</v>
      </c>
      <c r="H1327" s="281" t="s">
        <v>100</v>
      </c>
      <c r="I1327" s="136"/>
      <c r="J1327" s="138" t="s">
        <v>1146</v>
      </c>
      <c r="K1327" s="136"/>
      <c r="L1327" s="146">
        <v>46216</v>
      </c>
      <c r="M1327" s="136"/>
      <c r="N1327" s="281" t="s">
        <v>2898</v>
      </c>
      <c r="O1327" s="146">
        <v>46219</v>
      </c>
      <c r="P1327" s="138">
        <v>0</v>
      </c>
      <c r="Q1327" s="138">
        <v>120</v>
      </c>
      <c r="R1327" s="138">
        <v>34</v>
      </c>
      <c r="S1327" s="138">
        <v>154</v>
      </c>
      <c r="T1327" s="138">
        <v>154</v>
      </c>
      <c r="U1327" s="136"/>
      <c r="V1327" s="136"/>
      <c r="W1327" s="147">
        <v>91.1</v>
      </c>
      <c r="X1327" s="147">
        <v>91</v>
      </c>
      <c r="Y1327" s="147">
        <v>734357.1</v>
      </c>
      <c r="Z1327" s="147">
        <v>39.64</v>
      </c>
      <c r="AA1327" s="147">
        <v>18358.93</v>
      </c>
      <c r="AB1327" s="147">
        <v>18358.93</v>
      </c>
      <c r="AC1327" s="147">
        <v>771074.96</v>
      </c>
      <c r="AD1327" s="315">
        <f t="shared" si="922"/>
        <v>770303.88503999996</v>
      </c>
      <c r="AE1327" s="147">
        <v>39.64</v>
      </c>
      <c r="AF1327" s="147">
        <v>42</v>
      </c>
      <c r="AG1327" s="147">
        <v>39.64</v>
      </c>
      <c r="AH1327" s="287">
        <v>1.5E-3</v>
      </c>
      <c r="AI1327" s="395">
        <v>2.53E-2</v>
      </c>
      <c r="AJ1327" s="287">
        <v>5.3999999999999999E-2</v>
      </c>
      <c r="AK1327" s="318">
        <f t="shared" si="901"/>
        <v>41263.875142857134</v>
      </c>
      <c r="AL1327" s="193">
        <v>0</v>
      </c>
      <c r="AM1327" s="319">
        <v>0</v>
      </c>
      <c r="AN1327" s="319"/>
      <c r="AO1327" s="320">
        <f t="shared" si="902"/>
        <v>0</v>
      </c>
      <c r="AP1327" s="193">
        <v>0</v>
      </c>
      <c r="AQ1327" s="318">
        <v>0</v>
      </c>
      <c r="AR1327" s="318">
        <f t="shared" si="903"/>
        <v>41263.875142857134</v>
      </c>
      <c r="AS1327" s="318">
        <f t="shared" si="904"/>
        <v>43327</v>
      </c>
      <c r="AT1327" s="321">
        <v>0</v>
      </c>
      <c r="AU1327" s="157"/>
      <c r="AV1327" s="136"/>
      <c r="AW1327" s="318">
        <f t="shared" si="905"/>
        <v>9110</v>
      </c>
      <c r="AX1327" s="193"/>
      <c r="AY1327" s="318">
        <f t="shared" si="906"/>
        <v>9110</v>
      </c>
      <c r="AZ1327" s="318">
        <f t="shared" si="907"/>
        <v>9100</v>
      </c>
      <c r="BA1327" s="318">
        <f t="shared" si="908"/>
        <v>10</v>
      </c>
      <c r="BB1327" s="318">
        <f t="shared" si="909"/>
        <v>18.22</v>
      </c>
      <c r="BC1327" s="318">
        <v>0</v>
      </c>
      <c r="BD1327" s="136"/>
      <c r="BE1327" s="138">
        <v>91.1</v>
      </c>
      <c r="BF1327" s="321">
        <f t="shared" si="910"/>
        <v>0.13664999999999999</v>
      </c>
      <c r="BG1327" s="197">
        <f t="shared" si="911"/>
        <v>90.963349999999991</v>
      </c>
      <c r="BH1327" s="321">
        <f t="shared" si="912"/>
        <v>91</v>
      </c>
      <c r="BI1327" s="322">
        <f t="shared" si="913"/>
        <v>9.9999999999994316</v>
      </c>
      <c r="BJ1327" s="322">
        <v>0</v>
      </c>
      <c r="BK1327" s="318">
        <f t="shared" si="914"/>
        <v>9.9999999999994316</v>
      </c>
      <c r="BL1327" s="67"/>
      <c r="BM1327" s="68" t="str">
        <f t="shared" si="915"/>
        <v>Unloading no. 1292 Bill No 2026-27/430 ,Deduction For Oil Deduction= 41263.8751428571 ,Bardana= 0 ,F.M= 0 Brokerage/Rate Difference  ,Shortage = 0 ,Greenish= 0 ,Moisture= 0</v>
      </c>
      <c r="BN1327" s="69"/>
      <c r="BO1327" s="70" t="str">
        <f t="shared" si="916"/>
        <v xml:space="preserve"> Party Condition 42  ,F.M% 0.15 ,Greenish 2.53 ,Moisture 5.4 ,Shortage in KG= 0  ,Oil% 39.64</v>
      </c>
      <c r="BP1327" s="71">
        <f t="shared" si="917"/>
        <v>7616.4090643642076</v>
      </c>
      <c r="BQ1327" s="55"/>
      <c r="BR1327" s="55"/>
      <c r="BS1327" s="41"/>
      <c r="BT1327" s="41"/>
      <c r="BU1327" s="41"/>
      <c r="BV1327" s="41"/>
      <c r="BW1327" s="85"/>
      <c r="BX1327" s="27">
        <v>39.619999999999997</v>
      </c>
      <c r="BY1327" s="27">
        <v>39.42</v>
      </c>
    </row>
    <row r="1328" spans="1:83" ht="14.1" hidden="1" customHeight="1" x14ac:dyDescent="0.3">
      <c r="A1328" s="281" t="s">
        <v>2670</v>
      </c>
      <c r="B1328" s="146">
        <v>46212</v>
      </c>
      <c r="C1328" s="138">
        <v>1293</v>
      </c>
      <c r="D1328" s="138" t="s">
        <v>2844</v>
      </c>
      <c r="E1328" s="129">
        <v>46219</v>
      </c>
      <c r="F1328" s="128" t="s">
        <v>2497</v>
      </c>
      <c r="G1328" s="128" t="s">
        <v>2498</v>
      </c>
      <c r="H1328" s="281" t="s">
        <v>100</v>
      </c>
      <c r="I1328" s="136"/>
      <c r="J1328" s="138" t="s">
        <v>1146</v>
      </c>
      <c r="K1328" s="136"/>
      <c r="L1328" s="146">
        <v>46212</v>
      </c>
      <c r="M1328" s="136"/>
      <c r="N1328" s="281" t="s">
        <v>2899</v>
      </c>
      <c r="O1328" s="146">
        <v>46219</v>
      </c>
      <c r="P1328" s="138">
        <v>0</v>
      </c>
      <c r="Q1328" s="138">
        <v>120</v>
      </c>
      <c r="R1328" s="138">
        <v>40</v>
      </c>
      <c r="S1328" s="138">
        <v>160</v>
      </c>
      <c r="T1328" s="138">
        <v>160</v>
      </c>
      <c r="U1328" s="136"/>
      <c r="V1328" s="136"/>
      <c r="W1328" s="147">
        <v>93.7</v>
      </c>
      <c r="X1328" s="147">
        <v>93.6</v>
      </c>
      <c r="Y1328" s="147">
        <v>749693.7</v>
      </c>
      <c r="Z1328" s="147">
        <v>40.19</v>
      </c>
      <c r="AA1328" s="147">
        <v>18742.34</v>
      </c>
      <c r="AB1328" s="147">
        <v>18742.34</v>
      </c>
      <c r="AC1328" s="147">
        <v>787178.39</v>
      </c>
      <c r="AD1328" s="315">
        <f t="shared" si="922"/>
        <v>786391.21161</v>
      </c>
      <c r="AE1328" s="147">
        <v>40.19</v>
      </c>
      <c r="AF1328" s="147">
        <v>42</v>
      </c>
      <c r="AG1328" s="147">
        <v>40.19</v>
      </c>
      <c r="AH1328" s="287">
        <v>2.3999999999999998E-3</v>
      </c>
      <c r="AI1328" s="395">
        <v>2.7199999999999998E-2</v>
      </c>
      <c r="AJ1328" s="287">
        <v>5.0999999999999997E-2</v>
      </c>
      <c r="AK1328" s="318">
        <f t="shared" si="901"/>
        <v>32308.228500000041</v>
      </c>
      <c r="AL1328" s="193">
        <v>0</v>
      </c>
      <c r="AM1328" s="319">
        <v>0</v>
      </c>
      <c r="AN1328" s="319"/>
      <c r="AO1328" s="320">
        <f t="shared" si="902"/>
        <v>0</v>
      </c>
      <c r="AP1328" s="193">
        <v>0</v>
      </c>
      <c r="AQ1328" s="318">
        <v>0</v>
      </c>
      <c r="AR1328" s="318">
        <f t="shared" si="903"/>
        <v>32308.228500000041</v>
      </c>
      <c r="AS1328" s="318">
        <f t="shared" si="904"/>
        <v>33924</v>
      </c>
      <c r="AT1328" s="321">
        <v>0</v>
      </c>
      <c r="AU1328" s="157"/>
      <c r="AV1328" s="136"/>
      <c r="AW1328" s="318">
        <f t="shared" si="905"/>
        <v>9370</v>
      </c>
      <c r="AX1328" s="193"/>
      <c r="AY1328" s="318">
        <f t="shared" si="906"/>
        <v>9370</v>
      </c>
      <c r="AZ1328" s="318">
        <f t="shared" si="907"/>
        <v>9360</v>
      </c>
      <c r="BA1328" s="318">
        <f t="shared" si="908"/>
        <v>10</v>
      </c>
      <c r="BB1328" s="318">
        <f t="shared" si="909"/>
        <v>18.739999999999998</v>
      </c>
      <c r="BC1328" s="318">
        <v>0</v>
      </c>
      <c r="BD1328" s="136"/>
      <c r="BE1328" s="138">
        <v>93.7</v>
      </c>
      <c r="BF1328" s="321">
        <f t="shared" si="910"/>
        <v>0.14055000000000001</v>
      </c>
      <c r="BG1328" s="197">
        <f t="shared" si="911"/>
        <v>93.559449999999998</v>
      </c>
      <c r="BH1328" s="321">
        <f t="shared" si="912"/>
        <v>93.6</v>
      </c>
      <c r="BI1328" s="322">
        <f t="shared" si="913"/>
        <v>10.000000000000853</v>
      </c>
      <c r="BJ1328" s="322">
        <v>0</v>
      </c>
      <c r="BK1328" s="318">
        <f t="shared" si="914"/>
        <v>10.000000000000853</v>
      </c>
      <c r="BL1328" s="67"/>
      <c r="BM1328" s="68" t="str">
        <f t="shared" si="915"/>
        <v>Unloading no. 1293 Bill No HA/26-27/0419 ,Deduction For Oil Deduction= 32308.2285 ,Bardana= 0 ,F.M= 0 Brokerage/Rate Difference  ,Shortage = 0 ,Greenish= 0 ,Moisture= 0</v>
      </c>
      <c r="BN1328" s="69"/>
      <c r="BO1328" s="70" t="str">
        <f t="shared" si="916"/>
        <v xml:space="preserve"> Party Condition 42  ,F.M% 0.24 ,Greenish 2.72 ,Moisture 5.1 ,Shortage in KG= 0  ,Oil% 40.19</v>
      </c>
      <c r="BP1328" s="71">
        <f t="shared" si="917"/>
        <v>7664.3746955128199</v>
      </c>
      <c r="BQ1328" s="55"/>
      <c r="BR1328" s="55"/>
      <c r="BS1328" s="41"/>
      <c r="BT1328" s="41"/>
      <c r="BU1328" s="41"/>
      <c r="BV1328" s="41"/>
      <c r="BW1328" s="85"/>
      <c r="BX1328" s="27">
        <v>39.950000000000003</v>
      </c>
      <c r="BY1328" s="27">
        <v>39.89</v>
      </c>
    </row>
    <row r="1329" spans="1:77" ht="14.1" hidden="1" customHeight="1" x14ac:dyDescent="0.3">
      <c r="A1329" s="281" t="s">
        <v>2670</v>
      </c>
      <c r="B1329" s="146">
        <v>46212</v>
      </c>
      <c r="C1329" s="138">
        <v>1294</v>
      </c>
      <c r="D1329" s="138" t="s">
        <v>2845</v>
      </c>
      <c r="E1329" s="129">
        <v>46219</v>
      </c>
      <c r="F1329" s="128" t="s">
        <v>2497</v>
      </c>
      <c r="G1329" s="128" t="s">
        <v>2498</v>
      </c>
      <c r="H1329" s="281" t="s">
        <v>100</v>
      </c>
      <c r="I1329" s="136"/>
      <c r="J1329" s="138" t="s">
        <v>1146</v>
      </c>
      <c r="K1329" s="136"/>
      <c r="L1329" s="146">
        <v>46212</v>
      </c>
      <c r="M1329" s="136"/>
      <c r="N1329" s="281" t="s">
        <v>2900</v>
      </c>
      <c r="O1329" s="146">
        <v>46219</v>
      </c>
      <c r="P1329" s="138">
        <v>0</v>
      </c>
      <c r="Q1329" s="138">
        <v>130</v>
      </c>
      <c r="R1329" s="138">
        <v>30</v>
      </c>
      <c r="S1329" s="138">
        <v>160</v>
      </c>
      <c r="T1329" s="138">
        <v>160</v>
      </c>
      <c r="U1329" s="136"/>
      <c r="V1329" s="136"/>
      <c r="W1329" s="147">
        <v>93.5</v>
      </c>
      <c r="X1329" s="147">
        <v>93.4</v>
      </c>
      <c r="Y1329" s="147">
        <v>748093.5</v>
      </c>
      <c r="Z1329" s="147">
        <v>40.22</v>
      </c>
      <c r="AA1329" s="147">
        <v>18702.34</v>
      </c>
      <c r="AB1329" s="147">
        <v>18702.34</v>
      </c>
      <c r="AC1329" s="147">
        <v>785498.18</v>
      </c>
      <c r="AD1329" s="315">
        <f t="shared" si="922"/>
        <v>784712.68182000006</v>
      </c>
      <c r="AE1329" s="147">
        <v>40.22</v>
      </c>
      <c r="AF1329" s="147">
        <v>42</v>
      </c>
      <c r="AG1329" s="147">
        <v>40.22</v>
      </c>
      <c r="AH1329" s="287">
        <v>2.5999999999999999E-3</v>
      </c>
      <c r="AI1329" s="395">
        <v>0.03</v>
      </c>
      <c r="AJ1329" s="287">
        <v>0.05</v>
      </c>
      <c r="AK1329" s="318">
        <f t="shared" si="901"/>
        <v>31704.915000000019</v>
      </c>
      <c r="AL1329" s="193">
        <v>0</v>
      </c>
      <c r="AM1329" s="319">
        <v>0</v>
      </c>
      <c r="AN1329" s="319"/>
      <c r="AO1329" s="320">
        <f t="shared" si="902"/>
        <v>0</v>
      </c>
      <c r="AP1329" s="193">
        <v>0</v>
      </c>
      <c r="AQ1329" s="318">
        <v>0</v>
      </c>
      <c r="AR1329" s="318">
        <f t="shared" si="903"/>
        <v>31704.915000000019</v>
      </c>
      <c r="AS1329" s="318">
        <f t="shared" si="904"/>
        <v>33290</v>
      </c>
      <c r="AT1329" s="321">
        <v>0</v>
      </c>
      <c r="AU1329" s="157"/>
      <c r="AV1329" s="136"/>
      <c r="AW1329" s="318">
        <f t="shared" si="905"/>
        <v>9350</v>
      </c>
      <c r="AX1329" s="193"/>
      <c r="AY1329" s="318">
        <f t="shared" si="906"/>
        <v>9350</v>
      </c>
      <c r="AZ1329" s="318">
        <f t="shared" si="907"/>
        <v>9340</v>
      </c>
      <c r="BA1329" s="318">
        <f t="shared" si="908"/>
        <v>10</v>
      </c>
      <c r="BB1329" s="318">
        <f t="shared" si="909"/>
        <v>18.7</v>
      </c>
      <c r="BC1329" s="318">
        <v>0</v>
      </c>
      <c r="BD1329" s="136"/>
      <c r="BE1329" s="138">
        <v>93.5</v>
      </c>
      <c r="BF1329" s="321">
        <f t="shared" si="910"/>
        <v>0.14025000000000001</v>
      </c>
      <c r="BG1329" s="197">
        <f t="shared" si="911"/>
        <v>93.359750000000005</v>
      </c>
      <c r="BH1329" s="321">
        <f t="shared" si="912"/>
        <v>93.4</v>
      </c>
      <c r="BI1329" s="322">
        <f t="shared" si="913"/>
        <v>9.9999999999994316</v>
      </c>
      <c r="BJ1329" s="322">
        <v>0</v>
      </c>
      <c r="BK1329" s="318">
        <f t="shared" si="914"/>
        <v>9.9999999999994316</v>
      </c>
      <c r="BL1329" s="67"/>
      <c r="BM1329" s="68" t="str">
        <f t="shared" si="915"/>
        <v>Unloading no. 1294 Bill No HA/26-27/0420 ,Deduction For Oil Deduction= 31704.915 ,Bardana= 0 ,F.M= 0 Brokerage/Rate Difference  ,Shortage = 0 ,Greenish= 0 ,Moisture= 0</v>
      </c>
      <c r="BN1329" s="69"/>
      <c r="BO1329" s="70" t="str">
        <f t="shared" si="916"/>
        <v xml:space="preserve"> Party Condition 42  ,F.M% 0.26 ,Greenish 3 ,Moisture 5 ,Shortage in KG= 0  ,Oil% 40.22</v>
      </c>
      <c r="BP1329" s="71">
        <f t="shared" si="917"/>
        <v>7670.1133297644528</v>
      </c>
      <c r="BQ1329" s="55"/>
      <c r="BR1329" s="55"/>
      <c r="BS1329" s="41"/>
      <c r="BT1329" s="41"/>
      <c r="BU1329" s="41"/>
      <c r="BV1329" s="41"/>
      <c r="BW1329" s="85"/>
      <c r="BX1329" s="27">
        <v>40.24</v>
      </c>
      <c r="BY1329" s="27">
        <v>40.020000000000003</v>
      </c>
    </row>
    <row r="1330" spans="1:77" ht="14.1" hidden="1" customHeight="1" x14ac:dyDescent="0.3">
      <c r="A1330" s="281" t="s">
        <v>2670</v>
      </c>
      <c r="B1330" s="146">
        <v>46212</v>
      </c>
      <c r="C1330" s="138">
        <v>1295</v>
      </c>
      <c r="D1330" s="138" t="s">
        <v>2846</v>
      </c>
      <c r="E1330" s="129">
        <v>46219</v>
      </c>
      <c r="F1330" s="128" t="s">
        <v>2497</v>
      </c>
      <c r="G1330" s="128" t="s">
        <v>2498</v>
      </c>
      <c r="H1330" s="281" t="s">
        <v>100</v>
      </c>
      <c r="I1330" s="136"/>
      <c r="J1330" s="138" t="s">
        <v>1146</v>
      </c>
      <c r="K1330" s="136"/>
      <c r="L1330" s="146">
        <v>46212</v>
      </c>
      <c r="M1330" s="136"/>
      <c r="N1330" s="281" t="s">
        <v>2901</v>
      </c>
      <c r="O1330" s="146">
        <v>46219</v>
      </c>
      <c r="P1330" s="138">
        <v>0</v>
      </c>
      <c r="Q1330" s="138">
        <v>150</v>
      </c>
      <c r="R1330" s="138">
        <v>10</v>
      </c>
      <c r="S1330" s="138">
        <v>160</v>
      </c>
      <c r="T1330" s="138">
        <v>160</v>
      </c>
      <c r="U1330" s="136"/>
      <c r="V1330" s="136"/>
      <c r="W1330" s="147">
        <v>95.2</v>
      </c>
      <c r="X1330" s="147">
        <v>95.1</v>
      </c>
      <c r="Y1330" s="147">
        <v>761695.2</v>
      </c>
      <c r="Z1330" s="147">
        <v>39.979999999999997</v>
      </c>
      <c r="AA1330" s="147">
        <v>19042.38</v>
      </c>
      <c r="AB1330" s="147">
        <v>19042.38</v>
      </c>
      <c r="AC1330" s="147">
        <v>799779.96</v>
      </c>
      <c r="AD1330" s="315">
        <f t="shared" si="922"/>
        <v>798980.18004000001</v>
      </c>
      <c r="AE1330" s="147">
        <v>39.979999999999997</v>
      </c>
      <c r="AF1330" s="147">
        <v>42</v>
      </c>
      <c r="AG1330" s="147">
        <v>39.979999999999997</v>
      </c>
      <c r="AH1330" s="287">
        <v>2.8E-3</v>
      </c>
      <c r="AI1330" s="395">
        <v>3.8800000000000001E-2</v>
      </c>
      <c r="AJ1330" s="287">
        <v>5.5E-2</v>
      </c>
      <c r="AK1330" s="318">
        <f t="shared" si="901"/>
        <v>36633.912000000055</v>
      </c>
      <c r="AL1330" s="193">
        <v>0</v>
      </c>
      <c r="AM1330" s="319">
        <v>0</v>
      </c>
      <c r="AN1330" s="319"/>
      <c r="AO1330" s="320">
        <f t="shared" si="902"/>
        <v>0</v>
      </c>
      <c r="AP1330" s="193">
        <v>0</v>
      </c>
      <c r="AQ1330" s="318">
        <v>0</v>
      </c>
      <c r="AR1330" s="318">
        <f t="shared" si="903"/>
        <v>36633.912000000055</v>
      </c>
      <c r="AS1330" s="318">
        <f t="shared" si="904"/>
        <v>38466</v>
      </c>
      <c r="AT1330" s="321">
        <v>0</v>
      </c>
      <c r="AU1330" s="157"/>
      <c r="AV1330" s="136"/>
      <c r="AW1330" s="318">
        <f t="shared" si="905"/>
        <v>9520</v>
      </c>
      <c r="AX1330" s="193"/>
      <c r="AY1330" s="318">
        <f t="shared" si="906"/>
        <v>9520</v>
      </c>
      <c r="AZ1330" s="318">
        <f t="shared" si="907"/>
        <v>9510</v>
      </c>
      <c r="BA1330" s="318">
        <f t="shared" si="908"/>
        <v>10</v>
      </c>
      <c r="BB1330" s="318">
        <f t="shared" si="909"/>
        <v>19.04</v>
      </c>
      <c r="BC1330" s="318">
        <v>0</v>
      </c>
      <c r="BD1330" s="136"/>
      <c r="BE1330" s="138">
        <v>95.2</v>
      </c>
      <c r="BF1330" s="321">
        <f t="shared" si="910"/>
        <v>0.14279999999999998</v>
      </c>
      <c r="BG1330" s="197">
        <f t="shared" si="911"/>
        <v>95.057200000000009</v>
      </c>
      <c r="BH1330" s="321">
        <f t="shared" si="912"/>
        <v>95.1</v>
      </c>
      <c r="BI1330" s="322">
        <f t="shared" si="913"/>
        <v>10.000000000000853</v>
      </c>
      <c r="BJ1330" s="322">
        <v>0</v>
      </c>
      <c r="BK1330" s="318">
        <f t="shared" si="914"/>
        <v>10.000000000000853</v>
      </c>
      <c r="BL1330" s="67"/>
      <c r="BM1330" s="68" t="str">
        <f t="shared" si="915"/>
        <v>Unloading no. 1295 Bill No HA/26-27/0421 ,Deduction For Oil Deduction= 36633.9120000001 ,Bardana= 0 ,F.M= 0 Brokerage/Rate Difference  ,Shortage = 0 ,Greenish= 0 ,Moisture= 0</v>
      </c>
      <c r="BN1330" s="69"/>
      <c r="BO1330" s="70" t="str">
        <f t="shared" si="916"/>
        <v xml:space="preserve"> Party Condition 42  ,F.M% 0.28 ,Greenish 3.88 ,Moisture 5.5 ,Shortage in KG= 0  ,Oil% 39.98</v>
      </c>
      <c r="BP1330" s="71">
        <f t="shared" si="917"/>
        <v>7624.1986119873818</v>
      </c>
      <c r="BQ1330" s="55"/>
      <c r="BR1330" s="55"/>
      <c r="BS1330" s="41"/>
      <c r="BT1330" s="41"/>
      <c r="BU1330" s="41"/>
      <c r="BV1330" s="41"/>
      <c r="BW1330" s="85"/>
      <c r="BX1330" s="27">
        <v>39.74</v>
      </c>
      <c r="BY1330" s="27">
        <v>39.700000000000003</v>
      </c>
    </row>
    <row r="1331" spans="1:77" ht="14.1" hidden="1" customHeight="1" x14ac:dyDescent="0.3">
      <c r="A1331" s="281" t="s">
        <v>2670</v>
      </c>
      <c r="B1331" s="146">
        <v>46212</v>
      </c>
      <c r="C1331" s="138">
        <v>1296</v>
      </c>
      <c r="D1331" s="138" t="s">
        <v>2847</v>
      </c>
      <c r="E1331" s="129">
        <v>46219</v>
      </c>
      <c r="F1331" s="128" t="s">
        <v>2497</v>
      </c>
      <c r="G1331" s="128" t="s">
        <v>2498</v>
      </c>
      <c r="H1331" s="281" t="s">
        <v>100</v>
      </c>
      <c r="I1331" s="136"/>
      <c r="J1331" s="138" t="s">
        <v>1146</v>
      </c>
      <c r="K1331" s="136"/>
      <c r="L1331" s="146">
        <v>46212</v>
      </c>
      <c r="M1331" s="136"/>
      <c r="N1331" s="281" t="s">
        <v>2902</v>
      </c>
      <c r="O1331" s="146">
        <v>46219</v>
      </c>
      <c r="P1331" s="138">
        <v>0</v>
      </c>
      <c r="Q1331" s="138">
        <v>120</v>
      </c>
      <c r="R1331" s="138">
        <v>40</v>
      </c>
      <c r="S1331" s="138">
        <v>160</v>
      </c>
      <c r="T1331" s="138">
        <v>160</v>
      </c>
      <c r="U1331" s="136"/>
      <c r="V1331" s="136"/>
      <c r="W1331" s="147">
        <v>95.3</v>
      </c>
      <c r="X1331" s="147">
        <v>95.3</v>
      </c>
      <c r="Y1331" s="147">
        <v>762495.3</v>
      </c>
      <c r="Z1331" s="147">
        <v>40</v>
      </c>
      <c r="AA1331" s="147">
        <v>19062.38</v>
      </c>
      <c r="AB1331" s="147">
        <v>19062.38</v>
      </c>
      <c r="AC1331" s="147">
        <v>800620.07</v>
      </c>
      <c r="AD1331" s="315">
        <f t="shared" si="922"/>
        <v>799819.44993</v>
      </c>
      <c r="AE1331" s="147">
        <v>40</v>
      </c>
      <c r="AF1331" s="147">
        <v>42</v>
      </c>
      <c r="AG1331" s="147">
        <v>40</v>
      </c>
      <c r="AH1331" s="287">
        <v>3.8E-3</v>
      </c>
      <c r="AI1331" s="395">
        <v>0.03</v>
      </c>
      <c r="AJ1331" s="287">
        <v>5.2999999999999999E-2</v>
      </c>
      <c r="AK1331" s="318">
        <f t="shared" si="901"/>
        <v>36309.300000000003</v>
      </c>
      <c r="AL1331" s="193">
        <v>0</v>
      </c>
      <c r="AM1331" s="319">
        <v>0</v>
      </c>
      <c r="AN1331" s="319"/>
      <c r="AO1331" s="320">
        <f t="shared" si="902"/>
        <v>0</v>
      </c>
      <c r="AP1331" s="193">
        <v>0</v>
      </c>
      <c r="AQ1331" s="318">
        <v>0</v>
      </c>
      <c r="AR1331" s="318">
        <f t="shared" si="903"/>
        <v>36309.300000000003</v>
      </c>
      <c r="AS1331" s="318">
        <f t="shared" si="904"/>
        <v>38125</v>
      </c>
      <c r="AT1331" s="321">
        <v>0</v>
      </c>
      <c r="AU1331" s="157"/>
      <c r="AV1331" s="136"/>
      <c r="AW1331" s="318">
        <f t="shared" si="905"/>
        <v>9530</v>
      </c>
      <c r="AX1331" s="193"/>
      <c r="AY1331" s="318">
        <f t="shared" si="906"/>
        <v>9530</v>
      </c>
      <c r="AZ1331" s="318">
        <f t="shared" si="907"/>
        <v>9530</v>
      </c>
      <c r="BA1331" s="318">
        <f t="shared" si="908"/>
        <v>0</v>
      </c>
      <c r="BB1331" s="318">
        <f t="shared" si="909"/>
        <v>19.059999999999999</v>
      </c>
      <c r="BC1331" s="318">
        <v>0</v>
      </c>
      <c r="BD1331" s="136"/>
      <c r="BE1331" s="138">
        <v>95.3</v>
      </c>
      <c r="BF1331" s="321">
        <f t="shared" si="910"/>
        <v>0.14294999999999999</v>
      </c>
      <c r="BG1331" s="197">
        <f t="shared" si="911"/>
        <v>95.157049999999998</v>
      </c>
      <c r="BH1331" s="321">
        <f t="shared" si="912"/>
        <v>95.3</v>
      </c>
      <c r="BI1331" s="322">
        <f t="shared" si="913"/>
        <v>0</v>
      </c>
      <c r="BJ1331" s="322">
        <v>0</v>
      </c>
      <c r="BK1331" s="318">
        <f t="shared" si="914"/>
        <v>0</v>
      </c>
      <c r="BL1331" s="67"/>
      <c r="BM1331" s="68" t="str">
        <f t="shared" si="915"/>
        <v>Unloading no. 1296 Bill No HA/26-27/0422 ,Deduction For Oil Deduction= 36309.3 ,Bardana= 0 ,F.M= 0 Brokerage/Rate Difference  ,Shortage = 0 ,Greenish= 0 ,Moisture= 0</v>
      </c>
      <c r="BN1331" s="69"/>
      <c r="BO1331" s="70" t="str">
        <f t="shared" si="916"/>
        <v xml:space="preserve"> Party Condition 42  ,F.M% 0.38 ,Greenish 3 ,Moisture 5.3 ,Shortage in KG= 0  ,Oil% 40</v>
      </c>
      <c r="BP1331" s="71">
        <f t="shared" si="917"/>
        <v>7620</v>
      </c>
      <c r="BQ1331" s="55"/>
      <c r="BR1331" s="55"/>
      <c r="BS1331" s="41"/>
      <c r="BT1331" s="41"/>
      <c r="BU1331" s="41"/>
      <c r="BV1331" s="41"/>
      <c r="BW1331" s="85"/>
      <c r="BX1331" s="27">
        <v>39.85</v>
      </c>
      <c r="BY1331" s="27">
        <v>39.840000000000003</v>
      </c>
    </row>
    <row r="1332" spans="1:77" ht="14.1" hidden="1" customHeight="1" x14ac:dyDescent="0.3">
      <c r="A1332" s="281" t="s">
        <v>2667</v>
      </c>
      <c r="B1332" s="146">
        <v>46216</v>
      </c>
      <c r="C1332" s="138">
        <v>1297</v>
      </c>
      <c r="D1332" s="138" t="s">
        <v>2848</v>
      </c>
      <c r="E1332" s="129">
        <v>46219</v>
      </c>
      <c r="F1332" s="128" t="s">
        <v>1144</v>
      </c>
      <c r="G1332" s="128" t="s">
        <v>1145</v>
      </c>
      <c r="H1332" s="281" t="s">
        <v>100</v>
      </c>
      <c r="I1332" s="136"/>
      <c r="J1332" s="138" t="s">
        <v>1146</v>
      </c>
      <c r="K1332" s="136"/>
      <c r="L1332" s="146">
        <v>46216</v>
      </c>
      <c r="M1332" s="136"/>
      <c r="N1332" s="281" t="s">
        <v>2903</v>
      </c>
      <c r="O1332" s="146">
        <v>46219</v>
      </c>
      <c r="P1332" s="138">
        <v>0</v>
      </c>
      <c r="Q1332" s="138">
        <v>150</v>
      </c>
      <c r="R1332" s="138">
        <v>50</v>
      </c>
      <c r="S1332" s="138">
        <v>200</v>
      </c>
      <c r="T1332" s="138">
        <v>200</v>
      </c>
      <c r="U1332" s="136"/>
      <c r="V1332" s="136"/>
      <c r="W1332" s="147">
        <v>103.1</v>
      </c>
      <c r="X1332" s="147">
        <v>103</v>
      </c>
      <c r="Y1332" s="147">
        <v>831089.1</v>
      </c>
      <c r="Z1332" s="147">
        <v>39.92</v>
      </c>
      <c r="AA1332" s="147">
        <v>20777.23</v>
      </c>
      <c r="AB1332" s="147">
        <v>20777.23</v>
      </c>
      <c r="AC1332" s="147">
        <v>872643.56</v>
      </c>
      <c r="AD1332" s="315">
        <f t="shared" si="922"/>
        <v>871770.91644000006</v>
      </c>
      <c r="AE1332" s="147">
        <v>39.92</v>
      </c>
      <c r="AF1332" s="147">
        <v>42</v>
      </c>
      <c r="AG1332" s="147">
        <v>39.92</v>
      </c>
      <c r="AH1332" s="287">
        <v>4.0000000000000001E-3</v>
      </c>
      <c r="AI1332" s="395">
        <v>5.4600000000000003E-2</v>
      </c>
      <c r="AJ1332" s="287">
        <v>4.9000000000000002E-2</v>
      </c>
      <c r="AK1332" s="318">
        <f t="shared" si="901"/>
        <v>41158.69828571425</v>
      </c>
      <c r="AL1332" s="193">
        <v>0</v>
      </c>
      <c r="AM1332" s="319">
        <v>0</v>
      </c>
      <c r="AN1332" s="319"/>
      <c r="AO1332" s="320">
        <f t="shared" si="902"/>
        <v>0</v>
      </c>
      <c r="AP1332" s="193">
        <v>0</v>
      </c>
      <c r="AQ1332" s="318">
        <v>0</v>
      </c>
      <c r="AR1332" s="318">
        <f t="shared" si="903"/>
        <v>41158.69828571425</v>
      </c>
      <c r="AS1332" s="318">
        <f t="shared" si="904"/>
        <v>43217</v>
      </c>
      <c r="AT1332" s="321">
        <v>0</v>
      </c>
      <c r="AU1332" s="157"/>
      <c r="AV1332" s="136"/>
      <c r="AW1332" s="318">
        <f t="shared" si="905"/>
        <v>10310</v>
      </c>
      <c r="AX1332" s="193"/>
      <c r="AY1332" s="318">
        <f t="shared" si="906"/>
        <v>10310</v>
      </c>
      <c r="AZ1332" s="318">
        <f t="shared" si="907"/>
        <v>10300</v>
      </c>
      <c r="BA1332" s="318">
        <f t="shared" si="908"/>
        <v>10</v>
      </c>
      <c r="BB1332" s="318">
        <f t="shared" si="909"/>
        <v>20.62</v>
      </c>
      <c r="BC1332" s="318">
        <v>0</v>
      </c>
      <c r="BD1332" s="136"/>
      <c r="BE1332" s="138">
        <v>103.1</v>
      </c>
      <c r="BF1332" s="321">
        <f t="shared" si="910"/>
        <v>0.15464999999999998</v>
      </c>
      <c r="BG1332" s="197">
        <f t="shared" si="911"/>
        <v>102.94534999999999</v>
      </c>
      <c r="BH1332" s="321">
        <f t="shared" si="912"/>
        <v>103</v>
      </c>
      <c r="BI1332" s="322">
        <f t="shared" si="913"/>
        <v>9.9999999999994316</v>
      </c>
      <c r="BJ1332" s="322">
        <v>0</v>
      </c>
      <c r="BK1332" s="318">
        <f t="shared" si="914"/>
        <v>9.9999999999994316</v>
      </c>
      <c r="BL1332" s="67"/>
      <c r="BM1332" s="68" t="str">
        <f t="shared" si="915"/>
        <v>Unloading no. 1297 Bill No 2026-27/431 ,Deduction For Oil Deduction= 41158.6982857143 ,Bardana= 0 ,F.M= 0 Brokerage/Rate Difference  ,Shortage = 0 ,Greenish= 0 ,Moisture= 0</v>
      </c>
      <c r="BN1332" s="69"/>
      <c r="BO1332" s="70" t="str">
        <f t="shared" si="916"/>
        <v xml:space="preserve"> Party Condition 42  ,F.M% 0.4 ,Greenish 5.46 ,Moisture 4.9 ,Shortage in KG= 0  ,Oil% 39.92</v>
      </c>
      <c r="BP1332" s="71">
        <f t="shared" si="917"/>
        <v>7669.2272011095702</v>
      </c>
      <c r="BQ1332" s="55"/>
      <c r="BR1332" s="55"/>
      <c r="BS1332" s="41"/>
      <c r="BT1332" s="41"/>
      <c r="BU1332" s="41"/>
      <c r="BV1332" s="41"/>
      <c r="BW1332" s="85"/>
      <c r="BX1332" s="27">
        <v>39.659999999999997</v>
      </c>
      <c r="BY1332" s="27">
        <v>39.46</v>
      </c>
    </row>
    <row r="1333" spans="1:77" ht="14.1" hidden="1" customHeight="1" x14ac:dyDescent="0.3">
      <c r="A1333" s="281" t="s">
        <v>2667</v>
      </c>
      <c r="B1333" s="146">
        <v>46216</v>
      </c>
      <c r="C1333" s="138">
        <v>1298</v>
      </c>
      <c r="D1333" s="138" t="s">
        <v>2849</v>
      </c>
      <c r="E1333" s="129">
        <v>46219</v>
      </c>
      <c r="F1333" s="128" t="s">
        <v>1144</v>
      </c>
      <c r="G1333" s="128" t="s">
        <v>1145</v>
      </c>
      <c r="H1333" s="281" t="s">
        <v>100</v>
      </c>
      <c r="I1333" s="136"/>
      <c r="J1333" s="138" t="s">
        <v>1146</v>
      </c>
      <c r="K1333" s="136"/>
      <c r="L1333" s="146">
        <v>46216</v>
      </c>
      <c r="M1333" s="136"/>
      <c r="N1333" s="281" t="s">
        <v>2904</v>
      </c>
      <c r="O1333" s="146">
        <v>46219</v>
      </c>
      <c r="P1333" s="138">
        <v>0</v>
      </c>
      <c r="Q1333" s="138">
        <v>170</v>
      </c>
      <c r="R1333" s="138">
        <v>30</v>
      </c>
      <c r="S1333" s="138">
        <v>200</v>
      </c>
      <c r="T1333" s="138">
        <v>200</v>
      </c>
      <c r="U1333" s="136"/>
      <c r="V1333" s="136"/>
      <c r="W1333" s="147">
        <v>103</v>
      </c>
      <c r="X1333" s="147">
        <v>103.1</v>
      </c>
      <c r="Y1333" s="147">
        <v>830283</v>
      </c>
      <c r="Z1333" s="147">
        <v>40.39</v>
      </c>
      <c r="AA1333" s="147">
        <v>20757.080000000002</v>
      </c>
      <c r="AB1333" s="147">
        <v>20757.080000000002</v>
      </c>
      <c r="AC1333" s="147">
        <v>871797.15</v>
      </c>
      <c r="AD1333" s="315">
        <f t="shared" si="922"/>
        <v>870925.35285000002</v>
      </c>
      <c r="AE1333" s="147">
        <v>40.39</v>
      </c>
      <c r="AF1333" s="147">
        <v>42</v>
      </c>
      <c r="AG1333" s="147">
        <v>40.39</v>
      </c>
      <c r="AH1333" s="287">
        <v>3.3E-3</v>
      </c>
      <c r="AI1333" s="395">
        <v>0.05</v>
      </c>
      <c r="AJ1333" s="287">
        <v>0.05</v>
      </c>
      <c r="AK1333" s="318">
        <f t="shared" si="901"/>
        <v>31827.514999999985</v>
      </c>
      <c r="AL1333" s="193">
        <v>0</v>
      </c>
      <c r="AM1333" s="319">
        <v>0</v>
      </c>
      <c r="AN1333" s="319"/>
      <c r="AO1333" s="320">
        <f t="shared" si="902"/>
        <v>0</v>
      </c>
      <c r="AP1333" s="193">
        <v>0</v>
      </c>
      <c r="AQ1333" s="318">
        <v>0</v>
      </c>
      <c r="AR1333" s="318">
        <f t="shared" si="903"/>
        <v>31827.514999999985</v>
      </c>
      <c r="AS1333" s="318">
        <f t="shared" si="904"/>
        <v>33419</v>
      </c>
      <c r="AT1333" s="321">
        <v>0</v>
      </c>
      <c r="AU1333" s="157"/>
      <c r="AV1333" s="136"/>
      <c r="AW1333" s="318">
        <f t="shared" si="905"/>
        <v>10300</v>
      </c>
      <c r="AX1333" s="193"/>
      <c r="AY1333" s="318">
        <f t="shared" si="906"/>
        <v>10300</v>
      </c>
      <c r="AZ1333" s="318">
        <f t="shared" si="907"/>
        <v>10310</v>
      </c>
      <c r="BA1333" s="318">
        <f t="shared" si="908"/>
        <v>-10</v>
      </c>
      <c r="BB1333" s="318">
        <f t="shared" si="909"/>
        <v>20.6</v>
      </c>
      <c r="BC1333" s="318">
        <v>0</v>
      </c>
      <c r="BD1333" s="136"/>
      <c r="BE1333" s="138">
        <v>103</v>
      </c>
      <c r="BF1333" s="321">
        <f t="shared" si="910"/>
        <v>0.1545</v>
      </c>
      <c r="BG1333" s="197">
        <f t="shared" si="911"/>
        <v>102.8455</v>
      </c>
      <c r="BH1333" s="321">
        <f t="shared" si="912"/>
        <v>103.1</v>
      </c>
      <c r="BI1333" s="322">
        <f t="shared" si="913"/>
        <v>-9.9999999999994316</v>
      </c>
      <c r="BJ1333" s="322">
        <v>0</v>
      </c>
      <c r="BK1333" s="318">
        <f t="shared" si="914"/>
        <v>-9.9999999999994316</v>
      </c>
      <c r="BL1333" s="67"/>
      <c r="BM1333" s="68" t="str">
        <f t="shared" si="915"/>
        <v>Unloading no. 1298 Bill No 2026-27/432 ,Deduction For Oil Deduction= 31827.515 ,Bardana= 0 ,F.M= 0 Brokerage/Rate Difference  ,Shortage = 0 ,Greenish= 0 ,Moisture= 0</v>
      </c>
      <c r="BN1333" s="69"/>
      <c r="BO1333" s="70" t="str">
        <f t="shared" si="916"/>
        <v xml:space="preserve"> Party Condition 42  ,F.M% 0.33 ,Greenish 5 ,Moisture 5 ,Shortage in KG= 0  ,Oil% 40.39</v>
      </c>
      <c r="BP1333" s="71">
        <f t="shared" si="917"/>
        <v>7744.4760911736184</v>
      </c>
      <c r="BQ1333" s="55"/>
      <c r="BR1333" s="55"/>
      <c r="BS1333" s="41"/>
      <c r="BT1333" s="41"/>
      <c r="BU1333" s="41"/>
      <c r="BV1333" s="41"/>
      <c r="BW1333" s="85"/>
      <c r="BX1333" s="27">
        <v>40.18</v>
      </c>
      <c r="BY1333" s="27">
        <v>40.11</v>
      </c>
    </row>
    <row r="1334" spans="1:77" ht="14.1" hidden="1" customHeight="1" x14ac:dyDescent="0.3">
      <c r="A1334" s="281" t="s">
        <v>2670</v>
      </c>
      <c r="B1334" s="146">
        <v>46212</v>
      </c>
      <c r="C1334" s="138">
        <v>1299</v>
      </c>
      <c r="D1334" s="138" t="s">
        <v>2850</v>
      </c>
      <c r="E1334" s="129">
        <v>46219</v>
      </c>
      <c r="F1334" s="128" t="s">
        <v>2497</v>
      </c>
      <c r="G1334" s="128" t="s">
        <v>2498</v>
      </c>
      <c r="H1334" s="281" t="s">
        <v>100</v>
      </c>
      <c r="I1334" s="136"/>
      <c r="J1334" s="138" t="s">
        <v>1146</v>
      </c>
      <c r="K1334" s="136"/>
      <c r="L1334" s="146">
        <v>46212</v>
      </c>
      <c r="M1334" s="136"/>
      <c r="N1334" s="281" t="s">
        <v>2905</v>
      </c>
      <c r="O1334" s="146">
        <v>46219</v>
      </c>
      <c r="P1334" s="138">
        <v>0</v>
      </c>
      <c r="Q1334" s="138">
        <v>140</v>
      </c>
      <c r="R1334" s="138">
        <v>20</v>
      </c>
      <c r="S1334" s="138">
        <v>160</v>
      </c>
      <c r="T1334" s="138">
        <v>160</v>
      </c>
      <c r="U1334" s="136"/>
      <c r="V1334" s="136"/>
      <c r="W1334" s="147">
        <v>95.7</v>
      </c>
      <c r="X1334" s="147">
        <v>95.6</v>
      </c>
      <c r="Y1334" s="147">
        <v>765695.7</v>
      </c>
      <c r="Z1334" s="147">
        <v>40.04</v>
      </c>
      <c r="AA1334" s="147">
        <v>19142.39</v>
      </c>
      <c r="AB1334" s="147">
        <v>19142.39</v>
      </c>
      <c r="AC1334" s="147">
        <v>803980.49</v>
      </c>
      <c r="AD1334" s="315">
        <f t="shared" si="922"/>
        <v>803176.50951</v>
      </c>
      <c r="AE1334" s="147">
        <v>40.04</v>
      </c>
      <c r="AF1334" s="147">
        <v>42</v>
      </c>
      <c r="AG1334" s="147">
        <v>40.04</v>
      </c>
      <c r="AH1334" s="287">
        <v>2.8E-3</v>
      </c>
      <c r="AI1334" s="395">
        <v>4.8899999999999999E-2</v>
      </c>
      <c r="AJ1334" s="287">
        <v>5.0999999999999997E-2</v>
      </c>
      <c r="AK1334" s="318">
        <f t="shared" si="901"/>
        <v>35732.466000000015</v>
      </c>
      <c r="AL1334" s="193">
        <v>0</v>
      </c>
      <c r="AM1334" s="319">
        <v>0</v>
      </c>
      <c r="AN1334" s="319"/>
      <c r="AO1334" s="320">
        <f t="shared" si="902"/>
        <v>0</v>
      </c>
      <c r="AP1334" s="193">
        <v>0</v>
      </c>
      <c r="AQ1334" s="318">
        <v>0</v>
      </c>
      <c r="AR1334" s="318">
        <f t="shared" si="903"/>
        <v>35732.466000000015</v>
      </c>
      <c r="AS1334" s="318">
        <f t="shared" si="904"/>
        <v>37519</v>
      </c>
      <c r="AT1334" s="321">
        <v>0</v>
      </c>
      <c r="AU1334" s="157"/>
      <c r="AV1334" s="136"/>
      <c r="AW1334" s="318">
        <f t="shared" si="905"/>
        <v>9570</v>
      </c>
      <c r="AX1334" s="193"/>
      <c r="AY1334" s="318">
        <f t="shared" si="906"/>
        <v>9570</v>
      </c>
      <c r="AZ1334" s="318">
        <f t="shared" si="907"/>
        <v>9560</v>
      </c>
      <c r="BA1334" s="318">
        <f t="shared" si="908"/>
        <v>10</v>
      </c>
      <c r="BB1334" s="318">
        <f t="shared" si="909"/>
        <v>19.14</v>
      </c>
      <c r="BC1334" s="318">
        <v>0</v>
      </c>
      <c r="BD1334" s="136"/>
      <c r="BE1334" s="138">
        <v>95.7</v>
      </c>
      <c r="BF1334" s="321">
        <f t="shared" si="910"/>
        <v>0.14355000000000001</v>
      </c>
      <c r="BG1334" s="197">
        <f t="shared" si="911"/>
        <v>95.556449999999998</v>
      </c>
      <c r="BH1334" s="321">
        <f t="shared" si="912"/>
        <v>95.6</v>
      </c>
      <c r="BI1334" s="322">
        <f t="shared" si="913"/>
        <v>10.000000000000853</v>
      </c>
      <c r="BJ1334" s="322">
        <v>0</v>
      </c>
      <c r="BK1334" s="318">
        <f t="shared" si="914"/>
        <v>10.000000000000853</v>
      </c>
      <c r="BL1334" s="67"/>
      <c r="BM1334" s="68" t="str">
        <f t="shared" si="915"/>
        <v>Unloading no. 1299 Bill No HA/26-27/0424 ,Deduction For Oil Deduction= 35732.466 ,Bardana= 0 ,F.M= 0 Brokerage/Rate Difference  ,Shortage = 0 ,Greenish= 0 ,Moisture= 0</v>
      </c>
      <c r="BN1334" s="69"/>
      <c r="BO1334" s="70" t="str">
        <f t="shared" si="916"/>
        <v xml:space="preserve"> Party Condition 42  ,F.M% 0.28 ,Greenish 4.89 ,Moisture 5.1 ,Shortage in KG= 0  ,Oil% 40.04</v>
      </c>
      <c r="BP1334" s="71">
        <f t="shared" si="917"/>
        <v>7635.5986820083681</v>
      </c>
      <c r="BQ1334" s="55"/>
      <c r="BR1334" s="55"/>
      <c r="BS1334" s="41"/>
      <c r="BT1334" s="41"/>
      <c r="BU1334" s="41"/>
      <c r="BV1334" s="41"/>
      <c r="BW1334" s="85"/>
      <c r="BX1334" s="27">
        <v>39.74</v>
      </c>
      <c r="BY1334" s="27">
        <v>39.700000000000003</v>
      </c>
    </row>
    <row r="1335" spans="1:77" ht="14.1" hidden="1" customHeight="1" x14ac:dyDescent="0.3">
      <c r="A1335" s="281" t="s">
        <v>2670</v>
      </c>
      <c r="B1335" s="146">
        <v>46212</v>
      </c>
      <c r="C1335" s="138">
        <v>1300</v>
      </c>
      <c r="D1335" s="138" t="s">
        <v>2851</v>
      </c>
      <c r="E1335" s="129">
        <v>46219</v>
      </c>
      <c r="F1335" s="128" t="s">
        <v>2497</v>
      </c>
      <c r="G1335" s="128" t="s">
        <v>2498</v>
      </c>
      <c r="H1335" s="281" t="s">
        <v>100</v>
      </c>
      <c r="I1335" s="136"/>
      <c r="J1335" s="138" t="s">
        <v>1146</v>
      </c>
      <c r="K1335" s="136"/>
      <c r="L1335" s="146">
        <v>46212</v>
      </c>
      <c r="M1335" s="136"/>
      <c r="N1335" s="281" t="s">
        <v>2906</v>
      </c>
      <c r="O1335" s="146">
        <v>46219</v>
      </c>
      <c r="P1335" s="138">
        <v>0</v>
      </c>
      <c r="Q1335" s="138">
        <v>120</v>
      </c>
      <c r="R1335" s="138">
        <v>40</v>
      </c>
      <c r="S1335" s="138">
        <v>160</v>
      </c>
      <c r="T1335" s="138">
        <v>160</v>
      </c>
      <c r="U1335" s="136"/>
      <c r="V1335" s="136"/>
      <c r="W1335" s="147">
        <v>95.9</v>
      </c>
      <c r="X1335" s="147">
        <v>95.9</v>
      </c>
      <c r="Y1335" s="147">
        <v>767295.9</v>
      </c>
      <c r="Z1335" s="147">
        <v>40.17</v>
      </c>
      <c r="AA1335" s="147">
        <v>19182.400000000001</v>
      </c>
      <c r="AB1335" s="147">
        <v>19182.400000000001</v>
      </c>
      <c r="AC1335" s="147">
        <v>805660.7</v>
      </c>
      <c r="AD1335" s="315">
        <f t="shared" si="922"/>
        <v>804855.03929999995</v>
      </c>
      <c r="AE1335" s="147">
        <v>40.17</v>
      </c>
      <c r="AF1335" s="147">
        <v>42</v>
      </c>
      <c r="AG1335" s="147">
        <v>40.17</v>
      </c>
      <c r="AH1335" s="287">
        <v>2.2000000000000001E-3</v>
      </c>
      <c r="AI1335" s="395">
        <v>0.05</v>
      </c>
      <c r="AJ1335" s="287">
        <v>5.5E-2</v>
      </c>
      <c r="AK1335" s="318">
        <f t="shared" si="901"/>
        <v>33432.178499999973</v>
      </c>
      <c r="AL1335" s="193">
        <v>0</v>
      </c>
      <c r="AM1335" s="319">
        <v>0</v>
      </c>
      <c r="AN1335" s="319"/>
      <c r="AO1335" s="320">
        <f t="shared" si="902"/>
        <v>0</v>
      </c>
      <c r="AP1335" s="193">
        <v>0</v>
      </c>
      <c r="AQ1335" s="318">
        <v>0</v>
      </c>
      <c r="AR1335" s="318">
        <f t="shared" si="903"/>
        <v>33432.178499999973</v>
      </c>
      <c r="AS1335" s="318">
        <f t="shared" si="904"/>
        <v>35104</v>
      </c>
      <c r="AT1335" s="321">
        <v>0</v>
      </c>
      <c r="AU1335" s="157"/>
      <c r="AV1335" s="136"/>
      <c r="AW1335" s="318">
        <f t="shared" si="905"/>
        <v>9590</v>
      </c>
      <c r="AX1335" s="193"/>
      <c r="AY1335" s="318">
        <f t="shared" si="906"/>
        <v>9590</v>
      </c>
      <c r="AZ1335" s="318">
        <f t="shared" si="907"/>
        <v>9590</v>
      </c>
      <c r="BA1335" s="318">
        <f t="shared" si="908"/>
        <v>0</v>
      </c>
      <c r="BB1335" s="318">
        <f t="shared" si="909"/>
        <v>19.18</v>
      </c>
      <c r="BC1335" s="318">
        <v>0</v>
      </c>
      <c r="BD1335" s="136"/>
      <c r="BE1335" s="138">
        <v>95.9</v>
      </c>
      <c r="BF1335" s="321">
        <f t="shared" si="910"/>
        <v>0.14385000000000001</v>
      </c>
      <c r="BG1335" s="197">
        <f t="shared" si="911"/>
        <v>95.756150000000005</v>
      </c>
      <c r="BH1335" s="321">
        <f t="shared" si="912"/>
        <v>95.9</v>
      </c>
      <c r="BI1335" s="322">
        <f t="shared" si="913"/>
        <v>0</v>
      </c>
      <c r="BJ1335" s="322">
        <v>0</v>
      </c>
      <c r="BK1335" s="318">
        <f t="shared" si="914"/>
        <v>0</v>
      </c>
      <c r="BL1335" s="67"/>
      <c r="BM1335" s="68" t="str">
        <f t="shared" si="915"/>
        <v>Unloading no. 1300 Bill No HA/26-27/0426 ,Deduction For Oil Deduction= 33432.1785 ,Bardana= 0 ,F.M= 0 Brokerage/Rate Difference  ,Shortage = 0 ,Greenish= 0 ,Moisture= 0</v>
      </c>
      <c r="BN1335" s="69"/>
      <c r="BO1335" s="70" t="str">
        <f t="shared" si="916"/>
        <v xml:space="preserve"> Party Condition 42  ,F.M% 0.22 ,Greenish 5 ,Moisture 5.5 ,Shortage in KG= 0  ,Oil% 40.17</v>
      </c>
      <c r="BP1335" s="71">
        <f t="shared" si="917"/>
        <v>7652.3850000000002</v>
      </c>
      <c r="BQ1335" s="55"/>
      <c r="BR1335" s="55"/>
      <c r="BS1335" s="41"/>
      <c r="BT1335" s="41"/>
      <c r="BU1335" s="41"/>
      <c r="BV1335" s="41"/>
      <c r="BW1335" s="85"/>
      <c r="BX1335" s="27">
        <v>40.01</v>
      </c>
      <c r="BY1335" s="27">
        <v>39.950000000000003</v>
      </c>
    </row>
    <row r="1336" spans="1:77" ht="14.1" hidden="1" customHeight="1" x14ac:dyDescent="0.3">
      <c r="A1336" s="281" t="s">
        <v>2667</v>
      </c>
      <c r="B1336" s="146">
        <v>46216</v>
      </c>
      <c r="C1336" s="138">
        <v>1301</v>
      </c>
      <c r="D1336" s="138" t="s">
        <v>2852</v>
      </c>
      <c r="E1336" s="129">
        <v>46219</v>
      </c>
      <c r="F1336" s="128" t="s">
        <v>1144</v>
      </c>
      <c r="G1336" s="128" t="s">
        <v>1145</v>
      </c>
      <c r="H1336" s="281" t="s">
        <v>100</v>
      </c>
      <c r="I1336" s="136"/>
      <c r="J1336" s="138" t="s">
        <v>1146</v>
      </c>
      <c r="K1336" s="136"/>
      <c r="L1336" s="146">
        <v>46216</v>
      </c>
      <c r="M1336" s="136"/>
      <c r="N1336" s="281" t="s">
        <v>2907</v>
      </c>
      <c r="O1336" s="146">
        <v>46219</v>
      </c>
      <c r="P1336" s="138">
        <v>0</v>
      </c>
      <c r="Q1336" s="138">
        <v>164</v>
      </c>
      <c r="R1336" s="138">
        <v>30</v>
      </c>
      <c r="S1336" s="138">
        <v>194</v>
      </c>
      <c r="T1336" s="138">
        <v>194</v>
      </c>
      <c r="U1336" s="136"/>
      <c r="V1336" s="136"/>
      <c r="W1336" s="147">
        <v>100.2</v>
      </c>
      <c r="X1336" s="147">
        <v>100.3</v>
      </c>
      <c r="Y1336" s="147">
        <v>807712.2</v>
      </c>
      <c r="Z1336" s="147">
        <v>40.53</v>
      </c>
      <c r="AA1336" s="147">
        <v>20192.810000000001</v>
      </c>
      <c r="AB1336" s="147">
        <v>20192.810000000001</v>
      </c>
      <c r="AC1336" s="147">
        <v>848097.81</v>
      </c>
      <c r="AD1336" s="315">
        <f t="shared" si="922"/>
        <v>847249.71219000011</v>
      </c>
      <c r="AE1336" s="147">
        <v>40.53</v>
      </c>
      <c r="AF1336" s="147">
        <v>42</v>
      </c>
      <c r="AG1336" s="147">
        <v>40.53</v>
      </c>
      <c r="AH1336" s="287">
        <v>3.5000000000000001E-3</v>
      </c>
      <c r="AI1336" s="395">
        <v>4.24E-2</v>
      </c>
      <c r="AJ1336" s="287">
        <v>5.1999999999999998E-2</v>
      </c>
      <c r="AK1336" s="318">
        <f t="shared" si="901"/>
        <v>28269.926999999978</v>
      </c>
      <c r="AL1336" s="193">
        <v>0</v>
      </c>
      <c r="AM1336" s="319">
        <v>0</v>
      </c>
      <c r="AN1336" s="319"/>
      <c r="AO1336" s="320">
        <f t="shared" si="902"/>
        <v>0</v>
      </c>
      <c r="AP1336" s="193">
        <v>0</v>
      </c>
      <c r="AQ1336" s="318">
        <v>0</v>
      </c>
      <c r="AR1336" s="318">
        <f t="shared" si="903"/>
        <v>28269.926999999978</v>
      </c>
      <c r="AS1336" s="318">
        <f t="shared" si="904"/>
        <v>29683</v>
      </c>
      <c r="AT1336" s="321">
        <v>0</v>
      </c>
      <c r="AU1336" s="157"/>
      <c r="AV1336" s="136"/>
      <c r="AW1336" s="318">
        <f t="shared" si="905"/>
        <v>10020</v>
      </c>
      <c r="AX1336" s="193"/>
      <c r="AY1336" s="318">
        <f t="shared" si="906"/>
        <v>10020</v>
      </c>
      <c r="AZ1336" s="318">
        <f t="shared" si="907"/>
        <v>10030</v>
      </c>
      <c r="BA1336" s="318">
        <f t="shared" si="908"/>
        <v>-10</v>
      </c>
      <c r="BB1336" s="318">
        <f t="shared" si="909"/>
        <v>20.04</v>
      </c>
      <c r="BC1336" s="318">
        <v>0</v>
      </c>
      <c r="BD1336" s="136"/>
      <c r="BE1336" s="138">
        <v>100.2</v>
      </c>
      <c r="BF1336" s="321">
        <f t="shared" si="910"/>
        <v>0.15029999999999999</v>
      </c>
      <c r="BG1336" s="197">
        <f t="shared" si="911"/>
        <v>100.0497</v>
      </c>
      <c r="BH1336" s="321">
        <f t="shared" si="912"/>
        <v>100.3</v>
      </c>
      <c r="BI1336" s="322">
        <f t="shared" si="913"/>
        <v>-9.9999999999994316</v>
      </c>
      <c r="BJ1336" s="322">
        <v>0</v>
      </c>
      <c r="BK1336" s="318">
        <f t="shared" si="914"/>
        <v>-9.9999999999994316</v>
      </c>
      <c r="BL1336" s="67"/>
      <c r="BM1336" s="68" t="str">
        <f t="shared" si="915"/>
        <v>Unloading no. 1301 Bill No 2026-27/435 ,Deduction For Oil Deduction= 28269.927 ,Bardana= 0 ,F.M= 0 Brokerage/Rate Difference  ,Shortage = 0 ,Greenish= 0 ,Moisture= 0</v>
      </c>
      <c r="BN1336" s="69"/>
      <c r="BO1336" s="70" t="str">
        <f t="shared" si="916"/>
        <v xml:space="preserve"> Party Condition 42  ,F.M% 0.35 ,Greenish 4.24 ,Moisture 5.2 ,Shortage in KG= 0  ,Oil% 40.53</v>
      </c>
      <c r="BP1336" s="71">
        <f t="shared" si="917"/>
        <v>7771.1094017946152</v>
      </c>
      <c r="BQ1336" s="55"/>
      <c r="BR1336" s="55"/>
      <c r="BS1336" s="41"/>
      <c r="BT1336" s="41"/>
      <c r="BU1336" s="41"/>
      <c r="BV1336" s="41"/>
      <c r="BW1336" s="85"/>
      <c r="BX1336" s="27">
        <v>40.56</v>
      </c>
      <c r="BY1336" s="27">
        <v>40.26</v>
      </c>
    </row>
    <row r="1337" spans="1:77" ht="14.1" hidden="1" customHeight="1" x14ac:dyDescent="0.3">
      <c r="A1337" s="281" t="s">
        <v>2670</v>
      </c>
      <c r="B1337" s="146">
        <v>46212</v>
      </c>
      <c r="C1337" s="138">
        <v>1302</v>
      </c>
      <c r="D1337" s="138" t="s">
        <v>2853</v>
      </c>
      <c r="E1337" s="129">
        <v>46219</v>
      </c>
      <c r="F1337" s="128" t="s">
        <v>2497</v>
      </c>
      <c r="G1337" s="128" t="s">
        <v>2498</v>
      </c>
      <c r="H1337" s="281" t="s">
        <v>100</v>
      </c>
      <c r="I1337" s="136"/>
      <c r="J1337" s="138" t="s">
        <v>1146</v>
      </c>
      <c r="K1337" s="136"/>
      <c r="L1337" s="146">
        <v>46212</v>
      </c>
      <c r="M1337" s="136"/>
      <c r="N1337" s="281" t="s">
        <v>2908</v>
      </c>
      <c r="O1337" s="146">
        <v>46219</v>
      </c>
      <c r="P1337" s="138">
        <v>0</v>
      </c>
      <c r="Q1337" s="138">
        <v>140</v>
      </c>
      <c r="R1337" s="138">
        <v>20</v>
      </c>
      <c r="S1337" s="138">
        <v>160</v>
      </c>
      <c r="T1337" s="138">
        <v>160</v>
      </c>
      <c r="U1337" s="136"/>
      <c r="V1337" s="136"/>
      <c r="W1337" s="147">
        <v>96.5</v>
      </c>
      <c r="X1337" s="147">
        <v>96.4</v>
      </c>
      <c r="Y1337" s="147">
        <v>772096.5</v>
      </c>
      <c r="Z1337" s="147">
        <v>40.520000000000003</v>
      </c>
      <c r="AA1337" s="147">
        <v>19302.41</v>
      </c>
      <c r="AB1337" s="147">
        <v>19302.41</v>
      </c>
      <c r="AC1337" s="147">
        <v>810701.33</v>
      </c>
      <c r="AD1337" s="315">
        <f t="shared" si="922"/>
        <v>809890.62867000001</v>
      </c>
      <c r="AE1337" s="147">
        <v>40.520000000000003</v>
      </c>
      <c r="AF1337" s="147">
        <v>42</v>
      </c>
      <c r="AG1337" s="147">
        <v>40.520000000000003</v>
      </c>
      <c r="AH1337" s="287">
        <v>3.0000000000000001E-3</v>
      </c>
      <c r="AI1337" s="395">
        <v>6.2700000000000006E-2</v>
      </c>
      <c r="AJ1337" s="287">
        <v>5.2999999999999999E-2</v>
      </c>
      <c r="AK1337" s="318">
        <f t="shared" si="901"/>
        <v>27207.209999999945</v>
      </c>
      <c r="AL1337" s="193">
        <v>0</v>
      </c>
      <c r="AM1337" s="319">
        <v>0</v>
      </c>
      <c r="AN1337" s="319"/>
      <c r="AO1337" s="320">
        <f t="shared" si="902"/>
        <v>0</v>
      </c>
      <c r="AP1337" s="193">
        <v>0</v>
      </c>
      <c r="AQ1337" s="318">
        <v>0</v>
      </c>
      <c r="AR1337" s="318">
        <f t="shared" si="903"/>
        <v>27207.209999999945</v>
      </c>
      <c r="AS1337" s="318">
        <f t="shared" si="904"/>
        <v>28568</v>
      </c>
      <c r="AT1337" s="321">
        <v>0</v>
      </c>
      <c r="AU1337" s="157"/>
      <c r="AV1337" s="136"/>
      <c r="AW1337" s="318">
        <f t="shared" si="905"/>
        <v>9650</v>
      </c>
      <c r="AX1337" s="193"/>
      <c r="AY1337" s="318">
        <f t="shared" si="906"/>
        <v>9650</v>
      </c>
      <c r="AZ1337" s="318">
        <f t="shared" si="907"/>
        <v>9640</v>
      </c>
      <c r="BA1337" s="318">
        <f t="shared" si="908"/>
        <v>10</v>
      </c>
      <c r="BB1337" s="318">
        <f t="shared" si="909"/>
        <v>19.3</v>
      </c>
      <c r="BC1337" s="318">
        <v>0</v>
      </c>
      <c r="BD1337" s="136"/>
      <c r="BE1337" s="138">
        <v>96.5</v>
      </c>
      <c r="BF1337" s="321">
        <f t="shared" si="910"/>
        <v>0.14474999999999999</v>
      </c>
      <c r="BG1337" s="197">
        <f t="shared" si="911"/>
        <v>96.355249999999998</v>
      </c>
      <c r="BH1337" s="321">
        <f t="shared" si="912"/>
        <v>96.4</v>
      </c>
      <c r="BI1337" s="322">
        <f t="shared" si="913"/>
        <v>9.9999999999994316</v>
      </c>
      <c r="BJ1337" s="322">
        <v>0</v>
      </c>
      <c r="BK1337" s="318">
        <f t="shared" si="914"/>
        <v>9.9999999999994316</v>
      </c>
      <c r="BL1337" s="67"/>
      <c r="BM1337" s="68" t="str">
        <f t="shared" si="915"/>
        <v>Unloading no. 1302 Bill No HA/26-27/0427 ,Deduction For Oil Deduction= 27207.2099999999 ,Bardana= 0 ,F.M= 0 Brokerage/Rate Difference  ,Shortage = 0 ,Greenish= 0 ,Moisture= 0</v>
      </c>
      <c r="BN1337" s="69"/>
      <c r="BO1337" s="70" t="str">
        <f t="shared" si="916"/>
        <v xml:space="preserve"> Party Condition 42  ,F.M% 0.3 ,Greenish 6.27 ,Moisture 5.3 ,Shortage in KG= 0  ,Oil% 40.52</v>
      </c>
      <c r="BP1337" s="71">
        <f t="shared" si="917"/>
        <v>7727.0673236514522</v>
      </c>
      <c r="BQ1337" s="55"/>
      <c r="BR1337" s="55"/>
      <c r="BS1337" s="41"/>
      <c r="BT1337" s="41"/>
      <c r="BU1337" s="41"/>
      <c r="BV1337" s="41"/>
      <c r="BW1337" s="85"/>
      <c r="BX1337" s="27">
        <v>40.07</v>
      </c>
      <c r="BY1337" s="27">
        <v>40</v>
      </c>
    </row>
    <row r="1338" spans="1:77" ht="14.1" hidden="1" customHeight="1" x14ac:dyDescent="0.3">
      <c r="A1338" s="281" t="s">
        <v>2822</v>
      </c>
      <c r="B1338" s="146">
        <v>46212</v>
      </c>
      <c r="C1338" s="138">
        <v>1303</v>
      </c>
      <c r="D1338" s="138" t="s">
        <v>2854</v>
      </c>
      <c r="E1338" s="129">
        <v>46219</v>
      </c>
      <c r="F1338" s="128" t="s">
        <v>1144</v>
      </c>
      <c r="G1338" s="128" t="s">
        <v>1145</v>
      </c>
      <c r="H1338" s="281" t="s">
        <v>100</v>
      </c>
      <c r="I1338" s="136"/>
      <c r="J1338" s="138" t="s">
        <v>1146</v>
      </c>
      <c r="K1338" s="136"/>
      <c r="L1338" s="146">
        <v>46212</v>
      </c>
      <c r="M1338" s="136"/>
      <c r="N1338" s="281" t="s">
        <v>2909</v>
      </c>
      <c r="O1338" s="146">
        <v>46219</v>
      </c>
      <c r="P1338" s="138">
        <v>0</v>
      </c>
      <c r="Q1338" s="138">
        <v>0</v>
      </c>
      <c r="R1338" s="138">
        <v>200</v>
      </c>
      <c r="S1338" s="138">
        <v>200</v>
      </c>
      <c r="T1338" s="138">
        <v>200</v>
      </c>
      <c r="U1338" s="136"/>
      <c r="V1338" s="136"/>
      <c r="W1338" s="147">
        <v>99.6</v>
      </c>
      <c r="X1338" s="147">
        <v>99.6</v>
      </c>
      <c r="Y1338" s="147">
        <v>802875.6</v>
      </c>
      <c r="Z1338" s="147">
        <v>40.24</v>
      </c>
      <c r="AA1338" s="147">
        <v>20071.89</v>
      </c>
      <c r="AB1338" s="147">
        <v>20071.89</v>
      </c>
      <c r="AC1338" s="147">
        <v>843019.38</v>
      </c>
      <c r="AD1338" s="315">
        <f t="shared" si="922"/>
        <v>842176.36062000005</v>
      </c>
      <c r="AE1338" s="147">
        <v>40.24</v>
      </c>
      <c r="AF1338" s="147">
        <v>42</v>
      </c>
      <c r="AG1338" s="147">
        <v>40.24</v>
      </c>
      <c r="AH1338" s="287">
        <v>3.2000000000000002E-3</v>
      </c>
      <c r="AI1338" s="395">
        <v>4.5900000000000003E-2</v>
      </c>
      <c r="AJ1338" s="287">
        <v>5.1999999999999998E-2</v>
      </c>
      <c r="AK1338" s="318">
        <f t="shared" si="901"/>
        <v>33644.310857142817</v>
      </c>
      <c r="AL1338" s="193">
        <v>0</v>
      </c>
      <c r="AM1338" s="319">
        <v>0</v>
      </c>
      <c r="AN1338" s="319"/>
      <c r="AO1338" s="320">
        <f t="shared" si="902"/>
        <v>0</v>
      </c>
      <c r="AP1338" s="193">
        <v>0</v>
      </c>
      <c r="AQ1338" s="318">
        <v>0</v>
      </c>
      <c r="AR1338" s="318">
        <f t="shared" si="903"/>
        <v>33644.310857142817</v>
      </c>
      <c r="AS1338" s="318">
        <f t="shared" si="904"/>
        <v>35327</v>
      </c>
      <c r="AT1338" s="321">
        <v>0</v>
      </c>
      <c r="AU1338" s="157"/>
      <c r="AV1338" s="136"/>
      <c r="AW1338" s="318">
        <f t="shared" si="905"/>
        <v>9960</v>
      </c>
      <c r="AX1338" s="193"/>
      <c r="AY1338" s="318">
        <f t="shared" si="906"/>
        <v>9960</v>
      </c>
      <c r="AZ1338" s="318">
        <f t="shared" si="907"/>
        <v>9960</v>
      </c>
      <c r="BA1338" s="318">
        <f t="shared" si="908"/>
        <v>0</v>
      </c>
      <c r="BB1338" s="318">
        <f t="shared" si="909"/>
        <v>19.920000000000002</v>
      </c>
      <c r="BC1338" s="318">
        <v>0</v>
      </c>
      <c r="BD1338" s="136"/>
      <c r="BE1338" s="138">
        <v>99.6</v>
      </c>
      <c r="BF1338" s="321">
        <f t="shared" si="910"/>
        <v>0.14939999999999998</v>
      </c>
      <c r="BG1338" s="197">
        <f t="shared" si="911"/>
        <v>99.450599999999994</v>
      </c>
      <c r="BH1338" s="321">
        <f t="shared" si="912"/>
        <v>99.6</v>
      </c>
      <c r="BI1338" s="322">
        <f t="shared" si="913"/>
        <v>0</v>
      </c>
      <c r="BJ1338" s="322">
        <v>0</v>
      </c>
      <c r="BK1338" s="318">
        <f t="shared" si="914"/>
        <v>0</v>
      </c>
      <c r="BL1338" s="67"/>
      <c r="BM1338" s="68" t="str">
        <f t="shared" si="915"/>
        <v>Unloading no. 1303 Bill No 2026-27/436 ,Deduction For Oil Deduction= 33644.3108571428 ,Bardana= 0 ,F.M= 0 Brokerage/Rate Difference  ,Shortage = 0 ,Greenish= 0 ,Moisture= 0</v>
      </c>
      <c r="BN1338" s="69"/>
      <c r="BO1338" s="70" t="str">
        <f t="shared" si="916"/>
        <v xml:space="preserve"> Party Condition 42  ,F.M% 0.32 ,Greenish 4.59 ,Moisture 5.2 ,Shortage in KG= 0  ,Oil% 40.24</v>
      </c>
      <c r="BP1338" s="71">
        <f t="shared" si="917"/>
        <v>7723.2057142857147</v>
      </c>
      <c r="BQ1338" s="55"/>
      <c r="BR1338" s="55"/>
      <c r="BS1338" s="41"/>
      <c r="BT1338" s="41"/>
      <c r="BU1338" s="41"/>
      <c r="BV1338" s="41"/>
      <c r="BW1338" s="85"/>
      <c r="BX1338" s="27">
        <v>40.01</v>
      </c>
      <c r="BY1338" s="27">
        <v>39.97</v>
      </c>
    </row>
    <row r="1339" spans="1:77" ht="14.1" hidden="1" customHeight="1" x14ac:dyDescent="0.3">
      <c r="A1339" s="281" t="s">
        <v>2670</v>
      </c>
      <c r="B1339" s="146">
        <v>46212</v>
      </c>
      <c r="C1339" s="138">
        <v>1304</v>
      </c>
      <c r="D1339" s="138" t="s">
        <v>2855</v>
      </c>
      <c r="E1339" s="129">
        <v>46219</v>
      </c>
      <c r="F1339" s="128" t="s">
        <v>2497</v>
      </c>
      <c r="G1339" s="128" t="s">
        <v>2498</v>
      </c>
      <c r="H1339" s="281" t="s">
        <v>100</v>
      </c>
      <c r="I1339" s="136"/>
      <c r="J1339" s="138" t="s">
        <v>1146</v>
      </c>
      <c r="K1339" s="136"/>
      <c r="L1339" s="146">
        <v>46212</v>
      </c>
      <c r="M1339" s="136"/>
      <c r="N1339" s="281" t="s">
        <v>2910</v>
      </c>
      <c r="O1339" s="146">
        <v>46219</v>
      </c>
      <c r="P1339" s="138">
        <v>0</v>
      </c>
      <c r="Q1339" s="138">
        <v>130</v>
      </c>
      <c r="R1339" s="138">
        <v>30</v>
      </c>
      <c r="S1339" s="138">
        <v>160</v>
      </c>
      <c r="T1339" s="138">
        <v>160</v>
      </c>
      <c r="U1339" s="136"/>
      <c r="V1339" s="136"/>
      <c r="W1339" s="147">
        <v>96.3</v>
      </c>
      <c r="X1339" s="147">
        <v>96.2</v>
      </c>
      <c r="Y1339" s="147">
        <v>770496.3</v>
      </c>
      <c r="Z1339" s="147">
        <v>40.21</v>
      </c>
      <c r="AA1339" s="147">
        <v>19262.41</v>
      </c>
      <c r="AB1339" s="147">
        <v>19262.41</v>
      </c>
      <c r="AC1339" s="147">
        <v>809021.12</v>
      </c>
      <c r="AD1339" s="315">
        <f t="shared" si="922"/>
        <v>808212.09887999995</v>
      </c>
      <c r="AE1339" s="147">
        <v>40.21</v>
      </c>
      <c r="AF1339" s="147">
        <v>42</v>
      </c>
      <c r="AG1339" s="147">
        <v>40.21</v>
      </c>
      <c r="AH1339" s="287">
        <v>2.8E-3</v>
      </c>
      <c r="AI1339" s="395">
        <v>5.7700000000000001E-2</v>
      </c>
      <c r="AJ1339" s="287">
        <v>5.2999999999999999E-2</v>
      </c>
      <c r="AK1339" s="318">
        <f t="shared" si="901"/>
        <v>32837.818499999987</v>
      </c>
      <c r="AL1339" s="193">
        <v>0</v>
      </c>
      <c r="AM1339" s="319">
        <v>0</v>
      </c>
      <c r="AN1339" s="319"/>
      <c r="AO1339" s="320">
        <f t="shared" si="902"/>
        <v>0</v>
      </c>
      <c r="AP1339" s="193">
        <v>0</v>
      </c>
      <c r="AQ1339" s="318">
        <v>0</v>
      </c>
      <c r="AR1339" s="318">
        <f t="shared" si="903"/>
        <v>32837.818499999987</v>
      </c>
      <c r="AS1339" s="318">
        <f t="shared" si="904"/>
        <v>34480</v>
      </c>
      <c r="AT1339" s="321">
        <v>0</v>
      </c>
      <c r="AU1339" s="157"/>
      <c r="AV1339" s="136"/>
      <c r="AW1339" s="318">
        <f t="shared" si="905"/>
        <v>9630</v>
      </c>
      <c r="AX1339" s="193"/>
      <c r="AY1339" s="318">
        <f t="shared" si="906"/>
        <v>9630</v>
      </c>
      <c r="AZ1339" s="318">
        <f t="shared" si="907"/>
        <v>9620</v>
      </c>
      <c r="BA1339" s="318">
        <f t="shared" si="908"/>
        <v>10</v>
      </c>
      <c r="BB1339" s="318">
        <f t="shared" si="909"/>
        <v>19.260000000000002</v>
      </c>
      <c r="BC1339" s="318">
        <v>0</v>
      </c>
      <c r="BD1339" s="136"/>
      <c r="BE1339" s="138">
        <v>96.3</v>
      </c>
      <c r="BF1339" s="321">
        <f t="shared" si="910"/>
        <v>0.14445</v>
      </c>
      <c r="BG1339" s="197">
        <f t="shared" si="911"/>
        <v>96.155549999999991</v>
      </c>
      <c r="BH1339" s="321">
        <f t="shared" si="912"/>
        <v>96.2</v>
      </c>
      <c r="BI1339" s="322">
        <f t="shared" si="913"/>
        <v>9.9999999999994316</v>
      </c>
      <c r="BJ1339" s="322">
        <v>0</v>
      </c>
      <c r="BK1339" s="318">
        <f t="shared" si="914"/>
        <v>9.9999999999994316</v>
      </c>
      <c r="BL1339" s="67"/>
      <c r="BM1339" s="68" t="str">
        <f t="shared" si="915"/>
        <v>Unloading no. 1304 Bill No HA/26-27/0428 ,Deduction For Oil Deduction= 32837.8185 ,Bardana= 0 ,F.M= 0 Brokerage/Rate Difference  ,Shortage = 0 ,Greenish= 0 ,Moisture= 0</v>
      </c>
      <c r="BN1339" s="69"/>
      <c r="BO1339" s="70" t="str">
        <f t="shared" si="916"/>
        <v xml:space="preserve"> Party Condition 42  ,F.M% 0.28 ,Greenish 5.77 ,Moisture 5.3 ,Shortage in KG= 0  ,Oil% 40.21</v>
      </c>
      <c r="BP1339" s="71">
        <f t="shared" si="917"/>
        <v>7667.9675831600844</v>
      </c>
      <c r="BQ1339" s="55"/>
      <c r="BR1339" s="55"/>
      <c r="BS1339" s="41"/>
      <c r="BT1339" s="41"/>
      <c r="BU1339" s="41"/>
      <c r="BV1339" s="41"/>
      <c r="BW1339" s="85"/>
      <c r="BX1339" s="27">
        <v>40.14</v>
      </c>
      <c r="BY1339" s="27">
        <v>39.94</v>
      </c>
    </row>
    <row r="1340" spans="1:77" ht="14.1" hidden="1" customHeight="1" x14ac:dyDescent="0.3">
      <c r="A1340" s="281" t="s">
        <v>2822</v>
      </c>
      <c r="B1340" s="146">
        <v>46216</v>
      </c>
      <c r="C1340" s="138">
        <v>1305</v>
      </c>
      <c r="D1340" s="138" t="s">
        <v>2856</v>
      </c>
      <c r="E1340" s="129">
        <v>46219</v>
      </c>
      <c r="F1340" s="128" t="s">
        <v>1144</v>
      </c>
      <c r="G1340" s="128" t="s">
        <v>1145</v>
      </c>
      <c r="H1340" s="281" t="s">
        <v>100</v>
      </c>
      <c r="I1340" s="136"/>
      <c r="J1340" s="138" t="s">
        <v>1146</v>
      </c>
      <c r="K1340" s="136"/>
      <c r="L1340" s="146">
        <v>46216</v>
      </c>
      <c r="M1340" s="136"/>
      <c r="N1340" s="281" t="s">
        <v>2911</v>
      </c>
      <c r="O1340" s="146">
        <v>46219</v>
      </c>
      <c r="P1340" s="138">
        <v>0</v>
      </c>
      <c r="Q1340" s="138">
        <v>0</v>
      </c>
      <c r="R1340" s="138">
        <v>200</v>
      </c>
      <c r="S1340" s="138">
        <v>200</v>
      </c>
      <c r="T1340" s="138">
        <v>200</v>
      </c>
      <c r="U1340" s="136"/>
      <c r="V1340" s="136"/>
      <c r="W1340" s="147">
        <v>100.3</v>
      </c>
      <c r="X1340" s="147">
        <v>100.3</v>
      </c>
      <c r="Y1340" s="147">
        <v>808518.3</v>
      </c>
      <c r="Z1340" s="147">
        <v>40.33</v>
      </c>
      <c r="AA1340" s="147">
        <v>20212.96</v>
      </c>
      <c r="AB1340" s="147">
        <v>20212.96</v>
      </c>
      <c r="AC1340" s="147">
        <v>848944.22</v>
      </c>
      <c r="AD1340" s="315">
        <f t="shared" si="922"/>
        <v>848095.27578000003</v>
      </c>
      <c r="AE1340" s="147">
        <v>40.33</v>
      </c>
      <c r="AF1340" s="147">
        <v>42</v>
      </c>
      <c r="AG1340" s="147">
        <v>40.33</v>
      </c>
      <c r="AH1340" s="287">
        <v>3.3999999999999998E-3</v>
      </c>
      <c r="AI1340" s="395">
        <v>4.1599999999999998E-2</v>
      </c>
      <c r="AJ1340" s="287">
        <v>5.2999999999999999E-2</v>
      </c>
      <c r="AK1340" s="318">
        <f t="shared" si="901"/>
        <v>32148.227642857179</v>
      </c>
      <c r="AL1340" s="193">
        <v>0</v>
      </c>
      <c r="AM1340" s="319">
        <v>0</v>
      </c>
      <c r="AN1340" s="319"/>
      <c r="AO1340" s="320">
        <f t="shared" si="902"/>
        <v>0</v>
      </c>
      <c r="AP1340" s="193">
        <v>0</v>
      </c>
      <c r="AQ1340" s="318">
        <v>0</v>
      </c>
      <c r="AR1340" s="318">
        <f t="shared" si="903"/>
        <v>32148.227642857179</v>
      </c>
      <c r="AS1340" s="318">
        <f t="shared" si="904"/>
        <v>33756</v>
      </c>
      <c r="AT1340" s="321">
        <v>0</v>
      </c>
      <c r="AU1340" s="157"/>
      <c r="AV1340" s="136"/>
      <c r="AW1340" s="318">
        <f t="shared" si="905"/>
        <v>10030</v>
      </c>
      <c r="AX1340" s="193"/>
      <c r="AY1340" s="318">
        <f t="shared" si="906"/>
        <v>10030</v>
      </c>
      <c r="AZ1340" s="318">
        <f t="shared" si="907"/>
        <v>10030</v>
      </c>
      <c r="BA1340" s="318">
        <f t="shared" si="908"/>
        <v>0</v>
      </c>
      <c r="BB1340" s="318">
        <f t="shared" si="909"/>
        <v>20.059999999999999</v>
      </c>
      <c r="BC1340" s="318">
        <v>0</v>
      </c>
      <c r="BD1340" s="136"/>
      <c r="BE1340" s="138">
        <v>100.3</v>
      </c>
      <c r="BF1340" s="321">
        <f t="shared" si="910"/>
        <v>0.15044999999999997</v>
      </c>
      <c r="BG1340" s="197">
        <f t="shared" si="911"/>
        <v>100.14954999999999</v>
      </c>
      <c r="BH1340" s="321">
        <f t="shared" si="912"/>
        <v>100.3</v>
      </c>
      <c r="BI1340" s="322">
        <f t="shared" si="913"/>
        <v>0</v>
      </c>
      <c r="BJ1340" s="322">
        <v>0</v>
      </c>
      <c r="BK1340" s="318">
        <f t="shared" si="914"/>
        <v>0</v>
      </c>
      <c r="BL1340" s="67"/>
      <c r="BM1340" s="68" t="str">
        <f t="shared" si="915"/>
        <v>Unloading no. 1305 Bill No 2026-27/439 ,Deduction For Oil Deduction= 32148.2276428572 ,Bardana= 0 ,F.M= 0 Brokerage/Rate Difference  ,Shortage = 0 ,Greenish= 0 ,Moisture= 0</v>
      </c>
      <c r="BN1340" s="69"/>
      <c r="BO1340" s="70" t="str">
        <f t="shared" si="916"/>
        <v xml:space="preserve"> Party Condition 42  ,F.M% 0.34 ,Greenish 4.16 ,Moisture 5.3 ,Shortage in KG= 0  ,Oil% 40.33</v>
      </c>
      <c r="BP1340" s="71">
        <f t="shared" si="917"/>
        <v>7740.4792857142857</v>
      </c>
      <c r="BQ1340" s="55"/>
      <c r="BR1340" s="55"/>
      <c r="BS1340" s="41"/>
      <c r="BT1340" s="41"/>
      <c r="BU1340" s="41"/>
      <c r="BV1340" s="41"/>
      <c r="BW1340" s="85"/>
      <c r="BX1340" s="27">
        <v>40.08</v>
      </c>
      <c r="BY1340" s="27">
        <v>39.869999999999997</v>
      </c>
    </row>
    <row r="1341" spans="1:77" ht="14.1" hidden="1" customHeight="1" x14ac:dyDescent="0.3">
      <c r="A1341" s="281" t="s">
        <v>2670</v>
      </c>
      <c r="B1341" s="146">
        <v>46212</v>
      </c>
      <c r="C1341" s="138">
        <v>1306</v>
      </c>
      <c r="D1341" s="138" t="s">
        <v>2857</v>
      </c>
      <c r="E1341" s="129">
        <v>46219</v>
      </c>
      <c r="F1341" s="128" t="s">
        <v>2497</v>
      </c>
      <c r="G1341" s="128" t="s">
        <v>2498</v>
      </c>
      <c r="H1341" s="281" t="s">
        <v>100</v>
      </c>
      <c r="I1341" s="136"/>
      <c r="J1341" s="138" t="s">
        <v>1146</v>
      </c>
      <c r="K1341" s="136"/>
      <c r="L1341" s="146">
        <v>46212</v>
      </c>
      <c r="M1341" s="136"/>
      <c r="N1341" s="281" t="s">
        <v>2912</v>
      </c>
      <c r="O1341" s="146">
        <v>46219</v>
      </c>
      <c r="P1341" s="138">
        <v>0</v>
      </c>
      <c r="Q1341" s="138">
        <v>140</v>
      </c>
      <c r="R1341" s="138">
        <v>20</v>
      </c>
      <c r="S1341" s="138">
        <v>160</v>
      </c>
      <c r="T1341" s="138">
        <v>160</v>
      </c>
      <c r="U1341" s="136"/>
      <c r="V1341" s="136"/>
      <c r="W1341" s="147">
        <v>96.7</v>
      </c>
      <c r="X1341" s="147">
        <v>96.7</v>
      </c>
      <c r="Y1341" s="147">
        <v>773696.7</v>
      </c>
      <c r="Z1341" s="147">
        <v>40.72</v>
      </c>
      <c r="AA1341" s="147">
        <v>19342.419999999998</v>
      </c>
      <c r="AB1341" s="147">
        <v>19342.419999999998</v>
      </c>
      <c r="AC1341" s="147">
        <v>812381.54</v>
      </c>
      <c r="AD1341" s="315">
        <f t="shared" si="922"/>
        <v>811569.15846000006</v>
      </c>
      <c r="AE1341" s="147">
        <v>40.72</v>
      </c>
      <c r="AF1341" s="147">
        <v>42</v>
      </c>
      <c r="AG1341" s="147">
        <v>40.72</v>
      </c>
      <c r="AH1341" s="287">
        <v>2.3999999999999998E-3</v>
      </c>
      <c r="AI1341" s="395">
        <v>4.9599999999999998E-2</v>
      </c>
      <c r="AJ1341" s="287">
        <v>5.0999999999999997E-2</v>
      </c>
      <c r="AK1341" s="318">
        <f t="shared" si="901"/>
        <v>23579.32800000002</v>
      </c>
      <c r="AL1341" s="193">
        <v>0</v>
      </c>
      <c r="AM1341" s="319">
        <v>0</v>
      </c>
      <c r="AN1341" s="319"/>
      <c r="AO1341" s="320">
        <f t="shared" si="902"/>
        <v>0</v>
      </c>
      <c r="AP1341" s="193">
        <v>0</v>
      </c>
      <c r="AQ1341" s="318">
        <v>0</v>
      </c>
      <c r="AR1341" s="318">
        <f t="shared" si="903"/>
        <v>23579.32800000002</v>
      </c>
      <c r="AS1341" s="318">
        <f t="shared" si="904"/>
        <v>24758</v>
      </c>
      <c r="AT1341" s="321">
        <v>0</v>
      </c>
      <c r="AU1341" s="157"/>
      <c r="AV1341" s="136"/>
      <c r="AW1341" s="318">
        <f t="shared" si="905"/>
        <v>9670</v>
      </c>
      <c r="AX1341" s="193"/>
      <c r="AY1341" s="318">
        <f t="shared" si="906"/>
        <v>9670</v>
      </c>
      <c r="AZ1341" s="318">
        <f t="shared" si="907"/>
        <v>9670</v>
      </c>
      <c r="BA1341" s="318">
        <f t="shared" si="908"/>
        <v>0</v>
      </c>
      <c r="BB1341" s="318">
        <f t="shared" si="909"/>
        <v>19.34</v>
      </c>
      <c r="BC1341" s="318">
        <v>0</v>
      </c>
      <c r="BD1341" s="136"/>
      <c r="BE1341" s="138">
        <v>96.7</v>
      </c>
      <c r="BF1341" s="321">
        <f t="shared" si="910"/>
        <v>0.14504999999999998</v>
      </c>
      <c r="BG1341" s="197">
        <f t="shared" si="911"/>
        <v>96.554950000000005</v>
      </c>
      <c r="BH1341" s="321">
        <f t="shared" si="912"/>
        <v>96.7</v>
      </c>
      <c r="BI1341" s="322">
        <f t="shared" si="913"/>
        <v>0</v>
      </c>
      <c r="BJ1341" s="322">
        <v>0</v>
      </c>
      <c r="BK1341" s="318">
        <f t="shared" si="914"/>
        <v>0</v>
      </c>
      <c r="BL1341" s="67"/>
      <c r="BM1341" s="68" t="str">
        <f t="shared" si="915"/>
        <v>Unloading no. 1306 Bill No HA/26-27/0429 ,Deduction For Oil Deduction= 23579.328 ,Bardana= 0 ,F.M= 0 Brokerage/Rate Difference  ,Shortage = 0 ,Greenish= 0 ,Moisture= 0</v>
      </c>
      <c r="BN1341" s="69"/>
      <c r="BO1341" s="70" t="str">
        <f t="shared" si="916"/>
        <v xml:space="preserve"> Party Condition 42  ,F.M% 0.24 ,Greenish 4.96 ,Moisture 5.1 ,Shortage in KG= 0  ,Oil% 40.72</v>
      </c>
      <c r="BP1341" s="71">
        <f t="shared" si="917"/>
        <v>7757.16</v>
      </c>
      <c r="BQ1341" s="55"/>
      <c r="BR1341" s="55"/>
      <c r="BS1341" s="41"/>
      <c r="BT1341" s="41"/>
      <c r="BU1341" s="41"/>
      <c r="BV1341" s="41"/>
      <c r="BW1341" s="85"/>
      <c r="BX1341" s="27">
        <v>40.65</v>
      </c>
      <c r="BY1341" s="27">
        <v>40.56</v>
      </c>
    </row>
    <row r="1342" spans="1:77" ht="14.1" hidden="1" customHeight="1" x14ac:dyDescent="0.3">
      <c r="A1342" s="281" t="s">
        <v>2822</v>
      </c>
      <c r="B1342" s="146">
        <v>46216</v>
      </c>
      <c r="C1342" s="138">
        <v>1307</v>
      </c>
      <c r="D1342" s="138" t="s">
        <v>2858</v>
      </c>
      <c r="E1342" s="129">
        <v>46219</v>
      </c>
      <c r="F1342" s="128" t="s">
        <v>1144</v>
      </c>
      <c r="G1342" s="128" t="s">
        <v>1145</v>
      </c>
      <c r="H1342" s="281" t="s">
        <v>100</v>
      </c>
      <c r="I1342" s="136"/>
      <c r="J1342" s="138" t="s">
        <v>1146</v>
      </c>
      <c r="K1342" s="136"/>
      <c r="L1342" s="146">
        <v>46216</v>
      </c>
      <c r="M1342" s="136"/>
      <c r="N1342" s="281" t="s">
        <v>2913</v>
      </c>
      <c r="O1342" s="146">
        <v>46219</v>
      </c>
      <c r="P1342" s="138">
        <v>0</v>
      </c>
      <c r="Q1342" s="138">
        <v>0</v>
      </c>
      <c r="R1342" s="138">
        <v>200</v>
      </c>
      <c r="S1342" s="138">
        <v>200</v>
      </c>
      <c r="T1342" s="138">
        <v>200</v>
      </c>
      <c r="U1342" s="136"/>
      <c r="V1342" s="136"/>
      <c r="W1342" s="147">
        <v>98.1</v>
      </c>
      <c r="X1342" s="147">
        <v>98.2</v>
      </c>
      <c r="Y1342" s="147">
        <v>790784.1</v>
      </c>
      <c r="Z1342" s="147">
        <v>40.32</v>
      </c>
      <c r="AA1342" s="147">
        <v>19769.599999999999</v>
      </c>
      <c r="AB1342" s="147">
        <v>19769.599999999999</v>
      </c>
      <c r="AC1342" s="147">
        <v>830323.31</v>
      </c>
      <c r="AD1342" s="315">
        <f t="shared" si="922"/>
        <v>829492.98669000005</v>
      </c>
      <c r="AE1342" s="147">
        <v>40.32</v>
      </c>
      <c r="AF1342" s="147">
        <v>42</v>
      </c>
      <c r="AG1342" s="147">
        <v>40.32</v>
      </c>
      <c r="AH1342" s="287">
        <v>4.1999999999999997E-3</v>
      </c>
      <c r="AI1342" s="395">
        <v>0.05</v>
      </c>
      <c r="AJ1342" s="287">
        <v>5.1999999999999998E-2</v>
      </c>
      <c r="AK1342" s="318">
        <f t="shared" si="901"/>
        <v>31631.363999999994</v>
      </c>
      <c r="AL1342" s="193">
        <v>0</v>
      </c>
      <c r="AM1342" s="319">
        <v>0</v>
      </c>
      <c r="AN1342" s="319"/>
      <c r="AO1342" s="320">
        <f t="shared" si="902"/>
        <v>0</v>
      </c>
      <c r="AP1342" s="193">
        <v>0</v>
      </c>
      <c r="AQ1342" s="318">
        <v>0</v>
      </c>
      <c r="AR1342" s="318">
        <f t="shared" si="903"/>
        <v>31631.363999999994</v>
      </c>
      <c r="AS1342" s="318">
        <f t="shared" si="904"/>
        <v>33213</v>
      </c>
      <c r="AT1342" s="321">
        <v>0</v>
      </c>
      <c r="AU1342" s="157"/>
      <c r="AV1342" s="136"/>
      <c r="AW1342" s="318">
        <f t="shared" si="905"/>
        <v>9810</v>
      </c>
      <c r="AX1342" s="193"/>
      <c r="AY1342" s="318">
        <f t="shared" si="906"/>
        <v>9810</v>
      </c>
      <c r="AZ1342" s="318">
        <f t="shared" si="907"/>
        <v>9820</v>
      </c>
      <c r="BA1342" s="318">
        <f t="shared" si="908"/>
        <v>-10</v>
      </c>
      <c r="BB1342" s="318">
        <f t="shared" si="909"/>
        <v>19.62</v>
      </c>
      <c r="BC1342" s="318">
        <v>0</v>
      </c>
      <c r="BD1342" s="136"/>
      <c r="BE1342" s="138">
        <v>98.1</v>
      </c>
      <c r="BF1342" s="321">
        <f t="shared" si="910"/>
        <v>0.14714999999999998</v>
      </c>
      <c r="BG1342" s="197">
        <f t="shared" si="911"/>
        <v>97.952849999999998</v>
      </c>
      <c r="BH1342" s="321">
        <f t="shared" si="912"/>
        <v>98.2</v>
      </c>
      <c r="BI1342" s="322">
        <f t="shared" si="913"/>
        <v>-10.000000000000853</v>
      </c>
      <c r="BJ1342" s="322">
        <v>0</v>
      </c>
      <c r="BK1342" s="318">
        <f t="shared" si="914"/>
        <v>-10.000000000000853</v>
      </c>
      <c r="BL1342" s="67"/>
      <c r="BM1342" s="68" t="str">
        <f t="shared" si="915"/>
        <v>Unloading no. 1307 Bill No 2026-27/440 ,Deduction For Oil Deduction= 31631.364 ,Bardana= 0 ,F.M= 0 Brokerage/Rate Difference  ,Shortage = 0 ,Greenish= 0 ,Moisture= 0</v>
      </c>
      <c r="BN1342" s="69"/>
      <c r="BO1342" s="70" t="str">
        <f t="shared" si="916"/>
        <v xml:space="preserve"> Party Condition 42  ,F.M% 0.42 ,Greenish 5 ,Moisture 5.2 ,Shortage in KG= 0  ,Oil% 40.32</v>
      </c>
      <c r="BP1342" s="71">
        <f t="shared" si="917"/>
        <v>7730.6795926680243</v>
      </c>
      <c r="BQ1342" s="55"/>
      <c r="BR1342" s="55"/>
      <c r="BS1342" s="41"/>
      <c r="BT1342" s="41"/>
      <c r="BU1342" s="41"/>
      <c r="BV1342" s="41"/>
      <c r="BW1342" s="85"/>
      <c r="BX1342" s="27">
        <v>40.22</v>
      </c>
      <c r="BY1342" s="27">
        <v>40.03</v>
      </c>
    </row>
    <row r="1343" spans="1:77" ht="14.1" hidden="1" customHeight="1" x14ac:dyDescent="0.3">
      <c r="A1343" s="281" t="s">
        <v>2823</v>
      </c>
      <c r="B1343" s="146">
        <v>46214</v>
      </c>
      <c r="C1343" s="138">
        <v>1308</v>
      </c>
      <c r="D1343" s="138" t="s">
        <v>2859</v>
      </c>
      <c r="E1343" s="129">
        <v>46220</v>
      </c>
      <c r="F1343" s="128" t="s">
        <v>1144</v>
      </c>
      <c r="G1343" s="128" t="s">
        <v>1145</v>
      </c>
      <c r="H1343" s="281" t="s">
        <v>100</v>
      </c>
      <c r="I1343" s="136"/>
      <c r="J1343" s="138" t="s">
        <v>1146</v>
      </c>
      <c r="K1343" s="136"/>
      <c r="L1343" s="146">
        <v>46214</v>
      </c>
      <c r="M1343" s="136"/>
      <c r="N1343" s="281" t="s">
        <v>2914</v>
      </c>
      <c r="O1343" s="146">
        <v>46219</v>
      </c>
      <c r="P1343" s="138">
        <v>0</v>
      </c>
      <c r="Q1343" s="138">
        <v>580</v>
      </c>
      <c r="R1343" s="138">
        <v>111</v>
      </c>
      <c r="S1343" s="138">
        <v>691</v>
      </c>
      <c r="T1343" s="138">
        <v>691</v>
      </c>
      <c r="U1343" s="136"/>
      <c r="V1343" s="136"/>
      <c r="W1343" s="147">
        <v>349.5</v>
      </c>
      <c r="X1343" s="147">
        <v>348.6</v>
      </c>
      <c r="Y1343" s="147">
        <v>2796000</v>
      </c>
      <c r="Z1343" s="147">
        <v>40.409999999999997</v>
      </c>
      <c r="AA1343" s="147">
        <v>69900</v>
      </c>
      <c r="AB1343" s="147">
        <v>69900</v>
      </c>
      <c r="AC1343" s="147">
        <v>2935800</v>
      </c>
      <c r="AD1343" s="315">
        <f t="shared" si="922"/>
        <v>2932864.2</v>
      </c>
      <c r="AE1343" s="147">
        <v>40.409999999999997</v>
      </c>
      <c r="AF1343" s="147">
        <v>42</v>
      </c>
      <c r="AG1343" s="147">
        <v>40.409999999999997</v>
      </c>
      <c r="AH1343" s="287">
        <v>2.8E-3</v>
      </c>
      <c r="AI1343" s="395">
        <v>3.2500000000000001E-2</v>
      </c>
      <c r="AJ1343" s="287">
        <v>4.9000000000000002E-2</v>
      </c>
      <c r="AK1343" s="318">
        <f t="shared" si="901"/>
        <v>105848.57142857165</v>
      </c>
      <c r="AL1343" s="193">
        <v>0</v>
      </c>
      <c r="AM1343" s="319">
        <v>0</v>
      </c>
      <c r="AN1343" s="319"/>
      <c r="AO1343" s="320">
        <f t="shared" si="902"/>
        <v>1600</v>
      </c>
      <c r="AP1343" s="193">
        <v>0</v>
      </c>
      <c r="AQ1343" s="318">
        <v>0</v>
      </c>
      <c r="AR1343" s="318">
        <f t="shared" si="903"/>
        <v>107448.57142857165</v>
      </c>
      <c r="AS1343" s="325">
        <f t="shared" si="904"/>
        <v>112821</v>
      </c>
      <c r="AT1343" s="321">
        <v>20</v>
      </c>
      <c r="AU1343" s="157"/>
      <c r="AV1343" s="136"/>
      <c r="AW1343" s="318">
        <f t="shared" si="905"/>
        <v>34950</v>
      </c>
      <c r="AX1343" s="193"/>
      <c r="AY1343" s="318">
        <f t="shared" si="906"/>
        <v>34950</v>
      </c>
      <c r="AZ1343" s="318">
        <f t="shared" si="907"/>
        <v>34860</v>
      </c>
      <c r="BA1343" s="318">
        <f t="shared" si="908"/>
        <v>90</v>
      </c>
      <c r="BB1343" s="318">
        <f t="shared" si="909"/>
        <v>69.900000000000006</v>
      </c>
      <c r="BC1343" s="318">
        <v>0</v>
      </c>
      <c r="BD1343" s="136"/>
      <c r="BE1343" s="138">
        <v>349.5</v>
      </c>
      <c r="BF1343" s="321">
        <f t="shared" si="910"/>
        <v>0.52424999999999999</v>
      </c>
      <c r="BG1343" s="197">
        <f t="shared" si="911"/>
        <v>348.97575000000001</v>
      </c>
      <c r="BH1343" s="321">
        <f t="shared" si="912"/>
        <v>348.6</v>
      </c>
      <c r="BI1343" s="322">
        <f t="shared" si="913"/>
        <v>89.999999999997726</v>
      </c>
      <c r="BJ1343" s="322">
        <v>0</v>
      </c>
      <c r="BK1343" s="318">
        <f t="shared" si="914"/>
        <v>89.999999999997726</v>
      </c>
      <c r="BL1343" s="67"/>
      <c r="BM1343" s="68" t="str">
        <f t="shared" si="915"/>
        <v>Unloading no. 1308 Bill No 2026-27/441 ,Deduction For Oil Deduction= 105848.571428572 ,Bardana= 0 ,F.M= 0 Brokerage/Rate Difference  ,Shortage = 1600 ,Greenish= 0 ,Moisture= 0</v>
      </c>
      <c r="BN1343" s="69"/>
      <c r="BO1343" s="70" t="str">
        <f t="shared" si="916"/>
        <v xml:space="preserve"> Party Condition 42  ,F.M% 0.28 ,Greenish 3.25 ,Moisture 4.9 ,Shortage in KG= 20  ,Oil% 40.41</v>
      </c>
      <c r="BP1343" s="71">
        <f t="shared" si="917"/>
        <v>7712.425211048273</v>
      </c>
      <c r="BQ1343" s="55"/>
      <c r="BR1343" s="55"/>
      <c r="BS1343" s="41"/>
      <c r="BT1343" s="41"/>
      <c r="BU1343" s="41"/>
      <c r="BV1343" s="41"/>
      <c r="BW1343" s="85"/>
      <c r="BX1343" s="27">
        <v>40.1</v>
      </c>
      <c r="BY1343" s="27">
        <v>40.03</v>
      </c>
    </row>
    <row r="1344" spans="1:77" ht="14.1" hidden="1" customHeight="1" x14ac:dyDescent="0.3">
      <c r="A1344" s="281" t="s">
        <v>2823</v>
      </c>
      <c r="B1344" s="146">
        <v>46214</v>
      </c>
      <c r="C1344" s="138">
        <v>1309</v>
      </c>
      <c r="D1344" s="138" t="s">
        <v>2860</v>
      </c>
      <c r="E1344" s="129">
        <v>46220</v>
      </c>
      <c r="F1344" s="128" t="s">
        <v>1144</v>
      </c>
      <c r="G1344" s="128" t="s">
        <v>1145</v>
      </c>
      <c r="H1344" s="281" t="s">
        <v>100</v>
      </c>
      <c r="I1344" s="136"/>
      <c r="J1344" s="138" t="s">
        <v>1146</v>
      </c>
      <c r="K1344" s="136"/>
      <c r="L1344" s="146">
        <v>46214</v>
      </c>
      <c r="M1344" s="136"/>
      <c r="N1344" s="281" t="s">
        <v>2915</v>
      </c>
      <c r="O1344" s="146">
        <v>46219</v>
      </c>
      <c r="P1344" s="138">
        <v>0</v>
      </c>
      <c r="Q1344" s="138">
        <v>351</v>
      </c>
      <c r="R1344" s="138">
        <v>351</v>
      </c>
      <c r="S1344" s="138">
        <v>702</v>
      </c>
      <c r="T1344" s="138">
        <v>702</v>
      </c>
      <c r="U1344" s="136"/>
      <c r="V1344" s="136"/>
      <c r="W1344" s="147">
        <v>355.6</v>
      </c>
      <c r="X1344" s="147">
        <v>355.3</v>
      </c>
      <c r="Y1344" s="147">
        <v>2844800</v>
      </c>
      <c r="Z1344" s="147">
        <v>40.020000000000003</v>
      </c>
      <c r="AA1344" s="147">
        <v>71120</v>
      </c>
      <c r="AB1344" s="147">
        <v>71120</v>
      </c>
      <c r="AC1344" s="147">
        <v>2987040</v>
      </c>
      <c r="AD1344" s="315">
        <f t="shared" si="922"/>
        <v>2984052.96</v>
      </c>
      <c r="AE1344" s="147">
        <v>40.020000000000003</v>
      </c>
      <c r="AF1344" s="147">
        <v>42</v>
      </c>
      <c r="AG1344" s="147">
        <v>40.020000000000003</v>
      </c>
      <c r="AH1344" s="287">
        <v>2.5000000000000001E-3</v>
      </c>
      <c r="AI1344" s="395">
        <v>3.1E-2</v>
      </c>
      <c r="AJ1344" s="287">
        <v>4.7E-2</v>
      </c>
      <c r="AK1344" s="318">
        <f t="shared" si="901"/>
        <v>134111.9999999998</v>
      </c>
      <c r="AL1344" s="193">
        <v>0</v>
      </c>
      <c r="AM1344" s="319">
        <v>0</v>
      </c>
      <c r="AN1344" s="319"/>
      <c r="AO1344" s="320">
        <f t="shared" si="902"/>
        <v>0</v>
      </c>
      <c r="AP1344" s="193">
        <v>0</v>
      </c>
      <c r="AQ1344" s="318">
        <v>0</v>
      </c>
      <c r="AR1344" s="318">
        <f t="shared" si="903"/>
        <v>134111.9999999998</v>
      </c>
      <c r="AS1344" s="325">
        <f t="shared" si="904"/>
        <v>140818</v>
      </c>
      <c r="AT1344" s="321">
        <v>0</v>
      </c>
      <c r="AU1344" s="157"/>
      <c r="AV1344" s="136"/>
      <c r="AW1344" s="318">
        <f t="shared" si="905"/>
        <v>35560</v>
      </c>
      <c r="AX1344" s="193"/>
      <c r="AY1344" s="318">
        <f t="shared" si="906"/>
        <v>35560</v>
      </c>
      <c r="AZ1344" s="318">
        <f t="shared" si="907"/>
        <v>35530</v>
      </c>
      <c r="BA1344" s="318">
        <f t="shared" si="908"/>
        <v>30</v>
      </c>
      <c r="BB1344" s="318">
        <f t="shared" si="909"/>
        <v>71.12</v>
      </c>
      <c r="BC1344" s="318">
        <v>0</v>
      </c>
      <c r="BD1344" s="136"/>
      <c r="BE1344" s="138">
        <v>355.6</v>
      </c>
      <c r="BF1344" s="321">
        <f t="shared" si="910"/>
        <v>0.53339999999999999</v>
      </c>
      <c r="BG1344" s="197">
        <f t="shared" si="911"/>
        <v>355.06660000000005</v>
      </c>
      <c r="BH1344" s="321">
        <f t="shared" si="912"/>
        <v>355.3</v>
      </c>
      <c r="BI1344" s="322">
        <f t="shared" si="913"/>
        <v>30.000000000001137</v>
      </c>
      <c r="BJ1344" s="322">
        <v>0</v>
      </c>
      <c r="BK1344" s="318">
        <f t="shared" si="914"/>
        <v>30.000000000001137</v>
      </c>
      <c r="BL1344" s="67"/>
      <c r="BM1344" s="68" t="str">
        <f t="shared" si="915"/>
        <v>Unloading no. 1309 Bill No 2026-27/438 ,Deduction For Oil Deduction= 134112 ,Bardana= 0 ,F.M= 0 Brokerage/Rate Difference  ,Shortage = 0 ,Greenish= 0 ,Moisture= 0</v>
      </c>
      <c r="BN1344" s="69"/>
      <c r="BO1344" s="70" t="str">
        <f t="shared" si="916"/>
        <v xml:space="preserve"> Party Condition 42  ,F.M% 0.25 ,Greenish 3.1 ,Moisture 4.7 ,Shortage in KG= 0  ,Oil% 40.02</v>
      </c>
      <c r="BP1344" s="71">
        <f t="shared" si="917"/>
        <v>7629.2935547424713</v>
      </c>
      <c r="BQ1344" s="55"/>
      <c r="BR1344" s="55"/>
      <c r="BS1344" s="41"/>
      <c r="BT1344" s="41"/>
      <c r="BU1344" s="41"/>
      <c r="BV1344" s="41"/>
      <c r="BW1344" s="85"/>
      <c r="BX1344" s="27">
        <v>40</v>
      </c>
      <c r="BY1344" s="27">
        <v>39.770000000000003</v>
      </c>
    </row>
    <row r="1345" spans="1:83" ht="14.1" hidden="1" customHeight="1" x14ac:dyDescent="0.3">
      <c r="A1345" s="281" t="s">
        <v>2823</v>
      </c>
      <c r="B1345" s="146">
        <v>46214</v>
      </c>
      <c r="C1345" s="138">
        <v>1310</v>
      </c>
      <c r="D1345" s="138" t="s">
        <v>2861</v>
      </c>
      <c r="E1345" s="129">
        <v>46220</v>
      </c>
      <c r="F1345" s="128" t="s">
        <v>1144</v>
      </c>
      <c r="G1345" s="128" t="s">
        <v>1145</v>
      </c>
      <c r="H1345" s="281" t="s">
        <v>100</v>
      </c>
      <c r="I1345" s="136"/>
      <c r="J1345" s="138" t="s">
        <v>1146</v>
      </c>
      <c r="K1345" s="136"/>
      <c r="L1345" s="146">
        <v>46214</v>
      </c>
      <c r="M1345" s="136"/>
      <c r="N1345" s="281" t="s">
        <v>2916</v>
      </c>
      <c r="O1345" s="146">
        <v>46219</v>
      </c>
      <c r="P1345" s="138">
        <v>0</v>
      </c>
      <c r="Q1345" s="138">
        <v>629</v>
      </c>
      <c r="R1345" s="138">
        <v>200</v>
      </c>
      <c r="S1345" s="138">
        <v>829</v>
      </c>
      <c r="T1345" s="138">
        <v>829</v>
      </c>
      <c r="U1345" s="136"/>
      <c r="V1345" s="136"/>
      <c r="W1345" s="147">
        <v>421.6</v>
      </c>
      <c r="X1345" s="147">
        <v>420.2</v>
      </c>
      <c r="Y1345" s="147">
        <v>3372800</v>
      </c>
      <c r="Z1345" s="147">
        <v>39.93</v>
      </c>
      <c r="AA1345" s="147">
        <v>84320</v>
      </c>
      <c r="AB1345" s="147">
        <v>84320</v>
      </c>
      <c r="AC1345" s="147">
        <v>3541440</v>
      </c>
      <c r="AD1345" s="315">
        <f t="shared" si="922"/>
        <v>3537898.56</v>
      </c>
      <c r="AE1345" s="147">
        <v>39.93</v>
      </c>
      <c r="AF1345" s="147">
        <v>42</v>
      </c>
      <c r="AG1345" s="147">
        <v>39.93</v>
      </c>
      <c r="AH1345" s="287">
        <v>4.0000000000000001E-3</v>
      </c>
      <c r="AI1345" s="395">
        <v>4.5999999999999999E-2</v>
      </c>
      <c r="AJ1345" s="287">
        <v>0.05</v>
      </c>
      <c r="AK1345" s="318">
        <f t="shared" si="901"/>
        <v>166230.85714285716</v>
      </c>
      <c r="AL1345" s="193">
        <v>0</v>
      </c>
      <c r="AM1345" s="319">
        <v>0</v>
      </c>
      <c r="AN1345" s="319"/>
      <c r="AO1345" s="320">
        <f t="shared" si="902"/>
        <v>4480</v>
      </c>
      <c r="AP1345" s="193">
        <v>0</v>
      </c>
      <c r="AQ1345" s="318">
        <v>0</v>
      </c>
      <c r="AR1345" s="318">
        <f t="shared" si="903"/>
        <v>170710.85714285716</v>
      </c>
      <c r="AS1345" s="325">
        <f t="shared" si="904"/>
        <v>179246</v>
      </c>
      <c r="AT1345" s="321">
        <v>56</v>
      </c>
      <c r="AU1345" s="157" t="s">
        <v>2937</v>
      </c>
      <c r="AV1345" s="136"/>
      <c r="AW1345" s="318">
        <f t="shared" si="905"/>
        <v>42160</v>
      </c>
      <c r="AX1345" s="193"/>
      <c r="AY1345" s="318">
        <f t="shared" si="906"/>
        <v>42160</v>
      </c>
      <c r="AZ1345" s="318">
        <f t="shared" si="907"/>
        <v>42020</v>
      </c>
      <c r="BA1345" s="318">
        <f t="shared" si="908"/>
        <v>140</v>
      </c>
      <c r="BB1345" s="318">
        <f t="shared" si="909"/>
        <v>84.32</v>
      </c>
      <c r="BC1345" s="318">
        <v>0</v>
      </c>
      <c r="BD1345" s="136"/>
      <c r="BE1345" s="138">
        <v>421.6</v>
      </c>
      <c r="BF1345" s="321">
        <f t="shared" si="910"/>
        <v>0.63240000000000007</v>
      </c>
      <c r="BG1345" s="197">
        <f t="shared" si="911"/>
        <v>420.9676</v>
      </c>
      <c r="BH1345" s="321">
        <f t="shared" si="912"/>
        <v>420.2</v>
      </c>
      <c r="BI1345" s="322">
        <f t="shared" si="913"/>
        <v>140.00000000000341</v>
      </c>
      <c r="BJ1345" s="322">
        <v>0</v>
      </c>
      <c r="BK1345" s="318">
        <f t="shared" si="914"/>
        <v>140.00000000000341</v>
      </c>
      <c r="BL1345" s="67"/>
      <c r="BM1345" s="68" t="str">
        <f t="shared" si="915"/>
        <v>Unloading no. 1310 Bill No 2026-27/442 ,Deduction For Oil Deduction= 166230.857142857 ,Bardana= 0 ,F.M= 0 Brokerage/Rate Difference  ,Shortage = 4480 ,Greenish= 0 ,Moisture= 0</v>
      </c>
      <c r="BN1345" s="69"/>
      <c r="BO1345" s="70" t="str">
        <f t="shared" si="916"/>
        <v xml:space="preserve"> Party Condition 42  ,F.M% 0.4 ,Greenish 4.6 ,Moisture 5 ,Shortage in KG= 56  ,Oil% 39.93</v>
      </c>
      <c r="BP1345" s="71">
        <f t="shared" si="917"/>
        <v>7620.3930101312299</v>
      </c>
      <c r="BQ1345" s="55"/>
      <c r="BR1345" s="55"/>
      <c r="BS1345" s="41"/>
      <c r="BT1345" s="41"/>
      <c r="BU1345" s="41"/>
      <c r="BV1345" s="41"/>
      <c r="BW1345" s="85"/>
      <c r="BX1345" s="27">
        <v>39.85</v>
      </c>
      <c r="BY1345" s="27">
        <v>39.770000000000003</v>
      </c>
    </row>
    <row r="1346" spans="1:83" ht="14.1" hidden="1" customHeight="1" x14ac:dyDescent="0.3">
      <c r="A1346" s="281" t="s">
        <v>2824</v>
      </c>
      <c r="B1346" s="146">
        <v>46218</v>
      </c>
      <c r="C1346" s="138">
        <v>1311</v>
      </c>
      <c r="D1346" s="138" t="s">
        <v>2862</v>
      </c>
      <c r="E1346" s="129">
        <v>46220</v>
      </c>
      <c r="F1346" s="128" t="s">
        <v>1144</v>
      </c>
      <c r="G1346" s="128" t="s">
        <v>1145</v>
      </c>
      <c r="H1346" s="281" t="s">
        <v>100</v>
      </c>
      <c r="I1346" s="136"/>
      <c r="J1346" s="138" t="s">
        <v>1146</v>
      </c>
      <c r="K1346" s="136"/>
      <c r="L1346" s="146">
        <v>46218</v>
      </c>
      <c r="M1346" s="136"/>
      <c r="N1346" s="281" t="s">
        <v>2917</v>
      </c>
      <c r="O1346" s="146">
        <v>46220</v>
      </c>
      <c r="P1346" s="138">
        <v>0</v>
      </c>
      <c r="Q1346" s="138">
        <v>0</v>
      </c>
      <c r="R1346" s="138">
        <v>200</v>
      </c>
      <c r="S1346" s="138">
        <v>200</v>
      </c>
      <c r="T1346" s="138">
        <v>200</v>
      </c>
      <c r="U1346" s="136"/>
      <c r="V1346" s="136"/>
      <c r="W1346" s="147">
        <v>100.3</v>
      </c>
      <c r="X1346" s="147">
        <v>100.4</v>
      </c>
      <c r="Y1346" s="147">
        <v>808518.3</v>
      </c>
      <c r="Z1346" s="147">
        <v>39.57</v>
      </c>
      <c r="AA1346" s="147">
        <v>20212.96</v>
      </c>
      <c r="AB1346" s="147">
        <v>20212.96</v>
      </c>
      <c r="AC1346" s="147">
        <v>848944.22</v>
      </c>
      <c r="AD1346" s="315">
        <f t="shared" si="922"/>
        <v>848095.27578000003</v>
      </c>
      <c r="AE1346" s="147">
        <v>39.57</v>
      </c>
      <c r="AF1346" s="147">
        <v>42</v>
      </c>
      <c r="AG1346" s="147">
        <v>39.57</v>
      </c>
      <c r="AH1346" s="287">
        <v>4.0000000000000001E-3</v>
      </c>
      <c r="AI1346" s="395">
        <v>0.05</v>
      </c>
      <c r="AJ1346" s="287">
        <v>5.6000000000000001E-2</v>
      </c>
      <c r="AK1346" s="318">
        <f t="shared" si="901"/>
        <v>46778.558785714282</v>
      </c>
      <c r="AL1346" s="193">
        <v>0</v>
      </c>
      <c r="AM1346" s="319">
        <v>0</v>
      </c>
      <c r="AN1346" s="319"/>
      <c r="AO1346" s="320">
        <f t="shared" si="902"/>
        <v>0</v>
      </c>
      <c r="AP1346" s="193">
        <v>0</v>
      </c>
      <c r="AQ1346" s="318">
        <v>0</v>
      </c>
      <c r="AR1346" s="318">
        <f t="shared" si="903"/>
        <v>46778.558785714282</v>
      </c>
      <c r="AS1346" s="325">
        <f t="shared" si="904"/>
        <v>49117</v>
      </c>
      <c r="AT1346" s="321">
        <v>0</v>
      </c>
      <c r="AU1346" s="157"/>
      <c r="AV1346" s="136"/>
      <c r="AW1346" s="318">
        <f t="shared" si="905"/>
        <v>10030</v>
      </c>
      <c r="AX1346" s="193"/>
      <c r="AY1346" s="318">
        <f t="shared" si="906"/>
        <v>10030</v>
      </c>
      <c r="AZ1346" s="318">
        <f t="shared" si="907"/>
        <v>10040</v>
      </c>
      <c r="BA1346" s="318">
        <f t="shared" si="908"/>
        <v>-10</v>
      </c>
      <c r="BB1346" s="318">
        <f t="shared" si="909"/>
        <v>20.059999999999999</v>
      </c>
      <c r="BC1346" s="318">
        <v>0</v>
      </c>
      <c r="BD1346" s="136"/>
      <c r="BE1346" s="138">
        <v>100.3</v>
      </c>
      <c r="BF1346" s="321">
        <f t="shared" si="910"/>
        <v>0.15044999999999997</v>
      </c>
      <c r="BG1346" s="197">
        <f t="shared" si="911"/>
        <v>100.14954999999999</v>
      </c>
      <c r="BH1346" s="321">
        <f t="shared" si="912"/>
        <v>100.4</v>
      </c>
      <c r="BI1346" s="322">
        <f t="shared" si="913"/>
        <v>-10.000000000000853</v>
      </c>
      <c r="BJ1346" s="322">
        <v>0</v>
      </c>
      <c r="BK1346" s="318">
        <f t="shared" si="914"/>
        <v>-10.000000000000853</v>
      </c>
      <c r="BL1346" s="67"/>
      <c r="BM1346" s="68" t="str">
        <f t="shared" si="915"/>
        <v>Unloading no. 1311 Bill No 2026-27/444 ,Deduction For Oil Deduction= 46778.5587857143 ,Bardana= 0 ,F.M= 0 Brokerage/Rate Difference  ,Shortage = 0 ,Greenish= 0 ,Moisture= 0</v>
      </c>
      <c r="BN1346" s="69"/>
      <c r="BO1346" s="70" t="str">
        <f t="shared" si="916"/>
        <v xml:space="preserve"> Party Condition 42  ,F.M% 0.4 ,Greenish 5 ,Moisture 5.6 ,Shortage in KG= 0  ,Oil% 39.57</v>
      </c>
      <c r="BP1346" s="71">
        <f t="shared" si="917"/>
        <v>7587.0492152817296</v>
      </c>
      <c r="BQ1346" s="55"/>
      <c r="BR1346" s="55"/>
      <c r="BS1346" s="41"/>
      <c r="BT1346" s="41"/>
      <c r="BU1346" s="41"/>
      <c r="BV1346" s="41"/>
      <c r="BW1346" s="85"/>
      <c r="BX1346" s="27">
        <v>39.119999999999997</v>
      </c>
      <c r="BY1346" s="27">
        <v>39.200000000000003</v>
      </c>
    </row>
    <row r="1347" spans="1:83" ht="14.1" hidden="1" customHeight="1" x14ac:dyDescent="0.3">
      <c r="A1347" s="281" t="s">
        <v>2824</v>
      </c>
      <c r="B1347" s="146">
        <v>46218</v>
      </c>
      <c r="C1347" s="138">
        <v>1312</v>
      </c>
      <c r="D1347" s="138" t="s">
        <v>2863</v>
      </c>
      <c r="E1347" s="129">
        <v>46220</v>
      </c>
      <c r="F1347" s="128" t="s">
        <v>1144</v>
      </c>
      <c r="G1347" s="128" t="s">
        <v>1145</v>
      </c>
      <c r="H1347" s="281" t="s">
        <v>100</v>
      </c>
      <c r="I1347" s="136"/>
      <c r="J1347" s="138" t="s">
        <v>1146</v>
      </c>
      <c r="K1347" s="136"/>
      <c r="L1347" s="146">
        <v>46218</v>
      </c>
      <c r="M1347" s="136"/>
      <c r="N1347" s="281" t="s">
        <v>2918</v>
      </c>
      <c r="O1347" s="146">
        <v>46220</v>
      </c>
      <c r="P1347" s="138">
        <v>0</v>
      </c>
      <c r="Q1347" s="138">
        <v>0</v>
      </c>
      <c r="R1347" s="138">
        <v>200</v>
      </c>
      <c r="S1347" s="138">
        <v>200</v>
      </c>
      <c r="T1347" s="138">
        <v>200</v>
      </c>
      <c r="U1347" s="136"/>
      <c r="V1347" s="136"/>
      <c r="W1347" s="147">
        <v>97.2</v>
      </c>
      <c r="X1347" s="147">
        <v>97.2</v>
      </c>
      <c r="Y1347" s="147">
        <v>783529.2</v>
      </c>
      <c r="Z1347" s="147">
        <v>39.479999999999997</v>
      </c>
      <c r="AA1347" s="147">
        <v>19588.23</v>
      </c>
      <c r="AB1347" s="147">
        <v>19588.23</v>
      </c>
      <c r="AC1347" s="147">
        <v>822705.66</v>
      </c>
      <c r="AD1347" s="315">
        <f t="shared" si="922"/>
        <v>821882.95434000005</v>
      </c>
      <c r="AE1347" s="147">
        <v>39.479999999999997</v>
      </c>
      <c r="AF1347" s="147">
        <v>42</v>
      </c>
      <c r="AG1347" s="147">
        <v>39.479999999999997</v>
      </c>
      <c r="AH1347" s="287">
        <v>4.4000000000000003E-3</v>
      </c>
      <c r="AI1347" s="395">
        <v>4.9599999999999998E-2</v>
      </c>
      <c r="AJ1347" s="287">
        <v>5.7000000000000002E-2</v>
      </c>
      <c r="AK1347" s="318">
        <f t="shared" si="901"/>
        <v>47011.752000000059</v>
      </c>
      <c r="AL1347" s="193">
        <v>0</v>
      </c>
      <c r="AM1347" s="319">
        <v>0</v>
      </c>
      <c r="AN1347" s="319"/>
      <c r="AO1347" s="320">
        <f t="shared" si="902"/>
        <v>0</v>
      </c>
      <c r="AP1347" s="193">
        <v>0</v>
      </c>
      <c r="AQ1347" s="318">
        <v>0</v>
      </c>
      <c r="AR1347" s="318">
        <f t="shared" si="903"/>
        <v>47011.752000000059</v>
      </c>
      <c r="AS1347" s="325">
        <f t="shared" si="904"/>
        <v>49362</v>
      </c>
      <c r="AT1347" s="321">
        <v>0</v>
      </c>
      <c r="AU1347" s="157"/>
      <c r="AV1347" s="136"/>
      <c r="AW1347" s="318">
        <f t="shared" si="905"/>
        <v>9720</v>
      </c>
      <c r="AX1347" s="193"/>
      <c r="AY1347" s="318">
        <f t="shared" si="906"/>
        <v>9720</v>
      </c>
      <c r="AZ1347" s="318">
        <f t="shared" si="907"/>
        <v>9720</v>
      </c>
      <c r="BA1347" s="318">
        <f t="shared" si="908"/>
        <v>0</v>
      </c>
      <c r="BB1347" s="318">
        <f t="shared" si="909"/>
        <v>19.440000000000001</v>
      </c>
      <c r="BC1347" s="318">
        <v>0</v>
      </c>
      <c r="BD1347" s="136"/>
      <c r="BE1347" s="138">
        <v>97.2</v>
      </c>
      <c r="BF1347" s="321">
        <f t="shared" si="910"/>
        <v>0.14580000000000001</v>
      </c>
      <c r="BG1347" s="197">
        <f t="shared" si="911"/>
        <v>97.054200000000009</v>
      </c>
      <c r="BH1347" s="321">
        <f t="shared" si="912"/>
        <v>97.2</v>
      </c>
      <c r="BI1347" s="322">
        <f t="shared" si="913"/>
        <v>0</v>
      </c>
      <c r="BJ1347" s="322">
        <v>0</v>
      </c>
      <c r="BK1347" s="318">
        <f t="shared" si="914"/>
        <v>0</v>
      </c>
      <c r="BL1347" s="67"/>
      <c r="BM1347" s="68" t="str">
        <f t="shared" si="915"/>
        <v>Unloading no. 1312 Bill No 2026-27/445 ,Deduction For Oil Deduction= 47011.7520000001 ,Bardana= 0 ,F.M= 0 Brokerage/Rate Difference  ,Shortage = 0 ,Greenish= 0 ,Moisture= 0</v>
      </c>
      <c r="BN1347" s="69"/>
      <c r="BO1347" s="70" t="str">
        <f t="shared" si="916"/>
        <v xml:space="preserve"> Party Condition 42  ,F.M% 0.44 ,Greenish 4.96 ,Moisture 5.7 ,Shortage in KG= 0  ,Oil% 39.48</v>
      </c>
      <c r="BP1347" s="71">
        <f t="shared" si="917"/>
        <v>7577.3399999999983</v>
      </c>
      <c r="BQ1347" s="55"/>
      <c r="BR1347" s="55"/>
      <c r="BS1347" s="41"/>
      <c r="BT1347" s="41"/>
      <c r="BU1347" s="41"/>
      <c r="BV1347" s="41"/>
      <c r="BW1347" s="85"/>
      <c r="BX1347" s="27">
        <v>39.28</v>
      </c>
      <c r="BY1347" s="27">
        <v>39.159999999999997</v>
      </c>
    </row>
    <row r="1348" spans="1:83" ht="14.1" hidden="1" customHeight="1" x14ac:dyDescent="0.3">
      <c r="A1348" s="281" t="s">
        <v>2824</v>
      </c>
      <c r="B1348" s="146">
        <v>46218</v>
      </c>
      <c r="C1348" s="138">
        <v>1313</v>
      </c>
      <c r="D1348" s="138" t="s">
        <v>2864</v>
      </c>
      <c r="E1348" s="129">
        <v>46220</v>
      </c>
      <c r="F1348" s="128" t="s">
        <v>1144</v>
      </c>
      <c r="G1348" s="128" t="s">
        <v>1145</v>
      </c>
      <c r="H1348" s="281" t="s">
        <v>100</v>
      </c>
      <c r="I1348" s="136"/>
      <c r="J1348" s="138" t="s">
        <v>1146</v>
      </c>
      <c r="K1348" s="136"/>
      <c r="L1348" s="146">
        <v>46218</v>
      </c>
      <c r="M1348" s="136"/>
      <c r="N1348" s="281" t="s">
        <v>2919</v>
      </c>
      <c r="O1348" s="146">
        <v>46220</v>
      </c>
      <c r="P1348" s="138">
        <v>0</v>
      </c>
      <c r="Q1348" s="138">
        <v>0</v>
      </c>
      <c r="R1348" s="138">
        <v>195</v>
      </c>
      <c r="S1348" s="138">
        <v>195</v>
      </c>
      <c r="T1348" s="138">
        <v>195</v>
      </c>
      <c r="U1348" s="136"/>
      <c r="V1348" s="136"/>
      <c r="W1348" s="147">
        <v>96.8</v>
      </c>
      <c r="X1348" s="147">
        <v>96.7</v>
      </c>
      <c r="Y1348" s="147">
        <v>780304.8</v>
      </c>
      <c r="Z1348" s="147">
        <v>39.549999999999997</v>
      </c>
      <c r="AA1348" s="147">
        <v>19507.62</v>
      </c>
      <c r="AB1348" s="147">
        <v>19507.62</v>
      </c>
      <c r="AC1348" s="147">
        <v>819320.04</v>
      </c>
      <c r="AD1348" s="315">
        <f t="shared" si="922"/>
        <v>818500.71996000002</v>
      </c>
      <c r="AE1348" s="147">
        <v>39.549999999999997</v>
      </c>
      <c r="AF1348" s="147">
        <v>42</v>
      </c>
      <c r="AG1348" s="147">
        <v>39.549999999999997</v>
      </c>
      <c r="AH1348" s="287">
        <v>4.0000000000000001E-3</v>
      </c>
      <c r="AI1348" s="395">
        <v>4.1799999999999997E-2</v>
      </c>
      <c r="AJ1348" s="287">
        <v>5.2999999999999999E-2</v>
      </c>
      <c r="AK1348" s="318">
        <f t="shared" si="901"/>
        <v>45517.780000000057</v>
      </c>
      <c r="AL1348" s="193">
        <v>0</v>
      </c>
      <c r="AM1348" s="319">
        <v>0</v>
      </c>
      <c r="AN1348" s="319"/>
      <c r="AO1348" s="320">
        <f t="shared" si="902"/>
        <v>0</v>
      </c>
      <c r="AP1348" s="193">
        <v>0</v>
      </c>
      <c r="AQ1348" s="318">
        <v>0</v>
      </c>
      <c r="AR1348" s="318">
        <f t="shared" si="903"/>
        <v>45517.780000000057</v>
      </c>
      <c r="AS1348" s="325">
        <f t="shared" si="904"/>
        <v>47794</v>
      </c>
      <c r="AT1348" s="321">
        <v>0</v>
      </c>
      <c r="AU1348" s="157"/>
      <c r="AV1348" s="136"/>
      <c r="AW1348" s="318">
        <f t="shared" si="905"/>
        <v>9680</v>
      </c>
      <c r="AX1348" s="193"/>
      <c r="AY1348" s="318">
        <f t="shared" si="906"/>
        <v>9680</v>
      </c>
      <c r="AZ1348" s="318">
        <f t="shared" si="907"/>
        <v>9670</v>
      </c>
      <c r="BA1348" s="318">
        <f t="shared" si="908"/>
        <v>10</v>
      </c>
      <c r="BB1348" s="318">
        <f t="shared" si="909"/>
        <v>19.36</v>
      </c>
      <c r="BC1348" s="318">
        <v>0</v>
      </c>
      <c r="BD1348" s="136"/>
      <c r="BE1348" s="138">
        <v>96.8</v>
      </c>
      <c r="BF1348" s="321">
        <f t="shared" si="910"/>
        <v>0.1452</v>
      </c>
      <c r="BG1348" s="197">
        <f t="shared" si="911"/>
        <v>96.654799999999994</v>
      </c>
      <c r="BH1348" s="321">
        <f t="shared" si="912"/>
        <v>96.7</v>
      </c>
      <c r="BI1348" s="322">
        <f t="shared" si="913"/>
        <v>9.9999999999994316</v>
      </c>
      <c r="BJ1348" s="322">
        <v>0</v>
      </c>
      <c r="BK1348" s="318">
        <f t="shared" si="914"/>
        <v>9.9999999999994316</v>
      </c>
      <c r="BL1348" s="67"/>
      <c r="BM1348" s="68" t="str">
        <f t="shared" si="915"/>
        <v>Unloading no. 1313 Bill No 2026-27/447 ,Deduction For Oil Deduction= 45517.7800000001 ,Bardana= 0 ,F.M= 0 Brokerage/Rate Difference  ,Shortage = 0 ,Greenish= 0 ,Moisture= 0</v>
      </c>
      <c r="BN1348" s="69"/>
      <c r="BO1348" s="70" t="str">
        <f t="shared" si="916"/>
        <v xml:space="preserve"> Party Condition 42  ,F.M% 0.4 ,Greenish 4.18 ,Moisture 5.3 ,Shortage in KG= 0  ,Oil% 39.55</v>
      </c>
      <c r="BP1348" s="71">
        <f t="shared" si="917"/>
        <v>7598.6248190279211</v>
      </c>
      <c r="BQ1348" s="55"/>
      <c r="BR1348" s="55"/>
      <c r="BS1348" s="41"/>
      <c r="BT1348" s="41"/>
      <c r="BU1348" s="41"/>
      <c r="BV1348" s="41"/>
      <c r="BW1348" s="85"/>
      <c r="BX1348" s="27">
        <v>39.4</v>
      </c>
      <c r="BY1348" s="27">
        <v>39.340000000000003</v>
      </c>
    </row>
    <row r="1349" spans="1:83" ht="14.1" hidden="1" customHeight="1" x14ac:dyDescent="0.3">
      <c r="A1349" s="281" t="s">
        <v>2824</v>
      </c>
      <c r="B1349" s="146">
        <v>46218</v>
      </c>
      <c r="C1349" s="138">
        <v>1314</v>
      </c>
      <c r="D1349" s="138" t="s">
        <v>2865</v>
      </c>
      <c r="E1349" s="129">
        <v>46220</v>
      </c>
      <c r="F1349" s="128" t="s">
        <v>1144</v>
      </c>
      <c r="G1349" s="128" t="s">
        <v>1145</v>
      </c>
      <c r="H1349" s="281" t="s">
        <v>100</v>
      </c>
      <c r="I1349" s="136"/>
      <c r="J1349" s="138" t="s">
        <v>1146</v>
      </c>
      <c r="K1349" s="136"/>
      <c r="L1349" s="146">
        <v>46218</v>
      </c>
      <c r="M1349" s="136"/>
      <c r="N1349" s="281" t="s">
        <v>2920</v>
      </c>
      <c r="O1349" s="146">
        <v>46220</v>
      </c>
      <c r="P1349" s="138">
        <v>0</v>
      </c>
      <c r="Q1349" s="138">
        <v>0</v>
      </c>
      <c r="R1349" s="138">
        <v>195</v>
      </c>
      <c r="S1349" s="138">
        <v>195</v>
      </c>
      <c r="T1349" s="138">
        <v>195</v>
      </c>
      <c r="U1349" s="136"/>
      <c r="V1349" s="136"/>
      <c r="W1349" s="147">
        <v>96.2</v>
      </c>
      <c r="X1349" s="147">
        <v>96</v>
      </c>
      <c r="Y1349" s="147">
        <v>775468.2</v>
      </c>
      <c r="Z1349" s="147">
        <v>39.619999999999997</v>
      </c>
      <c r="AA1349" s="147">
        <v>19386.71</v>
      </c>
      <c r="AB1349" s="147">
        <v>19386.71</v>
      </c>
      <c r="AC1349" s="147">
        <v>814241.61</v>
      </c>
      <c r="AD1349" s="315">
        <f t="shared" si="922"/>
        <v>813427.36838999996</v>
      </c>
      <c r="AE1349" s="147">
        <v>39.619999999999997</v>
      </c>
      <c r="AF1349" s="147">
        <v>42</v>
      </c>
      <c r="AG1349" s="147">
        <v>39.619999999999997</v>
      </c>
      <c r="AH1349" s="287">
        <v>4.7999999999999996E-3</v>
      </c>
      <c r="AI1349" s="395">
        <v>4.8599999999999997E-2</v>
      </c>
      <c r="AJ1349" s="287">
        <v>5.3999999999999999E-2</v>
      </c>
      <c r="AK1349" s="318">
        <f t="shared" si="901"/>
        <v>43943.19800000004</v>
      </c>
      <c r="AL1349" s="193">
        <v>0</v>
      </c>
      <c r="AM1349" s="319">
        <v>0</v>
      </c>
      <c r="AN1349" s="319"/>
      <c r="AO1349" s="320">
        <f t="shared" si="902"/>
        <v>80.61</v>
      </c>
      <c r="AP1349" s="193">
        <v>0</v>
      </c>
      <c r="AQ1349" s="318">
        <v>0</v>
      </c>
      <c r="AR1349" s="318">
        <f t="shared" si="903"/>
        <v>44023.808000000041</v>
      </c>
      <c r="AS1349" s="325">
        <f t="shared" si="904"/>
        <v>46225</v>
      </c>
      <c r="AT1349" s="321">
        <v>1</v>
      </c>
      <c r="AU1349" s="157"/>
      <c r="AV1349" s="136"/>
      <c r="AW1349" s="318">
        <f t="shared" si="905"/>
        <v>9620</v>
      </c>
      <c r="AX1349" s="193"/>
      <c r="AY1349" s="318">
        <f t="shared" si="906"/>
        <v>9620</v>
      </c>
      <c r="AZ1349" s="318">
        <f t="shared" si="907"/>
        <v>9600</v>
      </c>
      <c r="BA1349" s="318">
        <f t="shared" si="908"/>
        <v>20</v>
      </c>
      <c r="BB1349" s="318">
        <f t="shared" si="909"/>
        <v>19.239999999999998</v>
      </c>
      <c r="BC1349" s="318">
        <v>0</v>
      </c>
      <c r="BD1349" s="136"/>
      <c r="BE1349" s="138">
        <v>96.2</v>
      </c>
      <c r="BF1349" s="321">
        <f t="shared" si="910"/>
        <v>0.14429999999999998</v>
      </c>
      <c r="BG1349" s="197">
        <f t="shared" si="911"/>
        <v>96.055700000000002</v>
      </c>
      <c r="BH1349" s="321">
        <f t="shared" si="912"/>
        <v>96</v>
      </c>
      <c r="BI1349" s="322">
        <f t="shared" si="913"/>
        <v>20.000000000000284</v>
      </c>
      <c r="BJ1349" s="322">
        <v>0</v>
      </c>
      <c r="BK1349" s="318">
        <f t="shared" si="914"/>
        <v>20.000000000000284</v>
      </c>
      <c r="BL1349" s="67"/>
      <c r="BM1349" s="68" t="str">
        <f t="shared" si="915"/>
        <v>Unloading no. 1314 Bill No 2026-27/449 ,Deduction For Oil Deduction= 43943.198 ,Bardana= 0 ,F.M= 0 Brokerage/Rate Difference  ,Shortage = 80.61 ,Greenish= 0 ,Moisture= 0</v>
      </c>
      <c r="BN1349" s="69"/>
      <c r="BO1349" s="70" t="str">
        <f t="shared" si="916"/>
        <v xml:space="preserve"> Party Condition 42  ,F.M% 0.48 ,Greenish 4.86 ,Moisture 5.4 ,Shortage in KG= 1  ,Oil% 39.62</v>
      </c>
      <c r="BP1349" s="71">
        <f t="shared" si="917"/>
        <v>7619.2124166666654</v>
      </c>
      <c r="BQ1349" s="55"/>
      <c r="BR1349" s="55"/>
      <c r="BS1349" s="41"/>
      <c r="BT1349" s="41"/>
      <c r="BU1349" s="41"/>
      <c r="BV1349" s="41"/>
      <c r="BW1349" s="85"/>
      <c r="BX1349" s="27">
        <v>39.479999999999997</v>
      </c>
      <c r="BY1349" s="27">
        <v>39.47</v>
      </c>
    </row>
    <row r="1350" spans="1:83" ht="14.1" hidden="1" customHeight="1" x14ac:dyDescent="0.3">
      <c r="A1350" s="281" t="s">
        <v>2824</v>
      </c>
      <c r="B1350" s="146">
        <v>46218</v>
      </c>
      <c r="C1350" s="138">
        <v>1315</v>
      </c>
      <c r="D1350" s="138" t="s">
        <v>2866</v>
      </c>
      <c r="E1350" s="129">
        <v>46220</v>
      </c>
      <c r="F1350" s="128" t="s">
        <v>1144</v>
      </c>
      <c r="G1350" s="128" t="s">
        <v>1145</v>
      </c>
      <c r="H1350" s="281" t="s">
        <v>100</v>
      </c>
      <c r="I1350" s="136"/>
      <c r="J1350" s="138" t="s">
        <v>1146</v>
      </c>
      <c r="K1350" s="136"/>
      <c r="L1350" s="146">
        <v>46218</v>
      </c>
      <c r="M1350" s="136"/>
      <c r="N1350" s="281" t="s">
        <v>2921</v>
      </c>
      <c r="O1350" s="146">
        <v>46220</v>
      </c>
      <c r="P1350" s="138">
        <v>0</v>
      </c>
      <c r="Q1350" s="138">
        <v>0</v>
      </c>
      <c r="R1350" s="138">
        <v>195</v>
      </c>
      <c r="S1350" s="138">
        <v>195</v>
      </c>
      <c r="T1350" s="138">
        <v>195</v>
      </c>
      <c r="U1350" s="136"/>
      <c r="V1350" s="136"/>
      <c r="W1350" s="147">
        <v>95.9</v>
      </c>
      <c r="X1350" s="147">
        <v>96</v>
      </c>
      <c r="Y1350" s="147">
        <v>773049.9</v>
      </c>
      <c r="Z1350" s="147">
        <v>39.43</v>
      </c>
      <c r="AA1350" s="147">
        <v>19326.25</v>
      </c>
      <c r="AB1350" s="147">
        <v>19326.25</v>
      </c>
      <c r="AC1350" s="147">
        <v>811702.4</v>
      </c>
      <c r="AD1350" s="315">
        <f t="shared" si="922"/>
        <v>810890.69760000007</v>
      </c>
      <c r="AE1350" s="147">
        <v>39.43</v>
      </c>
      <c r="AF1350" s="147">
        <v>42</v>
      </c>
      <c r="AG1350" s="147">
        <v>39.43</v>
      </c>
      <c r="AH1350" s="287">
        <v>4.4000000000000003E-3</v>
      </c>
      <c r="AI1350" s="395">
        <v>3.7400000000000003E-2</v>
      </c>
      <c r="AJ1350" s="287">
        <v>5.8000000000000003E-2</v>
      </c>
      <c r="AK1350" s="318">
        <f t="shared" si="901"/>
        <v>47303.291500000007</v>
      </c>
      <c r="AL1350" s="193">
        <v>0</v>
      </c>
      <c r="AM1350" s="319">
        <v>0</v>
      </c>
      <c r="AN1350" s="319"/>
      <c r="AO1350" s="320">
        <f t="shared" si="902"/>
        <v>0</v>
      </c>
      <c r="AP1350" s="193">
        <v>0</v>
      </c>
      <c r="AQ1350" s="318">
        <v>0</v>
      </c>
      <c r="AR1350" s="318">
        <f t="shared" si="903"/>
        <v>47303.291500000007</v>
      </c>
      <c r="AS1350" s="325">
        <f t="shared" si="904"/>
        <v>49668</v>
      </c>
      <c r="AT1350" s="321">
        <v>0</v>
      </c>
      <c r="AU1350" s="157"/>
      <c r="AV1350" s="136"/>
      <c r="AW1350" s="318">
        <f t="shared" si="905"/>
        <v>9590</v>
      </c>
      <c r="AX1350" s="193"/>
      <c r="AY1350" s="318">
        <f t="shared" si="906"/>
        <v>9590</v>
      </c>
      <c r="AZ1350" s="318">
        <f t="shared" si="907"/>
        <v>9600</v>
      </c>
      <c r="BA1350" s="318">
        <f t="shared" si="908"/>
        <v>-10</v>
      </c>
      <c r="BB1350" s="318">
        <f t="shared" si="909"/>
        <v>19.18</v>
      </c>
      <c r="BC1350" s="318">
        <v>0</v>
      </c>
      <c r="BD1350" s="136"/>
      <c r="BE1350" s="138">
        <v>95.9</v>
      </c>
      <c r="BF1350" s="321">
        <f t="shared" si="910"/>
        <v>0.14385000000000001</v>
      </c>
      <c r="BG1350" s="197">
        <f t="shared" si="911"/>
        <v>95.756150000000005</v>
      </c>
      <c r="BH1350" s="321">
        <f t="shared" si="912"/>
        <v>96</v>
      </c>
      <c r="BI1350" s="322">
        <f t="shared" si="913"/>
        <v>-9.9999999999994316</v>
      </c>
      <c r="BJ1350" s="322">
        <v>0</v>
      </c>
      <c r="BK1350" s="318">
        <f t="shared" si="914"/>
        <v>-9.9999999999994316</v>
      </c>
      <c r="BL1350" s="67"/>
      <c r="BM1350" s="68" t="str">
        <f t="shared" si="915"/>
        <v>Unloading no. 1315 Bill No 2026-27/450 ,Deduction For Oil Deduction= 47303.2915 ,Bardana= 0 ,F.M= 0 Brokerage/Rate Difference  ,Shortage = 0 ,Greenish= 0 ,Moisture= 0</v>
      </c>
      <c r="BN1350" s="69"/>
      <c r="BO1350" s="70" t="str">
        <f t="shared" si="916"/>
        <v xml:space="preserve"> Party Condition 42  ,F.M% 0.44 ,Greenish 3.74 ,Moisture 5.8 ,Shortage in KG= 0  ,Oil% 39.43</v>
      </c>
      <c r="BP1350" s="71">
        <f t="shared" si="917"/>
        <v>7559.8605052083331</v>
      </c>
      <c r="BQ1350" s="55"/>
      <c r="BR1350" s="55"/>
      <c r="BS1350" s="41"/>
      <c r="BT1350" s="41"/>
      <c r="BU1350" s="41"/>
      <c r="BV1350" s="41"/>
      <c r="BW1350" s="85"/>
      <c r="BX1350" s="27">
        <v>39.119999999999997</v>
      </c>
      <c r="BY1350" s="27">
        <v>39.03</v>
      </c>
    </row>
    <row r="1351" spans="1:83" ht="14.1" hidden="1" customHeight="1" x14ac:dyDescent="0.3">
      <c r="A1351" s="281" t="s">
        <v>2824</v>
      </c>
      <c r="B1351" s="146">
        <v>46218</v>
      </c>
      <c r="C1351" s="138">
        <v>1316</v>
      </c>
      <c r="D1351" s="138" t="s">
        <v>2867</v>
      </c>
      <c r="E1351" s="129">
        <v>46220</v>
      </c>
      <c r="F1351" s="128" t="s">
        <v>1144</v>
      </c>
      <c r="G1351" s="128" t="s">
        <v>1145</v>
      </c>
      <c r="H1351" s="281" t="s">
        <v>100</v>
      </c>
      <c r="I1351" s="136"/>
      <c r="J1351" s="138" t="s">
        <v>1146</v>
      </c>
      <c r="K1351" s="136"/>
      <c r="L1351" s="146">
        <v>46218</v>
      </c>
      <c r="M1351" s="136"/>
      <c r="N1351" s="281" t="s">
        <v>2922</v>
      </c>
      <c r="O1351" s="146">
        <v>46220</v>
      </c>
      <c r="P1351" s="138">
        <v>0</v>
      </c>
      <c r="Q1351" s="138">
        <v>0</v>
      </c>
      <c r="R1351" s="138">
        <v>195</v>
      </c>
      <c r="S1351" s="138">
        <v>195</v>
      </c>
      <c r="T1351" s="138">
        <v>195</v>
      </c>
      <c r="U1351" s="136"/>
      <c r="V1351" s="136"/>
      <c r="W1351" s="147">
        <v>97.4</v>
      </c>
      <c r="X1351" s="147">
        <v>97.3</v>
      </c>
      <c r="Y1351" s="147">
        <v>785141.4</v>
      </c>
      <c r="Z1351" s="147">
        <v>39.659999999999997</v>
      </c>
      <c r="AA1351" s="147">
        <v>19628.54</v>
      </c>
      <c r="AB1351" s="147">
        <v>19628.54</v>
      </c>
      <c r="AC1351" s="147">
        <v>824398.47</v>
      </c>
      <c r="AD1351" s="315">
        <f t="shared" si="922"/>
        <v>823574.07152999996</v>
      </c>
      <c r="AE1351" s="147">
        <v>39.659999999999997</v>
      </c>
      <c r="AF1351" s="147">
        <v>42</v>
      </c>
      <c r="AG1351" s="147">
        <v>39.659999999999997</v>
      </c>
      <c r="AH1351" s="287">
        <v>4.5999999999999999E-3</v>
      </c>
      <c r="AI1351" s="395">
        <v>5.3699999999999998E-2</v>
      </c>
      <c r="AJ1351" s="287">
        <v>5.5E-2</v>
      </c>
      <c r="AK1351" s="318">
        <f t="shared" si="901"/>
        <v>43743.592285714345</v>
      </c>
      <c r="AL1351" s="193">
        <v>0</v>
      </c>
      <c r="AM1351" s="319">
        <v>0</v>
      </c>
      <c r="AN1351" s="319"/>
      <c r="AO1351" s="320">
        <f t="shared" si="902"/>
        <v>0</v>
      </c>
      <c r="AP1351" s="193">
        <v>0</v>
      </c>
      <c r="AQ1351" s="318">
        <v>0</v>
      </c>
      <c r="AR1351" s="318">
        <f t="shared" si="903"/>
        <v>43743.592285714345</v>
      </c>
      <c r="AS1351" s="325">
        <f t="shared" si="904"/>
        <v>45931</v>
      </c>
      <c r="AT1351" s="321">
        <v>0</v>
      </c>
      <c r="AU1351" s="157"/>
      <c r="AV1351" s="136"/>
      <c r="AW1351" s="318">
        <f t="shared" si="905"/>
        <v>9740</v>
      </c>
      <c r="AX1351" s="193"/>
      <c r="AY1351" s="318">
        <f t="shared" si="906"/>
        <v>9740</v>
      </c>
      <c r="AZ1351" s="318">
        <f t="shared" si="907"/>
        <v>9730</v>
      </c>
      <c r="BA1351" s="318">
        <f t="shared" si="908"/>
        <v>10</v>
      </c>
      <c r="BB1351" s="318">
        <f t="shared" si="909"/>
        <v>19.48</v>
      </c>
      <c r="BC1351" s="318">
        <v>0</v>
      </c>
      <c r="BD1351" s="136"/>
      <c r="BE1351" s="138">
        <v>97.4</v>
      </c>
      <c r="BF1351" s="321">
        <f t="shared" si="910"/>
        <v>0.14610000000000001</v>
      </c>
      <c r="BG1351" s="197">
        <f t="shared" si="911"/>
        <v>97.253900000000002</v>
      </c>
      <c r="BH1351" s="321">
        <f t="shared" si="912"/>
        <v>97.3</v>
      </c>
      <c r="BI1351" s="322">
        <f t="shared" si="913"/>
        <v>10.000000000000853</v>
      </c>
      <c r="BJ1351" s="322">
        <v>0</v>
      </c>
      <c r="BK1351" s="318">
        <f t="shared" si="914"/>
        <v>10.000000000000853</v>
      </c>
      <c r="BL1351" s="67"/>
      <c r="BM1351" s="68" t="str">
        <f t="shared" si="915"/>
        <v>Unloading no. 1316 Bill No 2026-27/453 ,Deduction For Oil Deduction= 43743.5922857143 ,Bardana= 0 ,F.M= 0 Brokerage/Rate Difference  ,Shortage = 0 ,Greenish= 0 ,Moisture= 0</v>
      </c>
      <c r="BN1351" s="69"/>
      <c r="BO1351" s="70" t="str">
        <f t="shared" si="916"/>
        <v xml:space="preserve"> Party Condition 42  ,F.M% 0.46 ,Greenish 5.37 ,Moisture 5.5 ,Shortage in KG= 0  ,Oil% 39.66</v>
      </c>
      <c r="BP1351" s="71">
        <f t="shared" si="917"/>
        <v>7619.7102540008809</v>
      </c>
      <c r="BQ1351" s="55"/>
      <c r="BR1351" s="55"/>
      <c r="BS1351" s="41"/>
      <c r="BT1351" s="41"/>
      <c r="BU1351" s="41"/>
      <c r="BV1351" s="41"/>
      <c r="BW1351" s="85"/>
      <c r="BX1351" s="27">
        <v>39.25</v>
      </c>
      <c r="BY1351" s="27">
        <v>39.21</v>
      </c>
    </row>
    <row r="1352" spans="1:83" ht="14.1" hidden="1" customHeight="1" x14ac:dyDescent="0.3">
      <c r="A1352" s="281" t="s">
        <v>2824</v>
      </c>
      <c r="B1352" s="146">
        <v>46218</v>
      </c>
      <c r="C1352" s="138">
        <v>1317</v>
      </c>
      <c r="D1352" s="138" t="s">
        <v>2868</v>
      </c>
      <c r="E1352" s="129">
        <v>46220</v>
      </c>
      <c r="F1352" s="128" t="s">
        <v>1144</v>
      </c>
      <c r="G1352" s="128" t="s">
        <v>1145</v>
      </c>
      <c r="H1352" s="281" t="s">
        <v>100</v>
      </c>
      <c r="I1352" s="136"/>
      <c r="J1352" s="138" t="s">
        <v>1146</v>
      </c>
      <c r="K1352" s="136"/>
      <c r="L1352" s="146">
        <v>46218</v>
      </c>
      <c r="M1352" s="136"/>
      <c r="N1352" s="281" t="s">
        <v>2923</v>
      </c>
      <c r="O1352" s="146">
        <v>46220</v>
      </c>
      <c r="P1352" s="138">
        <v>0</v>
      </c>
      <c r="Q1352" s="138">
        <v>0</v>
      </c>
      <c r="R1352" s="138">
        <v>200</v>
      </c>
      <c r="S1352" s="138">
        <v>200</v>
      </c>
      <c r="T1352" s="138">
        <v>200</v>
      </c>
      <c r="U1352" s="136"/>
      <c r="V1352" s="136"/>
      <c r="W1352" s="147">
        <v>100.3</v>
      </c>
      <c r="X1352" s="147">
        <v>100.3</v>
      </c>
      <c r="Y1352" s="147">
        <v>808518.3</v>
      </c>
      <c r="Z1352" s="147">
        <v>40.01</v>
      </c>
      <c r="AA1352" s="147">
        <v>20212.96</v>
      </c>
      <c r="AB1352" s="147">
        <v>20212.96</v>
      </c>
      <c r="AC1352" s="147">
        <v>848944.22</v>
      </c>
      <c r="AD1352" s="315">
        <f t="shared" si="922"/>
        <v>848095.27578000003</v>
      </c>
      <c r="AE1352" s="147">
        <v>40.01</v>
      </c>
      <c r="AF1352" s="147">
        <v>42</v>
      </c>
      <c r="AG1352" s="147">
        <v>40.01</v>
      </c>
      <c r="AH1352" s="287">
        <v>4.7000000000000002E-3</v>
      </c>
      <c r="AI1352" s="395">
        <v>4.9000000000000002E-2</v>
      </c>
      <c r="AJ1352" s="287">
        <v>5.8000000000000003E-2</v>
      </c>
      <c r="AK1352" s="318">
        <f t="shared" si="901"/>
        <v>38308.367071428613</v>
      </c>
      <c r="AL1352" s="193">
        <v>0</v>
      </c>
      <c r="AM1352" s="319">
        <v>0</v>
      </c>
      <c r="AN1352" s="319"/>
      <c r="AO1352" s="320">
        <f t="shared" si="902"/>
        <v>0</v>
      </c>
      <c r="AP1352" s="193">
        <v>0</v>
      </c>
      <c r="AQ1352" s="318">
        <v>0</v>
      </c>
      <c r="AR1352" s="318">
        <f t="shared" si="903"/>
        <v>38308.367071428613</v>
      </c>
      <c r="AS1352" s="325">
        <f t="shared" si="904"/>
        <v>40224</v>
      </c>
      <c r="AT1352" s="321">
        <v>0</v>
      </c>
      <c r="AU1352" s="157"/>
      <c r="AV1352" s="136"/>
      <c r="AW1352" s="318">
        <f t="shared" si="905"/>
        <v>10030</v>
      </c>
      <c r="AX1352" s="193"/>
      <c r="AY1352" s="318">
        <f t="shared" si="906"/>
        <v>10030</v>
      </c>
      <c r="AZ1352" s="318">
        <f t="shared" si="907"/>
        <v>10030</v>
      </c>
      <c r="BA1352" s="318">
        <f t="shared" si="908"/>
        <v>0</v>
      </c>
      <c r="BB1352" s="318">
        <f t="shared" si="909"/>
        <v>20.059999999999999</v>
      </c>
      <c r="BC1352" s="318">
        <v>0</v>
      </c>
      <c r="BD1352" s="136"/>
      <c r="BE1352" s="138">
        <v>100.3</v>
      </c>
      <c r="BF1352" s="321">
        <f t="shared" si="910"/>
        <v>0.15044999999999997</v>
      </c>
      <c r="BG1352" s="197">
        <f t="shared" si="911"/>
        <v>100.14954999999999</v>
      </c>
      <c r="BH1352" s="321">
        <f t="shared" si="912"/>
        <v>100.3</v>
      </c>
      <c r="BI1352" s="322">
        <f t="shared" si="913"/>
        <v>0</v>
      </c>
      <c r="BJ1352" s="322">
        <v>0</v>
      </c>
      <c r="BK1352" s="318">
        <f t="shared" si="914"/>
        <v>0</v>
      </c>
      <c r="BL1352" s="67"/>
      <c r="BM1352" s="68" t="str">
        <f t="shared" si="915"/>
        <v>Unloading no. 1317 Bill No 2026-27/454 ,Deduction For Oil Deduction= 38308.3670714286 ,Bardana= 0 ,F.M= 0 Brokerage/Rate Difference  ,Shortage = 0 ,Greenish= 0 ,Moisture= 0</v>
      </c>
      <c r="BN1352" s="69"/>
      <c r="BO1352" s="70" t="str">
        <f t="shared" si="916"/>
        <v xml:space="preserve"> Party Condition 42  ,F.M% 0.47 ,Greenish 4.9 ,Moisture 5.8 ,Shortage in KG= 0  ,Oil% 40.01</v>
      </c>
      <c r="BP1352" s="71">
        <f t="shared" si="917"/>
        <v>7679.062142857144</v>
      </c>
      <c r="BQ1352" s="55"/>
      <c r="BR1352" s="55"/>
      <c r="BS1352" s="41"/>
      <c r="BT1352" s="41"/>
      <c r="BU1352" s="41"/>
      <c r="BV1352" s="41"/>
      <c r="BW1352" s="85"/>
      <c r="BX1352" s="27">
        <v>39.659999999999997</v>
      </c>
      <c r="BY1352" s="27">
        <v>39.5</v>
      </c>
    </row>
    <row r="1353" spans="1:83" ht="14.1" hidden="1" customHeight="1" x14ac:dyDescent="0.3">
      <c r="A1353" s="281" t="s">
        <v>2824</v>
      </c>
      <c r="B1353" s="146">
        <v>46218</v>
      </c>
      <c r="C1353" s="138">
        <v>1318</v>
      </c>
      <c r="D1353" s="138" t="s">
        <v>2869</v>
      </c>
      <c r="E1353" s="129">
        <v>46220</v>
      </c>
      <c r="F1353" s="128" t="s">
        <v>1144</v>
      </c>
      <c r="G1353" s="128" t="s">
        <v>1145</v>
      </c>
      <c r="H1353" s="281" t="s">
        <v>100</v>
      </c>
      <c r="I1353" s="136"/>
      <c r="J1353" s="138" t="s">
        <v>1146</v>
      </c>
      <c r="K1353" s="136"/>
      <c r="L1353" s="146">
        <v>46218</v>
      </c>
      <c r="M1353" s="136"/>
      <c r="N1353" s="281" t="s">
        <v>2924</v>
      </c>
      <c r="O1353" s="146">
        <v>46220</v>
      </c>
      <c r="P1353" s="138">
        <v>0</v>
      </c>
      <c r="Q1353" s="138">
        <v>0</v>
      </c>
      <c r="R1353" s="138">
        <v>202</v>
      </c>
      <c r="S1353" s="138">
        <v>202</v>
      </c>
      <c r="T1353" s="138">
        <v>202</v>
      </c>
      <c r="U1353" s="136"/>
      <c r="V1353" s="136"/>
      <c r="W1353" s="147">
        <v>100.7</v>
      </c>
      <c r="X1353" s="147">
        <v>100.5</v>
      </c>
      <c r="Y1353" s="147">
        <v>811742.7</v>
      </c>
      <c r="Z1353" s="147">
        <v>39.44</v>
      </c>
      <c r="AA1353" s="147">
        <v>20293.57</v>
      </c>
      <c r="AB1353" s="147">
        <v>20293.57</v>
      </c>
      <c r="AC1353" s="147">
        <v>852329.84</v>
      </c>
      <c r="AD1353" s="315">
        <f t="shared" si="922"/>
        <v>851477.51015999995</v>
      </c>
      <c r="AE1353" s="147">
        <v>39.44</v>
      </c>
      <c r="AF1353" s="147">
        <v>42</v>
      </c>
      <c r="AG1353" s="147">
        <v>39.44</v>
      </c>
      <c r="AH1353" s="287">
        <v>4.4000000000000003E-3</v>
      </c>
      <c r="AI1353" s="395">
        <v>3.4200000000000001E-2</v>
      </c>
      <c r="AJ1353" s="287">
        <v>5.6000000000000001E-2</v>
      </c>
      <c r="AK1353" s="318">
        <f t="shared" si="901"/>
        <v>49477.650285714328</v>
      </c>
      <c r="AL1353" s="193">
        <v>0</v>
      </c>
      <c r="AM1353" s="319">
        <v>0</v>
      </c>
      <c r="AN1353" s="319"/>
      <c r="AO1353" s="320">
        <f t="shared" si="902"/>
        <v>0</v>
      </c>
      <c r="AP1353" s="193">
        <v>0</v>
      </c>
      <c r="AQ1353" s="318">
        <v>0</v>
      </c>
      <c r="AR1353" s="318">
        <f t="shared" si="903"/>
        <v>49477.650285714328</v>
      </c>
      <c r="AS1353" s="318">
        <f t="shared" si="904"/>
        <v>51952</v>
      </c>
      <c r="AT1353" s="321">
        <v>0</v>
      </c>
      <c r="AU1353" s="157"/>
      <c r="AV1353" s="136"/>
      <c r="AW1353" s="318">
        <f t="shared" si="905"/>
        <v>10070</v>
      </c>
      <c r="AX1353" s="193"/>
      <c r="AY1353" s="318">
        <f t="shared" si="906"/>
        <v>10070</v>
      </c>
      <c r="AZ1353" s="318">
        <f t="shared" si="907"/>
        <v>10050</v>
      </c>
      <c r="BA1353" s="318">
        <f t="shared" si="908"/>
        <v>20</v>
      </c>
      <c r="BB1353" s="318">
        <f t="shared" si="909"/>
        <v>20.14</v>
      </c>
      <c r="BC1353" s="318">
        <v>0</v>
      </c>
      <c r="BD1353" s="136"/>
      <c r="BE1353" s="138">
        <v>100.7</v>
      </c>
      <c r="BF1353" s="321">
        <f t="shared" si="910"/>
        <v>0.15105000000000002</v>
      </c>
      <c r="BG1353" s="197">
        <f t="shared" si="911"/>
        <v>100.54895</v>
      </c>
      <c r="BH1353" s="321">
        <f t="shared" si="912"/>
        <v>100.5</v>
      </c>
      <c r="BI1353" s="322">
        <f t="shared" si="913"/>
        <v>20.000000000000284</v>
      </c>
      <c r="BJ1353" s="322">
        <v>0</v>
      </c>
      <c r="BK1353" s="318">
        <f t="shared" si="914"/>
        <v>20.000000000000284</v>
      </c>
      <c r="BL1353" s="67"/>
      <c r="BM1353" s="68" t="str">
        <f t="shared" si="915"/>
        <v>Unloading no. 1318 Bill No 2026-27/455 ,Deduction For Oil Deduction= 49477.6502857143 ,Bardana= 0 ,F.M= 0 Brokerage/Rate Difference  ,Shortage = 0 ,Greenish= 0 ,Moisture= 0</v>
      </c>
      <c r="BN1353" s="69"/>
      <c r="BO1353" s="70" t="str">
        <f t="shared" si="916"/>
        <v xml:space="preserve"> Party Condition 42  ,F.M% 0.44 ,Greenish 3.42 ,Moisture 5.6 ,Shortage in KG= 0  ,Oil% 39.44</v>
      </c>
      <c r="BP1353" s="71">
        <f t="shared" si="917"/>
        <v>7584.7268628287129</v>
      </c>
      <c r="BQ1353" s="55"/>
      <c r="BR1353" s="55"/>
      <c r="BS1353" s="41"/>
      <c r="BT1353" s="41"/>
      <c r="BU1353" s="41"/>
      <c r="BV1353" s="41"/>
      <c r="BW1353" s="85"/>
      <c r="BX1353" s="30">
        <v>39</v>
      </c>
      <c r="BY1353" s="30">
        <v>38.92</v>
      </c>
    </row>
    <row r="1354" spans="1:83" ht="14.1" hidden="1" customHeight="1" x14ac:dyDescent="0.3">
      <c r="A1354" s="128" t="s">
        <v>2823</v>
      </c>
      <c r="B1354" s="146">
        <v>46214</v>
      </c>
      <c r="C1354" s="138">
        <v>1319</v>
      </c>
      <c r="D1354" s="138" t="s">
        <v>2870</v>
      </c>
      <c r="E1354" s="129">
        <v>46221</v>
      </c>
      <c r="F1354" s="128" t="s">
        <v>1144</v>
      </c>
      <c r="G1354" s="128" t="s">
        <v>1145</v>
      </c>
      <c r="H1354" s="281" t="s">
        <v>100</v>
      </c>
      <c r="I1354" s="136"/>
      <c r="J1354" s="138" t="s">
        <v>1146</v>
      </c>
      <c r="K1354" s="136"/>
      <c r="L1354" s="146">
        <v>46214</v>
      </c>
      <c r="M1354" s="136"/>
      <c r="N1354" s="281" t="s">
        <v>2925</v>
      </c>
      <c r="O1354" s="146">
        <v>46219</v>
      </c>
      <c r="P1354" s="138">
        <v>0</v>
      </c>
      <c r="Q1354" s="138">
        <v>550</v>
      </c>
      <c r="R1354" s="138">
        <v>230</v>
      </c>
      <c r="S1354" s="138">
        <v>780</v>
      </c>
      <c r="T1354" s="138">
        <v>780</v>
      </c>
      <c r="U1354" s="136"/>
      <c r="V1354" s="136"/>
      <c r="W1354" s="147">
        <v>395.5</v>
      </c>
      <c r="X1354" s="147">
        <v>394.5</v>
      </c>
      <c r="Y1354" s="147">
        <v>3164000</v>
      </c>
      <c r="Z1354" s="147">
        <v>40</v>
      </c>
      <c r="AA1354" s="147">
        <v>79100</v>
      </c>
      <c r="AB1354" s="147">
        <v>79100</v>
      </c>
      <c r="AC1354" s="147">
        <v>3322200</v>
      </c>
      <c r="AD1354" s="315">
        <f t="shared" si="922"/>
        <v>3318877.8</v>
      </c>
      <c r="AE1354" s="147">
        <v>40</v>
      </c>
      <c r="AF1354" s="147">
        <v>42</v>
      </c>
      <c r="AG1354" s="147">
        <v>40</v>
      </c>
      <c r="AH1354" s="287">
        <v>4.4999999999999997E-3</v>
      </c>
      <c r="AI1354" s="395">
        <v>0.05</v>
      </c>
      <c r="AJ1354" s="287">
        <v>4.8000000000000001E-2</v>
      </c>
      <c r="AK1354" s="318">
        <f t="shared" si="901"/>
        <v>150666.66666666666</v>
      </c>
      <c r="AL1354" s="193">
        <v>0</v>
      </c>
      <c r="AM1354" s="319">
        <v>0</v>
      </c>
      <c r="AN1354" s="319"/>
      <c r="AO1354" s="320">
        <f t="shared" si="902"/>
        <v>1680</v>
      </c>
      <c r="AP1354" s="193">
        <v>0</v>
      </c>
      <c r="AQ1354" s="318">
        <v>0</v>
      </c>
      <c r="AR1354" s="318">
        <f t="shared" si="903"/>
        <v>152346.66666666666</v>
      </c>
      <c r="AS1354" s="318">
        <f t="shared" si="904"/>
        <v>159964</v>
      </c>
      <c r="AT1354" s="321">
        <v>21</v>
      </c>
      <c r="AU1354" s="157"/>
      <c r="AV1354" s="136"/>
      <c r="AW1354" s="318">
        <f t="shared" si="905"/>
        <v>39550</v>
      </c>
      <c r="AX1354" s="193"/>
      <c r="AY1354" s="318">
        <f t="shared" si="906"/>
        <v>39550</v>
      </c>
      <c r="AZ1354" s="318">
        <f t="shared" si="907"/>
        <v>39450</v>
      </c>
      <c r="BA1354" s="318">
        <f t="shared" si="908"/>
        <v>100</v>
      </c>
      <c r="BB1354" s="318">
        <f t="shared" si="909"/>
        <v>79.099999999999994</v>
      </c>
      <c r="BC1354" s="318">
        <v>0</v>
      </c>
      <c r="BD1354" s="136"/>
      <c r="BE1354" s="138">
        <v>395.5</v>
      </c>
      <c r="BF1354" s="321">
        <f t="shared" si="910"/>
        <v>0.59324999999999994</v>
      </c>
      <c r="BG1354" s="197">
        <f t="shared" si="911"/>
        <v>394.90674999999999</v>
      </c>
      <c r="BH1354" s="321">
        <f t="shared" si="912"/>
        <v>394.5</v>
      </c>
      <c r="BI1354" s="322">
        <f t="shared" si="913"/>
        <v>100</v>
      </c>
      <c r="BJ1354" s="322">
        <v>0</v>
      </c>
      <c r="BK1354" s="318">
        <f t="shared" si="914"/>
        <v>100</v>
      </c>
      <c r="BL1354" s="67"/>
      <c r="BM1354" s="68" t="str">
        <f t="shared" si="915"/>
        <v>Unloading no. 1319 Bill No 2026-27/437 ,Deduction For Oil Deduction= 150666.666666667 ,Bardana= 0 ,F.M= 0 Brokerage/Rate Difference  ,Shortage = 1680 ,Greenish= 0 ,Moisture= 0</v>
      </c>
      <c r="BN1354" s="69"/>
      <c r="BO1354" s="70" t="str">
        <f t="shared" si="916"/>
        <v xml:space="preserve"> Party Condition 42  ,F.M% 0.45 ,Greenish 5 ,Moisture 4.8 ,Shortage in KG= 21  ,Oil% 40</v>
      </c>
      <c r="BP1354" s="71">
        <f t="shared" si="917"/>
        <v>7634.1022391212509</v>
      </c>
      <c r="BQ1354" s="55"/>
      <c r="BR1354" s="55"/>
      <c r="BS1354" s="41"/>
      <c r="BT1354" s="41"/>
      <c r="BU1354" s="41"/>
      <c r="BV1354" s="41"/>
      <c r="BW1354" s="85"/>
      <c r="BX1354" s="27">
        <v>39.94</v>
      </c>
      <c r="BY1354" s="27">
        <v>39.74</v>
      </c>
    </row>
    <row r="1355" spans="1:83" ht="14.1" hidden="1" customHeight="1" x14ac:dyDescent="0.3">
      <c r="A1355" s="128" t="s">
        <v>2825</v>
      </c>
      <c r="B1355" s="146">
        <v>46219</v>
      </c>
      <c r="C1355" s="138">
        <v>1320</v>
      </c>
      <c r="D1355" s="138" t="s">
        <v>2871</v>
      </c>
      <c r="E1355" s="129">
        <v>46221</v>
      </c>
      <c r="F1355" s="128" t="s">
        <v>1691</v>
      </c>
      <c r="G1355" s="159" t="s">
        <v>1692</v>
      </c>
      <c r="H1355" s="281" t="s">
        <v>1693</v>
      </c>
      <c r="I1355" s="136"/>
      <c r="J1355" s="128"/>
      <c r="K1355" s="136"/>
      <c r="L1355" s="146">
        <v>46219</v>
      </c>
      <c r="M1355" s="136"/>
      <c r="N1355" s="281" t="s">
        <v>1320</v>
      </c>
      <c r="O1355" s="146">
        <v>46219</v>
      </c>
      <c r="P1355" s="138">
        <v>0</v>
      </c>
      <c r="Q1355" s="138">
        <v>225</v>
      </c>
      <c r="R1355" s="138">
        <v>75</v>
      </c>
      <c r="S1355" s="138">
        <v>300</v>
      </c>
      <c r="T1355" s="138">
        <v>300</v>
      </c>
      <c r="U1355" s="136"/>
      <c r="V1355" s="136"/>
      <c r="W1355" s="147">
        <v>181.6</v>
      </c>
      <c r="X1355" s="147">
        <v>181.2</v>
      </c>
      <c r="Y1355" s="147">
        <v>1480040</v>
      </c>
      <c r="Z1355" s="169"/>
      <c r="AA1355" s="147">
        <v>37001</v>
      </c>
      <c r="AB1355" s="147">
        <v>37001</v>
      </c>
      <c r="AC1355" s="147">
        <v>1554042</v>
      </c>
      <c r="AD1355" s="315">
        <f t="shared" si="922"/>
        <v>1552487.9580000001</v>
      </c>
      <c r="AE1355" s="147">
        <v>40.520000000000003</v>
      </c>
      <c r="AF1355" s="147">
        <v>42</v>
      </c>
      <c r="AG1355" s="445">
        <v>40.22</v>
      </c>
      <c r="AH1355" s="418">
        <v>4.4999999999999997E-3</v>
      </c>
      <c r="AI1355" s="395">
        <v>0.03</v>
      </c>
      <c r="AJ1355" s="287">
        <v>5.1999999999999998E-2</v>
      </c>
      <c r="AK1355" s="318">
        <f t="shared" si="901"/>
        <v>62725.504761904805</v>
      </c>
      <c r="AL1355" s="193">
        <f>225*10+75*15</f>
        <v>3375</v>
      </c>
      <c r="AM1355" s="319">
        <f>Y1355*AH1355</f>
        <v>6660.1799999999994</v>
      </c>
      <c r="AN1355" s="319"/>
      <c r="AO1355" s="320">
        <f t="shared" si="902"/>
        <v>3260</v>
      </c>
      <c r="AP1355" s="193">
        <v>0</v>
      </c>
      <c r="AQ1355" s="318">
        <v>0</v>
      </c>
      <c r="AR1355" s="318">
        <f t="shared" si="903"/>
        <v>76020.684761904791</v>
      </c>
      <c r="AS1355" s="318">
        <f t="shared" si="904"/>
        <v>79822</v>
      </c>
      <c r="AT1355" s="321">
        <v>40</v>
      </c>
      <c r="AU1355" s="157"/>
      <c r="AV1355" s="136"/>
      <c r="AW1355" s="318">
        <f t="shared" si="905"/>
        <v>18160</v>
      </c>
      <c r="AX1355" s="193"/>
      <c r="AY1355" s="318">
        <f t="shared" si="906"/>
        <v>18160</v>
      </c>
      <c r="AZ1355" s="318">
        <f t="shared" si="907"/>
        <v>18120</v>
      </c>
      <c r="BA1355" s="318">
        <f t="shared" si="908"/>
        <v>40</v>
      </c>
      <c r="BB1355" s="318">
        <f t="shared" si="909"/>
        <v>36.32</v>
      </c>
      <c r="BC1355" s="318">
        <v>0</v>
      </c>
      <c r="BD1355" s="136"/>
      <c r="BE1355" s="138">
        <v>181.6</v>
      </c>
      <c r="BF1355" s="321">
        <f t="shared" si="910"/>
        <v>0.27239999999999998</v>
      </c>
      <c r="BG1355" s="197">
        <f t="shared" si="911"/>
        <v>181.32759999999999</v>
      </c>
      <c r="BH1355" s="321">
        <f t="shared" si="912"/>
        <v>181.2</v>
      </c>
      <c r="BI1355" s="322">
        <f t="shared" si="913"/>
        <v>40.000000000000568</v>
      </c>
      <c r="BJ1355" s="322">
        <v>0</v>
      </c>
      <c r="BK1355" s="318">
        <f t="shared" si="914"/>
        <v>40.000000000000568</v>
      </c>
      <c r="BL1355" s="67"/>
      <c r="BM1355" s="68" t="str">
        <f t="shared" si="915"/>
        <v>Unloading no. 1320 Bill No 2026-27/81 ,Deduction For Oil Deduction= 62725.5047619048 ,Bardana= 3375 ,F.M= 6660.18 Brokerage/Rate Difference  ,Shortage = 3260 ,Greenish= 0 ,Moisture= 0</v>
      </c>
      <c r="BN1355" s="69"/>
      <c r="BO1355" s="70" t="str">
        <f t="shared" si="916"/>
        <v xml:space="preserve"> Party Condition 42  ,F.M% 0.45 ,Greenish 3 ,Moisture 5.2 ,Shortage in KG= 40  ,Oil% 40.22</v>
      </c>
      <c r="BP1355" s="71">
        <f t="shared" si="917"/>
        <v>7748.4509670976558</v>
      </c>
      <c r="BQ1355" s="55"/>
      <c r="BR1355" s="55"/>
      <c r="BS1355" s="41"/>
      <c r="BT1355" s="41"/>
      <c r="BU1355" s="41"/>
      <c r="BV1355" s="41"/>
      <c r="BW1355" s="85"/>
      <c r="BX1355" s="27">
        <v>40.520000000000003</v>
      </c>
      <c r="BY1355" s="27">
        <v>40.22</v>
      </c>
      <c r="CA1355" s="56">
        <v>79821.72</v>
      </c>
      <c r="CC1355" s="57">
        <f t="shared" ref="CC1355:CC1356" si="925">AS1355-CA1355</f>
        <v>0.27999999999883585</v>
      </c>
      <c r="CE1355" s="88">
        <f t="shared" ref="CE1355:CE1356" si="926">CC1355/105%</f>
        <v>0.26666666666555794</v>
      </c>
    </row>
    <row r="1356" spans="1:83" ht="14.1" hidden="1" customHeight="1" x14ac:dyDescent="0.3">
      <c r="A1356" s="128" t="s">
        <v>2826</v>
      </c>
      <c r="B1356" s="146">
        <v>46219</v>
      </c>
      <c r="C1356" s="138">
        <v>1321</v>
      </c>
      <c r="D1356" s="138" t="s">
        <v>2872</v>
      </c>
      <c r="E1356" s="129">
        <v>46221</v>
      </c>
      <c r="F1356" s="128" t="s">
        <v>1083</v>
      </c>
      <c r="G1356" s="159" t="s">
        <v>1084</v>
      </c>
      <c r="H1356" s="281" t="s">
        <v>1454</v>
      </c>
      <c r="I1356" s="136"/>
      <c r="J1356" s="138" t="s">
        <v>2885</v>
      </c>
      <c r="K1356" s="136"/>
      <c r="L1356" s="146">
        <v>46219</v>
      </c>
      <c r="M1356" s="136"/>
      <c r="N1356" s="281">
        <v>66</v>
      </c>
      <c r="O1356" s="146">
        <v>46219</v>
      </c>
      <c r="P1356" s="138">
        <v>0</v>
      </c>
      <c r="Q1356" s="138">
        <v>200</v>
      </c>
      <c r="R1356" s="138">
        <v>206</v>
      </c>
      <c r="S1356" s="138">
        <v>406</v>
      </c>
      <c r="T1356" s="138">
        <v>406</v>
      </c>
      <c r="U1356" s="136"/>
      <c r="V1356" s="136"/>
      <c r="W1356" s="147">
        <v>278.85000000000002</v>
      </c>
      <c r="X1356" s="147">
        <v>277.60000000000002</v>
      </c>
      <c r="Y1356" s="147">
        <v>2272627.5</v>
      </c>
      <c r="Z1356" s="169"/>
      <c r="AA1356" s="147">
        <v>56815.69</v>
      </c>
      <c r="AB1356" s="147">
        <v>56815.69</v>
      </c>
      <c r="AC1356" s="147">
        <v>2386258.88</v>
      </c>
      <c r="AD1356" s="315">
        <f t="shared" si="922"/>
        <v>2383872.6211199998</v>
      </c>
      <c r="AE1356" s="147">
        <v>39.32</v>
      </c>
      <c r="AF1356" s="147">
        <v>42</v>
      </c>
      <c r="AG1356" s="445">
        <v>39.22</v>
      </c>
      <c r="AH1356" s="418">
        <v>6.0000000000000001E-3</v>
      </c>
      <c r="AI1356" s="395">
        <v>3.2599999999999997E-2</v>
      </c>
      <c r="AJ1356" s="287">
        <v>0.05</v>
      </c>
      <c r="AK1356" s="318">
        <f>+IF(AF1356=42,IF(MIN(AE1356,AG1356)&lt;AF1356,Y1356*((AF1356-MIN(AE1356,AG1356))/AF1356)),IF(MIN(AE1356,AG1356)&lt;AF1356,Y1356*((AF1356-MIN(AE1356,AG1356))/AF1356),0))-59.87</f>
        <v>150366.42642857149</v>
      </c>
      <c r="AL1356" s="193">
        <f>200*10+204*15</f>
        <v>5060</v>
      </c>
      <c r="AM1356" s="319">
        <f>Y1356*AH1356</f>
        <v>13635.764999999999</v>
      </c>
      <c r="AN1356" s="319">
        <f>X1356*15</f>
        <v>4164</v>
      </c>
      <c r="AO1356" s="320">
        <f t="shared" si="902"/>
        <v>10187.499999999998</v>
      </c>
      <c r="AP1356" s="193">
        <v>0</v>
      </c>
      <c r="AQ1356" s="318">
        <v>0</v>
      </c>
      <c r="AR1356" s="318">
        <f t="shared" si="903"/>
        <v>183413.69142857147</v>
      </c>
      <c r="AS1356" s="318">
        <f t="shared" si="904"/>
        <v>192584</v>
      </c>
      <c r="AT1356" s="321">
        <v>125</v>
      </c>
      <c r="AU1356" s="157"/>
      <c r="AV1356" s="136"/>
      <c r="AW1356" s="318">
        <f t="shared" si="905"/>
        <v>27885.000000000004</v>
      </c>
      <c r="AX1356" s="193"/>
      <c r="AY1356" s="318">
        <f t="shared" si="906"/>
        <v>27885.000000000004</v>
      </c>
      <c r="AZ1356" s="318">
        <f t="shared" si="907"/>
        <v>27760.000000000004</v>
      </c>
      <c r="BA1356" s="318">
        <f t="shared" si="908"/>
        <v>125</v>
      </c>
      <c r="BB1356" s="318">
        <f t="shared" si="909"/>
        <v>55.77000000000001</v>
      </c>
      <c r="BC1356" s="318">
        <v>0</v>
      </c>
      <c r="BD1356" s="136"/>
      <c r="BE1356" s="138">
        <v>278.85000000000002</v>
      </c>
      <c r="BF1356" s="321">
        <f t="shared" si="910"/>
        <v>0.41827500000000001</v>
      </c>
      <c r="BG1356" s="197">
        <f t="shared" si="911"/>
        <v>278.43172500000003</v>
      </c>
      <c r="BH1356" s="321">
        <f t="shared" si="912"/>
        <v>277.60000000000002</v>
      </c>
      <c r="BI1356" s="322">
        <f t="shared" si="913"/>
        <v>125</v>
      </c>
      <c r="BJ1356" s="322">
        <v>0</v>
      </c>
      <c r="BK1356" s="318">
        <f t="shared" si="914"/>
        <v>125</v>
      </c>
      <c r="BL1356" s="67"/>
      <c r="BM1356" s="68" t="str">
        <f t="shared" si="915"/>
        <v>Unloading no. 1321 Bill No 66 ,Deduction For Oil Deduction= 150366.426428571 ,Bardana= 5060 ,F.M= 13635.765 Brokerage/Rate Difference 4164 ,Shortage = 10187.5 ,Greenish= 0 ,Moisture= 0</v>
      </c>
      <c r="BN1356" s="69"/>
      <c r="BO1356" s="70" t="str">
        <f t="shared" si="916"/>
        <v xml:space="preserve"> Party Condition 42  ,F.M% 0.6 ,Greenish 3.26 ,Moisture 5 ,Shortage in KG= 125  ,Oil% 39.22</v>
      </c>
      <c r="BP1356" s="71">
        <f t="shared" si="917"/>
        <v>7525.9863421160962</v>
      </c>
      <c r="BQ1356" s="55"/>
      <c r="BR1356" s="55"/>
      <c r="BS1356" s="41"/>
      <c r="BT1356" s="41"/>
      <c r="BU1356" s="41"/>
      <c r="BV1356" s="41"/>
      <c r="BW1356" s="85"/>
      <c r="BX1356" s="27">
        <v>39.32</v>
      </c>
      <c r="BY1356" s="27">
        <v>39.22</v>
      </c>
      <c r="CA1356" s="56">
        <v>192584.05</v>
      </c>
      <c r="CC1356" s="57">
        <f t="shared" si="925"/>
        <v>-4.9999999988358468E-2</v>
      </c>
      <c r="CE1356" s="88">
        <f t="shared" si="926"/>
        <v>-4.7619047607960444E-2</v>
      </c>
    </row>
    <row r="1357" spans="1:83" ht="14.1" hidden="1" customHeight="1" x14ac:dyDescent="0.3">
      <c r="A1357" s="128" t="s">
        <v>2823</v>
      </c>
      <c r="B1357" s="146">
        <v>46214</v>
      </c>
      <c r="C1357" s="138">
        <v>1322</v>
      </c>
      <c r="D1357" s="138" t="s">
        <v>2873</v>
      </c>
      <c r="E1357" s="129">
        <v>46221</v>
      </c>
      <c r="F1357" s="128" t="s">
        <v>1144</v>
      </c>
      <c r="G1357" s="128" t="s">
        <v>1145</v>
      </c>
      <c r="H1357" s="281" t="s">
        <v>100</v>
      </c>
      <c r="I1357" s="136"/>
      <c r="J1357" s="138" t="s">
        <v>1146</v>
      </c>
      <c r="K1357" s="136"/>
      <c r="L1357" s="146">
        <v>46214</v>
      </c>
      <c r="M1357" s="136"/>
      <c r="N1357" s="281" t="s">
        <v>2926</v>
      </c>
      <c r="O1357" s="146">
        <v>46220</v>
      </c>
      <c r="P1357" s="138">
        <v>0</v>
      </c>
      <c r="Q1357" s="138">
        <v>550</v>
      </c>
      <c r="R1357" s="138">
        <v>55</v>
      </c>
      <c r="S1357" s="138">
        <v>605</v>
      </c>
      <c r="T1357" s="138">
        <v>605</v>
      </c>
      <c r="U1357" s="136"/>
      <c r="V1357" s="136"/>
      <c r="W1357" s="147">
        <v>305.60000000000002</v>
      </c>
      <c r="X1357" s="147">
        <v>305.60000000000002</v>
      </c>
      <c r="Y1357" s="147">
        <v>2444800</v>
      </c>
      <c r="Z1357" s="147">
        <v>39.68</v>
      </c>
      <c r="AA1357" s="147">
        <v>61120</v>
      </c>
      <c r="AB1357" s="147">
        <v>61120</v>
      </c>
      <c r="AC1357" s="147">
        <v>2567040</v>
      </c>
      <c r="AD1357" s="315">
        <f t="shared" si="922"/>
        <v>2564472.96</v>
      </c>
      <c r="AE1357" s="147">
        <v>39.68</v>
      </c>
      <c r="AF1357" s="147">
        <v>42</v>
      </c>
      <c r="AG1357" s="147">
        <v>39.68</v>
      </c>
      <c r="AH1357" s="287">
        <v>2.8E-3</v>
      </c>
      <c r="AI1357" s="395">
        <v>3.3000000000000002E-2</v>
      </c>
      <c r="AJ1357" s="287">
        <v>0.05</v>
      </c>
      <c r="AK1357" s="318">
        <f t="shared" si="901"/>
        <v>135046.09523809527</v>
      </c>
      <c r="AL1357" s="193">
        <v>0</v>
      </c>
      <c r="AM1357" s="319">
        <v>0</v>
      </c>
      <c r="AN1357" s="319"/>
      <c r="AO1357" s="320">
        <f t="shared" si="902"/>
        <v>0</v>
      </c>
      <c r="AP1357" s="193">
        <v>0</v>
      </c>
      <c r="AQ1357" s="318">
        <v>0</v>
      </c>
      <c r="AR1357" s="318">
        <f t="shared" si="903"/>
        <v>135046.09523809527</v>
      </c>
      <c r="AS1357" s="318">
        <f t="shared" si="904"/>
        <v>141798</v>
      </c>
      <c r="AT1357" s="321">
        <v>0</v>
      </c>
      <c r="AU1357" s="157"/>
      <c r="AV1357" s="136"/>
      <c r="AW1357" s="318">
        <f t="shared" si="905"/>
        <v>30560.000000000004</v>
      </c>
      <c r="AX1357" s="193"/>
      <c r="AY1357" s="318">
        <f t="shared" si="906"/>
        <v>30560.000000000004</v>
      </c>
      <c r="AZ1357" s="318">
        <f t="shared" si="907"/>
        <v>30560.000000000004</v>
      </c>
      <c r="BA1357" s="318">
        <f t="shared" si="908"/>
        <v>0</v>
      </c>
      <c r="BB1357" s="318">
        <f t="shared" si="909"/>
        <v>61.120000000000005</v>
      </c>
      <c r="BC1357" s="318">
        <v>0</v>
      </c>
      <c r="BD1357" s="136"/>
      <c r="BE1357" s="138">
        <v>305.60000000000002</v>
      </c>
      <c r="BF1357" s="321">
        <f t="shared" si="910"/>
        <v>0.45840000000000003</v>
      </c>
      <c r="BG1357" s="197">
        <f t="shared" si="911"/>
        <v>305.14160000000004</v>
      </c>
      <c r="BH1357" s="321">
        <f t="shared" si="912"/>
        <v>305.60000000000002</v>
      </c>
      <c r="BI1357" s="322">
        <f t="shared" si="913"/>
        <v>0</v>
      </c>
      <c r="BJ1357" s="322">
        <v>0</v>
      </c>
      <c r="BK1357" s="318">
        <f t="shared" si="914"/>
        <v>0</v>
      </c>
      <c r="BL1357" s="67"/>
      <c r="BM1357" s="68" t="str">
        <f t="shared" si="915"/>
        <v>Unloading no. 1322 Bill No 2026-27/452 ,Deduction For Oil Deduction= 135046.095238095 ,Bardana= 0 ,F.M= 0 Brokerage/Rate Difference  ,Shortage = 0 ,Greenish= 0 ,Moisture= 0</v>
      </c>
      <c r="BN1357" s="69"/>
      <c r="BO1357" s="70" t="str">
        <f t="shared" si="916"/>
        <v xml:space="preserve"> Party Condition 42  ,F.M% 0.28 ,Greenish 3.3 ,Moisture 5 ,Shortage in KG= 0  ,Oil% 39.68</v>
      </c>
      <c r="BP1357" s="71">
        <f t="shared" si="917"/>
        <v>7558.0952380952376</v>
      </c>
      <c r="BQ1357" s="55"/>
      <c r="BR1357" s="55"/>
      <c r="BS1357" s="41"/>
      <c r="BT1357" s="41"/>
      <c r="BU1357" s="41"/>
      <c r="BV1357" s="41"/>
      <c r="BW1357" s="85"/>
      <c r="BX1357" s="27">
        <v>39.1</v>
      </c>
      <c r="BY1357" s="27">
        <v>39</v>
      </c>
    </row>
    <row r="1358" spans="1:83" ht="14.1" hidden="1" customHeight="1" x14ac:dyDescent="0.3">
      <c r="A1358" s="128" t="s">
        <v>2823</v>
      </c>
      <c r="B1358" s="146">
        <v>46214</v>
      </c>
      <c r="C1358" s="138">
        <v>1323</v>
      </c>
      <c r="D1358" s="138" t="s">
        <v>2874</v>
      </c>
      <c r="E1358" s="129">
        <v>46221</v>
      </c>
      <c r="F1358" s="128" t="s">
        <v>1144</v>
      </c>
      <c r="G1358" s="128" t="s">
        <v>1145</v>
      </c>
      <c r="H1358" s="281" t="s">
        <v>100</v>
      </c>
      <c r="I1358" s="136"/>
      <c r="J1358" s="138" t="s">
        <v>1146</v>
      </c>
      <c r="K1358" s="136"/>
      <c r="L1358" s="146">
        <v>46214</v>
      </c>
      <c r="M1358" s="136"/>
      <c r="N1358" s="281" t="s">
        <v>2927</v>
      </c>
      <c r="O1358" s="146">
        <v>46220</v>
      </c>
      <c r="P1358" s="138">
        <v>0</v>
      </c>
      <c r="Q1358" s="138">
        <v>450</v>
      </c>
      <c r="R1358" s="138">
        <v>238</v>
      </c>
      <c r="S1358" s="138">
        <v>688</v>
      </c>
      <c r="T1358" s="138">
        <v>688</v>
      </c>
      <c r="U1358" s="136"/>
      <c r="V1358" s="136"/>
      <c r="W1358" s="147">
        <v>351.8</v>
      </c>
      <c r="X1358" s="147">
        <v>351.4</v>
      </c>
      <c r="Y1358" s="147">
        <v>2814400</v>
      </c>
      <c r="Z1358" s="147">
        <v>39.28</v>
      </c>
      <c r="AA1358" s="147">
        <v>70360</v>
      </c>
      <c r="AB1358" s="147">
        <v>70360</v>
      </c>
      <c r="AC1358" s="147">
        <v>2955120</v>
      </c>
      <c r="AD1358" s="315">
        <f t="shared" si="922"/>
        <v>2952164.88</v>
      </c>
      <c r="AE1358" s="147">
        <v>39.28</v>
      </c>
      <c r="AF1358" s="147">
        <v>42</v>
      </c>
      <c r="AG1358" s="147">
        <v>39.28</v>
      </c>
      <c r="AH1358" s="287">
        <v>2E-3</v>
      </c>
      <c r="AI1358" s="395">
        <v>3.2000000000000001E-2</v>
      </c>
      <c r="AJ1358" s="287">
        <v>4.8000000000000001E-2</v>
      </c>
      <c r="AK1358" s="318">
        <f t="shared" si="901"/>
        <v>182265.90476190468</v>
      </c>
      <c r="AL1358" s="193">
        <v>0</v>
      </c>
      <c r="AM1358" s="319">
        <v>0</v>
      </c>
      <c r="AN1358" s="319"/>
      <c r="AO1358" s="320">
        <f t="shared" si="902"/>
        <v>0</v>
      </c>
      <c r="AP1358" s="193">
        <v>0</v>
      </c>
      <c r="AQ1358" s="318">
        <v>0</v>
      </c>
      <c r="AR1358" s="318">
        <f t="shared" si="903"/>
        <v>182265.90476190468</v>
      </c>
      <c r="AS1358" s="318">
        <f t="shared" si="904"/>
        <v>191379</v>
      </c>
      <c r="AT1358" s="321">
        <v>0</v>
      </c>
      <c r="AU1358" s="157"/>
      <c r="AV1358" s="136"/>
      <c r="AW1358" s="318">
        <f t="shared" si="905"/>
        <v>35180</v>
      </c>
      <c r="AX1358" s="193"/>
      <c r="AY1358" s="318">
        <f t="shared" si="906"/>
        <v>35180</v>
      </c>
      <c r="AZ1358" s="318">
        <f t="shared" si="907"/>
        <v>35140</v>
      </c>
      <c r="BA1358" s="318">
        <f t="shared" si="908"/>
        <v>40</v>
      </c>
      <c r="BB1358" s="318">
        <f t="shared" si="909"/>
        <v>70.36</v>
      </c>
      <c r="BC1358" s="318">
        <v>0</v>
      </c>
      <c r="BD1358" s="136"/>
      <c r="BE1358" s="138">
        <v>351.8</v>
      </c>
      <c r="BF1358" s="321">
        <f t="shared" si="910"/>
        <v>0.52770000000000006</v>
      </c>
      <c r="BG1358" s="197">
        <f t="shared" si="911"/>
        <v>351.27230000000003</v>
      </c>
      <c r="BH1358" s="321">
        <f t="shared" si="912"/>
        <v>351.4</v>
      </c>
      <c r="BI1358" s="322">
        <f t="shared" si="913"/>
        <v>40.000000000003411</v>
      </c>
      <c r="BJ1358" s="322">
        <v>0</v>
      </c>
      <c r="BK1358" s="318">
        <f t="shared" si="914"/>
        <v>40.000000000003411</v>
      </c>
      <c r="BL1358" s="67"/>
      <c r="BM1358" s="68" t="str">
        <f t="shared" si="915"/>
        <v>Unloading no. 1323 Bill No 2026-27/448 ,Deduction For Oil Deduction= 182265.904761905 ,Bardana= 0 ,F.M= 0 Brokerage/Rate Difference  ,Shortage = 0 ,Greenish= 0 ,Moisture= 0</v>
      </c>
      <c r="BN1358" s="69"/>
      <c r="BO1358" s="70" t="str">
        <f t="shared" si="916"/>
        <v xml:space="preserve"> Party Condition 42  ,F.M% 0.2 ,Greenish 3.2 ,Moisture 4.8 ,Shortage in KG= 0  ,Oil% 39.28</v>
      </c>
      <c r="BP1358" s="71">
        <f t="shared" si="917"/>
        <v>7490.4214434777896</v>
      </c>
      <c r="BQ1358" s="55"/>
      <c r="BR1358" s="55"/>
      <c r="BS1358" s="41"/>
      <c r="BT1358" s="41"/>
      <c r="BU1358" s="41"/>
      <c r="BV1358" s="41"/>
      <c r="BW1358" s="85"/>
      <c r="BX1358" s="27">
        <v>39.21</v>
      </c>
      <c r="BY1358" s="27">
        <v>39.04</v>
      </c>
    </row>
    <row r="1359" spans="1:83" ht="14.1" hidden="1" customHeight="1" x14ac:dyDescent="0.3">
      <c r="A1359" s="128" t="s">
        <v>2670</v>
      </c>
      <c r="B1359" s="146">
        <v>46212</v>
      </c>
      <c r="C1359" s="138">
        <v>1324</v>
      </c>
      <c r="D1359" s="138" t="s">
        <v>2875</v>
      </c>
      <c r="E1359" s="129">
        <v>46221</v>
      </c>
      <c r="F1359" s="128" t="s">
        <v>2497</v>
      </c>
      <c r="G1359" s="128" t="s">
        <v>2498</v>
      </c>
      <c r="H1359" s="281" t="s">
        <v>100</v>
      </c>
      <c r="I1359" s="136"/>
      <c r="J1359" s="138" t="s">
        <v>1146</v>
      </c>
      <c r="K1359" s="136"/>
      <c r="L1359" s="146">
        <v>46212</v>
      </c>
      <c r="M1359" s="136"/>
      <c r="N1359" s="281" t="s">
        <v>2928</v>
      </c>
      <c r="O1359" s="146">
        <v>46221</v>
      </c>
      <c r="P1359" s="138">
        <v>0</v>
      </c>
      <c r="Q1359" s="138">
        <v>130</v>
      </c>
      <c r="R1359" s="138">
        <v>30</v>
      </c>
      <c r="S1359" s="138">
        <v>160</v>
      </c>
      <c r="T1359" s="138">
        <v>160</v>
      </c>
      <c r="U1359" s="136"/>
      <c r="V1359" s="136"/>
      <c r="W1359" s="147">
        <v>96.5</v>
      </c>
      <c r="X1359" s="147">
        <v>96.4</v>
      </c>
      <c r="Y1359" s="147">
        <v>772096.5</v>
      </c>
      <c r="Z1359" s="147">
        <v>40.369999999999997</v>
      </c>
      <c r="AA1359" s="147">
        <v>19302.41</v>
      </c>
      <c r="AB1359" s="147">
        <v>19302.41</v>
      </c>
      <c r="AC1359" s="147">
        <v>810701.33</v>
      </c>
      <c r="AD1359" s="315">
        <f t="shared" si="922"/>
        <v>809890.62867000001</v>
      </c>
      <c r="AE1359" s="147">
        <v>40.369999999999997</v>
      </c>
      <c r="AF1359" s="147">
        <v>42</v>
      </c>
      <c r="AG1359" s="147">
        <v>40.369999999999997</v>
      </c>
      <c r="AH1359" s="287">
        <v>2.2000000000000001E-3</v>
      </c>
      <c r="AI1359" s="395">
        <v>5.4399999999999997E-2</v>
      </c>
      <c r="AJ1359" s="287">
        <v>5.6000000000000001E-2</v>
      </c>
      <c r="AK1359" s="318">
        <f t="shared" si="901"/>
        <v>29964.697500000046</v>
      </c>
      <c r="AL1359" s="193">
        <v>0</v>
      </c>
      <c r="AM1359" s="319">
        <v>0</v>
      </c>
      <c r="AN1359" s="319"/>
      <c r="AO1359" s="320">
        <f t="shared" si="902"/>
        <v>0</v>
      </c>
      <c r="AP1359" s="193">
        <v>0</v>
      </c>
      <c r="AQ1359" s="318">
        <v>0</v>
      </c>
      <c r="AR1359" s="318">
        <f t="shared" si="903"/>
        <v>29964.697500000046</v>
      </c>
      <c r="AS1359" s="318">
        <f t="shared" si="904"/>
        <v>31463</v>
      </c>
      <c r="AT1359" s="321">
        <v>0</v>
      </c>
      <c r="AU1359" s="157"/>
      <c r="AV1359" s="136"/>
      <c r="AW1359" s="318">
        <f t="shared" si="905"/>
        <v>9650</v>
      </c>
      <c r="AX1359" s="193"/>
      <c r="AY1359" s="318">
        <f t="shared" si="906"/>
        <v>9650</v>
      </c>
      <c r="AZ1359" s="318">
        <f t="shared" si="907"/>
        <v>9640</v>
      </c>
      <c r="BA1359" s="318">
        <f t="shared" si="908"/>
        <v>10</v>
      </c>
      <c r="BB1359" s="318">
        <f t="shared" si="909"/>
        <v>19.3</v>
      </c>
      <c r="BC1359" s="318">
        <v>0</v>
      </c>
      <c r="BD1359" s="136"/>
      <c r="BE1359" s="138">
        <v>96.5</v>
      </c>
      <c r="BF1359" s="321">
        <f t="shared" si="910"/>
        <v>0.14474999999999999</v>
      </c>
      <c r="BG1359" s="197">
        <f t="shared" si="911"/>
        <v>96.355249999999998</v>
      </c>
      <c r="BH1359" s="321">
        <f t="shared" si="912"/>
        <v>96.4</v>
      </c>
      <c r="BI1359" s="322">
        <f t="shared" si="913"/>
        <v>9.9999999999994316</v>
      </c>
      <c r="BJ1359" s="322">
        <v>0</v>
      </c>
      <c r="BK1359" s="318">
        <f t="shared" si="914"/>
        <v>9.9999999999994316</v>
      </c>
      <c r="BL1359" s="67"/>
      <c r="BM1359" s="68" t="str">
        <f t="shared" si="915"/>
        <v>Unloading no. 1324 Bill No HA/26-27/0436 ,Deduction For Oil Deduction= 29964.6975 ,Bardana= 0 ,F.M= 0 Brokerage/Rate Difference  ,Shortage = 0 ,Greenish= 0 ,Moisture= 0</v>
      </c>
      <c r="BN1359" s="69"/>
      <c r="BO1359" s="70" t="str">
        <f t="shared" si="916"/>
        <v xml:space="preserve"> Party Condition 42  ,F.M% 0.22 ,Greenish 5.44 ,Moisture 5.6 ,Shortage in KG= 0  ,Oil% 40.37</v>
      </c>
      <c r="BP1359" s="71">
        <f t="shared" si="917"/>
        <v>7698.4626815352694</v>
      </c>
      <c r="BQ1359" s="55"/>
      <c r="BR1359" s="55"/>
      <c r="BS1359" s="41"/>
      <c r="BT1359" s="41"/>
      <c r="BU1359" s="41"/>
      <c r="BV1359" s="41"/>
      <c r="BW1359" s="85"/>
      <c r="BX1359" s="27">
        <v>40.5</v>
      </c>
      <c r="BY1359" s="27">
        <v>40.270000000000003</v>
      </c>
    </row>
    <row r="1360" spans="1:83" ht="14.1" hidden="1" customHeight="1" x14ac:dyDescent="0.3">
      <c r="A1360" s="128" t="s">
        <v>2670</v>
      </c>
      <c r="B1360" s="146">
        <v>46212</v>
      </c>
      <c r="C1360" s="138">
        <v>1325</v>
      </c>
      <c r="D1360" s="138" t="s">
        <v>2876</v>
      </c>
      <c r="E1360" s="129">
        <v>46221</v>
      </c>
      <c r="F1360" s="128" t="s">
        <v>2497</v>
      </c>
      <c r="G1360" s="128" t="s">
        <v>2498</v>
      </c>
      <c r="H1360" s="281" t="s">
        <v>100</v>
      </c>
      <c r="I1360" s="136"/>
      <c r="J1360" s="138" t="s">
        <v>1146</v>
      </c>
      <c r="K1360" s="136"/>
      <c r="L1360" s="146">
        <v>46212</v>
      </c>
      <c r="M1360" s="136"/>
      <c r="N1360" s="281" t="s">
        <v>2929</v>
      </c>
      <c r="O1360" s="146">
        <v>46221</v>
      </c>
      <c r="P1360" s="138">
        <v>0</v>
      </c>
      <c r="Q1360" s="138">
        <v>120</v>
      </c>
      <c r="R1360" s="138">
        <v>40</v>
      </c>
      <c r="S1360" s="138">
        <v>160</v>
      </c>
      <c r="T1360" s="138">
        <v>160</v>
      </c>
      <c r="U1360" s="136"/>
      <c r="V1360" s="136"/>
      <c r="W1360" s="147">
        <v>96.9</v>
      </c>
      <c r="X1360" s="147">
        <v>96.8</v>
      </c>
      <c r="Y1360" s="147">
        <v>775296.9</v>
      </c>
      <c r="Z1360" s="147">
        <v>40.53</v>
      </c>
      <c r="AA1360" s="147">
        <v>19382.419999999998</v>
      </c>
      <c r="AB1360" s="147">
        <v>19382.419999999998</v>
      </c>
      <c r="AC1360" s="147">
        <v>814061.75</v>
      </c>
      <c r="AD1360" s="315">
        <f t="shared" si="922"/>
        <v>813247.68825000001</v>
      </c>
      <c r="AE1360" s="147">
        <v>40.53</v>
      </c>
      <c r="AF1360" s="147">
        <v>42</v>
      </c>
      <c r="AG1360" s="147">
        <v>40.53</v>
      </c>
      <c r="AH1360" s="287">
        <v>2E-3</v>
      </c>
      <c r="AI1360" s="395">
        <v>5.1799999999999999E-2</v>
      </c>
      <c r="AJ1360" s="287">
        <v>5.2999999999999999E-2</v>
      </c>
      <c r="AK1360" s="318">
        <f t="shared" si="901"/>
        <v>27135.391499999983</v>
      </c>
      <c r="AL1360" s="193">
        <v>0</v>
      </c>
      <c r="AM1360" s="319">
        <v>0</v>
      </c>
      <c r="AN1360" s="319"/>
      <c r="AO1360" s="320">
        <f t="shared" si="902"/>
        <v>0</v>
      </c>
      <c r="AP1360" s="193">
        <v>0</v>
      </c>
      <c r="AQ1360" s="318">
        <v>0</v>
      </c>
      <c r="AR1360" s="318">
        <f t="shared" si="903"/>
        <v>27135.391499999983</v>
      </c>
      <c r="AS1360" s="318">
        <f t="shared" si="904"/>
        <v>28492</v>
      </c>
      <c r="AT1360" s="321">
        <v>0</v>
      </c>
      <c r="AU1360" s="157"/>
      <c r="AV1360" s="136"/>
      <c r="AW1360" s="318">
        <f t="shared" si="905"/>
        <v>9690</v>
      </c>
      <c r="AX1360" s="193"/>
      <c r="AY1360" s="318">
        <f t="shared" si="906"/>
        <v>9690</v>
      </c>
      <c r="AZ1360" s="318">
        <f t="shared" si="907"/>
        <v>9680</v>
      </c>
      <c r="BA1360" s="318">
        <f t="shared" si="908"/>
        <v>10</v>
      </c>
      <c r="BB1360" s="318">
        <f t="shared" si="909"/>
        <v>19.38</v>
      </c>
      <c r="BC1360" s="318">
        <v>0</v>
      </c>
      <c r="BD1360" s="136"/>
      <c r="BE1360" s="138">
        <v>96.9</v>
      </c>
      <c r="BF1360" s="321">
        <f t="shared" si="910"/>
        <v>0.14535000000000001</v>
      </c>
      <c r="BG1360" s="197">
        <f t="shared" si="911"/>
        <v>96.754650000000012</v>
      </c>
      <c r="BH1360" s="321">
        <f t="shared" si="912"/>
        <v>96.8</v>
      </c>
      <c r="BI1360" s="322">
        <f t="shared" si="913"/>
        <v>10.000000000000853</v>
      </c>
      <c r="BJ1360" s="322">
        <v>0</v>
      </c>
      <c r="BK1360" s="318">
        <f t="shared" si="914"/>
        <v>10.000000000000853</v>
      </c>
      <c r="BL1360" s="67"/>
      <c r="BM1360" s="68" t="str">
        <f t="shared" si="915"/>
        <v>Unloading no. 1325 Bill No HA/26-27/0437 ,Deduction For Oil Deduction= 27135.3915 ,Bardana= 0 ,F.M= 0 Brokerage/Rate Difference  ,Shortage = 0 ,Greenish= 0 ,Moisture= 0</v>
      </c>
      <c r="BN1360" s="69"/>
      <c r="BO1360" s="70" t="str">
        <f t="shared" si="916"/>
        <v xml:space="preserve"> Party Condition 42  ,F.M% 0.2 ,Greenish 5.18 ,Moisture 5.3 ,Shortage in KG= 0  ,Oil% 40.53</v>
      </c>
      <c r="BP1360" s="71">
        <f t="shared" si="917"/>
        <v>7728.9412035123969</v>
      </c>
      <c r="BQ1360" s="55"/>
      <c r="BR1360" s="55"/>
      <c r="BS1360" s="41"/>
      <c r="BT1360" s="41"/>
      <c r="BU1360" s="41"/>
      <c r="BV1360" s="41"/>
      <c r="BW1360" s="85"/>
      <c r="BX1360" s="27">
        <v>40.28</v>
      </c>
      <c r="BY1360" s="27">
        <v>40.130000000000003</v>
      </c>
    </row>
    <row r="1361" spans="1:83" ht="14.1" hidden="1" customHeight="1" x14ac:dyDescent="0.3">
      <c r="A1361" s="128" t="s">
        <v>2670</v>
      </c>
      <c r="B1361" s="146">
        <v>46212</v>
      </c>
      <c r="C1361" s="138">
        <v>1326</v>
      </c>
      <c r="D1361" s="138" t="s">
        <v>2877</v>
      </c>
      <c r="E1361" s="129">
        <v>46221</v>
      </c>
      <c r="F1361" s="128" t="s">
        <v>2497</v>
      </c>
      <c r="G1361" s="128" t="s">
        <v>2498</v>
      </c>
      <c r="H1361" s="281" t="s">
        <v>100</v>
      </c>
      <c r="I1361" s="136"/>
      <c r="J1361" s="138" t="s">
        <v>1146</v>
      </c>
      <c r="K1361" s="136"/>
      <c r="L1361" s="146">
        <v>46212</v>
      </c>
      <c r="M1361" s="136"/>
      <c r="N1361" s="281" t="s">
        <v>2930</v>
      </c>
      <c r="O1361" s="146">
        <v>46221</v>
      </c>
      <c r="P1361" s="138">
        <v>0</v>
      </c>
      <c r="Q1361" s="138">
        <v>120</v>
      </c>
      <c r="R1361" s="138">
        <v>40</v>
      </c>
      <c r="S1361" s="138">
        <v>160</v>
      </c>
      <c r="T1361" s="138">
        <v>160</v>
      </c>
      <c r="U1361" s="136"/>
      <c r="V1361" s="136"/>
      <c r="W1361" s="147">
        <v>97.1</v>
      </c>
      <c r="X1361" s="147">
        <v>97.1</v>
      </c>
      <c r="Y1361" s="147">
        <v>776897.1</v>
      </c>
      <c r="Z1361" s="147">
        <v>40.32</v>
      </c>
      <c r="AA1361" s="147">
        <v>19422.43</v>
      </c>
      <c r="AB1361" s="147">
        <v>19422.43</v>
      </c>
      <c r="AC1361" s="147">
        <v>815741.96</v>
      </c>
      <c r="AD1361" s="315">
        <f t="shared" si="922"/>
        <v>814926.21803999995</v>
      </c>
      <c r="AE1361" s="147">
        <v>40.32</v>
      </c>
      <c r="AF1361" s="147">
        <v>42</v>
      </c>
      <c r="AG1361" s="147">
        <v>40.32</v>
      </c>
      <c r="AH1361" s="287">
        <v>1.8E-3</v>
      </c>
      <c r="AI1361" s="395">
        <v>0.05</v>
      </c>
      <c r="AJ1361" s="287">
        <v>5.6000000000000001E-2</v>
      </c>
      <c r="AK1361" s="318">
        <f t="shared" si="901"/>
        <v>31075.883999999995</v>
      </c>
      <c r="AL1361" s="193">
        <v>0</v>
      </c>
      <c r="AM1361" s="319">
        <v>0</v>
      </c>
      <c r="AN1361" s="319"/>
      <c r="AO1361" s="320">
        <f t="shared" si="902"/>
        <v>0</v>
      </c>
      <c r="AP1361" s="193">
        <v>0</v>
      </c>
      <c r="AQ1361" s="318">
        <v>0</v>
      </c>
      <c r="AR1361" s="318">
        <f t="shared" si="903"/>
        <v>31075.883999999995</v>
      </c>
      <c r="AS1361" s="318">
        <f t="shared" si="904"/>
        <v>32630</v>
      </c>
      <c r="AT1361" s="321">
        <v>0</v>
      </c>
      <c r="AU1361" s="157"/>
      <c r="AV1361" s="136"/>
      <c r="AW1361" s="318">
        <f t="shared" si="905"/>
        <v>9710</v>
      </c>
      <c r="AX1361" s="193"/>
      <c r="AY1361" s="318">
        <f t="shared" si="906"/>
        <v>9710</v>
      </c>
      <c r="AZ1361" s="318">
        <f t="shared" si="907"/>
        <v>9710</v>
      </c>
      <c r="BA1361" s="318">
        <f t="shared" si="908"/>
        <v>0</v>
      </c>
      <c r="BB1361" s="318">
        <f t="shared" si="909"/>
        <v>19.420000000000002</v>
      </c>
      <c r="BC1361" s="318">
        <v>0</v>
      </c>
      <c r="BD1361" s="136"/>
      <c r="BE1361" s="138">
        <v>97.1</v>
      </c>
      <c r="BF1361" s="321">
        <f t="shared" si="910"/>
        <v>0.14564999999999997</v>
      </c>
      <c r="BG1361" s="197">
        <f t="shared" si="911"/>
        <v>96.954349999999991</v>
      </c>
      <c r="BH1361" s="321">
        <f t="shared" si="912"/>
        <v>97.1</v>
      </c>
      <c r="BI1361" s="322">
        <f t="shared" si="913"/>
        <v>0</v>
      </c>
      <c r="BJ1361" s="322">
        <v>0</v>
      </c>
      <c r="BK1361" s="318">
        <f t="shared" si="914"/>
        <v>0</v>
      </c>
      <c r="BL1361" s="67"/>
      <c r="BM1361" s="68" t="str">
        <f t="shared" si="915"/>
        <v>Unloading no. 1326 Bill No HA/26-27/0438 ,Deduction For Oil Deduction= 31075.884 ,Bardana= 0 ,F.M= 0 Brokerage/Rate Difference  ,Shortage = 0 ,Greenish= 0 ,Moisture= 0</v>
      </c>
      <c r="BN1361" s="69"/>
      <c r="BO1361" s="70" t="str">
        <f t="shared" si="916"/>
        <v xml:space="preserve"> Party Condition 42  ,F.M% 0.18 ,Greenish 5 ,Moisture 5.6 ,Shortage in KG= 0  ,Oil% 40.32</v>
      </c>
      <c r="BP1361" s="71">
        <f t="shared" si="917"/>
        <v>7680.9600000000009</v>
      </c>
      <c r="BQ1361" s="55"/>
      <c r="BR1361" s="55"/>
      <c r="BS1361" s="41"/>
      <c r="BT1361" s="41"/>
      <c r="BU1361" s="41"/>
      <c r="BV1361" s="41"/>
      <c r="BW1361" s="85"/>
      <c r="BX1361" s="27">
        <v>40.4</v>
      </c>
      <c r="BY1361" s="27">
        <v>40.17</v>
      </c>
    </row>
    <row r="1362" spans="1:83" ht="14.1" hidden="1" customHeight="1" x14ac:dyDescent="0.3">
      <c r="A1362" s="128" t="s">
        <v>2670</v>
      </c>
      <c r="B1362" s="146">
        <v>46212</v>
      </c>
      <c r="C1362" s="138">
        <v>1327</v>
      </c>
      <c r="D1362" s="138" t="s">
        <v>2878</v>
      </c>
      <c r="E1362" s="129">
        <v>46221</v>
      </c>
      <c r="F1362" s="128" t="s">
        <v>2497</v>
      </c>
      <c r="G1362" s="128" t="s">
        <v>2498</v>
      </c>
      <c r="H1362" s="281" t="s">
        <v>100</v>
      </c>
      <c r="I1362" s="136"/>
      <c r="J1362" s="138" t="s">
        <v>1146</v>
      </c>
      <c r="K1362" s="136"/>
      <c r="L1362" s="146">
        <v>46212</v>
      </c>
      <c r="M1362" s="136"/>
      <c r="N1362" s="281" t="s">
        <v>2931</v>
      </c>
      <c r="O1362" s="146">
        <v>46221</v>
      </c>
      <c r="P1362" s="138">
        <v>0</v>
      </c>
      <c r="Q1362" s="138">
        <v>140</v>
      </c>
      <c r="R1362" s="138">
        <v>20</v>
      </c>
      <c r="S1362" s="138">
        <v>160</v>
      </c>
      <c r="T1362" s="138">
        <v>160</v>
      </c>
      <c r="U1362" s="136"/>
      <c r="V1362" s="136"/>
      <c r="W1362" s="147">
        <v>97.2</v>
      </c>
      <c r="X1362" s="147">
        <v>97.1</v>
      </c>
      <c r="Y1362" s="147">
        <v>777697.2</v>
      </c>
      <c r="Z1362" s="147">
        <v>39.97</v>
      </c>
      <c r="AA1362" s="147">
        <v>19442.43</v>
      </c>
      <c r="AB1362" s="147">
        <v>19442.43</v>
      </c>
      <c r="AC1362" s="147">
        <v>816582.06</v>
      </c>
      <c r="AD1362" s="315">
        <f t="shared" si="922"/>
        <v>815765.47794000001</v>
      </c>
      <c r="AE1362" s="147">
        <v>39.97</v>
      </c>
      <c r="AF1362" s="147">
        <v>42</v>
      </c>
      <c r="AG1362" s="147">
        <v>39.97</v>
      </c>
      <c r="AH1362" s="287">
        <v>2.8E-3</v>
      </c>
      <c r="AI1362" s="395">
        <v>4.4999999999999998E-2</v>
      </c>
      <c r="AJ1362" s="287">
        <v>5.8000000000000003E-2</v>
      </c>
      <c r="AK1362" s="318">
        <f t="shared" si="901"/>
        <v>37588.698000000019</v>
      </c>
      <c r="AL1362" s="193">
        <v>0</v>
      </c>
      <c r="AM1362" s="319">
        <v>0</v>
      </c>
      <c r="AN1362" s="319"/>
      <c r="AO1362" s="320">
        <f t="shared" si="902"/>
        <v>0</v>
      </c>
      <c r="AP1362" s="193">
        <v>0</v>
      </c>
      <c r="AQ1362" s="318">
        <v>0</v>
      </c>
      <c r="AR1362" s="318">
        <f t="shared" si="903"/>
        <v>37588.698000000019</v>
      </c>
      <c r="AS1362" s="318">
        <f t="shared" si="904"/>
        <v>39468</v>
      </c>
      <c r="AT1362" s="321">
        <v>0</v>
      </c>
      <c r="AU1362" s="157"/>
      <c r="AV1362" s="136"/>
      <c r="AW1362" s="318">
        <f t="shared" si="905"/>
        <v>9720</v>
      </c>
      <c r="AX1362" s="193"/>
      <c r="AY1362" s="318">
        <f t="shared" si="906"/>
        <v>9720</v>
      </c>
      <c r="AZ1362" s="318">
        <f t="shared" si="907"/>
        <v>9710</v>
      </c>
      <c r="BA1362" s="318">
        <f t="shared" si="908"/>
        <v>10</v>
      </c>
      <c r="BB1362" s="318">
        <f t="shared" si="909"/>
        <v>19.440000000000001</v>
      </c>
      <c r="BC1362" s="318">
        <v>0</v>
      </c>
      <c r="BD1362" s="136"/>
      <c r="BE1362" s="138">
        <v>97.2</v>
      </c>
      <c r="BF1362" s="321">
        <f t="shared" si="910"/>
        <v>0.14580000000000001</v>
      </c>
      <c r="BG1362" s="197">
        <f t="shared" si="911"/>
        <v>97.054200000000009</v>
      </c>
      <c r="BH1362" s="321">
        <f t="shared" si="912"/>
        <v>97.1</v>
      </c>
      <c r="BI1362" s="322">
        <f t="shared" si="913"/>
        <v>10.000000000000853</v>
      </c>
      <c r="BJ1362" s="322">
        <v>0</v>
      </c>
      <c r="BK1362" s="318">
        <f t="shared" si="914"/>
        <v>10.000000000000853</v>
      </c>
      <c r="BL1362" s="67"/>
      <c r="BM1362" s="68" t="str">
        <f t="shared" si="915"/>
        <v>Unloading no. 1327 Bill No HA/26-27/0439 ,Deduction For Oil Deduction= 37588.698 ,Bardana= 0 ,F.M= 0 Brokerage/Rate Difference  ,Shortage = 0 ,Greenish= 0 ,Moisture= 0</v>
      </c>
      <c r="BN1362" s="69"/>
      <c r="BO1362" s="70" t="str">
        <f t="shared" si="916"/>
        <v xml:space="preserve"> Party Condition 42  ,F.M% 0.28 ,Greenish 4.5 ,Moisture 5.8 ,Shortage in KG= 0  ,Oil% 39.97</v>
      </c>
      <c r="BP1362" s="71">
        <f t="shared" si="917"/>
        <v>7622.1266941297636</v>
      </c>
      <c r="BQ1362" s="55"/>
      <c r="BR1362" s="55"/>
      <c r="BS1362" s="41"/>
      <c r="BT1362" s="41"/>
      <c r="BU1362" s="41"/>
      <c r="BV1362" s="41"/>
      <c r="BW1362" s="85"/>
      <c r="BX1362" s="27">
        <v>40.03</v>
      </c>
      <c r="BY1362" s="27">
        <v>39.869999999999997</v>
      </c>
    </row>
    <row r="1363" spans="1:83" ht="14.1" hidden="1" customHeight="1" x14ac:dyDescent="0.3">
      <c r="A1363" s="128" t="s">
        <v>2827</v>
      </c>
      <c r="B1363" s="146">
        <v>46216</v>
      </c>
      <c r="C1363" s="138">
        <v>1328</v>
      </c>
      <c r="D1363" s="138" t="s">
        <v>2879</v>
      </c>
      <c r="E1363" s="129">
        <v>46221</v>
      </c>
      <c r="F1363" s="128" t="s">
        <v>2497</v>
      </c>
      <c r="G1363" s="128" t="s">
        <v>2498</v>
      </c>
      <c r="H1363" s="281" t="s">
        <v>100</v>
      </c>
      <c r="I1363" s="136"/>
      <c r="J1363" s="138" t="s">
        <v>1146</v>
      </c>
      <c r="K1363" s="136"/>
      <c r="L1363" s="146">
        <v>46216</v>
      </c>
      <c r="M1363" s="136"/>
      <c r="N1363" s="281" t="s">
        <v>2932</v>
      </c>
      <c r="O1363" s="146">
        <v>46221</v>
      </c>
      <c r="P1363" s="138">
        <v>0</v>
      </c>
      <c r="Q1363" s="138">
        <v>150</v>
      </c>
      <c r="R1363" s="138">
        <v>30</v>
      </c>
      <c r="S1363" s="138">
        <v>180</v>
      </c>
      <c r="T1363" s="138">
        <v>180</v>
      </c>
      <c r="U1363" s="136"/>
      <c r="V1363" s="136"/>
      <c r="W1363" s="147">
        <v>90.5</v>
      </c>
      <c r="X1363" s="147">
        <v>90.4</v>
      </c>
      <c r="Y1363" s="147">
        <v>728525</v>
      </c>
      <c r="Z1363" s="147">
        <v>39.56</v>
      </c>
      <c r="AA1363" s="147">
        <v>18213.13</v>
      </c>
      <c r="AB1363" s="147">
        <v>18213.13</v>
      </c>
      <c r="AC1363" s="147">
        <v>764951.25</v>
      </c>
      <c r="AD1363" s="315">
        <f t="shared" si="922"/>
        <v>764186.29874999996</v>
      </c>
      <c r="AE1363" s="147">
        <v>39.56</v>
      </c>
      <c r="AF1363" s="147">
        <v>42</v>
      </c>
      <c r="AG1363" s="147">
        <v>39.56</v>
      </c>
      <c r="AH1363" s="287">
        <v>2.5000000000000001E-3</v>
      </c>
      <c r="AI1363" s="395">
        <v>4.8800000000000003E-2</v>
      </c>
      <c r="AJ1363" s="287">
        <v>5.5E-2</v>
      </c>
      <c r="AK1363" s="318">
        <f t="shared" si="901"/>
        <v>42323.833333333292</v>
      </c>
      <c r="AL1363" s="193">
        <v>0</v>
      </c>
      <c r="AM1363" s="319">
        <v>0</v>
      </c>
      <c r="AN1363" s="319"/>
      <c r="AO1363" s="320">
        <f t="shared" si="902"/>
        <v>0</v>
      </c>
      <c r="AP1363" s="193">
        <v>0</v>
      </c>
      <c r="AQ1363" s="318">
        <v>0</v>
      </c>
      <c r="AR1363" s="318">
        <f t="shared" si="903"/>
        <v>42323.833333333292</v>
      </c>
      <c r="AS1363" s="318">
        <f t="shared" si="904"/>
        <v>44440</v>
      </c>
      <c r="AT1363" s="321">
        <v>0</v>
      </c>
      <c r="AU1363" s="157"/>
      <c r="AV1363" s="136"/>
      <c r="AW1363" s="318">
        <f t="shared" si="905"/>
        <v>9050</v>
      </c>
      <c r="AX1363" s="193"/>
      <c r="AY1363" s="318">
        <f t="shared" si="906"/>
        <v>9050</v>
      </c>
      <c r="AZ1363" s="318">
        <f t="shared" si="907"/>
        <v>9040</v>
      </c>
      <c r="BA1363" s="318">
        <f t="shared" si="908"/>
        <v>10</v>
      </c>
      <c r="BB1363" s="318">
        <f t="shared" si="909"/>
        <v>18.100000000000001</v>
      </c>
      <c r="BC1363" s="318">
        <v>0</v>
      </c>
      <c r="BD1363" s="136"/>
      <c r="BE1363" s="138">
        <v>90.5</v>
      </c>
      <c r="BF1363" s="321">
        <f t="shared" si="910"/>
        <v>0.13574999999999998</v>
      </c>
      <c r="BG1363" s="197">
        <f t="shared" si="911"/>
        <v>90.364249999999998</v>
      </c>
      <c r="BH1363" s="321">
        <f t="shared" si="912"/>
        <v>90.4</v>
      </c>
      <c r="BI1363" s="322">
        <f t="shared" si="913"/>
        <v>9.9999999999994316</v>
      </c>
      <c r="BJ1363" s="322">
        <v>0</v>
      </c>
      <c r="BK1363" s="318">
        <f t="shared" si="914"/>
        <v>9.9999999999994316</v>
      </c>
      <c r="BL1363" s="67"/>
      <c r="BM1363" s="68" t="str">
        <f t="shared" si="915"/>
        <v>Unloading no. 1328 Bill No HA/26-27/0442 ,Deduction For Oil Deduction= 42323.8333333333 ,Bardana= 0 ,F.M= 0 Brokerage/Rate Difference  ,Shortage = 0 ,Greenish= 0 ,Moisture= 0</v>
      </c>
      <c r="BN1363" s="69"/>
      <c r="BO1363" s="70" t="str">
        <f t="shared" si="916"/>
        <v xml:space="preserve"> Party Condition 42  ,F.M% 0.25 ,Greenish 4.88 ,Moisture 5.5 ,Shortage in KG= 0  ,Oil% 39.56</v>
      </c>
      <c r="BP1363" s="71">
        <f t="shared" si="917"/>
        <v>7590.72087020649</v>
      </c>
      <c r="BQ1363" s="55"/>
      <c r="BR1363" s="55"/>
      <c r="BS1363" s="41"/>
      <c r="BT1363" s="41"/>
      <c r="BU1363" s="41"/>
      <c r="BV1363" s="41"/>
      <c r="BW1363" s="85"/>
      <c r="BX1363" s="27">
        <v>39.85</v>
      </c>
      <c r="BY1363" s="27">
        <v>39.68</v>
      </c>
    </row>
    <row r="1364" spans="1:83" ht="14.1" hidden="1" customHeight="1" x14ac:dyDescent="0.3">
      <c r="A1364" s="128" t="s">
        <v>2827</v>
      </c>
      <c r="B1364" s="146">
        <v>46216</v>
      </c>
      <c r="C1364" s="138">
        <v>1329</v>
      </c>
      <c r="D1364" s="138" t="s">
        <v>2880</v>
      </c>
      <c r="E1364" s="129">
        <v>46221</v>
      </c>
      <c r="F1364" s="128" t="s">
        <v>2497</v>
      </c>
      <c r="G1364" s="128" t="s">
        <v>2498</v>
      </c>
      <c r="H1364" s="281" t="s">
        <v>100</v>
      </c>
      <c r="I1364" s="136"/>
      <c r="J1364" s="138" t="s">
        <v>1146</v>
      </c>
      <c r="K1364" s="136"/>
      <c r="L1364" s="146">
        <v>46216</v>
      </c>
      <c r="M1364" s="136"/>
      <c r="N1364" s="281" t="s">
        <v>2933</v>
      </c>
      <c r="O1364" s="146">
        <v>46221</v>
      </c>
      <c r="P1364" s="138">
        <v>0</v>
      </c>
      <c r="Q1364" s="138">
        <v>160</v>
      </c>
      <c r="R1364" s="138">
        <v>20</v>
      </c>
      <c r="S1364" s="138">
        <v>180</v>
      </c>
      <c r="T1364" s="138">
        <v>180</v>
      </c>
      <c r="U1364" s="136"/>
      <c r="V1364" s="136"/>
      <c r="W1364" s="147">
        <v>91.6</v>
      </c>
      <c r="X1364" s="147">
        <v>91.5</v>
      </c>
      <c r="Y1364" s="147">
        <v>737380</v>
      </c>
      <c r="Z1364" s="147">
        <v>40.200000000000003</v>
      </c>
      <c r="AA1364" s="147">
        <v>18434.5</v>
      </c>
      <c r="AB1364" s="147">
        <v>18434.5</v>
      </c>
      <c r="AC1364" s="147">
        <v>774249</v>
      </c>
      <c r="AD1364" s="315">
        <f t="shared" si="922"/>
        <v>773474.75100000005</v>
      </c>
      <c r="AE1364" s="147">
        <v>40.200000000000003</v>
      </c>
      <c r="AF1364" s="147">
        <v>42</v>
      </c>
      <c r="AG1364" s="147">
        <v>40.200000000000003</v>
      </c>
      <c r="AH1364" s="287">
        <v>2.5000000000000001E-3</v>
      </c>
      <c r="AI1364" s="395">
        <v>3.6799999999999999E-2</v>
      </c>
      <c r="AJ1364" s="287">
        <v>5.1999999999999998E-2</v>
      </c>
      <c r="AK1364" s="318">
        <f t="shared" si="901"/>
        <v>31601.999999999949</v>
      </c>
      <c r="AL1364" s="193">
        <v>0</v>
      </c>
      <c r="AM1364" s="319">
        <v>0</v>
      </c>
      <c r="AN1364" s="319"/>
      <c r="AO1364" s="320">
        <f t="shared" si="902"/>
        <v>0</v>
      </c>
      <c r="AP1364" s="193">
        <v>0</v>
      </c>
      <c r="AQ1364" s="318">
        <v>0</v>
      </c>
      <c r="AR1364" s="318">
        <f t="shared" si="903"/>
        <v>31601.999999999949</v>
      </c>
      <c r="AS1364" s="318">
        <f t="shared" si="904"/>
        <v>33182</v>
      </c>
      <c r="AT1364" s="321">
        <v>0</v>
      </c>
      <c r="AU1364" s="157"/>
      <c r="AV1364" s="136"/>
      <c r="AW1364" s="318">
        <f t="shared" si="905"/>
        <v>9160</v>
      </c>
      <c r="AX1364" s="193"/>
      <c r="AY1364" s="318">
        <f t="shared" si="906"/>
        <v>9160</v>
      </c>
      <c r="AZ1364" s="318">
        <f t="shared" si="907"/>
        <v>9150</v>
      </c>
      <c r="BA1364" s="318">
        <f t="shared" si="908"/>
        <v>10</v>
      </c>
      <c r="BB1364" s="318">
        <f t="shared" si="909"/>
        <v>18.32</v>
      </c>
      <c r="BC1364" s="318">
        <v>0</v>
      </c>
      <c r="BD1364" s="136"/>
      <c r="BE1364" s="138">
        <v>91.6</v>
      </c>
      <c r="BF1364" s="321">
        <f t="shared" si="910"/>
        <v>0.13739999999999999</v>
      </c>
      <c r="BG1364" s="197">
        <f t="shared" si="911"/>
        <v>91.462599999999995</v>
      </c>
      <c r="BH1364" s="321">
        <f t="shared" si="912"/>
        <v>91.5</v>
      </c>
      <c r="BI1364" s="322">
        <f t="shared" si="913"/>
        <v>9.9999999999994316</v>
      </c>
      <c r="BJ1364" s="322">
        <v>0</v>
      </c>
      <c r="BK1364" s="318">
        <f t="shared" si="914"/>
        <v>9.9999999999994316</v>
      </c>
      <c r="BL1364" s="67"/>
      <c r="BM1364" s="68" t="str">
        <f t="shared" si="915"/>
        <v>Unloading no. 1329 Bill No HA/26-27/0443 ,Deduction For Oil Deduction= 31601.9999999999 ,Bardana= 0 ,F.M= 0 Brokerage/Rate Difference  ,Shortage = 0 ,Greenish= 0 ,Moisture= 0</v>
      </c>
      <c r="BN1364" s="69"/>
      <c r="BO1364" s="70" t="str">
        <f t="shared" si="916"/>
        <v xml:space="preserve"> Party Condition 42  ,F.M% 0.25 ,Greenish 3.68 ,Moisture 5.2 ,Shortage in KG= 0  ,Oil% 40.2</v>
      </c>
      <c r="BP1364" s="71">
        <f t="shared" si="917"/>
        <v>7713.420765027322</v>
      </c>
      <c r="BQ1364" s="55"/>
      <c r="BR1364" s="55"/>
      <c r="BS1364" s="41"/>
      <c r="BT1364" s="41"/>
      <c r="BU1364" s="41"/>
      <c r="BV1364" s="41"/>
      <c r="BW1364" s="85"/>
      <c r="BX1364" s="27">
        <v>40.200000000000003</v>
      </c>
      <c r="BY1364" s="27">
        <v>39.97</v>
      </c>
    </row>
    <row r="1365" spans="1:83" ht="14.1" hidden="1" customHeight="1" x14ac:dyDescent="0.3">
      <c r="A1365" s="128" t="s">
        <v>2827</v>
      </c>
      <c r="B1365" s="146">
        <v>46216</v>
      </c>
      <c r="C1365" s="138">
        <v>1330</v>
      </c>
      <c r="D1365" s="138" t="s">
        <v>2881</v>
      </c>
      <c r="E1365" s="129">
        <v>46221</v>
      </c>
      <c r="F1365" s="128" t="s">
        <v>2497</v>
      </c>
      <c r="G1365" s="128" t="s">
        <v>2498</v>
      </c>
      <c r="H1365" s="281" t="s">
        <v>100</v>
      </c>
      <c r="I1365" s="136"/>
      <c r="J1365" s="138" t="s">
        <v>1146</v>
      </c>
      <c r="K1365" s="136"/>
      <c r="L1365" s="146">
        <v>46216</v>
      </c>
      <c r="M1365" s="136"/>
      <c r="N1365" s="281" t="s">
        <v>2934</v>
      </c>
      <c r="O1365" s="146">
        <v>46221</v>
      </c>
      <c r="P1365" s="138">
        <v>0</v>
      </c>
      <c r="Q1365" s="138">
        <v>150</v>
      </c>
      <c r="R1365" s="138">
        <v>30</v>
      </c>
      <c r="S1365" s="138">
        <v>180</v>
      </c>
      <c r="T1365" s="138">
        <v>180</v>
      </c>
      <c r="U1365" s="136"/>
      <c r="V1365" s="136"/>
      <c r="W1365" s="147">
        <v>92.4</v>
      </c>
      <c r="X1365" s="147">
        <v>92.3</v>
      </c>
      <c r="Y1365" s="147">
        <v>743820</v>
      </c>
      <c r="Z1365" s="147">
        <v>40.479999999999997</v>
      </c>
      <c r="AA1365" s="147">
        <v>18595.5</v>
      </c>
      <c r="AB1365" s="147">
        <v>18595.5</v>
      </c>
      <c r="AC1365" s="147">
        <v>781011</v>
      </c>
      <c r="AD1365" s="315">
        <f t="shared" si="922"/>
        <v>780229.98899999994</v>
      </c>
      <c r="AE1365" s="147">
        <v>40.479999999999997</v>
      </c>
      <c r="AF1365" s="147">
        <v>42</v>
      </c>
      <c r="AG1365" s="147">
        <v>40.479999999999997</v>
      </c>
      <c r="AH1365" s="287">
        <v>1.5E-3</v>
      </c>
      <c r="AI1365" s="395">
        <v>4.9000000000000002E-2</v>
      </c>
      <c r="AJ1365" s="287">
        <v>5.2999999999999999E-2</v>
      </c>
      <c r="AK1365" s="318">
        <f t="shared" si="901"/>
        <v>26919.200000000055</v>
      </c>
      <c r="AL1365" s="193">
        <v>0</v>
      </c>
      <c r="AM1365" s="319">
        <v>0</v>
      </c>
      <c r="AN1365" s="319"/>
      <c r="AO1365" s="320">
        <f t="shared" si="902"/>
        <v>0</v>
      </c>
      <c r="AP1365" s="193">
        <v>0</v>
      </c>
      <c r="AQ1365" s="318">
        <v>0</v>
      </c>
      <c r="AR1365" s="318">
        <f t="shared" si="903"/>
        <v>26919.200000000055</v>
      </c>
      <c r="AS1365" s="318">
        <f t="shared" si="904"/>
        <v>28265</v>
      </c>
      <c r="AT1365" s="321">
        <v>0</v>
      </c>
      <c r="AU1365" s="157"/>
      <c r="AV1365" s="136"/>
      <c r="AW1365" s="318">
        <f t="shared" si="905"/>
        <v>9240</v>
      </c>
      <c r="AX1365" s="193"/>
      <c r="AY1365" s="318">
        <f t="shared" si="906"/>
        <v>9240</v>
      </c>
      <c r="AZ1365" s="318">
        <f t="shared" si="907"/>
        <v>9230</v>
      </c>
      <c r="BA1365" s="318">
        <f t="shared" si="908"/>
        <v>10</v>
      </c>
      <c r="BB1365" s="318">
        <f t="shared" si="909"/>
        <v>18.48</v>
      </c>
      <c r="BC1365" s="318">
        <v>0</v>
      </c>
      <c r="BD1365" s="136"/>
      <c r="BE1365" s="138">
        <v>92.4</v>
      </c>
      <c r="BF1365" s="321">
        <f t="shared" si="910"/>
        <v>0.1386</v>
      </c>
      <c r="BG1365" s="197">
        <f t="shared" si="911"/>
        <v>92.261400000000009</v>
      </c>
      <c r="BH1365" s="321">
        <f t="shared" si="912"/>
        <v>92.3</v>
      </c>
      <c r="BI1365" s="322">
        <f t="shared" si="913"/>
        <v>10.000000000000853</v>
      </c>
      <c r="BJ1365" s="322">
        <v>0</v>
      </c>
      <c r="BK1365" s="318">
        <f t="shared" si="914"/>
        <v>10.000000000000853</v>
      </c>
      <c r="BL1365" s="67"/>
      <c r="BM1365" s="68" t="str">
        <f t="shared" si="915"/>
        <v>Unloading no. 1330 Bill No HA/26-27/0445 ,Deduction For Oil Deduction= 26919.2000000001 ,Bardana= 0 ,F.M= 0 Brokerage/Rate Difference  ,Shortage = 0 ,Greenish= 0 ,Moisture= 0</v>
      </c>
      <c r="BN1365" s="69"/>
      <c r="BO1365" s="70" t="str">
        <f t="shared" si="916"/>
        <v xml:space="preserve"> Party Condition 42  ,F.M% 0.15 ,Greenish 4.9 ,Moisture 5.3 ,Shortage in KG= 0  ,Oil% 40.48</v>
      </c>
      <c r="BP1365" s="71">
        <f t="shared" si="917"/>
        <v>7767.0725893824483</v>
      </c>
      <c r="BQ1365" s="55"/>
      <c r="BR1365" s="55"/>
      <c r="BS1365" s="41"/>
      <c r="BT1365" s="41"/>
      <c r="BU1365" s="41"/>
      <c r="BV1365" s="41"/>
      <c r="BW1365" s="85"/>
      <c r="BX1365" s="27">
        <v>40.42</v>
      </c>
      <c r="BY1365" s="27">
        <v>40.200000000000003</v>
      </c>
    </row>
    <row r="1366" spans="1:83" ht="14.1" hidden="1" customHeight="1" x14ac:dyDescent="0.3">
      <c r="A1366" s="128" t="s">
        <v>2827</v>
      </c>
      <c r="B1366" s="146">
        <v>46216</v>
      </c>
      <c r="C1366" s="138">
        <v>1331</v>
      </c>
      <c r="D1366" s="138" t="s">
        <v>2882</v>
      </c>
      <c r="E1366" s="129">
        <v>46221</v>
      </c>
      <c r="F1366" s="128" t="s">
        <v>2497</v>
      </c>
      <c r="G1366" s="128" t="s">
        <v>2498</v>
      </c>
      <c r="H1366" s="281" t="s">
        <v>100</v>
      </c>
      <c r="I1366" s="136"/>
      <c r="J1366" s="138" t="s">
        <v>1146</v>
      </c>
      <c r="K1366" s="136"/>
      <c r="L1366" s="146">
        <v>46216</v>
      </c>
      <c r="M1366" s="136"/>
      <c r="N1366" s="281" t="s">
        <v>2935</v>
      </c>
      <c r="O1366" s="146">
        <v>46221</v>
      </c>
      <c r="P1366" s="138">
        <v>0</v>
      </c>
      <c r="Q1366" s="138">
        <v>140</v>
      </c>
      <c r="R1366" s="138">
        <v>40</v>
      </c>
      <c r="S1366" s="138">
        <v>180</v>
      </c>
      <c r="T1366" s="138">
        <v>180</v>
      </c>
      <c r="U1366" s="136"/>
      <c r="V1366" s="136"/>
      <c r="W1366" s="147">
        <v>90.8</v>
      </c>
      <c r="X1366" s="147">
        <v>90.7</v>
      </c>
      <c r="Y1366" s="147">
        <v>730940</v>
      </c>
      <c r="Z1366" s="147">
        <v>39.93</v>
      </c>
      <c r="AA1366" s="147">
        <v>18273.5</v>
      </c>
      <c r="AB1366" s="147">
        <v>18273.5</v>
      </c>
      <c r="AC1366" s="147">
        <v>767487</v>
      </c>
      <c r="AD1366" s="315">
        <f t="shared" si="922"/>
        <v>766719.51300000004</v>
      </c>
      <c r="AE1366" s="147">
        <v>39.93</v>
      </c>
      <c r="AF1366" s="147">
        <v>42</v>
      </c>
      <c r="AG1366" s="147">
        <v>39.93</v>
      </c>
      <c r="AH1366" s="287">
        <v>2.8E-3</v>
      </c>
      <c r="AI1366" s="395">
        <v>2.92E-2</v>
      </c>
      <c r="AJ1366" s="287">
        <v>0.05</v>
      </c>
      <c r="AK1366" s="318">
        <f t="shared" si="901"/>
        <v>36024.900000000009</v>
      </c>
      <c r="AL1366" s="193">
        <v>0</v>
      </c>
      <c r="AM1366" s="319">
        <v>0</v>
      </c>
      <c r="AN1366" s="319"/>
      <c r="AO1366" s="320">
        <f t="shared" si="902"/>
        <v>0</v>
      </c>
      <c r="AP1366" s="193">
        <v>0</v>
      </c>
      <c r="AQ1366" s="318">
        <v>0</v>
      </c>
      <c r="AR1366" s="318">
        <f t="shared" si="903"/>
        <v>36024.900000000009</v>
      </c>
      <c r="AS1366" s="318">
        <f t="shared" si="904"/>
        <v>37826</v>
      </c>
      <c r="AT1366" s="321">
        <v>0</v>
      </c>
      <c r="AU1366" s="157"/>
      <c r="AV1366" s="136"/>
      <c r="AW1366" s="318">
        <f t="shared" si="905"/>
        <v>9080</v>
      </c>
      <c r="AX1366" s="193"/>
      <c r="AY1366" s="318">
        <f t="shared" si="906"/>
        <v>9080</v>
      </c>
      <c r="AZ1366" s="318">
        <f t="shared" si="907"/>
        <v>9070</v>
      </c>
      <c r="BA1366" s="318">
        <f t="shared" si="908"/>
        <v>10</v>
      </c>
      <c r="BB1366" s="318">
        <f t="shared" si="909"/>
        <v>18.16</v>
      </c>
      <c r="BC1366" s="318">
        <v>0</v>
      </c>
      <c r="BD1366" s="136"/>
      <c r="BE1366" s="138">
        <v>90.8</v>
      </c>
      <c r="BF1366" s="321">
        <f t="shared" si="910"/>
        <v>0.13619999999999999</v>
      </c>
      <c r="BG1366" s="197">
        <f t="shared" si="911"/>
        <v>90.663799999999995</v>
      </c>
      <c r="BH1366" s="321">
        <f t="shared" si="912"/>
        <v>90.7</v>
      </c>
      <c r="BI1366" s="322">
        <f t="shared" si="913"/>
        <v>9.9999999999994316</v>
      </c>
      <c r="BJ1366" s="322">
        <v>0</v>
      </c>
      <c r="BK1366" s="318">
        <f t="shared" si="914"/>
        <v>9.9999999999994316</v>
      </c>
      <c r="BL1366" s="67"/>
      <c r="BM1366" s="68" t="str">
        <f t="shared" si="915"/>
        <v>Unloading no. 1331 Bill No HA/26-27/0444 ,Deduction For Oil Deduction= 36024.9 ,Bardana= 0 ,F.M= 0 Brokerage/Rate Difference  ,Shortage = 0 ,Greenish= 0 ,Moisture= 0</v>
      </c>
      <c r="BN1366" s="69"/>
      <c r="BO1366" s="70" t="str">
        <f t="shared" si="916"/>
        <v xml:space="preserve"> Party Condition 42  ,F.M% 0.28 ,Greenish 2.92 ,Moisture 5 ,Shortage in KG= 0  ,Oil% 39.93</v>
      </c>
      <c r="BP1366" s="71">
        <f t="shared" si="917"/>
        <v>7661.6879823594263</v>
      </c>
      <c r="BQ1366" s="55"/>
      <c r="BR1366" s="55"/>
      <c r="BS1366" s="41"/>
      <c r="BT1366" s="41"/>
      <c r="BU1366" s="41"/>
      <c r="BV1366" s="41"/>
      <c r="BW1366" s="85"/>
      <c r="BX1366" s="27">
        <v>39.840000000000003</v>
      </c>
      <c r="BY1366" s="27">
        <v>39.54</v>
      </c>
    </row>
    <row r="1367" spans="1:83" ht="14.1" hidden="1" customHeight="1" x14ac:dyDescent="0.3">
      <c r="A1367" s="174" t="s">
        <v>2827</v>
      </c>
      <c r="B1367" s="376">
        <v>46216</v>
      </c>
      <c r="C1367" s="275">
        <v>1332</v>
      </c>
      <c r="D1367" s="275" t="s">
        <v>2883</v>
      </c>
      <c r="E1367" s="231">
        <v>46221</v>
      </c>
      <c r="F1367" s="174" t="s">
        <v>2497</v>
      </c>
      <c r="G1367" s="174" t="s">
        <v>2498</v>
      </c>
      <c r="H1367" s="284" t="s">
        <v>100</v>
      </c>
      <c r="I1367" s="176"/>
      <c r="J1367" s="275" t="s">
        <v>1146</v>
      </c>
      <c r="K1367" s="176"/>
      <c r="L1367" s="376">
        <v>46216</v>
      </c>
      <c r="M1367" s="176"/>
      <c r="N1367" s="284" t="s">
        <v>2936</v>
      </c>
      <c r="O1367" s="376">
        <v>46221</v>
      </c>
      <c r="P1367" s="275">
        <v>0</v>
      </c>
      <c r="Q1367" s="275">
        <v>150</v>
      </c>
      <c r="R1367" s="275">
        <v>30</v>
      </c>
      <c r="S1367" s="275">
        <v>180</v>
      </c>
      <c r="T1367" s="275">
        <v>180</v>
      </c>
      <c r="U1367" s="176"/>
      <c r="V1367" s="176"/>
      <c r="W1367" s="178">
        <v>90.1</v>
      </c>
      <c r="X1367" s="178">
        <v>90.1</v>
      </c>
      <c r="Y1367" s="178">
        <v>725305</v>
      </c>
      <c r="Z1367" s="178">
        <v>40.049999999999997</v>
      </c>
      <c r="AA1367" s="178">
        <v>18132.63</v>
      </c>
      <c r="AB1367" s="178">
        <v>18132.63</v>
      </c>
      <c r="AC1367" s="178">
        <v>761570.25</v>
      </c>
      <c r="AD1367" s="339">
        <f t="shared" si="922"/>
        <v>760808.67975000001</v>
      </c>
      <c r="AE1367" s="178">
        <v>40.049999999999997</v>
      </c>
      <c r="AF1367" s="178">
        <v>42</v>
      </c>
      <c r="AG1367" s="178">
        <v>40.049999999999997</v>
      </c>
      <c r="AH1367" s="308">
        <v>2.5000000000000001E-3</v>
      </c>
      <c r="AI1367" s="396">
        <v>4.9399999999999999E-2</v>
      </c>
      <c r="AJ1367" s="308">
        <v>0.05</v>
      </c>
      <c r="AK1367" s="342">
        <f t="shared" si="901"/>
        <v>33674.875000000051</v>
      </c>
      <c r="AL1367" s="335">
        <v>0</v>
      </c>
      <c r="AM1367" s="343">
        <v>0</v>
      </c>
      <c r="AN1367" s="343"/>
      <c r="AO1367" s="344">
        <f t="shared" si="902"/>
        <v>0</v>
      </c>
      <c r="AP1367" s="335">
        <v>0</v>
      </c>
      <c r="AQ1367" s="342">
        <v>0</v>
      </c>
      <c r="AR1367" s="342">
        <f t="shared" si="903"/>
        <v>33674.875000000051</v>
      </c>
      <c r="AS1367" s="342">
        <f t="shared" si="904"/>
        <v>35359</v>
      </c>
      <c r="AT1367" s="345">
        <v>0</v>
      </c>
      <c r="AU1367" s="208"/>
      <c r="AV1367" s="176"/>
      <c r="AW1367" s="342">
        <f t="shared" si="905"/>
        <v>9010</v>
      </c>
      <c r="AX1367" s="335"/>
      <c r="AY1367" s="342">
        <f t="shared" si="906"/>
        <v>9010</v>
      </c>
      <c r="AZ1367" s="342">
        <f t="shared" si="907"/>
        <v>9010</v>
      </c>
      <c r="BA1367" s="342">
        <f t="shared" si="908"/>
        <v>0</v>
      </c>
      <c r="BB1367" s="342">
        <f t="shared" si="909"/>
        <v>18.02</v>
      </c>
      <c r="BC1367" s="342">
        <v>0</v>
      </c>
      <c r="BD1367" s="176"/>
      <c r="BE1367" s="275">
        <v>90.1</v>
      </c>
      <c r="BF1367" s="345">
        <f t="shared" si="910"/>
        <v>0.13514999999999999</v>
      </c>
      <c r="BG1367" s="210">
        <f t="shared" si="911"/>
        <v>89.964849999999998</v>
      </c>
      <c r="BH1367" s="345">
        <f t="shared" si="912"/>
        <v>90.1</v>
      </c>
      <c r="BI1367" s="346">
        <f t="shared" si="913"/>
        <v>0</v>
      </c>
      <c r="BJ1367" s="346">
        <v>0</v>
      </c>
      <c r="BK1367" s="342">
        <f t="shared" si="914"/>
        <v>0</v>
      </c>
      <c r="BL1367" s="73"/>
      <c r="BM1367" s="74" t="str">
        <f t="shared" si="915"/>
        <v>Unloading no. 1332 Bill No HA/26-27/0446 ,Deduction For Oil Deduction= 33674.8750000001 ,Bardana= 0 ,F.M= 0 Brokerage/Rate Difference  ,Shortage = 0 ,Greenish= 0 ,Moisture= 0</v>
      </c>
      <c r="BN1367" s="72"/>
      <c r="BO1367" s="77" t="str">
        <f t="shared" si="916"/>
        <v xml:space="preserve"> Party Condition 42  ,F.M% 0.25 ,Greenish 4.94 ,Moisture 5 ,Shortage in KG= 0  ,Oil% 40.05</v>
      </c>
      <c r="BP1367" s="78">
        <f t="shared" si="917"/>
        <v>7676.2500000000009</v>
      </c>
      <c r="BQ1367" s="60"/>
      <c r="BR1367" s="60"/>
      <c r="BS1367" s="52"/>
      <c r="BT1367" s="52"/>
      <c r="BU1367" s="52"/>
      <c r="BV1367" s="52"/>
      <c r="BW1367" s="86"/>
      <c r="BX1367" s="30">
        <v>40.19</v>
      </c>
      <c r="BY1367" s="30">
        <v>40.020000000000003</v>
      </c>
    </row>
    <row r="1368" spans="1:83" ht="14.1" hidden="1" customHeight="1" x14ac:dyDescent="0.3">
      <c r="A1368" s="128" t="s">
        <v>2938</v>
      </c>
      <c r="B1368" s="146">
        <v>46217</v>
      </c>
      <c r="C1368" s="138">
        <v>1333</v>
      </c>
      <c r="D1368" s="138" t="s">
        <v>2941</v>
      </c>
      <c r="E1368" s="129">
        <v>46222</v>
      </c>
      <c r="F1368" s="128" t="s">
        <v>1382</v>
      </c>
      <c r="G1368" s="128" t="s">
        <v>1383</v>
      </c>
      <c r="H1368" s="128" t="s">
        <v>1384</v>
      </c>
      <c r="I1368" s="136"/>
      <c r="J1368" s="138" t="s">
        <v>2499</v>
      </c>
      <c r="K1368" s="136"/>
      <c r="L1368" s="146">
        <v>46217</v>
      </c>
      <c r="M1368" s="136"/>
      <c r="N1368" s="281">
        <v>34</v>
      </c>
      <c r="O1368" s="146">
        <v>46219</v>
      </c>
      <c r="P1368" s="138">
        <v>0</v>
      </c>
      <c r="Q1368" s="138">
        <v>0</v>
      </c>
      <c r="R1368" s="138">
        <v>480</v>
      </c>
      <c r="S1368" s="138">
        <v>480</v>
      </c>
      <c r="T1368" s="138">
        <v>480</v>
      </c>
      <c r="U1368" s="136"/>
      <c r="V1368" s="136"/>
      <c r="W1368" s="147">
        <v>292.85000000000002</v>
      </c>
      <c r="X1368" s="147">
        <v>292.3</v>
      </c>
      <c r="Y1368" s="147">
        <v>2379406.25</v>
      </c>
      <c r="Z1368" s="169"/>
      <c r="AA1368" s="147">
        <v>59485.16</v>
      </c>
      <c r="AB1368" s="147">
        <v>59485.16</v>
      </c>
      <c r="AC1368" s="147">
        <v>2498376.56</v>
      </c>
      <c r="AD1368" s="315">
        <f t="shared" si="922"/>
        <v>2495878.1834400003</v>
      </c>
      <c r="AE1368" s="147">
        <v>40.25</v>
      </c>
      <c r="AF1368" s="147">
        <v>42</v>
      </c>
      <c r="AG1368" s="147">
        <v>40.08</v>
      </c>
      <c r="AH1368" s="418">
        <v>2.3E-3</v>
      </c>
      <c r="AI1368" s="287">
        <v>3.1800000000000002E-2</v>
      </c>
      <c r="AJ1368" s="287">
        <v>4.7E-2</v>
      </c>
      <c r="AK1368" s="318">
        <f>+IF(AF1368=42,IF(MIN(AE1368,AG1368)&lt;AF1368,Y1368*((AF1368-MIN(AE1368,AG1368))/AF1368)),IF(MIN(AE1368,AG1368)&lt;AF1368,Y1368*((AF1368-MIN(AE1368,AG1368))/AF1368),0))-43.65</f>
        <v>108729.20714285725</v>
      </c>
      <c r="AL1368" s="193">
        <f>480*15</f>
        <v>7200</v>
      </c>
      <c r="AM1368" s="319">
        <f>Y1368*AH1368</f>
        <v>5472.6343749999996</v>
      </c>
      <c r="AN1368" s="319"/>
      <c r="AO1368" s="320">
        <f t="shared" ref="AO1368:AO1380" si="927">AT1368*Y1368/AW1368</f>
        <v>4468.7499999999991</v>
      </c>
      <c r="AP1368" s="193">
        <v>0</v>
      </c>
      <c r="AQ1368" s="318">
        <v>0</v>
      </c>
      <c r="AR1368" s="318">
        <f t="shared" ref="AR1368:AR1380" si="928">SUM(AK1368:AQ1368)</f>
        <v>125870.59151785725</v>
      </c>
      <c r="AS1368" s="318">
        <f t="shared" ref="AS1368:AS1380" si="929">ROUND(AR1368*1.05,0)</f>
        <v>132164</v>
      </c>
      <c r="AT1368" s="321">
        <v>55</v>
      </c>
      <c r="AU1368" s="157"/>
      <c r="AV1368" s="136"/>
      <c r="AW1368" s="318">
        <f t="shared" ref="AW1368:AW1380" si="930">W1368*100</f>
        <v>29285.000000000004</v>
      </c>
      <c r="AX1368" s="193"/>
      <c r="AY1368" s="318">
        <f t="shared" ref="AY1368:AY1380" si="931">+AW1368+AX1368</f>
        <v>29285.000000000004</v>
      </c>
      <c r="AZ1368" s="318">
        <f t="shared" ref="AZ1368:AZ1380" si="932">X1368*100</f>
        <v>29230</v>
      </c>
      <c r="BA1368" s="318">
        <f t="shared" ref="BA1368:BA1380" si="933">AY1368-AZ1368</f>
        <v>55.000000000003638</v>
      </c>
      <c r="BB1368" s="318">
        <f t="shared" ref="BB1368:BB1380" si="934">AW1368*2/1000</f>
        <v>58.570000000000007</v>
      </c>
      <c r="BC1368" s="318">
        <v>0</v>
      </c>
      <c r="BD1368" s="136"/>
      <c r="BE1368" s="138">
        <v>292.85000000000002</v>
      </c>
      <c r="BF1368" s="321">
        <f t="shared" ref="BF1368:BF1380" si="935">+BE1368*0.15/100</f>
        <v>0.43927500000000003</v>
      </c>
      <c r="BG1368" s="197">
        <f t="shared" ref="BG1368:BG1380" si="936">BE1368-BF1368</f>
        <v>292.41072500000001</v>
      </c>
      <c r="BH1368" s="321">
        <f t="shared" ref="BH1368:BH1380" si="937">X1368</f>
        <v>292.3</v>
      </c>
      <c r="BI1368" s="322">
        <f t="shared" ref="BI1368:BI1380" si="938">(BE1368-BH1368)*100</f>
        <v>55.000000000001137</v>
      </c>
      <c r="BJ1368" s="322">
        <v>0</v>
      </c>
      <c r="BK1368" s="318">
        <f t="shared" ref="BK1368:BK1380" si="939">BI1368</f>
        <v>55.000000000001137</v>
      </c>
      <c r="BL1368" s="193"/>
      <c r="BM1368" s="449" t="str">
        <f t="shared" ref="BM1368:BM1380" si="940">+$C$1&amp;" "&amp;C1368 &amp;" "&amp;$N$1&amp;" "&amp;N1368&amp;" "&amp;$BM$1&amp;" "&amp;$AK$1&amp;" "&amp;AK1368&amp;" "&amp;$AL$1&amp;" "&amp;AL1368&amp;" "&amp;$AM$1&amp;" "&amp;AM1368&amp;" "&amp;$AN$1&amp;" "&amp;AN1368&amp;" "&amp;$AO$1&amp;" "&amp;AO1368&amp;" "&amp;$AP$1&amp;" "&amp;AP1368&amp;" "&amp;$AQ$1&amp;" "&amp;AQ1368</f>
        <v>Unloading no. 1333 Bill No 34 ,Deduction For Oil Deduction= 108729.207142857 ,Bardana= 7200 ,F.M= 5472.634375 Brokerage/Rate Difference  ,Shortage = 4468.75 ,Greenish= 0 ,Moisture= 0</v>
      </c>
      <c r="BN1368" s="193"/>
      <c r="BO1368" s="449" t="str">
        <f t="shared" ref="BO1368:BO1380" si="941">+" "&amp;$AF$1&amp;" "&amp;AF1368&amp;" "&amp;" "&amp;$AH$1&amp;" "&amp;AH1368*100&amp;" "&amp;$AI$1&amp;" "&amp;AI1368*100&amp;" "&amp;$AJ$1&amp;" "&amp;AJ1368*100&amp;" ,"&amp;$AT$1&amp;" "&amp;AT1368&amp;" "&amp;IF(AE1368&gt;AG1368," ,Oil%"&amp;" "&amp;AG1368," ,Oil%"&amp;" "&amp;AE1368)</f>
        <v xml:space="preserve"> Party Condition 42  ,F.M% 0.23 ,Greenish 3.18 ,Moisture 4.7 ,Shortage in KG= 55  ,Oil% 40.08</v>
      </c>
      <c r="BP1368" s="318">
        <f t="shared" ref="BP1368:BP1380" si="942">(Y1368-AR1368)/X1368</f>
        <v>7709.6669807805083</v>
      </c>
      <c r="BQ1368" s="157"/>
      <c r="BR1368" s="157"/>
      <c r="BS1368" s="136"/>
      <c r="BT1368" s="136"/>
      <c r="BU1368" s="136"/>
      <c r="BV1368" s="136"/>
      <c r="BW1368" s="431"/>
      <c r="BX1368" s="27">
        <v>40.25</v>
      </c>
      <c r="BY1368" s="27">
        <v>40.08</v>
      </c>
      <c r="CA1368" s="56">
        <v>132164.26999999999</v>
      </c>
      <c r="CC1368" s="57">
        <f t="shared" ref="CC1368" si="943">AS1368-CA1368</f>
        <v>-0.26999999998952262</v>
      </c>
      <c r="CE1368" s="88">
        <f t="shared" ref="CE1368" si="944">CC1368/105%</f>
        <v>-0.25714285713287865</v>
      </c>
    </row>
    <row r="1369" spans="1:83" ht="14.1" hidden="1" customHeight="1" x14ac:dyDescent="0.3">
      <c r="A1369" s="128" t="s">
        <v>2823</v>
      </c>
      <c r="B1369" s="146">
        <v>46214</v>
      </c>
      <c r="C1369" s="138">
        <v>1334</v>
      </c>
      <c r="D1369" s="138" t="s">
        <v>2942</v>
      </c>
      <c r="E1369" s="129">
        <v>46222</v>
      </c>
      <c r="F1369" s="128" t="s">
        <v>1144</v>
      </c>
      <c r="G1369" s="128" t="s">
        <v>1145</v>
      </c>
      <c r="H1369" s="128" t="s">
        <v>100</v>
      </c>
      <c r="I1369" s="136"/>
      <c r="J1369" s="138" t="s">
        <v>1146</v>
      </c>
      <c r="K1369" s="136"/>
      <c r="L1369" s="146">
        <v>46214</v>
      </c>
      <c r="M1369" s="136"/>
      <c r="N1369" s="128" t="s">
        <v>2954</v>
      </c>
      <c r="O1369" s="146">
        <v>46220</v>
      </c>
      <c r="P1369" s="138">
        <v>0</v>
      </c>
      <c r="Q1369" s="138">
        <v>460</v>
      </c>
      <c r="R1369" s="138">
        <v>129</v>
      </c>
      <c r="S1369" s="138">
        <v>589</v>
      </c>
      <c r="T1369" s="138">
        <v>589</v>
      </c>
      <c r="U1369" s="136"/>
      <c r="V1369" s="136"/>
      <c r="W1369" s="147">
        <v>297.89999999999998</v>
      </c>
      <c r="X1369" s="147">
        <v>297.3</v>
      </c>
      <c r="Y1369" s="147">
        <v>2383200</v>
      </c>
      <c r="Z1369" s="147">
        <v>40.25</v>
      </c>
      <c r="AA1369" s="147">
        <v>59580</v>
      </c>
      <c r="AB1369" s="147">
        <v>59580</v>
      </c>
      <c r="AC1369" s="147">
        <v>2502360</v>
      </c>
      <c r="AD1369" s="315">
        <f t="shared" si="922"/>
        <v>2499857.64</v>
      </c>
      <c r="AE1369" s="147">
        <v>40.25</v>
      </c>
      <c r="AF1369" s="147">
        <v>42</v>
      </c>
      <c r="AG1369" s="147">
        <v>40.25</v>
      </c>
      <c r="AH1369" s="287">
        <v>3.8E-3</v>
      </c>
      <c r="AI1369" s="287">
        <v>3.2500000000000001E-2</v>
      </c>
      <c r="AJ1369" s="287">
        <v>5.8000000000000003E-2</v>
      </c>
      <c r="AK1369" s="318">
        <f t="shared" ref="AK1369:AK1380" si="945">+IF(AF1369=42,IF(MIN(AE1369,AG1369)&lt;AF1369,Y1369*((AF1369-MIN(AE1369,AG1369))/AF1369)),IF(MIN(AE1369,AG1369)&lt;AF1369,Y1369*((AF1369-MIN(AE1369,AG1369))/AF1369),0))</f>
        <v>99300</v>
      </c>
      <c r="AL1369" s="193">
        <v>0</v>
      </c>
      <c r="AM1369" s="319">
        <v>0</v>
      </c>
      <c r="AN1369" s="319"/>
      <c r="AO1369" s="320">
        <f t="shared" si="927"/>
        <v>80.000000000000014</v>
      </c>
      <c r="AP1369" s="193">
        <v>0</v>
      </c>
      <c r="AQ1369" s="318">
        <v>0</v>
      </c>
      <c r="AR1369" s="318">
        <f t="shared" si="928"/>
        <v>99380</v>
      </c>
      <c r="AS1369" s="318">
        <f t="shared" si="929"/>
        <v>104349</v>
      </c>
      <c r="AT1369" s="321">
        <v>1</v>
      </c>
      <c r="AU1369" s="157"/>
      <c r="AV1369" s="136"/>
      <c r="AW1369" s="318">
        <f t="shared" si="930"/>
        <v>29789.999999999996</v>
      </c>
      <c r="AX1369" s="193"/>
      <c r="AY1369" s="318">
        <f t="shared" si="931"/>
        <v>29789.999999999996</v>
      </c>
      <c r="AZ1369" s="318">
        <f t="shared" si="932"/>
        <v>29730</v>
      </c>
      <c r="BA1369" s="318">
        <f t="shared" si="933"/>
        <v>59.999999999996362</v>
      </c>
      <c r="BB1369" s="318">
        <f t="shared" si="934"/>
        <v>59.579999999999991</v>
      </c>
      <c r="BC1369" s="318">
        <v>0</v>
      </c>
      <c r="BD1369" s="136"/>
      <c r="BE1369" s="138">
        <v>297.89999999999998</v>
      </c>
      <c r="BF1369" s="321">
        <f t="shared" si="935"/>
        <v>0.44684999999999997</v>
      </c>
      <c r="BG1369" s="197">
        <f t="shared" si="936"/>
        <v>297.45314999999999</v>
      </c>
      <c r="BH1369" s="321">
        <f t="shared" si="937"/>
        <v>297.3</v>
      </c>
      <c r="BI1369" s="322">
        <f t="shared" si="938"/>
        <v>59.999999999996589</v>
      </c>
      <c r="BJ1369" s="322">
        <v>0</v>
      </c>
      <c r="BK1369" s="318">
        <f t="shared" si="939"/>
        <v>59.999999999996589</v>
      </c>
      <c r="BL1369" s="193"/>
      <c r="BM1369" s="449" t="str">
        <f t="shared" si="940"/>
        <v>Unloading no. 1334 Bill No 2026-27/456 ,Deduction For Oil Deduction= 99300 ,Bardana= 0 ,F.M= 0 Brokerage/Rate Difference  ,Shortage = 80 ,Greenish= 0 ,Moisture= 0</v>
      </c>
      <c r="BN1369" s="193"/>
      <c r="BO1369" s="449" t="str">
        <f t="shared" si="941"/>
        <v xml:space="preserve"> Party Condition 42  ,F.M% 0.38 ,Greenish 3.25 ,Moisture 5.8 ,Shortage in KG= 1  ,Oil% 40.25</v>
      </c>
      <c r="BP1369" s="318">
        <f t="shared" si="942"/>
        <v>7681.8701648166834</v>
      </c>
      <c r="BQ1369" s="157"/>
      <c r="BR1369" s="157"/>
      <c r="BS1369" s="136"/>
      <c r="BT1369" s="136"/>
      <c r="BU1369" s="136"/>
      <c r="BV1369" s="136"/>
      <c r="BW1369" s="431"/>
      <c r="BX1369" s="27">
        <v>40.020000000000003</v>
      </c>
      <c r="BY1369" s="27">
        <v>39.92</v>
      </c>
    </row>
    <row r="1370" spans="1:83" ht="14.1" hidden="1" customHeight="1" x14ac:dyDescent="0.3">
      <c r="A1370" s="128" t="s">
        <v>2823</v>
      </c>
      <c r="B1370" s="146">
        <v>46214</v>
      </c>
      <c r="C1370" s="138">
        <v>1335</v>
      </c>
      <c r="D1370" s="138" t="s">
        <v>2943</v>
      </c>
      <c r="E1370" s="129">
        <v>46222</v>
      </c>
      <c r="F1370" s="128" t="s">
        <v>1144</v>
      </c>
      <c r="G1370" s="128" t="s">
        <v>1145</v>
      </c>
      <c r="H1370" s="128" t="s">
        <v>100</v>
      </c>
      <c r="I1370" s="136"/>
      <c r="J1370" s="138" t="s">
        <v>1146</v>
      </c>
      <c r="K1370" s="136"/>
      <c r="L1370" s="146">
        <v>46214</v>
      </c>
      <c r="M1370" s="136"/>
      <c r="N1370" s="128" t="s">
        <v>2955</v>
      </c>
      <c r="O1370" s="146">
        <v>46220</v>
      </c>
      <c r="P1370" s="138">
        <v>0</v>
      </c>
      <c r="Q1370" s="138">
        <v>595</v>
      </c>
      <c r="R1370" s="138">
        <v>100</v>
      </c>
      <c r="S1370" s="138">
        <v>695</v>
      </c>
      <c r="T1370" s="138">
        <v>695</v>
      </c>
      <c r="U1370" s="136"/>
      <c r="V1370" s="136"/>
      <c r="W1370" s="147">
        <v>351.2</v>
      </c>
      <c r="X1370" s="147">
        <v>349.9</v>
      </c>
      <c r="Y1370" s="147">
        <v>2809600</v>
      </c>
      <c r="Z1370" s="147">
        <v>38.9</v>
      </c>
      <c r="AA1370" s="147">
        <v>70240</v>
      </c>
      <c r="AB1370" s="147">
        <v>70240</v>
      </c>
      <c r="AC1370" s="147">
        <v>2950080</v>
      </c>
      <c r="AD1370" s="315">
        <f t="shared" si="922"/>
        <v>2947129.92</v>
      </c>
      <c r="AE1370" s="147">
        <v>38.9</v>
      </c>
      <c r="AF1370" s="147">
        <v>42</v>
      </c>
      <c r="AG1370" s="147">
        <v>38.9</v>
      </c>
      <c r="AH1370" s="287">
        <v>2.5000000000000001E-3</v>
      </c>
      <c r="AI1370" s="287">
        <v>0.03</v>
      </c>
      <c r="AJ1370" s="287">
        <v>4.9000000000000002E-2</v>
      </c>
      <c r="AK1370" s="318">
        <f t="shared" si="945"/>
        <v>207375.23809523816</v>
      </c>
      <c r="AL1370" s="193">
        <v>0</v>
      </c>
      <c r="AM1370" s="319">
        <v>0</v>
      </c>
      <c r="AN1370" s="319"/>
      <c r="AO1370" s="320">
        <f t="shared" si="927"/>
        <v>0</v>
      </c>
      <c r="AP1370" s="193">
        <v>0</v>
      </c>
      <c r="AQ1370" s="318">
        <v>0</v>
      </c>
      <c r="AR1370" s="318">
        <f t="shared" si="928"/>
        <v>207375.23809523816</v>
      </c>
      <c r="AS1370" s="318">
        <f t="shared" si="929"/>
        <v>217744</v>
      </c>
      <c r="AT1370" s="321">
        <v>0</v>
      </c>
      <c r="AU1370" s="157"/>
      <c r="AV1370" s="136"/>
      <c r="AW1370" s="318">
        <f t="shared" si="930"/>
        <v>35120</v>
      </c>
      <c r="AX1370" s="193"/>
      <c r="AY1370" s="318">
        <f t="shared" si="931"/>
        <v>35120</v>
      </c>
      <c r="AZ1370" s="318">
        <f t="shared" si="932"/>
        <v>34990</v>
      </c>
      <c r="BA1370" s="318">
        <f t="shared" si="933"/>
        <v>130</v>
      </c>
      <c r="BB1370" s="318">
        <f t="shared" si="934"/>
        <v>70.239999999999995</v>
      </c>
      <c r="BC1370" s="318">
        <v>0</v>
      </c>
      <c r="BD1370" s="136"/>
      <c r="BE1370" s="138">
        <v>351.2</v>
      </c>
      <c r="BF1370" s="321">
        <f t="shared" si="935"/>
        <v>0.52680000000000005</v>
      </c>
      <c r="BG1370" s="197">
        <f t="shared" si="936"/>
        <v>350.67320000000001</v>
      </c>
      <c r="BH1370" s="321">
        <f t="shared" si="937"/>
        <v>349.9</v>
      </c>
      <c r="BI1370" s="322">
        <f t="shared" si="938"/>
        <v>130.00000000000114</v>
      </c>
      <c r="BJ1370" s="322">
        <v>0</v>
      </c>
      <c r="BK1370" s="318">
        <f t="shared" si="939"/>
        <v>130.00000000000114</v>
      </c>
      <c r="BL1370" s="193"/>
      <c r="BM1370" s="449" t="str">
        <f t="shared" si="940"/>
        <v>Unloading no. 1335 Bill No 2026-27/451 ,Deduction For Oil Deduction= 207375.238095238 ,Bardana= 0 ,F.M= 0 Brokerage/Rate Difference  ,Shortage = 0 ,Greenish= 0 ,Moisture= 0</v>
      </c>
      <c r="BN1370" s="193"/>
      <c r="BO1370" s="449" t="str">
        <f t="shared" si="941"/>
        <v xml:space="preserve"> Party Condition 42  ,F.M% 0.25 ,Greenish 3 ,Moisture 4.9 ,Shortage in KG= 0  ,Oil% 38.9</v>
      </c>
      <c r="BP1370" s="318">
        <f t="shared" si="942"/>
        <v>7437.0527633745696</v>
      </c>
      <c r="BQ1370" s="157"/>
      <c r="BR1370" s="157"/>
      <c r="BS1370" s="136"/>
      <c r="BT1370" s="136"/>
      <c r="BU1370" s="136"/>
      <c r="BV1370" s="136"/>
      <c r="BW1370" s="431"/>
      <c r="BX1370" s="27">
        <v>37.770000000000003</v>
      </c>
      <c r="BY1370" s="27">
        <v>37.619999999999997</v>
      </c>
    </row>
    <row r="1371" spans="1:83" ht="14.1" hidden="1" customHeight="1" x14ac:dyDescent="0.3">
      <c r="A1371" s="128" t="s">
        <v>2823</v>
      </c>
      <c r="B1371" s="146">
        <v>46214</v>
      </c>
      <c r="C1371" s="138">
        <v>1336</v>
      </c>
      <c r="D1371" s="138" t="s">
        <v>2944</v>
      </c>
      <c r="E1371" s="129">
        <v>46222</v>
      </c>
      <c r="F1371" s="128" t="s">
        <v>1144</v>
      </c>
      <c r="G1371" s="128" t="s">
        <v>1145</v>
      </c>
      <c r="H1371" s="128" t="s">
        <v>100</v>
      </c>
      <c r="I1371" s="136"/>
      <c r="J1371" s="138" t="s">
        <v>1146</v>
      </c>
      <c r="K1371" s="136"/>
      <c r="L1371" s="146">
        <v>46214</v>
      </c>
      <c r="M1371" s="136"/>
      <c r="N1371" s="128" t="s">
        <v>2956</v>
      </c>
      <c r="O1371" s="146">
        <v>46219</v>
      </c>
      <c r="P1371" s="138">
        <v>0</v>
      </c>
      <c r="Q1371" s="138">
        <v>450</v>
      </c>
      <c r="R1371" s="138">
        <v>140</v>
      </c>
      <c r="S1371" s="138">
        <v>590</v>
      </c>
      <c r="T1371" s="138">
        <v>590</v>
      </c>
      <c r="U1371" s="136"/>
      <c r="V1371" s="136"/>
      <c r="W1371" s="147">
        <v>296.8</v>
      </c>
      <c r="X1371" s="147">
        <v>296.5</v>
      </c>
      <c r="Y1371" s="147">
        <v>2374400</v>
      </c>
      <c r="Z1371" s="147">
        <v>40.11</v>
      </c>
      <c r="AA1371" s="147">
        <v>59360</v>
      </c>
      <c r="AB1371" s="147">
        <v>59360</v>
      </c>
      <c r="AC1371" s="147">
        <v>2493120</v>
      </c>
      <c r="AD1371" s="315">
        <f t="shared" si="922"/>
        <v>2490626.88</v>
      </c>
      <c r="AE1371" s="147">
        <v>40.11</v>
      </c>
      <c r="AF1371" s="147">
        <v>42</v>
      </c>
      <c r="AG1371" s="147">
        <v>40.11</v>
      </c>
      <c r="AH1371" s="287">
        <v>4.4999999999999997E-3</v>
      </c>
      <c r="AI1371" s="287">
        <v>3.2199999999999999E-2</v>
      </c>
      <c r="AJ1371" s="287">
        <v>4.4999999999999998E-2</v>
      </c>
      <c r="AK1371" s="318">
        <f t="shared" si="945"/>
        <v>106848.00000000003</v>
      </c>
      <c r="AL1371" s="193">
        <v>0</v>
      </c>
      <c r="AM1371" s="319">
        <v>0</v>
      </c>
      <c r="AN1371" s="319"/>
      <c r="AO1371" s="320">
        <f t="shared" si="927"/>
        <v>0</v>
      </c>
      <c r="AP1371" s="193">
        <v>0</v>
      </c>
      <c r="AQ1371" s="318">
        <v>0</v>
      </c>
      <c r="AR1371" s="318">
        <f t="shared" si="928"/>
        <v>106848.00000000003</v>
      </c>
      <c r="AS1371" s="318">
        <f t="shared" si="929"/>
        <v>112190</v>
      </c>
      <c r="AT1371" s="321">
        <v>0</v>
      </c>
      <c r="AU1371" s="157"/>
      <c r="AV1371" s="136"/>
      <c r="AW1371" s="318">
        <f t="shared" si="930"/>
        <v>29680</v>
      </c>
      <c r="AX1371" s="193"/>
      <c r="AY1371" s="318">
        <f t="shared" si="931"/>
        <v>29680</v>
      </c>
      <c r="AZ1371" s="318">
        <f t="shared" si="932"/>
        <v>29650</v>
      </c>
      <c r="BA1371" s="318">
        <f t="shared" si="933"/>
        <v>30</v>
      </c>
      <c r="BB1371" s="318">
        <f t="shared" si="934"/>
        <v>59.36</v>
      </c>
      <c r="BC1371" s="318">
        <v>0</v>
      </c>
      <c r="BD1371" s="136"/>
      <c r="BE1371" s="138">
        <v>296.8</v>
      </c>
      <c r="BF1371" s="321">
        <f t="shared" si="935"/>
        <v>0.44520000000000004</v>
      </c>
      <c r="BG1371" s="197">
        <f t="shared" si="936"/>
        <v>296.35480000000001</v>
      </c>
      <c r="BH1371" s="321">
        <f t="shared" si="937"/>
        <v>296.5</v>
      </c>
      <c r="BI1371" s="322">
        <f t="shared" si="938"/>
        <v>30.000000000001137</v>
      </c>
      <c r="BJ1371" s="322">
        <v>0</v>
      </c>
      <c r="BK1371" s="318">
        <f t="shared" si="939"/>
        <v>30.000000000001137</v>
      </c>
      <c r="BL1371" s="193"/>
      <c r="BM1371" s="449" t="str">
        <f t="shared" si="940"/>
        <v>Unloading no. 1336 Bill No 2026-27/458 ,Deduction For Oil Deduction= 106848 ,Bardana= 0 ,F.M= 0 Brokerage/Rate Difference  ,Shortage = 0 ,Greenish= 0 ,Moisture= 0</v>
      </c>
      <c r="BN1371" s="193"/>
      <c r="BO1371" s="449" t="str">
        <f t="shared" si="941"/>
        <v xml:space="preserve"> Party Condition 42  ,F.M% 0.45 ,Greenish 3.22 ,Moisture 4.5 ,Shortage in KG= 0  ,Oil% 40.11</v>
      </c>
      <c r="BP1371" s="318">
        <f t="shared" si="942"/>
        <v>7647.7301854974703</v>
      </c>
      <c r="BQ1371" s="157"/>
      <c r="BR1371" s="157"/>
      <c r="BS1371" s="136"/>
      <c r="BT1371" s="136"/>
      <c r="BU1371" s="136"/>
      <c r="BV1371" s="136"/>
      <c r="BW1371" s="431"/>
      <c r="BX1371" s="27">
        <v>40.31</v>
      </c>
      <c r="BY1371" s="27">
        <v>40.049999999999997</v>
      </c>
    </row>
    <row r="1372" spans="1:83" ht="14.1" hidden="1" customHeight="1" x14ac:dyDescent="0.3">
      <c r="A1372" s="128" t="s">
        <v>2823</v>
      </c>
      <c r="B1372" s="146">
        <v>46214</v>
      </c>
      <c r="C1372" s="138">
        <v>1337</v>
      </c>
      <c r="D1372" s="138" t="s">
        <v>2945</v>
      </c>
      <c r="E1372" s="129">
        <v>46223</v>
      </c>
      <c r="F1372" s="281" t="s">
        <v>1144</v>
      </c>
      <c r="G1372" s="128" t="s">
        <v>1145</v>
      </c>
      <c r="H1372" s="128" t="s">
        <v>100</v>
      </c>
      <c r="I1372" s="136"/>
      <c r="J1372" s="138" t="s">
        <v>1146</v>
      </c>
      <c r="K1372" s="136"/>
      <c r="L1372" s="146">
        <v>46214</v>
      </c>
      <c r="M1372" s="136"/>
      <c r="N1372" s="128" t="s">
        <v>2957</v>
      </c>
      <c r="O1372" s="146">
        <v>46220</v>
      </c>
      <c r="P1372" s="138">
        <v>0</v>
      </c>
      <c r="Q1372" s="138">
        <v>500</v>
      </c>
      <c r="R1372" s="138">
        <v>95</v>
      </c>
      <c r="S1372" s="138">
        <v>595</v>
      </c>
      <c r="T1372" s="138">
        <v>595</v>
      </c>
      <c r="U1372" s="136"/>
      <c r="V1372" s="136"/>
      <c r="W1372" s="147">
        <v>300.89999999999998</v>
      </c>
      <c r="X1372" s="147">
        <v>300.3</v>
      </c>
      <c r="Y1372" s="147">
        <v>2407200</v>
      </c>
      <c r="Z1372" s="236">
        <v>39.479999999999997</v>
      </c>
      <c r="AA1372" s="147">
        <v>60180</v>
      </c>
      <c r="AB1372" s="147">
        <v>60180</v>
      </c>
      <c r="AC1372" s="147">
        <v>2527560</v>
      </c>
      <c r="AD1372" s="315">
        <f t="shared" si="922"/>
        <v>2525032.44</v>
      </c>
      <c r="AE1372" s="236">
        <v>39.479999999999997</v>
      </c>
      <c r="AF1372" s="147">
        <v>42</v>
      </c>
      <c r="AG1372" s="236">
        <v>39.479999999999997</v>
      </c>
      <c r="AH1372" s="287">
        <v>1.8E-3</v>
      </c>
      <c r="AI1372" s="287">
        <v>0.03</v>
      </c>
      <c r="AJ1372" s="287">
        <v>0.05</v>
      </c>
      <c r="AK1372" s="318">
        <f t="shared" si="945"/>
        <v>144432.00000000017</v>
      </c>
      <c r="AL1372" s="193">
        <v>0</v>
      </c>
      <c r="AM1372" s="319">
        <v>0</v>
      </c>
      <c r="AN1372" s="319"/>
      <c r="AO1372" s="320">
        <f t="shared" si="927"/>
        <v>0</v>
      </c>
      <c r="AP1372" s="193">
        <v>0</v>
      </c>
      <c r="AQ1372" s="318">
        <v>0</v>
      </c>
      <c r="AR1372" s="318">
        <f t="shared" si="928"/>
        <v>144432.00000000017</v>
      </c>
      <c r="AS1372" s="318">
        <f t="shared" si="929"/>
        <v>151654</v>
      </c>
      <c r="AT1372" s="321">
        <v>0</v>
      </c>
      <c r="AU1372" s="157"/>
      <c r="AV1372" s="136"/>
      <c r="AW1372" s="318">
        <f t="shared" si="930"/>
        <v>30089.999999999996</v>
      </c>
      <c r="AX1372" s="193"/>
      <c r="AY1372" s="318">
        <f t="shared" si="931"/>
        <v>30089.999999999996</v>
      </c>
      <c r="AZ1372" s="318">
        <f t="shared" si="932"/>
        <v>30030</v>
      </c>
      <c r="BA1372" s="318">
        <f t="shared" si="933"/>
        <v>59.999999999996362</v>
      </c>
      <c r="BB1372" s="318">
        <f t="shared" si="934"/>
        <v>60.179999999999993</v>
      </c>
      <c r="BC1372" s="318">
        <v>0</v>
      </c>
      <c r="BD1372" s="136"/>
      <c r="BE1372" s="138">
        <v>300.89999999999998</v>
      </c>
      <c r="BF1372" s="321">
        <f t="shared" si="935"/>
        <v>0.45134999999999997</v>
      </c>
      <c r="BG1372" s="197">
        <f t="shared" si="936"/>
        <v>300.44864999999999</v>
      </c>
      <c r="BH1372" s="321">
        <f t="shared" si="937"/>
        <v>300.3</v>
      </c>
      <c r="BI1372" s="322">
        <f t="shared" si="938"/>
        <v>59.999999999996589</v>
      </c>
      <c r="BJ1372" s="322">
        <v>0</v>
      </c>
      <c r="BK1372" s="318">
        <f t="shared" si="939"/>
        <v>59.999999999996589</v>
      </c>
      <c r="BL1372" s="193"/>
      <c r="BM1372" s="449" t="str">
        <f t="shared" si="940"/>
        <v>Unloading no. 1337 Bill No 2026-27/446 ,Deduction For Oil Deduction= 144432 ,Bardana= 0 ,F.M= 0 Brokerage/Rate Difference  ,Shortage = 0 ,Greenish= 0 ,Moisture= 0</v>
      </c>
      <c r="BN1372" s="193"/>
      <c r="BO1372" s="449" t="str">
        <f t="shared" si="941"/>
        <v xml:space="preserve"> Party Condition 42  ,F.M% 0.18 ,Greenish 3 ,Moisture 5 ,Shortage in KG= 0  ,Oil% 39.48</v>
      </c>
      <c r="BP1372" s="318">
        <f t="shared" si="942"/>
        <v>7535.024975024975</v>
      </c>
      <c r="BQ1372" s="157"/>
      <c r="BR1372" s="157"/>
      <c r="BS1372" s="136"/>
      <c r="BT1372" s="136"/>
      <c r="BU1372" s="136"/>
      <c r="BV1372" s="136"/>
      <c r="BW1372" s="431"/>
      <c r="BX1372" s="27">
        <v>37.869999999999997</v>
      </c>
      <c r="BY1372" s="27">
        <v>37.89</v>
      </c>
    </row>
    <row r="1373" spans="1:83" ht="14.1" hidden="1" customHeight="1" x14ac:dyDescent="0.3">
      <c r="A1373" s="128" t="s">
        <v>2823</v>
      </c>
      <c r="B1373" s="146">
        <v>46214</v>
      </c>
      <c r="C1373" s="138">
        <v>1338</v>
      </c>
      <c r="D1373" s="138" t="s">
        <v>2946</v>
      </c>
      <c r="E1373" s="129">
        <v>46223</v>
      </c>
      <c r="F1373" s="281" t="s">
        <v>1144</v>
      </c>
      <c r="G1373" s="128" t="s">
        <v>1145</v>
      </c>
      <c r="H1373" s="128" t="s">
        <v>100</v>
      </c>
      <c r="I1373" s="136"/>
      <c r="J1373" s="138" t="s">
        <v>1146</v>
      </c>
      <c r="K1373" s="136"/>
      <c r="L1373" s="146">
        <v>46214</v>
      </c>
      <c r="M1373" s="136"/>
      <c r="N1373" s="128" t="s">
        <v>2958</v>
      </c>
      <c r="O1373" s="146">
        <v>46220</v>
      </c>
      <c r="P1373" s="138">
        <v>0</v>
      </c>
      <c r="Q1373" s="138">
        <v>437</v>
      </c>
      <c r="R1373" s="138">
        <v>142</v>
      </c>
      <c r="S1373" s="138">
        <v>579</v>
      </c>
      <c r="T1373" s="138">
        <v>579</v>
      </c>
      <c r="U1373" s="136"/>
      <c r="V1373" s="136"/>
      <c r="W1373" s="147">
        <v>293.89999999999998</v>
      </c>
      <c r="X1373" s="147">
        <v>294</v>
      </c>
      <c r="Y1373" s="147">
        <v>2351200</v>
      </c>
      <c r="Z1373" s="236">
        <v>39.69</v>
      </c>
      <c r="AA1373" s="147">
        <v>58780</v>
      </c>
      <c r="AB1373" s="147">
        <v>58780</v>
      </c>
      <c r="AC1373" s="147">
        <v>2468760</v>
      </c>
      <c r="AD1373" s="315">
        <f t="shared" si="922"/>
        <v>2466291.2400000002</v>
      </c>
      <c r="AE1373" s="236">
        <v>39.69</v>
      </c>
      <c r="AF1373" s="147">
        <v>42</v>
      </c>
      <c r="AG1373" s="236">
        <v>39.69</v>
      </c>
      <c r="AH1373" s="287">
        <v>2E-3</v>
      </c>
      <c r="AI1373" s="287">
        <v>3.2199999999999999E-2</v>
      </c>
      <c r="AJ1373" s="287">
        <v>4.4999999999999998E-2</v>
      </c>
      <c r="AK1373" s="318">
        <f t="shared" si="945"/>
        <v>129316.00000000013</v>
      </c>
      <c r="AL1373" s="193">
        <v>0</v>
      </c>
      <c r="AM1373" s="319">
        <v>0</v>
      </c>
      <c r="AN1373" s="319"/>
      <c r="AO1373" s="320">
        <f t="shared" si="927"/>
        <v>0</v>
      </c>
      <c r="AP1373" s="193">
        <v>0</v>
      </c>
      <c r="AQ1373" s="318">
        <v>0</v>
      </c>
      <c r="AR1373" s="318">
        <f t="shared" si="928"/>
        <v>129316.00000000013</v>
      </c>
      <c r="AS1373" s="318">
        <f t="shared" si="929"/>
        <v>135782</v>
      </c>
      <c r="AT1373" s="321">
        <v>0</v>
      </c>
      <c r="AU1373" s="157"/>
      <c r="AV1373" s="136"/>
      <c r="AW1373" s="318">
        <f t="shared" si="930"/>
        <v>29389.999999999996</v>
      </c>
      <c r="AX1373" s="193"/>
      <c r="AY1373" s="318">
        <f t="shared" si="931"/>
        <v>29389.999999999996</v>
      </c>
      <c r="AZ1373" s="318">
        <f t="shared" si="932"/>
        <v>29400</v>
      </c>
      <c r="BA1373" s="318">
        <f t="shared" si="933"/>
        <v>-10.000000000003638</v>
      </c>
      <c r="BB1373" s="318">
        <f t="shared" si="934"/>
        <v>58.779999999999994</v>
      </c>
      <c r="BC1373" s="318">
        <v>0</v>
      </c>
      <c r="BD1373" s="136"/>
      <c r="BE1373" s="138">
        <v>293.89999999999998</v>
      </c>
      <c r="BF1373" s="321">
        <f t="shared" si="935"/>
        <v>0.44084999999999996</v>
      </c>
      <c r="BG1373" s="197">
        <f t="shared" si="936"/>
        <v>293.45914999999997</v>
      </c>
      <c r="BH1373" s="321">
        <f t="shared" si="937"/>
        <v>294</v>
      </c>
      <c r="BI1373" s="322">
        <f t="shared" si="938"/>
        <v>-10.000000000002274</v>
      </c>
      <c r="BJ1373" s="322">
        <v>0</v>
      </c>
      <c r="BK1373" s="318">
        <f t="shared" si="939"/>
        <v>-10.000000000002274</v>
      </c>
      <c r="BL1373" s="193"/>
      <c r="BM1373" s="449" t="str">
        <f t="shared" si="940"/>
        <v>Unloading no. 1338 Bill No 2026-27/443 ,Deduction For Oil Deduction= 129316 ,Bardana= 0 ,F.M= 0 Brokerage/Rate Difference  ,Shortage = 0 ,Greenish= 0 ,Moisture= 0</v>
      </c>
      <c r="BN1373" s="193"/>
      <c r="BO1373" s="449" t="str">
        <f t="shared" si="941"/>
        <v xml:space="preserve"> Party Condition 42  ,F.M% 0.2 ,Greenish 3.22 ,Moisture 4.5 ,Shortage in KG= 0  ,Oil% 39.69</v>
      </c>
      <c r="BP1373" s="318">
        <f t="shared" si="942"/>
        <v>7557.4285714285716</v>
      </c>
      <c r="BQ1373" s="157"/>
      <c r="BR1373" s="157"/>
      <c r="BS1373" s="136"/>
      <c r="BT1373" s="136"/>
      <c r="BU1373" s="136"/>
      <c r="BV1373" s="136"/>
      <c r="BW1373" s="431"/>
      <c r="BX1373" s="27">
        <v>39.659999999999997</v>
      </c>
      <c r="BY1373" s="27">
        <v>39.58</v>
      </c>
    </row>
    <row r="1374" spans="1:83" ht="14.1" hidden="1" customHeight="1" x14ac:dyDescent="0.3">
      <c r="A1374" s="128" t="s">
        <v>2823</v>
      </c>
      <c r="B1374" s="146">
        <v>46214</v>
      </c>
      <c r="C1374" s="138">
        <v>1339</v>
      </c>
      <c r="D1374" s="138" t="s">
        <v>2947</v>
      </c>
      <c r="E1374" s="129">
        <v>46223</v>
      </c>
      <c r="F1374" s="281" t="s">
        <v>1144</v>
      </c>
      <c r="G1374" s="128" t="s">
        <v>1145</v>
      </c>
      <c r="H1374" s="128" t="s">
        <v>100</v>
      </c>
      <c r="I1374" s="136"/>
      <c r="J1374" s="138" t="s">
        <v>1146</v>
      </c>
      <c r="K1374" s="136"/>
      <c r="L1374" s="146">
        <v>46214</v>
      </c>
      <c r="M1374" s="136"/>
      <c r="N1374" s="128" t="s">
        <v>2959</v>
      </c>
      <c r="O1374" s="146">
        <v>46220</v>
      </c>
      <c r="P1374" s="138">
        <v>0</v>
      </c>
      <c r="Q1374" s="138">
        <v>600</v>
      </c>
      <c r="R1374" s="138">
        <v>228</v>
      </c>
      <c r="S1374" s="138">
        <v>828</v>
      </c>
      <c r="T1374" s="138">
        <v>828</v>
      </c>
      <c r="U1374" s="136"/>
      <c r="V1374" s="136"/>
      <c r="W1374" s="147">
        <v>417</v>
      </c>
      <c r="X1374" s="147">
        <v>416.3</v>
      </c>
      <c r="Y1374" s="147">
        <v>3336000</v>
      </c>
      <c r="Z1374" s="236">
        <v>39.5</v>
      </c>
      <c r="AA1374" s="147">
        <v>83400</v>
      </c>
      <c r="AB1374" s="147">
        <v>83400</v>
      </c>
      <c r="AC1374" s="147">
        <v>3502800</v>
      </c>
      <c r="AD1374" s="315">
        <f t="shared" si="922"/>
        <v>3499297.2</v>
      </c>
      <c r="AE1374" s="236">
        <v>39.5</v>
      </c>
      <c r="AF1374" s="147">
        <v>42</v>
      </c>
      <c r="AG1374" s="236">
        <v>39.5</v>
      </c>
      <c r="AH1374" s="287">
        <v>2.5000000000000001E-3</v>
      </c>
      <c r="AI1374" s="287">
        <v>0.03</v>
      </c>
      <c r="AJ1374" s="287">
        <v>4.8000000000000001E-2</v>
      </c>
      <c r="AK1374" s="318">
        <f t="shared" si="945"/>
        <v>198571.42857142855</v>
      </c>
      <c r="AL1374" s="193">
        <v>0</v>
      </c>
      <c r="AM1374" s="319">
        <v>0</v>
      </c>
      <c r="AN1374" s="319"/>
      <c r="AO1374" s="320">
        <f t="shared" si="927"/>
        <v>0</v>
      </c>
      <c r="AP1374" s="193">
        <v>0</v>
      </c>
      <c r="AQ1374" s="318">
        <v>0</v>
      </c>
      <c r="AR1374" s="318">
        <f t="shared" si="928"/>
        <v>198571.42857142855</v>
      </c>
      <c r="AS1374" s="318">
        <f t="shared" si="929"/>
        <v>208500</v>
      </c>
      <c r="AT1374" s="321">
        <v>0</v>
      </c>
      <c r="AU1374" s="157"/>
      <c r="AV1374" s="136"/>
      <c r="AW1374" s="318">
        <f t="shared" si="930"/>
        <v>41700</v>
      </c>
      <c r="AX1374" s="193"/>
      <c r="AY1374" s="318">
        <f t="shared" si="931"/>
        <v>41700</v>
      </c>
      <c r="AZ1374" s="318">
        <f t="shared" si="932"/>
        <v>41630</v>
      </c>
      <c r="BA1374" s="318">
        <f t="shared" si="933"/>
        <v>70</v>
      </c>
      <c r="BB1374" s="318">
        <f t="shared" si="934"/>
        <v>83.4</v>
      </c>
      <c r="BC1374" s="318">
        <v>0</v>
      </c>
      <c r="BD1374" s="136"/>
      <c r="BE1374" s="138">
        <v>417</v>
      </c>
      <c r="BF1374" s="321">
        <f t="shared" si="935"/>
        <v>0.62549999999999994</v>
      </c>
      <c r="BG1374" s="197">
        <f t="shared" si="936"/>
        <v>416.37450000000001</v>
      </c>
      <c r="BH1374" s="321">
        <f t="shared" si="937"/>
        <v>416.3</v>
      </c>
      <c r="BI1374" s="322">
        <f t="shared" si="938"/>
        <v>69.999999999998863</v>
      </c>
      <c r="BJ1374" s="322">
        <v>0</v>
      </c>
      <c r="BK1374" s="318">
        <f t="shared" si="939"/>
        <v>69.999999999998863</v>
      </c>
      <c r="BL1374" s="193"/>
      <c r="BM1374" s="449" t="str">
        <f t="shared" si="940"/>
        <v>Unloading no. 1339 Bill No 2026-27/457 ,Deduction For Oil Deduction= 198571.428571429 ,Bardana= 0 ,F.M= 0 Brokerage/Rate Difference  ,Shortage = 0 ,Greenish= 0 ,Moisture= 0</v>
      </c>
      <c r="BN1374" s="193"/>
      <c r="BO1374" s="449" t="str">
        <f t="shared" si="941"/>
        <v xml:space="preserve"> Party Condition 42  ,F.M% 0.25 ,Greenish 3 ,Moisture 4.8 ,Shortage in KG= 0  ,Oil% 39.5</v>
      </c>
      <c r="BP1374" s="318">
        <f t="shared" si="942"/>
        <v>7536.460656806561</v>
      </c>
      <c r="BQ1374" s="157"/>
      <c r="BR1374" s="157"/>
      <c r="BS1374" s="136"/>
      <c r="BT1374" s="136"/>
      <c r="BU1374" s="136"/>
      <c r="BV1374" s="136"/>
      <c r="BW1374" s="431"/>
      <c r="BX1374" s="27">
        <v>38.18</v>
      </c>
      <c r="BY1374" s="27">
        <v>38.15</v>
      </c>
    </row>
    <row r="1375" spans="1:83" ht="14.1" hidden="1" customHeight="1" x14ac:dyDescent="0.3">
      <c r="A1375" s="128" t="s">
        <v>2939</v>
      </c>
      <c r="B1375" s="146">
        <v>46220</v>
      </c>
      <c r="C1375" s="138">
        <v>1340</v>
      </c>
      <c r="D1375" s="138" t="s">
        <v>2948</v>
      </c>
      <c r="E1375" s="129">
        <v>46223</v>
      </c>
      <c r="F1375" s="281" t="s">
        <v>1144</v>
      </c>
      <c r="G1375" s="128" t="s">
        <v>1145</v>
      </c>
      <c r="H1375" s="128" t="s">
        <v>100</v>
      </c>
      <c r="I1375" s="136"/>
      <c r="J1375" s="138" t="s">
        <v>1146</v>
      </c>
      <c r="K1375" s="136"/>
      <c r="L1375" s="146">
        <v>46220</v>
      </c>
      <c r="M1375" s="136"/>
      <c r="N1375" s="128" t="s">
        <v>2960</v>
      </c>
      <c r="O1375" s="146">
        <v>46221</v>
      </c>
      <c r="P1375" s="138">
        <v>0</v>
      </c>
      <c r="Q1375" s="138">
        <v>450</v>
      </c>
      <c r="R1375" s="138">
        <v>40</v>
      </c>
      <c r="S1375" s="138">
        <v>490</v>
      </c>
      <c r="T1375" s="138">
        <v>490</v>
      </c>
      <c r="U1375" s="136"/>
      <c r="V1375" s="136"/>
      <c r="W1375" s="147">
        <v>299.5</v>
      </c>
      <c r="X1375" s="147">
        <v>300.3</v>
      </c>
      <c r="Y1375" s="147">
        <v>2457397.5</v>
      </c>
      <c r="Z1375" s="236">
        <v>37.76</v>
      </c>
      <c r="AA1375" s="147">
        <v>61434.94</v>
      </c>
      <c r="AB1375" s="147">
        <v>61434.94</v>
      </c>
      <c r="AC1375" s="147">
        <v>2580267.38</v>
      </c>
      <c r="AD1375" s="315">
        <f t="shared" si="922"/>
        <v>2577687.1126199998</v>
      </c>
      <c r="AE1375" s="236">
        <v>37.76</v>
      </c>
      <c r="AF1375" s="147">
        <v>42</v>
      </c>
      <c r="AG1375" s="236">
        <v>37.76</v>
      </c>
      <c r="AH1375" s="287">
        <v>6.0000000000000001E-3</v>
      </c>
      <c r="AI1375" s="287">
        <v>0.04</v>
      </c>
      <c r="AJ1375" s="287">
        <v>4.3999999999999997E-2</v>
      </c>
      <c r="AK1375" s="318">
        <f t="shared" si="945"/>
        <v>248080.12857142868</v>
      </c>
      <c r="AL1375" s="193">
        <v>0</v>
      </c>
      <c r="AM1375" s="319">
        <v>0</v>
      </c>
      <c r="AN1375" s="319"/>
      <c r="AO1375" s="320">
        <f t="shared" si="927"/>
        <v>0</v>
      </c>
      <c r="AP1375" s="193">
        <v>0</v>
      </c>
      <c r="AQ1375" s="318">
        <v>0</v>
      </c>
      <c r="AR1375" s="318">
        <f t="shared" si="928"/>
        <v>248080.12857142868</v>
      </c>
      <c r="AS1375" s="318">
        <f t="shared" si="929"/>
        <v>260484</v>
      </c>
      <c r="AT1375" s="321">
        <v>0</v>
      </c>
      <c r="AU1375" s="157"/>
      <c r="AV1375" s="136"/>
      <c r="AW1375" s="318">
        <f t="shared" si="930"/>
        <v>29950</v>
      </c>
      <c r="AX1375" s="193"/>
      <c r="AY1375" s="318">
        <f t="shared" si="931"/>
        <v>29950</v>
      </c>
      <c r="AZ1375" s="318">
        <f t="shared" si="932"/>
        <v>30030</v>
      </c>
      <c r="BA1375" s="318">
        <f t="shared" si="933"/>
        <v>-80</v>
      </c>
      <c r="BB1375" s="318">
        <f t="shared" si="934"/>
        <v>59.9</v>
      </c>
      <c r="BC1375" s="318">
        <v>0</v>
      </c>
      <c r="BD1375" s="136"/>
      <c r="BE1375" s="138">
        <v>299.5</v>
      </c>
      <c r="BF1375" s="321">
        <f t="shared" si="935"/>
        <v>0.44924999999999998</v>
      </c>
      <c r="BG1375" s="197">
        <f t="shared" si="936"/>
        <v>299.05074999999999</v>
      </c>
      <c r="BH1375" s="321">
        <f t="shared" si="937"/>
        <v>300.3</v>
      </c>
      <c r="BI1375" s="322">
        <f t="shared" si="938"/>
        <v>-80.000000000001137</v>
      </c>
      <c r="BJ1375" s="322">
        <v>0</v>
      </c>
      <c r="BK1375" s="318">
        <f t="shared" si="939"/>
        <v>-80.000000000001137</v>
      </c>
      <c r="BL1375" s="193"/>
      <c r="BM1375" s="449" t="str">
        <f t="shared" si="940"/>
        <v>Unloading no. 1340 Bill No 2026-27/465 ,Deduction For Oil Deduction= 248080.128571429 ,Bardana= 0 ,F.M= 0 Brokerage/Rate Difference  ,Shortage = 0 ,Greenish= 0 ,Moisture= 0</v>
      </c>
      <c r="BN1375" s="193"/>
      <c r="BO1375" s="449" t="str">
        <f t="shared" si="941"/>
        <v xml:space="preserve"> Party Condition 42  ,F.M% 0.6 ,Greenish 4 ,Moisture 4.4 ,Shortage in KG= 0  ,Oil% 37.76</v>
      </c>
      <c r="BP1375" s="318">
        <f t="shared" si="942"/>
        <v>7357.0342038913459</v>
      </c>
      <c r="BQ1375" s="157"/>
      <c r="BR1375" s="157"/>
      <c r="BS1375" s="136"/>
      <c r="BT1375" s="136"/>
      <c r="BU1375" s="136"/>
      <c r="BV1375" s="136"/>
      <c r="BW1375" s="431"/>
      <c r="BX1375" s="27">
        <v>37.4</v>
      </c>
      <c r="BY1375" s="27">
        <v>37.35</v>
      </c>
    </row>
    <row r="1376" spans="1:83" ht="14.1" hidden="1" customHeight="1" x14ac:dyDescent="0.3">
      <c r="A1376" s="128" t="s">
        <v>2939</v>
      </c>
      <c r="B1376" s="146">
        <v>46220</v>
      </c>
      <c r="C1376" s="138">
        <v>1341</v>
      </c>
      <c r="D1376" s="138" t="s">
        <v>2949</v>
      </c>
      <c r="E1376" s="129">
        <v>46223</v>
      </c>
      <c r="F1376" s="281" t="s">
        <v>1144</v>
      </c>
      <c r="G1376" s="128" t="s">
        <v>1145</v>
      </c>
      <c r="H1376" s="128" t="s">
        <v>100</v>
      </c>
      <c r="I1376" s="136"/>
      <c r="J1376" s="138" t="s">
        <v>1146</v>
      </c>
      <c r="K1376" s="136"/>
      <c r="L1376" s="146">
        <v>46220</v>
      </c>
      <c r="M1376" s="136"/>
      <c r="N1376" s="128" t="s">
        <v>2961</v>
      </c>
      <c r="O1376" s="146">
        <v>46221</v>
      </c>
      <c r="P1376" s="138">
        <v>0</v>
      </c>
      <c r="Q1376" s="138">
        <v>426</v>
      </c>
      <c r="R1376" s="138">
        <v>78</v>
      </c>
      <c r="S1376" s="138">
        <v>504</v>
      </c>
      <c r="T1376" s="138">
        <v>504</v>
      </c>
      <c r="U1376" s="136"/>
      <c r="V1376" s="136"/>
      <c r="W1376" s="147">
        <v>305.60000000000002</v>
      </c>
      <c r="X1376" s="147">
        <v>305.8</v>
      </c>
      <c r="Y1376" s="147">
        <v>2507448</v>
      </c>
      <c r="Z1376" s="236">
        <v>39.450000000000003</v>
      </c>
      <c r="AA1376" s="147">
        <v>62686.2</v>
      </c>
      <c r="AB1376" s="147">
        <v>62686.2</v>
      </c>
      <c r="AC1376" s="147">
        <v>2632820.4</v>
      </c>
      <c r="AD1376" s="315">
        <f t="shared" si="922"/>
        <v>2630187.5795999998</v>
      </c>
      <c r="AE1376" s="236">
        <v>39.450000000000003</v>
      </c>
      <c r="AF1376" s="147">
        <v>42</v>
      </c>
      <c r="AG1376" s="236">
        <v>39.450000000000003</v>
      </c>
      <c r="AH1376" s="287">
        <v>4.0000000000000001E-3</v>
      </c>
      <c r="AI1376" s="287">
        <v>4.2000000000000003E-2</v>
      </c>
      <c r="AJ1376" s="287">
        <v>4.9000000000000002E-2</v>
      </c>
      <c r="AK1376" s="318">
        <f t="shared" si="945"/>
        <v>152237.9142857141</v>
      </c>
      <c r="AL1376" s="193">
        <v>0</v>
      </c>
      <c r="AM1376" s="319">
        <v>0</v>
      </c>
      <c r="AN1376" s="319"/>
      <c r="AO1376" s="320">
        <f t="shared" si="927"/>
        <v>0</v>
      </c>
      <c r="AP1376" s="193">
        <v>0</v>
      </c>
      <c r="AQ1376" s="318">
        <v>0</v>
      </c>
      <c r="AR1376" s="318">
        <f t="shared" si="928"/>
        <v>152237.9142857141</v>
      </c>
      <c r="AS1376" s="318">
        <f t="shared" si="929"/>
        <v>159850</v>
      </c>
      <c r="AT1376" s="321">
        <v>0</v>
      </c>
      <c r="AU1376" s="157"/>
      <c r="AV1376" s="136"/>
      <c r="AW1376" s="318">
        <f t="shared" si="930"/>
        <v>30560.000000000004</v>
      </c>
      <c r="AX1376" s="193"/>
      <c r="AY1376" s="318">
        <f t="shared" si="931"/>
        <v>30560.000000000004</v>
      </c>
      <c r="AZ1376" s="318">
        <f t="shared" si="932"/>
        <v>30580</v>
      </c>
      <c r="BA1376" s="318">
        <f t="shared" si="933"/>
        <v>-19.999999999996362</v>
      </c>
      <c r="BB1376" s="318">
        <f t="shared" si="934"/>
        <v>61.120000000000005</v>
      </c>
      <c r="BC1376" s="318">
        <v>0</v>
      </c>
      <c r="BD1376" s="136"/>
      <c r="BE1376" s="138">
        <v>305.60000000000002</v>
      </c>
      <c r="BF1376" s="321">
        <f t="shared" si="935"/>
        <v>0.45840000000000003</v>
      </c>
      <c r="BG1376" s="197">
        <f t="shared" si="936"/>
        <v>305.14160000000004</v>
      </c>
      <c r="BH1376" s="321">
        <f t="shared" si="937"/>
        <v>305.8</v>
      </c>
      <c r="BI1376" s="322">
        <f t="shared" si="938"/>
        <v>-19.999999999998863</v>
      </c>
      <c r="BJ1376" s="322">
        <v>0</v>
      </c>
      <c r="BK1376" s="318">
        <f t="shared" si="939"/>
        <v>-19.999999999998863</v>
      </c>
      <c r="BL1376" s="193"/>
      <c r="BM1376" s="449" t="str">
        <f t="shared" si="940"/>
        <v>Unloading no. 1341 Bill No 2026-27/464 ,Deduction For Oil Deduction= 152237.914285714 ,Bardana= 0 ,F.M= 0 Brokerage/Rate Difference  ,Shortage = 0 ,Greenish= 0 ,Moisture= 0</v>
      </c>
      <c r="BN1376" s="193"/>
      <c r="BO1376" s="449" t="str">
        <f t="shared" si="941"/>
        <v xml:space="preserve"> Party Condition 42  ,F.M% 0.4 ,Greenish 4.2 ,Moisture 4.9 ,Shortage in KG= 0  ,Oil% 39.45</v>
      </c>
      <c r="BP1376" s="318">
        <f t="shared" si="942"/>
        <v>7701.7988414463234</v>
      </c>
      <c r="BQ1376" s="157"/>
      <c r="BR1376" s="157"/>
      <c r="BS1376" s="136"/>
      <c r="BT1376" s="136"/>
      <c r="BU1376" s="136"/>
      <c r="BV1376" s="136"/>
      <c r="BW1376" s="431"/>
      <c r="BX1376" s="27">
        <v>38.950000000000003</v>
      </c>
      <c r="BY1376" s="27">
        <v>38.880000000000003</v>
      </c>
    </row>
    <row r="1377" spans="1:87" ht="14.1" hidden="1" customHeight="1" x14ac:dyDescent="0.3">
      <c r="A1377" s="128" t="s">
        <v>2940</v>
      </c>
      <c r="B1377" s="146">
        <v>46220</v>
      </c>
      <c r="C1377" s="138">
        <v>1342</v>
      </c>
      <c r="D1377" s="138" t="s">
        <v>2950</v>
      </c>
      <c r="E1377" s="129">
        <v>46223</v>
      </c>
      <c r="F1377" s="281" t="s">
        <v>1144</v>
      </c>
      <c r="G1377" s="128" t="s">
        <v>1145</v>
      </c>
      <c r="H1377" s="128" t="s">
        <v>100</v>
      </c>
      <c r="I1377" s="136"/>
      <c r="J1377" s="138" t="s">
        <v>1146</v>
      </c>
      <c r="K1377" s="136"/>
      <c r="L1377" s="146">
        <v>46220</v>
      </c>
      <c r="M1377" s="136"/>
      <c r="N1377" s="128" t="s">
        <v>2962</v>
      </c>
      <c r="O1377" s="146">
        <v>46221</v>
      </c>
      <c r="P1377" s="138">
        <v>0</v>
      </c>
      <c r="Q1377" s="138">
        <v>600</v>
      </c>
      <c r="R1377" s="138">
        <v>87</v>
      </c>
      <c r="S1377" s="138">
        <v>687</v>
      </c>
      <c r="T1377" s="138">
        <v>687</v>
      </c>
      <c r="U1377" s="136"/>
      <c r="V1377" s="136"/>
      <c r="W1377" s="147">
        <v>347.5</v>
      </c>
      <c r="X1377" s="147">
        <v>347.6</v>
      </c>
      <c r="Y1377" s="147">
        <v>2849500</v>
      </c>
      <c r="Z1377" s="236">
        <v>38.54</v>
      </c>
      <c r="AA1377" s="147">
        <v>71237.5</v>
      </c>
      <c r="AB1377" s="147">
        <v>71237.5</v>
      </c>
      <c r="AC1377" s="147">
        <v>2991975</v>
      </c>
      <c r="AD1377" s="315">
        <f t="shared" si="922"/>
        <v>2988983.0249999999</v>
      </c>
      <c r="AE1377" s="236">
        <v>38.54</v>
      </c>
      <c r="AF1377" s="147">
        <v>42</v>
      </c>
      <c r="AG1377" s="236">
        <v>38.54</v>
      </c>
      <c r="AH1377" s="287">
        <v>5.0000000000000001E-3</v>
      </c>
      <c r="AI1377" s="287">
        <v>4.1500000000000002E-2</v>
      </c>
      <c r="AJ1377" s="287">
        <v>4.8000000000000001E-2</v>
      </c>
      <c r="AK1377" s="318">
        <f t="shared" si="945"/>
        <v>234744.52380952387</v>
      </c>
      <c r="AL1377" s="193">
        <v>0</v>
      </c>
      <c r="AM1377" s="319">
        <v>0</v>
      </c>
      <c r="AN1377" s="319"/>
      <c r="AO1377" s="320">
        <f t="shared" si="927"/>
        <v>0</v>
      </c>
      <c r="AP1377" s="193">
        <v>0</v>
      </c>
      <c r="AQ1377" s="318">
        <v>0</v>
      </c>
      <c r="AR1377" s="318">
        <f t="shared" si="928"/>
        <v>234744.52380952387</v>
      </c>
      <c r="AS1377" s="318">
        <f t="shared" si="929"/>
        <v>246482</v>
      </c>
      <c r="AT1377" s="321">
        <v>0</v>
      </c>
      <c r="AU1377" s="157"/>
      <c r="AV1377" s="136"/>
      <c r="AW1377" s="318">
        <f t="shared" si="930"/>
        <v>34750</v>
      </c>
      <c r="AX1377" s="193"/>
      <c r="AY1377" s="318">
        <f t="shared" si="931"/>
        <v>34750</v>
      </c>
      <c r="AZ1377" s="318">
        <f t="shared" si="932"/>
        <v>34760</v>
      </c>
      <c r="BA1377" s="318">
        <f t="shared" si="933"/>
        <v>-10</v>
      </c>
      <c r="BB1377" s="318">
        <f t="shared" si="934"/>
        <v>69.5</v>
      </c>
      <c r="BC1377" s="318">
        <v>0</v>
      </c>
      <c r="BD1377" s="136"/>
      <c r="BE1377" s="138">
        <v>347.5</v>
      </c>
      <c r="BF1377" s="321">
        <f t="shared" si="935"/>
        <v>0.52124999999999999</v>
      </c>
      <c r="BG1377" s="197">
        <f t="shared" si="936"/>
        <v>346.97874999999999</v>
      </c>
      <c r="BH1377" s="321">
        <f t="shared" si="937"/>
        <v>347.6</v>
      </c>
      <c r="BI1377" s="322">
        <f t="shared" si="938"/>
        <v>-10.000000000002274</v>
      </c>
      <c r="BJ1377" s="322">
        <v>0</v>
      </c>
      <c r="BK1377" s="318">
        <f t="shared" si="939"/>
        <v>-10.000000000002274</v>
      </c>
      <c r="BL1377" s="193"/>
      <c r="BM1377" s="449" t="str">
        <f t="shared" si="940"/>
        <v>Unloading no. 1342 Bill No 2026-27/461 ,Deduction For Oil Deduction= 234744.523809524 ,Bardana= 0 ,F.M= 0 Brokerage/Rate Difference  ,Shortage = 0 ,Greenish= 0 ,Moisture= 0</v>
      </c>
      <c r="BN1377" s="193"/>
      <c r="BO1377" s="449" t="str">
        <f t="shared" si="941"/>
        <v xml:space="preserve"> Party Condition 42  ,F.M% 0.5 ,Greenish 4.15 ,Moisture 4.8 ,Shortage in KG= 0  ,Oil% 38.54</v>
      </c>
      <c r="BP1377" s="318">
        <f t="shared" si="942"/>
        <v>7522.3114965203567</v>
      </c>
      <c r="BQ1377" s="157"/>
      <c r="BR1377" s="157"/>
      <c r="BS1377" s="136"/>
      <c r="BT1377" s="136"/>
      <c r="BU1377" s="136"/>
      <c r="BV1377" s="136"/>
      <c r="BW1377" s="431"/>
      <c r="BX1377" s="27">
        <v>38.299999999999997</v>
      </c>
      <c r="BY1377" s="27">
        <v>38.19</v>
      </c>
    </row>
    <row r="1378" spans="1:87" ht="14.1" hidden="1" customHeight="1" x14ac:dyDescent="0.3">
      <c r="A1378" s="128" t="s">
        <v>2940</v>
      </c>
      <c r="B1378" s="146">
        <v>46220</v>
      </c>
      <c r="C1378" s="138">
        <v>1343</v>
      </c>
      <c r="D1378" s="138" t="s">
        <v>2951</v>
      </c>
      <c r="E1378" s="129">
        <v>46223</v>
      </c>
      <c r="F1378" s="281" t="s">
        <v>1144</v>
      </c>
      <c r="G1378" s="128" t="s">
        <v>1145</v>
      </c>
      <c r="H1378" s="128" t="s">
        <v>100</v>
      </c>
      <c r="I1378" s="136"/>
      <c r="J1378" s="138" t="s">
        <v>1146</v>
      </c>
      <c r="K1378" s="136"/>
      <c r="L1378" s="146">
        <v>46220</v>
      </c>
      <c r="M1378" s="136"/>
      <c r="N1378" s="128" t="s">
        <v>2963</v>
      </c>
      <c r="O1378" s="146">
        <v>46221</v>
      </c>
      <c r="P1378" s="138">
        <v>0</v>
      </c>
      <c r="Q1378" s="138">
        <v>540</v>
      </c>
      <c r="R1378" s="138">
        <v>150</v>
      </c>
      <c r="S1378" s="138">
        <v>690</v>
      </c>
      <c r="T1378" s="138">
        <v>690</v>
      </c>
      <c r="U1378" s="136"/>
      <c r="V1378" s="136"/>
      <c r="W1378" s="147">
        <v>349.8</v>
      </c>
      <c r="X1378" s="147">
        <v>349.5</v>
      </c>
      <c r="Y1378" s="147">
        <v>2868360</v>
      </c>
      <c r="Z1378" s="236">
        <v>39.299999999999997</v>
      </c>
      <c r="AA1378" s="147">
        <v>71709</v>
      </c>
      <c r="AB1378" s="147">
        <v>71709</v>
      </c>
      <c r="AC1378" s="147">
        <v>3011778</v>
      </c>
      <c r="AD1378" s="315">
        <f t="shared" si="922"/>
        <v>3008766.2220000001</v>
      </c>
      <c r="AE1378" s="236">
        <v>39.299999999999997</v>
      </c>
      <c r="AF1378" s="147">
        <v>42</v>
      </c>
      <c r="AG1378" s="236">
        <v>39.299999999999997</v>
      </c>
      <c r="AH1378" s="287">
        <v>1.6000000000000001E-3</v>
      </c>
      <c r="AI1378" s="287">
        <v>3.9E-2</v>
      </c>
      <c r="AJ1378" s="287">
        <v>4.5999999999999999E-2</v>
      </c>
      <c r="AK1378" s="318">
        <f t="shared" si="945"/>
        <v>184394.57142857159</v>
      </c>
      <c r="AL1378" s="193">
        <v>0</v>
      </c>
      <c r="AM1378" s="319">
        <v>0</v>
      </c>
      <c r="AN1378" s="319"/>
      <c r="AO1378" s="320">
        <f t="shared" si="927"/>
        <v>0</v>
      </c>
      <c r="AP1378" s="193">
        <v>0</v>
      </c>
      <c r="AQ1378" s="318">
        <v>0</v>
      </c>
      <c r="AR1378" s="318">
        <f t="shared" si="928"/>
        <v>184394.57142857159</v>
      </c>
      <c r="AS1378" s="318">
        <f t="shared" si="929"/>
        <v>193614</v>
      </c>
      <c r="AT1378" s="321">
        <v>0</v>
      </c>
      <c r="AU1378" s="157"/>
      <c r="AV1378" s="136"/>
      <c r="AW1378" s="318">
        <f t="shared" si="930"/>
        <v>34980</v>
      </c>
      <c r="AX1378" s="193"/>
      <c r="AY1378" s="318">
        <f t="shared" si="931"/>
        <v>34980</v>
      </c>
      <c r="AZ1378" s="318">
        <f t="shared" si="932"/>
        <v>34950</v>
      </c>
      <c r="BA1378" s="318">
        <f t="shared" si="933"/>
        <v>30</v>
      </c>
      <c r="BB1378" s="318">
        <f t="shared" si="934"/>
        <v>69.959999999999994</v>
      </c>
      <c r="BC1378" s="318">
        <v>0</v>
      </c>
      <c r="BD1378" s="136"/>
      <c r="BE1378" s="138">
        <v>349.8</v>
      </c>
      <c r="BF1378" s="321">
        <f t="shared" si="935"/>
        <v>0.52469999999999994</v>
      </c>
      <c r="BG1378" s="197">
        <f t="shared" si="936"/>
        <v>349.27530000000002</v>
      </c>
      <c r="BH1378" s="321">
        <f t="shared" si="937"/>
        <v>349.5</v>
      </c>
      <c r="BI1378" s="322">
        <f t="shared" si="938"/>
        <v>30.000000000001137</v>
      </c>
      <c r="BJ1378" s="322">
        <v>0</v>
      </c>
      <c r="BK1378" s="318">
        <f t="shared" si="939"/>
        <v>30.000000000001137</v>
      </c>
      <c r="BL1378" s="193"/>
      <c r="BM1378" s="449" t="str">
        <f t="shared" si="940"/>
        <v>Unloading no. 1343 Bill No 2026-27/460 ,Deduction For Oil Deduction= 184394.571428572 ,Bardana= 0 ,F.M= 0 Brokerage/Rate Difference  ,Shortage = 0 ,Greenish= 0 ,Moisture= 0</v>
      </c>
      <c r="BN1378" s="193"/>
      <c r="BO1378" s="449" t="str">
        <f>+" "&amp;$AF$1&amp;" "&amp;AF1378&amp;" "&amp;" "&amp;$AH$1&amp;" "&amp;AH1378*100&amp;" "&amp;$AI$1&amp;" "&amp;AI1378*100&amp;" "&amp;$AJ$1&amp;" "&amp;AJ1378*100&amp;" ,"&amp;$AT$1&amp;" "&amp;AT1378&amp;" "&amp;IF(AE1378&gt;AG1378," ,Oil%"&amp;" "&amp;AG1378," ,Oil%"&amp;" "&amp;AE1378)</f>
        <v xml:space="preserve"> Party Condition 42  ,F.M% 0.16 ,Greenish 3.9 ,Moisture 4.6 ,Shortage in KG= 0  ,Oil% 39.3</v>
      </c>
      <c r="BP1378" s="318">
        <f t="shared" si="942"/>
        <v>7679.4432863274051</v>
      </c>
      <c r="BQ1378" s="157"/>
      <c r="BR1378" s="157"/>
      <c r="BS1378" s="136"/>
      <c r="BT1378" s="136"/>
      <c r="BU1378" s="136"/>
      <c r="BV1378" s="136"/>
      <c r="BW1378" s="431"/>
      <c r="BX1378" s="27">
        <v>38.17</v>
      </c>
      <c r="BY1378" s="27">
        <v>38.03</v>
      </c>
    </row>
    <row r="1379" spans="1:87" ht="14.1" hidden="1" customHeight="1" x14ac:dyDescent="0.3">
      <c r="A1379" s="128" t="s">
        <v>2939</v>
      </c>
      <c r="B1379" s="146">
        <v>46220</v>
      </c>
      <c r="C1379" s="138">
        <v>1344</v>
      </c>
      <c r="D1379" s="138" t="s">
        <v>2952</v>
      </c>
      <c r="E1379" s="129">
        <v>46223</v>
      </c>
      <c r="F1379" s="281" t="s">
        <v>1144</v>
      </c>
      <c r="G1379" s="128" t="s">
        <v>1145</v>
      </c>
      <c r="H1379" s="128" t="s">
        <v>100</v>
      </c>
      <c r="I1379" s="136"/>
      <c r="J1379" s="138" t="s">
        <v>1146</v>
      </c>
      <c r="K1379" s="136"/>
      <c r="L1379" s="146">
        <v>46220</v>
      </c>
      <c r="M1379" s="136"/>
      <c r="N1379" s="128" t="s">
        <v>2964</v>
      </c>
      <c r="O1379" s="146">
        <v>46221</v>
      </c>
      <c r="P1379" s="138">
        <v>0</v>
      </c>
      <c r="Q1379" s="138">
        <v>450</v>
      </c>
      <c r="R1379" s="138">
        <v>50</v>
      </c>
      <c r="S1379" s="138">
        <v>500</v>
      </c>
      <c r="T1379" s="138">
        <v>500</v>
      </c>
      <c r="U1379" s="136"/>
      <c r="V1379" s="136"/>
      <c r="W1379" s="147">
        <v>302.3</v>
      </c>
      <c r="X1379" s="147">
        <v>301.89999999999998</v>
      </c>
      <c r="Y1379" s="147">
        <v>2480371.5</v>
      </c>
      <c r="Z1379" s="236">
        <v>39.090000000000003</v>
      </c>
      <c r="AA1379" s="147">
        <v>62009.29</v>
      </c>
      <c r="AB1379" s="147">
        <v>62009.29</v>
      </c>
      <c r="AC1379" s="147">
        <v>2604390.08</v>
      </c>
      <c r="AD1379" s="315">
        <f t="shared" si="922"/>
        <v>2601785.6899200003</v>
      </c>
      <c r="AE1379" s="236">
        <v>39.090000000000003</v>
      </c>
      <c r="AF1379" s="147">
        <v>42</v>
      </c>
      <c r="AG1379" s="236">
        <v>39.090000000000003</v>
      </c>
      <c r="AH1379" s="287">
        <v>2E-3</v>
      </c>
      <c r="AI1379" s="287">
        <v>3.6499999999999998E-2</v>
      </c>
      <c r="AJ1379" s="287">
        <v>4.2999999999999997E-2</v>
      </c>
      <c r="AK1379" s="318">
        <f t="shared" si="945"/>
        <v>171854.31107142835</v>
      </c>
      <c r="AL1379" s="193">
        <v>0</v>
      </c>
      <c r="AM1379" s="319">
        <v>0</v>
      </c>
      <c r="AN1379" s="319"/>
      <c r="AO1379" s="320">
        <f t="shared" si="927"/>
        <v>0</v>
      </c>
      <c r="AP1379" s="193">
        <v>0</v>
      </c>
      <c r="AQ1379" s="318">
        <v>0</v>
      </c>
      <c r="AR1379" s="318">
        <f t="shared" si="928"/>
        <v>171854.31107142835</v>
      </c>
      <c r="AS1379" s="318">
        <f t="shared" si="929"/>
        <v>180447</v>
      </c>
      <c r="AT1379" s="321">
        <v>0</v>
      </c>
      <c r="AU1379" s="157"/>
      <c r="AV1379" s="136"/>
      <c r="AW1379" s="318">
        <f t="shared" si="930"/>
        <v>30230</v>
      </c>
      <c r="AX1379" s="193"/>
      <c r="AY1379" s="318">
        <f t="shared" si="931"/>
        <v>30230</v>
      </c>
      <c r="AZ1379" s="318">
        <f t="shared" si="932"/>
        <v>30189.999999999996</v>
      </c>
      <c r="BA1379" s="318">
        <f t="shared" si="933"/>
        <v>40.000000000003638</v>
      </c>
      <c r="BB1379" s="318">
        <f t="shared" si="934"/>
        <v>60.46</v>
      </c>
      <c r="BC1379" s="318">
        <v>0</v>
      </c>
      <c r="BD1379" s="136"/>
      <c r="BE1379" s="138">
        <v>302.3</v>
      </c>
      <c r="BF1379" s="321">
        <f t="shared" si="935"/>
        <v>0.45344999999999996</v>
      </c>
      <c r="BG1379" s="197">
        <f t="shared" si="936"/>
        <v>301.84655000000004</v>
      </c>
      <c r="BH1379" s="321">
        <f t="shared" si="937"/>
        <v>301.89999999999998</v>
      </c>
      <c r="BI1379" s="322">
        <f t="shared" si="938"/>
        <v>40.000000000003411</v>
      </c>
      <c r="BJ1379" s="322">
        <v>0</v>
      </c>
      <c r="BK1379" s="318">
        <f t="shared" si="939"/>
        <v>40.000000000003411</v>
      </c>
      <c r="BL1379" s="193"/>
      <c r="BM1379" s="449" t="str">
        <f t="shared" si="940"/>
        <v>Unloading no. 1344 Bill No 2026-27/467 ,Deduction For Oil Deduction= 171854.311071428 ,Bardana= 0 ,F.M= 0 Brokerage/Rate Difference  ,Shortage = 0 ,Greenish= 0 ,Moisture= 0</v>
      </c>
      <c r="BN1379" s="193"/>
      <c r="BO1379" s="449" t="str">
        <f>+" "&amp;$AF$1&amp;" "&amp;AF1379&amp;" "&amp;" "&amp;$AH$1&amp;" "&amp;AH1379*100&amp;" "&amp;$AI$1&amp;" "&amp;AI1379*100&amp;" "&amp;$AJ$1&amp;" "&amp;AJ1379*100&amp;" ,"&amp;$AT$1&amp;" "&amp;AT1379&amp;" "&amp;IF(AE1379&gt;AG1379," ,Oil%"&amp;" "&amp;AG1379," ,Oil%"&amp;" "&amp;AE1379)</f>
        <v xml:space="preserve"> Party Condition 42  ,F.M% 0.2 ,Greenish 3.65 ,Moisture 4.3 ,Shortage in KG= 0  ,Oil% 39.09</v>
      </c>
      <c r="BP1379" s="318">
        <f t="shared" si="942"/>
        <v>7646.6286483225294</v>
      </c>
      <c r="BQ1379" s="157"/>
      <c r="BR1379" s="157"/>
      <c r="BS1379" s="136"/>
      <c r="BT1379" s="136"/>
      <c r="BU1379" s="136"/>
      <c r="BV1379" s="136"/>
      <c r="BW1379" s="431"/>
      <c r="BX1379" s="27">
        <v>39</v>
      </c>
      <c r="BY1379" s="27">
        <v>38.9</v>
      </c>
    </row>
    <row r="1380" spans="1:87" ht="14.1" hidden="1" customHeight="1" x14ac:dyDescent="0.3">
      <c r="A1380" s="128" t="s">
        <v>2939</v>
      </c>
      <c r="B1380" s="146">
        <v>46220</v>
      </c>
      <c r="C1380" s="138">
        <v>1345</v>
      </c>
      <c r="D1380" s="138" t="s">
        <v>2953</v>
      </c>
      <c r="E1380" s="129">
        <v>46223</v>
      </c>
      <c r="F1380" s="281" t="s">
        <v>1144</v>
      </c>
      <c r="G1380" s="128" t="s">
        <v>1145</v>
      </c>
      <c r="H1380" s="128" t="s">
        <v>100</v>
      </c>
      <c r="I1380" s="136"/>
      <c r="J1380" s="138" t="s">
        <v>1146</v>
      </c>
      <c r="K1380" s="136"/>
      <c r="L1380" s="146">
        <v>46220</v>
      </c>
      <c r="M1380" s="136"/>
      <c r="N1380" s="128" t="s">
        <v>2965</v>
      </c>
      <c r="O1380" s="146">
        <v>46221</v>
      </c>
      <c r="P1380" s="138">
        <v>0</v>
      </c>
      <c r="Q1380" s="138">
        <v>412</v>
      </c>
      <c r="R1380" s="138">
        <v>88</v>
      </c>
      <c r="S1380" s="138">
        <v>500</v>
      </c>
      <c r="T1380" s="138">
        <v>500</v>
      </c>
      <c r="U1380" s="136"/>
      <c r="V1380" s="136"/>
      <c r="W1380" s="147">
        <v>300.25</v>
      </c>
      <c r="X1380" s="147">
        <v>300.3</v>
      </c>
      <c r="Y1380" s="147">
        <v>2463551.25</v>
      </c>
      <c r="Z1380" s="236">
        <v>38.1</v>
      </c>
      <c r="AA1380" s="147">
        <v>61588.78</v>
      </c>
      <c r="AB1380" s="147">
        <v>61588.78</v>
      </c>
      <c r="AC1380" s="147">
        <v>2586728.81</v>
      </c>
      <c r="AD1380" s="315">
        <f t="shared" si="922"/>
        <v>2584142.0811900003</v>
      </c>
      <c r="AE1380" s="236">
        <v>38.1</v>
      </c>
      <c r="AF1380" s="147">
        <v>42</v>
      </c>
      <c r="AG1380" s="236">
        <v>38.1</v>
      </c>
      <c r="AH1380" s="287">
        <v>5.0000000000000001E-3</v>
      </c>
      <c r="AI1380" s="287">
        <v>3.5499999999999997E-2</v>
      </c>
      <c r="AJ1380" s="450">
        <v>4.9000000000000002E-2</v>
      </c>
      <c r="AK1380" s="318">
        <f t="shared" si="945"/>
        <v>228758.33035714275</v>
      </c>
      <c r="AL1380" s="193">
        <v>0</v>
      </c>
      <c r="AM1380" s="319">
        <v>0</v>
      </c>
      <c r="AN1380" s="319"/>
      <c r="AO1380" s="320">
        <f t="shared" si="927"/>
        <v>0</v>
      </c>
      <c r="AP1380" s="193">
        <v>0</v>
      </c>
      <c r="AQ1380" s="318">
        <v>0</v>
      </c>
      <c r="AR1380" s="318">
        <f t="shared" si="928"/>
        <v>228758.33035714275</v>
      </c>
      <c r="AS1380" s="318">
        <f t="shared" si="929"/>
        <v>240196</v>
      </c>
      <c r="AT1380" s="321">
        <v>0</v>
      </c>
      <c r="AU1380" s="157"/>
      <c r="AV1380" s="136"/>
      <c r="AW1380" s="318">
        <f t="shared" si="930"/>
        <v>30025</v>
      </c>
      <c r="AX1380" s="193"/>
      <c r="AY1380" s="318">
        <f t="shared" si="931"/>
        <v>30025</v>
      </c>
      <c r="AZ1380" s="318">
        <f t="shared" si="932"/>
        <v>30030</v>
      </c>
      <c r="BA1380" s="318">
        <f t="shared" si="933"/>
        <v>-5</v>
      </c>
      <c r="BB1380" s="318">
        <f t="shared" si="934"/>
        <v>60.05</v>
      </c>
      <c r="BC1380" s="318">
        <v>0</v>
      </c>
      <c r="BD1380" s="136"/>
      <c r="BE1380" s="138">
        <v>300.25</v>
      </c>
      <c r="BF1380" s="321">
        <f t="shared" si="935"/>
        <v>0.45037500000000003</v>
      </c>
      <c r="BG1380" s="197">
        <f t="shared" si="936"/>
        <v>299.79962499999999</v>
      </c>
      <c r="BH1380" s="321">
        <f t="shared" si="937"/>
        <v>300.3</v>
      </c>
      <c r="BI1380" s="322">
        <f t="shared" si="938"/>
        <v>-5.0000000000011369</v>
      </c>
      <c r="BJ1380" s="322">
        <v>0</v>
      </c>
      <c r="BK1380" s="318">
        <f t="shared" si="939"/>
        <v>-5.0000000000011369</v>
      </c>
      <c r="BL1380" s="193"/>
      <c r="BM1380" s="449" t="str">
        <f t="shared" si="940"/>
        <v>Unloading no. 1345 Bill No 2026-27/466 ,Deduction For Oil Deduction= 228758.330357143 ,Bardana= 0 ,F.M= 0 Brokerage/Rate Difference  ,Shortage = 0 ,Greenish= 0 ,Moisture= 0</v>
      </c>
      <c r="BN1380" s="193"/>
      <c r="BO1380" s="449" t="str">
        <f t="shared" si="941"/>
        <v xml:space="preserve"> Party Condition 42  ,F.M% 0.5 ,Greenish 3.55 ,Moisture 4.9 ,Shortage in KG= 0  ,Oil% 38.1</v>
      </c>
      <c r="BP1380" s="318">
        <f t="shared" si="942"/>
        <v>7441.867864278579</v>
      </c>
      <c r="BQ1380" s="157"/>
      <c r="BR1380" s="157"/>
      <c r="BS1380" s="136"/>
      <c r="BT1380" s="136"/>
      <c r="BU1380" s="136"/>
      <c r="BV1380" s="136"/>
      <c r="BW1380" s="431"/>
      <c r="BX1380" s="30">
        <v>37.43</v>
      </c>
      <c r="BY1380" s="30">
        <v>37.520000000000003</v>
      </c>
    </row>
    <row r="1381" spans="1:87" ht="14.1" hidden="1" customHeight="1" x14ac:dyDescent="0.3">
      <c r="A1381" s="281" t="s">
        <v>2823</v>
      </c>
      <c r="B1381" s="146">
        <v>46214</v>
      </c>
      <c r="C1381" s="138">
        <v>1346</v>
      </c>
      <c r="D1381" s="138" t="s">
        <v>2971</v>
      </c>
      <c r="E1381" s="129">
        <v>46224</v>
      </c>
      <c r="F1381" s="281" t="s">
        <v>1144</v>
      </c>
      <c r="G1381" s="128" t="s">
        <v>1145</v>
      </c>
      <c r="H1381" s="128" t="s">
        <v>100</v>
      </c>
      <c r="I1381" s="136"/>
      <c r="J1381" s="138" t="s">
        <v>1146</v>
      </c>
      <c r="K1381" s="136"/>
      <c r="L1381" s="146">
        <v>46214</v>
      </c>
      <c r="M1381" s="136"/>
      <c r="N1381" s="128" t="s">
        <v>3020</v>
      </c>
      <c r="O1381" s="146">
        <v>46221</v>
      </c>
      <c r="P1381" s="138">
        <v>0</v>
      </c>
      <c r="Q1381" s="138">
        <v>740</v>
      </c>
      <c r="R1381" s="138">
        <v>115</v>
      </c>
      <c r="S1381" s="138">
        <v>855</v>
      </c>
      <c r="T1381" s="138">
        <v>855</v>
      </c>
      <c r="U1381" s="136"/>
      <c r="V1381" s="136"/>
      <c r="W1381" s="147">
        <v>432.3</v>
      </c>
      <c r="X1381" s="147">
        <v>431.2</v>
      </c>
      <c r="Y1381" s="147">
        <v>3458400</v>
      </c>
      <c r="Z1381" s="147">
        <v>40.19</v>
      </c>
      <c r="AA1381" s="147">
        <v>86460</v>
      </c>
      <c r="AB1381" s="147">
        <v>86460</v>
      </c>
      <c r="AC1381" s="147">
        <v>3631320</v>
      </c>
      <c r="AD1381" s="315">
        <f t="shared" si="922"/>
        <v>3627688.68</v>
      </c>
      <c r="AE1381" s="147">
        <v>40.19</v>
      </c>
      <c r="AF1381" s="147">
        <v>42</v>
      </c>
      <c r="AG1381" s="147">
        <v>40.19</v>
      </c>
      <c r="AH1381" s="287">
        <v>4.4999999999999997E-3</v>
      </c>
      <c r="AI1381" s="287">
        <v>3.5999999999999997E-2</v>
      </c>
      <c r="AJ1381" s="287">
        <v>4.7E-2</v>
      </c>
      <c r="AK1381" s="318">
        <f t="shared" ref="AK1381:AK1427" si="946">+IF(AF1381=42,IF(MIN(AE1381,AG1381)&lt;AF1381,Y1381*((AF1381-MIN(AE1381,AG1381))/AF1381)),IF(MIN(AE1381,AG1381)&lt;AF1381,Y1381*((AF1381-MIN(AE1381,AG1381))/AF1381),0))</f>
        <v>149040.57142857162</v>
      </c>
      <c r="AL1381" s="193">
        <v>0</v>
      </c>
      <c r="AM1381" s="319">
        <v>0</v>
      </c>
      <c r="AN1381" s="319"/>
      <c r="AO1381" s="320">
        <f t="shared" ref="AO1381:AO1427" si="947">AT1381*Y1381/AW1381</f>
        <v>1920</v>
      </c>
      <c r="AP1381" s="193">
        <v>0</v>
      </c>
      <c r="AQ1381" s="318">
        <v>0</v>
      </c>
      <c r="AR1381" s="318">
        <f t="shared" ref="AR1381:AR1427" si="948">SUM(AK1381:AQ1381)</f>
        <v>150960.57142857162</v>
      </c>
      <c r="AS1381" s="318">
        <f t="shared" ref="AS1381:AS1427" si="949">ROUND(AR1381*1.05,0)</f>
        <v>158509</v>
      </c>
      <c r="AT1381" s="321">
        <v>24</v>
      </c>
      <c r="AU1381" s="157"/>
      <c r="AV1381" s="136"/>
      <c r="AW1381" s="318">
        <f t="shared" ref="AW1381:AW1427" si="950">W1381*100</f>
        <v>43230</v>
      </c>
      <c r="AX1381" s="193"/>
      <c r="AY1381" s="318">
        <f t="shared" ref="AY1381:AY1427" si="951">+AW1381+AX1381</f>
        <v>43230</v>
      </c>
      <c r="AZ1381" s="318">
        <f t="shared" ref="AZ1381:AZ1427" si="952">X1381*100</f>
        <v>43120</v>
      </c>
      <c r="BA1381" s="318">
        <f t="shared" ref="BA1381:BA1427" si="953">AY1381-AZ1381</f>
        <v>110</v>
      </c>
      <c r="BB1381" s="318">
        <f t="shared" ref="BB1381:BB1427" si="954">AW1381*2/1000</f>
        <v>86.46</v>
      </c>
      <c r="BC1381" s="318">
        <v>0</v>
      </c>
      <c r="BD1381" s="136"/>
      <c r="BE1381" s="138">
        <v>432.3</v>
      </c>
      <c r="BF1381" s="321">
        <f t="shared" ref="BF1381:BF1426" si="955">+BE1381*0.15/100</f>
        <v>0.64844999999999997</v>
      </c>
      <c r="BG1381" s="197">
        <f t="shared" ref="BG1381:BG1426" si="956">BE1381-BF1381</f>
        <v>431.65154999999999</v>
      </c>
      <c r="BH1381" s="321">
        <f t="shared" ref="BH1381:BH1426" si="957">X1381</f>
        <v>431.2</v>
      </c>
      <c r="BI1381" s="322">
        <f t="shared" ref="BI1381:BI1426" si="958">(BE1381-BH1381)*100</f>
        <v>110.00000000000227</v>
      </c>
      <c r="BJ1381" s="322">
        <v>0</v>
      </c>
      <c r="BK1381" s="318">
        <f t="shared" ref="BK1381:BK1426" si="959">BI1381</f>
        <v>110.00000000000227</v>
      </c>
      <c r="BL1381" s="193"/>
      <c r="BM1381" s="449" t="str">
        <f t="shared" ref="BM1381:BM1426" si="960">+$C$1&amp;" "&amp;C1381 &amp;" "&amp;$N$1&amp;" "&amp;N1381&amp;" "&amp;$BM$1&amp;" "&amp;$AK$1&amp;" "&amp;AK1381&amp;" "&amp;$AL$1&amp;" "&amp;AL1381&amp;" "&amp;$AM$1&amp;" "&amp;AM1381&amp;" "&amp;$AN$1&amp;" "&amp;AN1381&amp;" "&amp;$AO$1&amp;" "&amp;AO1381&amp;" "&amp;$AP$1&amp;" "&amp;AP1381&amp;" "&amp;$AQ$1&amp;" "&amp;AQ1381</f>
        <v>Unloading no. 1346 Bill No 2026-27/462 ,Deduction For Oil Deduction= 149040.571428572 ,Bardana= 0 ,F.M= 0 Brokerage/Rate Difference  ,Shortage = 1920 ,Greenish= 0 ,Moisture= 0</v>
      </c>
      <c r="BN1381" s="193"/>
      <c r="BO1381" s="449" t="str">
        <f t="shared" ref="BO1381:BO1426" si="961">+" "&amp;$AF$1&amp;" "&amp;AF1381&amp;" "&amp;" "&amp;$AH$1&amp;" "&amp;AH1381*100&amp;" "&amp;$AI$1&amp;" "&amp;AI1381*100&amp;" "&amp;$AJ$1&amp;" "&amp;AJ1381*100&amp;" ,"&amp;$AT$1&amp;" "&amp;AT1381&amp;" "&amp;IF(AE1381&gt;AG1381," ,Oil%"&amp;" "&amp;AG1381," ,Oil%"&amp;" "&amp;AE1381)</f>
        <v xml:space="preserve"> Party Condition 42  ,F.M% 0.45 ,Greenish 3.6 ,Moisture 4.7 ,Shortage in KG= 24  ,Oil% 40.19</v>
      </c>
      <c r="BP1381" s="318">
        <f t="shared" ref="BP1381:BP1426" si="962">(Y1381-AR1381)/X1381</f>
        <v>7670.3140736814203</v>
      </c>
      <c r="BQ1381" s="157"/>
      <c r="BR1381" s="157"/>
      <c r="BS1381" s="136"/>
      <c r="BT1381" s="136"/>
      <c r="BU1381" s="136"/>
      <c r="BV1381" s="136"/>
      <c r="BW1381" s="431"/>
      <c r="BX1381" s="27">
        <v>40.01</v>
      </c>
      <c r="BY1381" s="27">
        <v>40</v>
      </c>
    </row>
    <row r="1382" spans="1:87" ht="14.1" hidden="1" customHeight="1" x14ac:dyDescent="0.3">
      <c r="A1382" s="281" t="s">
        <v>2823</v>
      </c>
      <c r="B1382" s="146">
        <v>46214</v>
      </c>
      <c r="C1382" s="138">
        <v>1347</v>
      </c>
      <c r="D1382" s="138" t="s">
        <v>2972</v>
      </c>
      <c r="E1382" s="129">
        <v>46224</v>
      </c>
      <c r="F1382" s="281" t="s">
        <v>1144</v>
      </c>
      <c r="G1382" s="128" t="s">
        <v>1145</v>
      </c>
      <c r="H1382" s="128" t="s">
        <v>100</v>
      </c>
      <c r="I1382" s="136"/>
      <c r="J1382" s="138" t="s">
        <v>1146</v>
      </c>
      <c r="K1382" s="136"/>
      <c r="L1382" s="146">
        <v>46214</v>
      </c>
      <c r="M1382" s="136"/>
      <c r="N1382" s="128" t="s">
        <v>3021</v>
      </c>
      <c r="O1382" s="146">
        <v>46221</v>
      </c>
      <c r="P1382" s="138">
        <v>0</v>
      </c>
      <c r="Q1382" s="138">
        <v>791</v>
      </c>
      <c r="R1382" s="138">
        <v>50</v>
      </c>
      <c r="S1382" s="138">
        <v>841</v>
      </c>
      <c r="T1382" s="138">
        <v>841</v>
      </c>
      <c r="U1382" s="136"/>
      <c r="V1382" s="136"/>
      <c r="W1382" s="147">
        <v>426.4</v>
      </c>
      <c r="X1382" s="147">
        <v>426.2</v>
      </c>
      <c r="Y1382" s="147">
        <v>3411200</v>
      </c>
      <c r="Z1382" s="147">
        <v>39.25</v>
      </c>
      <c r="AA1382" s="147">
        <v>85280</v>
      </c>
      <c r="AB1382" s="147">
        <v>85280</v>
      </c>
      <c r="AC1382" s="147">
        <v>3581760</v>
      </c>
      <c r="AD1382" s="315">
        <f t="shared" si="922"/>
        <v>3578178.24</v>
      </c>
      <c r="AE1382" s="147">
        <v>39.25</v>
      </c>
      <c r="AF1382" s="147">
        <v>42</v>
      </c>
      <c r="AG1382" s="147">
        <v>39.25</v>
      </c>
      <c r="AH1382" s="287">
        <v>4.8999999999999998E-3</v>
      </c>
      <c r="AI1382" s="287">
        <v>3.7499999999999999E-2</v>
      </c>
      <c r="AJ1382" s="287">
        <v>0.05</v>
      </c>
      <c r="AK1382" s="318">
        <f t="shared" si="946"/>
        <v>223352.38095238098</v>
      </c>
      <c r="AL1382" s="193">
        <v>0</v>
      </c>
      <c r="AM1382" s="319">
        <v>0</v>
      </c>
      <c r="AN1382" s="319"/>
      <c r="AO1382" s="320">
        <f t="shared" si="947"/>
        <v>0</v>
      </c>
      <c r="AP1382" s="193">
        <v>0</v>
      </c>
      <c r="AQ1382" s="318">
        <v>0</v>
      </c>
      <c r="AR1382" s="318">
        <f t="shared" si="948"/>
        <v>223352.38095238098</v>
      </c>
      <c r="AS1382" s="318">
        <f t="shared" si="949"/>
        <v>234520</v>
      </c>
      <c r="AT1382" s="321">
        <v>0</v>
      </c>
      <c r="AU1382" s="157"/>
      <c r="AV1382" s="136"/>
      <c r="AW1382" s="318">
        <f t="shared" si="950"/>
        <v>42640</v>
      </c>
      <c r="AX1382" s="193"/>
      <c r="AY1382" s="318">
        <f t="shared" si="951"/>
        <v>42640</v>
      </c>
      <c r="AZ1382" s="318">
        <f t="shared" si="952"/>
        <v>42620</v>
      </c>
      <c r="BA1382" s="318">
        <f t="shared" si="953"/>
        <v>20</v>
      </c>
      <c r="BB1382" s="318">
        <f t="shared" si="954"/>
        <v>85.28</v>
      </c>
      <c r="BC1382" s="318">
        <v>0</v>
      </c>
      <c r="BD1382" s="136"/>
      <c r="BE1382" s="138">
        <v>426.4</v>
      </c>
      <c r="BF1382" s="321">
        <f t="shared" si="955"/>
        <v>0.63959999999999995</v>
      </c>
      <c r="BG1382" s="197">
        <f t="shared" si="956"/>
        <v>425.7604</v>
      </c>
      <c r="BH1382" s="321">
        <f t="shared" si="957"/>
        <v>426.2</v>
      </c>
      <c r="BI1382" s="322">
        <f t="shared" si="958"/>
        <v>19.999999999998863</v>
      </c>
      <c r="BJ1382" s="322">
        <v>0</v>
      </c>
      <c r="BK1382" s="318">
        <f t="shared" si="959"/>
        <v>19.999999999998863</v>
      </c>
      <c r="BL1382" s="193"/>
      <c r="BM1382" s="449" t="str">
        <f t="shared" si="960"/>
        <v>Unloading no. 1347 Bill No 2026-27/463 ,Deduction For Oil Deduction= 223352.380952381 ,Bardana= 0 ,F.M= 0 Brokerage/Rate Difference  ,Shortage = 0 ,Greenish= 0 ,Moisture= 0</v>
      </c>
      <c r="BN1382" s="193"/>
      <c r="BO1382" s="449" t="str">
        <f t="shared" si="961"/>
        <v xml:space="preserve"> Party Condition 42  ,F.M% 0.49 ,Greenish 3.75 ,Moisture 5 ,Shortage in KG= 0  ,Oil% 39.25</v>
      </c>
      <c r="BP1382" s="318">
        <f t="shared" si="962"/>
        <v>7479.6987776809456</v>
      </c>
      <c r="BQ1382" s="157"/>
      <c r="BR1382" s="157"/>
      <c r="BS1382" s="136"/>
      <c r="BT1382" s="136"/>
      <c r="BU1382" s="136"/>
      <c r="BV1382" s="136"/>
      <c r="BW1382" s="431"/>
      <c r="BX1382" s="27">
        <v>38.950000000000003</v>
      </c>
      <c r="BY1382" s="27">
        <v>38.94</v>
      </c>
    </row>
    <row r="1383" spans="1:87" ht="14.1" hidden="1" customHeight="1" x14ac:dyDescent="0.3">
      <c r="A1383" s="281" t="s">
        <v>2966</v>
      </c>
      <c r="B1383" s="146">
        <v>46221</v>
      </c>
      <c r="C1383" s="138">
        <v>1348</v>
      </c>
      <c r="D1383" s="138" t="s">
        <v>2973</v>
      </c>
      <c r="E1383" s="129">
        <v>46224</v>
      </c>
      <c r="F1383" s="281" t="s">
        <v>1689</v>
      </c>
      <c r="G1383" s="163" t="s">
        <v>1690</v>
      </c>
      <c r="H1383" s="128" t="s">
        <v>1511</v>
      </c>
      <c r="I1383" s="136"/>
      <c r="J1383" s="138" t="s">
        <v>2499</v>
      </c>
      <c r="K1383" s="136"/>
      <c r="L1383" s="146">
        <v>46221</v>
      </c>
      <c r="M1383" s="136"/>
      <c r="N1383" s="128" t="s">
        <v>3022</v>
      </c>
      <c r="O1383" s="146">
        <v>46223</v>
      </c>
      <c r="P1383" s="138">
        <v>0</v>
      </c>
      <c r="Q1383" s="138">
        <v>280</v>
      </c>
      <c r="R1383" s="138">
        <v>41</v>
      </c>
      <c r="S1383" s="138">
        <v>321</v>
      </c>
      <c r="T1383" s="138">
        <v>321</v>
      </c>
      <c r="U1383" s="136"/>
      <c r="V1383" s="136"/>
      <c r="W1383" s="147">
        <v>173.95</v>
      </c>
      <c r="X1383" s="147">
        <v>173.8</v>
      </c>
      <c r="Y1383" s="147">
        <v>1430738.75</v>
      </c>
      <c r="Z1383" s="169"/>
      <c r="AA1383" s="147">
        <v>35768.47</v>
      </c>
      <c r="AB1383" s="147">
        <v>35768.47</v>
      </c>
      <c r="AC1383" s="147">
        <v>1502275.69</v>
      </c>
      <c r="AD1383" s="315">
        <f t="shared" si="922"/>
        <v>1500773.4143099999</v>
      </c>
      <c r="AE1383" s="147">
        <v>37.24</v>
      </c>
      <c r="AF1383" s="147">
        <v>42</v>
      </c>
      <c r="AG1383" s="147">
        <v>37.26</v>
      </c>
      <c r="AH1383" s="287">
        <v>4.4000000000000003E-3</v>
      </c>
      <c r="AI1383" s="287">
        <v>2.9000000000000001E-2</v>
      </c>
      <c r="AJ1383" s="287">
        <v>4.4999999999999998E-2</v>
      </c>
      <c r="AK1383" s="318">
        <f t="shared" si="946"/>
        <v>162150.3916666666</v>
      </c>
      <c r="AL1383" s="193">
        <f>280*10+41*15</f>
        <v>3415</v>
      </c>
      <c r="AM1383" s="319">
        <f>Y1383*AH1383</f>
        <v>6295.2505000000001</v>
      </c>
      <c r="AN1383" s="319"/>
      <c r="AO1383" s="320">
        <f t="shared" si="947"/>
        <v>1233.75</v>
      </c>
      <c r="AP1383" s="193">
        <v>0</v>
      </c>
      <c r="AQ1383" s="318">
        <v>0</v>
      </c>
      <c r="AR1383" s="318">
        <f t="shared" si="948"/>
        <v>173094.3921666666</v>
      </c>
      <c r="AS1383" s="318">
        <f t="shared" si="949"/>
        <v>181749</v>
      </c>
      <c r="AT1383" s="321">
        <v>15</v>
      </c>
      <c r="AU1383" s="157"/>
      <c r="AV1383" s="136"/>
      <c r="AW1383" s="318">
        <f t="shared" si="950"/>
        <v>17395</v>
      </c>
      <c r="AX1383" s="193"/>
      <c r="AY1383" s="318">
        <f t="shared" si="951"/>
        <v>17395</v>
      </c>
      <c r="AZ1383" s="318">
        <f t="shared" si="952"/>
        <v>17380</v>
      </c>
      <c r="BA1383" s="318">
        <f t="shared" si="953"/>
        <v>15</v>
      </c>
      <c r="BB1383" s="318">
        <f t="shared" si="954"/>
        <v>34.79</v>
      </c>
      <c r="BC1383" s="318">
        <v>0</v>
      </c>
      <c r="BD1383" s="136"/>
      <c r="BE1383" s="138">
        <v>173.95</v>
      </c>
      <c r="BF1383" s="321">
        <f t="shared" si="955"/>
        <v>0.26092499999999996</v>
      </c>
      <c r="BG1383" s="197">
        <f t="shared" si="956"/>
        <v>173.689075</v>
      </c>
      <c r="BH1383" s="321">
        <f t="shared" si="957"/>
        <v>173.8</v>
      </c>
      <c r="BI1383" s="322">
        <f t="shared" si="958"/>
        <v>14.999999999997726</v>
      </c>
      <c r="BJ1383" s="322">
        <v>0</v>
      </c>
      <c r="BK1383" s="318">
        <f t="shared" si="959"/>
        <v>14.999999999997726</v>
      </c>
      <c r="BL1383" s="193"/>
      <c r="BM1383" s="449" t="str">
        <f t="shared" si="960"/>
        <v>Unloading no. 1348 Bill No GST48 ,Deduction For Oil Deduction= 162150.391666667 ,Bardana= 3415 ,F.M= 6295.2505 Brokerage/Rate Difference  ,Shortage = 1233.75 ,Greenish= 0 ,Moisture= 0</v>
      </c>
      <c r="BN1383" s="193"/>
      <c r="BO1383" s="449" t="str">
        <f t="shared" si="961"/>
        <v xml:space="preserve"> Party Condition 42  ,F.M% 0.44 ,Greenish 2.9 ,Moisture 4.5 ,Shortage in KG= 15  ,Oil% 37.24</v>
      </c>
      <c r="BP1383" s="318">
        <f t="shared" si="962"/>
        <v>7236.1585606060598</v>
      </c>
      <c r="BQ1383" s="157"/>
      <c r="BR1383" s="157"/>
      <c r="BS1383" s="136"/>
      <c r="BT1383" s="136"/>
      <c r="BU1383" s="136"/>
      <c r="BV1383" s="136"/>
      <c r="BW1383" s="431"/>
      <c r="BX1383" s="27">
        <v>37.24</v>
      </c>
      <c r="BY1383" s="27">
        <v>37.26</v>
      </c>
      <c r="CA1383" s="56">
        <v>179531.47</v>
      </c>
      <c r="CC1383" s="57">
        <f t="shared" ref="CC1383" si="963">AS1383-CA1383</f>
        <v>2217.5299999999988</v>
      </c>
      <c r="CE1383" s="88">
        <f t="shared" ref="CE1383" si="964">CC1383/105%</f>
        <v>2111.933333333332</v>
      </c>
      <c r="CH1383" s="56">
        <v>161469.09</v>
      </c>
      <c r="CI1383" s="451">
        <f>AK1383-CH1383</f>
        <v>681.30166666660807</v>
      </c>
    </row>
    <row r="1384" spans="1:87" ht="14.1" hidden="1" customHeight="1" x14ac:dyDescent="0.3">
      <c r="A1384" s="281" t="s">
        <v>2967</v>
      </c>
      <c r="B1384" s="146">
        <v>46220</v>
      </c>
      <c r="C1384" s="138">
        <v>1349</v>
      </c>
      <c r="D1384" s="138" t="s">
        <v>2974</v>
      </c>
      <c r="E1384" s="129">
        <v>46224</v>
      </c>
      <c r="F1384" s="281" t="s">
        <v>3018</v>
      </c>
      <c r="G1384" s="128" t="s">
        <v>3019</v>
      </c>
      <c r="H1384" s="128" t="s">
        <v>1508</v>
      </c>
      <c r="I1384" s="136"/>
      <c r="J1384" s="138" t="s">
        <v>1146</v>
      </c>
      <c r="K1384" s="136"/>
      <c r="L1384" s="146">
        <v>46220</v>
      </c>
      <c r="M1384" s="136"/>
      <c r="N1384" s="128" t="s">
        <v>3023</v>
      </c>
      <c r="O1384" s="146">
        <v>46222</v>
      </c>
      <c r="P1384" s="138">
        <v>0</v>
      </c>
      <c r="Q1384" s="138">
        <v>605</v>
      </c>
      <c r="R1384" s="138">
        <v>235</v>
      </c>
      <c r="S1384" s="138">
        <v>840</v>
      </c>
      <c r="T1384" s="138">
        <v>840</v>
      </c>
      <c r="U1384" s="136"/>
      <c r="V1384" s="136"/>
      <c r="W1384" s="147">
        <v>411.6</v>
      </c>
      <c r="X1384" s="147">
        <v>411.1</v>
      </c>
      <c r="Y1384" s="196">
        <f>3361530.9-2772</f>
        <v>3358758.9</v>
      </c>
      <c r="Z1384" s="147">
        <v>38.76</v>
      </c>
      <c r="AA1384" s="147">
        <v>84038.27</v>
      </c>
      <c r="AB1384" s="147">
        <v>84038.27</v>
      </c>
      <c r="AC1384" s="147">
        <v>3529607.45</v>
      </c>
      <c r="AD1384" s="315">
        <f t="shared" ref="AD1384:AD1447" si="965">SUM(AC1384-AC1384*0.1%)</f>
        <v>3526077.8425500002</v>
      </c>
      <c r="AE1384" s="147">
        <v>38.76</v>
      </c>
      <c r="AF1384" s="147">
        <v>42</v>
      </c>
      <c r="AG1384" s="147">
        <v>38.76</v>
      </c>
      <c r="AH1384" s="287">
        <v>3.2000000000000002E-3</v>
      </c>
      <c r="AI1384" s="287">
        <v>3.3000000000000002E-2</v>
      </c>
      <c r="AJ1384" s="287">
        <v>4.1000000000000002E-2</v>
      </c>
      <c r="AK1384" s="318">
        <f t="shared" si="946"/>
        <v>259104.25800000018</v>
      </c>
      <c r="AL1384" s="193">
        <v>0</v>
      </c>
      <c r="AM1384" s="319">
        <v>0</v>
      </c>
      <c r="AN1384" s="319"/>
      <c r="AO1384" s="320">
        <f t="shared" si="947"/>
        <v>0</v>
      </c>
      <c r="AP1384" s="193">
        <v>0</v>
      </c>
      <c r="AQ1384" s="318">
        <v>0</v>
      </c>
      <c r="AR1384" s="318">
        <f t="shared" si="948"/>
        <v>259104.25800000018</v>
      </c>
      <c r="AS1384" s="318">
        <f t="shared" si="949"/>
        <v>272059</v>
      </c>
      <c r="AT1384" s="321">
        <v>0</v>
      </c>
      <c r="AU1384" s="157"/>
      <c r="AV1384" s="136"/>
      <c r="AW1384" s="318">
        <f t="shared" si="950"/>
        <v>41160</v>
      </c>
      <c r="AX1384" s="193"/>
      <c r="AY1384" s="318">
        <f t="shared" si="951"/>
        <v>41160</v>
      </c>
      <c r="AZ1384" s="318">
        <f t="shared" si="952"/>
        <v>41110</v>
      </c>
      <c r="BA1384" s="318">
        <f t="shared" si="953"/>
        <v>50</v>
      </c>
      <c r="BB1384" s="318">
        <f t="shared" si="954"/>
        <v>82.32</v>
      </c>
      <c r="BC1384" s="318">
        <v>0</v>
      </c>
      <c r="BD1384" s="136"/>
      <c r="BE1384" s="138">
        <v>411.6</v>
      </c>
      <c r="BF1384" s="321">
        <f t="shared" si="955"/>
        <v>0.61740000000000006</v>
      </c>
      <c r="BG1384" s="197">
        <f t="shared" si="956"/>
        <v>410.98260000000005</v>
      </c>
      <c r="BH1384" s="321">
        <f t="shared" si="957"/>
        <v>411.1</v>
      </c>
      <c r="BI1384" s="322">
        <f t="shared" si="958"/>
        <v>50</v>
      </c>
      <c r="BJ1384" s="322">
        <v>0</v>
      </c>
      <c r="BK1384" s="318">
        <f t="shared" si="959"/>
        <v>50</v>
      </c>
      <c r="BL1384" s="193"/>
      <c r="BM1384" s="449" t="str">
        <f t="shared" si="960"/>
        <v>Unloading no. 1349 Bill No BTC-4/26-27 ,Deduction For Oil Deduction= 259104.258 ,Bardana= 0 ,F.M= 0 Brokerage/Rate Difference  ,Shortage = 0 ,Greenish= 0 ,Moisture= 0</v>
      </c>
      <c r="BN1384" s="193"/>
      <c r="BO1384" s="449" t="str">
        <f t="shared" si="961"/>
        <v xml:space="preserve"> Party Condition 42  ,F.M% 0.32 ,Greenish 3.3 ,Moisture 4.1 ,Shortage in KG= 0  ,Oil% 38.76</v>
      </c>
      <c r="BP1384" s="318">
        <f t="shared" si="962"/>
        <v>7539.9042617368023</v>
      </c>
      <c r="BQ1384" s="157"/>
      <c r="BR1384" s="157"/>
      <c r="BS1384" s="136"/>
      <c r="BT1384" s="136"/>
      <c r="BU1384" s="136"/>
      <c r="BV1384" s="136"/>
      <c r="BW1384" s="431"/>
      <c r="BX1384" s="27">
        <v>38.590000000000003</v>
      </c>
      <c r="BY1384" s="27">
        <v>38.46</v>
      </c>
    </row>
    <row r="1385" spans="1:87" ht="14.1" hidden="1" customHeight="1" x14ac:dyDescent="0.3">
      <c r="A1385" s="281" t="s">
        <v>2967</v>
      </c>
      <c r="B1385" s="146">
        <v>46220</v>
      </c>
      <c r="C1385" s="138">
        <v>1350</v>
      </c>
      <c r="D1385" s="138" t="s">
        <v>2975</v>
      </c>
      <c r="E1385" s="129">
        <v>46224</v>
      </c>
      <c r="F1385" s="281" t="s">
        <v>3018</v>
      </c>
      <c r="G1385" s="128" t="s">
        <v>3019</v>
      </c>
      <c r="H1385" s="128" t="s">
        <v>1508</v>
      </c>
      <c r="I1385" s="136"/>
      <c r="J1385" s="138" t="s">
        <v>1146</v>
      </c>
      <c r="K1385" s="136"/>
      <c r="L1385" s="146">
        <v>46220</v>
      </c>
      <c r="M1385" s="136"/>
      <c r="N1385" s="128" t="s">
        <v>3024</v>
      </c>
      <c r="O1385" s="146">
        <v>46222</v>
      </c>
      <c r="P1385" s="138">
        <v>0</v>
      </c>
      <c r="Q1385" s="138">
        <v>0</v>
      </c>
      <c r="R1385" s="138">
        <v>710</v>
      </c>
      <c r="S1385" s="138">
        <v>710</v>
      </c>
      <c r="T1385" s="138">
        <v>710</v>
      </c>
      <c r="U1385" s="136"/>
      <c r="V1385" s="136"/>
      <c r="W1385" s="147">
        <v>347.9</v>
      </c>
      <c r="X1385" s="147">
        <v>347.2</v>
      </c>
      <c r="Y1385" s="196">
        <v>2838950.98</v>
      </c>
      <c r="Z1385" s="147">
        <v>39.43</v>
      </c>
      <c r="AA1385" s="147">
        <v>70973.77</v>
      </c>
      <c r="AB1385" s="147">
        <v>70973.77</v>
      </c>
      <c r="AC1385" s="147">
        <v>2980898.52</v>
      </c>
      <c r="AD1385" s="315">
        <f t="shared" si="965"/>
        <v>2977917.6214800002</v>
      </c>
      <c r="AE1385" s="147">
        <v>39.43</v>
      </c>
      <c r="AF1385" s="147">
        <v>42</v>
      </c>
      <c r="AG1385" s="147">
        <v>39.43</v>
      </c>
      <c r="AH1385" s="287">
        <v>6.1999999999999998E-3</v>
      </c>
      <c r="AI1385" s="287">
        <v>3.9E-2</v>
      </c>
      <c r="AJ1385" s="287">
        <v>5.0999999999999997E-2</v>
      </c>
      <c r="AK1385" s="318">
        <f t="shared" si="946"/>
        <v>173716.76234761908</v>
      </c>
      <c r="AL1385" s="193">
        <v>0</v>
      </c>
      <c r="AM1385" s="319">
        <v>0</v>
      </c>
      <c r="AN1385" s="319"/>
      <c r="AO1385" s="320">
        <f t="shared" si="947"/>
        <v>0</v>
      </c>
      <c r="AP1385" s="193">
        <v>0</v>
      </c>
      <c r="AQ1385" s="318">
        <v>0</v>
      </c>
      <c r="AR1385" s="318">
        <f t="shared" si="948"/>
        <v>173716.76234761908</v>
      </c>
      <c r="AS1385" s="318">
        <f t="shared" si="949"/>
        <v>182403</v>
      </c>
      <c r="AT1385" s="321">
        <v>0</v>
      </c>
      <c r="AU1385" s="157"/>
      <c r="AV1385" s="136"/>
      <c r="AW1385" s="318">
        <f t="shared" si="950"/>
        <v>34790</v>
      </c>
      <c r="AX1385" s="193"/>
      <c r="AY1385" s="318">
        <f t="shared" si="951"/>
        <v>34790</v>
      </c>
      <c r="AZ1385" s="318">
        <f t="shared" si="952"/>
        <v>34720</v>
      </c>
      <c r="BA1385" s="318">
        <f t="shared" si="953"/>
        <v>70</v>
      </c>
      <c r="BB1385" s="318">
        <f t="shared" si="954"/>
        <v>69.58</v>
      </c>
      <c r="BC1385" s="318">
        <v>0</v>
      </c>
      <c r="BD1385" s="136"/>
      <c r="BE1385" s="138">
        <v>347.9</v>
      </c>
      <c r="BF1385" s="321">
        <f t="shared" si="955"/>
        <v>0.52184999999999993</v>
      </c>
      <c r="BG1385" s="197">
        <f t="shared" si="956"/>
        <v>347.37815000000001</v>
      </c>
      <c r="BH1385" s="321">
        <f t="shared" si="957"/>
        <v>347.2</v>
      </c>
      <c r="BI1385" s="322">
        <f t="shared" si="958"/>
        <v>69.999999999998863</v>
      </c>
      <c r="BJ1385" s="322">
        <v>0</v>
      </c>
      <c r="BK1385" s="318">
        <f t="shared" si="959"/>
        <v>69.999999999998863</v>
      </c>
      <c r="BL1385" s="193"/>
      <c r="BM1385" s="449" t="str">
        <f t="shared" si="960"/>
        <v>Unloading no. 1350 Bill No BTC-6/26-27 ,Deduction For Oil Deduction= 173716.762347619 ,Bardana= 0 ,F.M= 0 Brokerage/Rate Difference  ,Shortage = 0 ,Greenish= 0 ,Moisture= 0</v>
      </c>
      <c r="BN1385" s="193"/>
      <c r="BO1385" s="449" t="str">
        <f t="shared" si="961"/>
        <v xml:space="preserve"> Party Condition 42  ,F.M% 0.62 ,Greenish 3.9 ,Moisture 5.1 ,Shortage in KG= 0  ,Oil% 39.43</v>
      </c>
      <c r="BP1385" s="318">
        <f t="shared" si="962"/>
        <v>7676.3658342522494</v>
      </c>
      <c r="BQ1385" s="157"/>
      <c r="BR1385" s="157"/>
      <c r="BS1385" s="136"/>
      <c r="BT1385" s="136"/>
      <c r="BU1385" s="136"/>
      <c r="BV1385" s="136"/>
      <c r="BW1385" s="431"/>
      <c r="BX1385" s="27">
        <v>39.64</v>
      </c>
      <c r="BY1385" s="27">
        <v>39.619999999999997</v>
      </c>
    </row>
    <row r="1386" spans="1:87" ht="14.1" hidden="1" customHeight="1" x14ac:dyDescent="0.3">
      <c r="A1386" s="281" t="s">
        <v>2967</v>
      </c>
      <c r="B1386" s="146">
        <v>46220</v>
      </c>
      <c r="C1386" s="138">
        <v>1351</v>
      </c>
      <c r="D1386" s="138" t="s">
        <v>2976</v>
      </c>
      <c r="E1386" s="129">
        <v>46224</v>
      </c>
      <c r="F1386" s="281" t="s">
        <v>3018</v>
      </c>
      <c r="G1386" s="128" t="s">
        <v>3019</v>
      </c>
      <c r="H1386" s="128" t="s">
        <v>1508</v>
      </c>
      <c r="I1386" s="136"/>
      <c r="J1386" s="138" t="s">
        <v>1146</v>
      </c>
      <c r="K1386" s="136"/>
      <c r="L1386" s="146">
        <v>46220</v>
      </c>
      <c r="M1386" s="136"/>
      <c r="N1386" s="128" t="s">
        <v>3025</v>
      </c>
      <c r="O1386" s="146">
        <v>46222</v>
      </c>
      <c r="P1386" s="138">
        <v>0</v>
      </c>
      <c r="Q1386" s="138">
        <v>580</v>
      </c>
      <c r="R1386" s="138">
        <v>130</v>
      </c>
      <c r="S1386" s="138">
        <v>710</v>
      </c>
      <c r="T1386" s="138">
        <v>710</v>
      </c>
      <c r="U1386" s="136"/>
      <c r="V1386" s="136"/>
      <c r="W1386" s="147">
        <v>348.5</v>
      </c>
      <c r="X1386" s="147">
        <v>347.9</v>
      </c>
      <c r="Y1386" s="196">
        <v>2843847.13</v>
      </c>
      <c r="Z1386" s="147">
        <v>39.950000000000003</v>
      </c>
      <c r="AA1386" s="147">
        <v>71096.179999999993</v>
      </c>
      <c r="AB1386" s="147">
        <v>71096.179999999993</v>
      </c>
      <c r="AC1386" s="147">
        <v>2986039.48</v>
      </c>
      <c r="AD1386" s="315">
        <f t="shared" si="965"/>
        <v>2983053.4405200002</v>
      </c>
      <c r="AE1386" s="147">
        <v>39.950000000000003</v>
      </c>
      <c r="AF1386" s="147">
        <v>42</v>
      </c>
      <c r="AG1386" s="147">
        <v>39.950000000000003</v>
      </c>
      <c r="AH1386" s="287">
        <v>6.0000000000000001E-3</v>
      </c>
      <c r="AI1386" s="287">
        <v>3.9600000000000003E-2</v>
      </c>
      <c r="AJ1386" s="287">
        <v>0.05</v>
      </c>
      <c r="AK1386" s="318">
        <f t="shared" si="946"/>
        <v>138806.82420238075</v>
      </c>
      <c r="AL1386" s="193">
        <v>0</v>
      </c>
      <c r="AM1386" s="319">
        <v>0</v>
      </c>
      <c r="AN1386" s="319"/>
      <c r="AO1386" s="320">
        <f t="shared" si="947"/>
        <v>0</v>
      </c>
      <c r="AP1386" s="193">
        <v>0</v>
      </c>
      <c r="AQ1386" s="318">
        <v>0</v>
      </c>
      <c r="AR1386" s="318">
        <f t="shared" si="948"/>
        <v>138806.82420238075</v>
      </c>
      <c r="AS1386" s="318">
        <f t="shared" si="949"/>
        <v>145747</v>
      </c>
      <c r="AT1386" s="321">
        <v>0</v>
      </c>
      <c r="AU1386" s="157"/>
      <c r="AV1386" s="136"/>
      <c r="AW1386" s="318">
        <f t="shared" si="950"/>
        <v>34850</v>
      </c>
      <c r="AX1386" s="193"/>
      <c r="AY1386" s="318">
        <f t="shared" si="951"/>
        <v>34850</v>
      </c>
      <c r="AZ1386" s="318">
        <f t="shared" si="952"/>
        <v>34790</v>
      </c>
      <c r="BA1386" s="318">
        <f t="shared" si="953"/>
        <v>60</v>
      </c>
      <c r="BB1386" s="318">
        <f t="shared" si="954"/>
        <v>69.7</v>
      </c>
      <c r="BC1386" s="318">
        <v>0</v>
      </c>
      <c r="BD1386" s="136"/>
      <c r="BE1386" s="138">
        <v>348.5</v>
      </c>
      <c r="BF1386" s="321">
        <f t="shared" si="955"/>
        <v>0.52274999999999994</v>
      </c>
      <c r="BG1386" s="197">
        <f t="shared" si="956"/>
        <v>347.97725000000003</v>
      </c>
      <c r="BH1386" s="321">
        <f t="shared" si="957"/>
        <v>347.9</v>
      </c>
      <c r="BI1386" s="322">
        <f t="shared" si="958"/>
        <v>60.000000000002274</v>
      </c>
      <c r="BJ1386" s="322">
        <v>0</v>
      </c>
      <c r="BK1386" s="318">
        <f t="shared" si="959"/>
        <v>60.000000000002274</v>
      </c>
      <c r="BL1386" s="193"/>
      <c r="BM1386" s="449" t="str">
        <f t="shared" si="960"/>
        <v>Unloading no. 1351 Bill No BTC-5/26-27 ,Deduction For Oil Deduction= 138806.824202381 ,Bardana= 0 ,F.M= 0 Brokerage/Rate Difference  ,Shortage = 0 ,Greenish= 0 ,Moisture= 0</v>
      </c>
      <c r="BN1386" s="193"/>
      <c r="BO1386" s="449" t="str">
        <f t="shared" si="961"/>
        <v xml:space="preserve"> Party Condition 42  ,F.M% 0.6 ,Greenish 3.96 ,Moisture 5 ,Shortage in KG= 0  ,Oil% 39.95</v>
      </c>
      <c r="BP1386" s="318">
        <f t="shared" si="962"/>
        <v>7775.3386197114669</v>
      </c>
      <c r="BQ1386" s="157"/>
      <c r="BR1386" s="157"/>
      <c r="BS1386" s="136"/>
      <c r="BT1386" s="136"/>
      <c r="BU1386" s="136"/>
      <c r="BV1386" s="136"/>
      <c r="BW1386" s="431"/>
      <c r="BX1386" s="27">
        <v>39.659999999999997</v>
      </c>
      <c r="BY1386" s="27">
        <v>39.61</v>
      </c>
    </row>
    <row r="1387" spans="1:87" ht="14.1" hidden="1" customHeight="1" x14ac:dyDescent="0.3">
      <c r="A1387" s="281" t="s">
        <v>2939</v>
      </c>
      <c r="B1387" s="146">
        <v>46220</v>
      </c>
      <c r="C1387" s="138">
        <v>1352</v>
      </c>
      <c r="D1387" s="138" t="s">
        <v>2977</v>
      </c>
      <c r="E1387" s="129">
        <v>46224</v>
      </c>
      <c r="F1387" s="281" t="s">
        <v>1144</v>
      </c>
      <c r="G1387" s="128" t="s">
        <v>1145</v>
      </c>
      <c r="H1387" s="128" t="s">
        <v>100</v>
      </c>
      <c r="I1387" s="136"/>
      <c r="J1387" s="138" t="s">
        <v>1146</v>
      </c>
      <c r="K1387" s="136"/>
      <c r="L1387" s="146">
        <v>46220</v>
      </c>
      <c r="M1387" s="136"/>
      <c r="N1387" s="128" t="s">
        <v>3026</v>
      </c>
      <c r="O1387" s="146">
        <v>46223</v>
      </c>
      <c r="P1387" s="138">
        <v>0</v>
      </c>
      <c r="Q1387" s="138">
        <v>420</v>
      </c>
      <c r="R1387" s="138">
        <v>160</v>
      </c>
      <c r="S1387" s="138">
        <v>580</v>
      </c>
      <c r="T1387" s="138">
        <v>580</v>
      </c>
      <c r="U1387" s="136"/>
      <c r="V1387" s="136"/>
      <c r="W1387" s="147">
        <v>348.8</v>
      </c>
      <c r="X1387" s="147">
        <v>348.7</v>
      </c>
      <c r="Y1387" s="147">
        <v>2861904</v>
      </c>
      <c r="Z1387" s="147">
        <v>39.409999999999997</v>
      </c>
      <c r="AA1387" s="147">
        <v>71547.600000000006</v>
      </c>
      <c r="AB1387" s="147">
        <v>71547.600000000006</v>
      </c>
      <c r="AC1387" s="147">
        <v>3004999.2</v>
      </c>
      <c r="AD1387" s="315">
        <f t="shared" si="965"/>
        <v>3001994.2008000002</v>
      </c>
      <c r="AE1387" s="147">
        <v>39.409999999999997</v>
      </c>
      <c r="AF1387" s="147">
        <v>42</v>
      </c>
      <c r="AG1387" s="147">
        <v>39.409999999999997</v>
      </c>
      <c r="AH1387" s="287">
        <v>6.7000000000000002E-3</v>
      </c>
      <c r="AI1387" s="287">
        <v>3.8800000000000001E-2</v>
      </c>
      <c r="AJ1387" s="287">
        <v>5.1999999999999998E-2</v>
      </c>
      <c r="AK1387" s="318">
        <f t="shared" si="946"/>
        <v>176484.08000000022</v>
      </c>
      <c r="AL1387" s="193">
        <v>0</v>
      </c>
      <c r="AM1387" s="319">
        <v>0</v>
      </c>
      <c r="AN1387" s="319"/>
      <c r="AO1387" s="320">
        <f t="shared" si="947"/>
        <v>0</v>
      </c>
      <c r="AP1387" s="193">
        <v>0</v>
      </c>
      <c r="AQ1387" s="318">
        <v>0</v>
      </c>
      <c r="AR1387" s="318">
        <f t="shared" si="948"/>
        <v>176484.08000000022</v>
      </c>
      <c r="AS1387" s="318">
        <f t="shared" si="949"/>
        <v>185308</v>
      </c>
      <c r="AT1387" s="321">
        <v>0</v>
      </c>
      <c r="AU1387" s="157"/>
      <c r="AV1387" s="136"/>
      <c r="AW1387" s="318">
        <f t="shared" si="950"/>
        <v>34880</v>
      </c>
      <c r="AX1387" s="193"/>
      <c r="AY1387" s="318">
        <f t="shared" si="951"/>
        <v>34880</v>
      </c>
      <c r="AZ1387" s="318">
        <f t="shared" si="952"/>
        <v>34870</v>
      </c>
      <c r="BA1387" s="318">
        <f t="shared" si="953"/>
        <v>10</v>
      </c>
      <c r="BB1387" s="318">
        <f t="shared" si="954"/>
        <v>69.760000000000005</v>
      </c>
      <c r="BC1387" s="318">
        <v>0</v>
      </c>
      <c r="BD1387" s="136"/>
      <c r="BE1387" s="138">
        <v>348.8</v>
      </c>
      <c r="BF1387" s="321">
        <f t="shared" si="955"/>
        <v>0.5232</v>
      </c>
      <c r="BG1387" s="197">
        <f t="shared" si="956"/>
        <v>348.27680000000004</v>
      </c>
      <c r="BH1387" s="321">
        <f t="shared" si="957"/>
        <v>348.7</v>
      </c>
      <c r="BI1387" s="322">
        <f t="shared" si="958"/>
        <v>10.000000000002274</v>
      </c>
      <c r="BJ1387" s="322">
        <v>0</v>
      </c>
      <c r="BK1387" s="318">
        <f t="shared" si="959"/>
        <v>10.000000000002274</v>
      </c>
      <c r="BL1387" s="193"/>
      <c r="BM1387" s="449" t="str">
        <f t="shared" si="960"/>
        <v>Unloading no. 1352 Bill No 2026-27/471 ,Deduction For Oil Deduction= 176484.08 ,Bardana= 0 ,F.M= 0 Brokerage/Rate Difference  ,Shortage = 0 ,Greenish= 0 ,Moisture= 0</v>
      </c>
      <c r="BN1387" s="193"/>
      <c r="BO1387" s="449" t="str">
        <f t="shared" si="961"/>
        <v xml:space="preserve"> Party Condition 42  ,F.M% 0.67 ,Greenish 3.88 ,Moisture 5.2 ,Shortage in KG= 0  ,Oil% 39.41</v>
      </c>
      <c r="BP1387" s="318">
        <f t="shared" si="962"/>
        <v>7701.2329222827648</v>
      </c>
      <c r="BQ1387" s="157"/>
      <c r="BR1387" s="157"/>
      <c r="BS1387" s="136"/>
      <c r="BT1387" s="136"/>
      <c r="BU1387" s="136"/>
      <c r="BV1387" s="136"/>
      <c r="BW1387" s="431"/>
      <c r="BX1387" s="27">
        <v>39.35</v>
      </c>
      <c r="BY1387" s="27">
        <v>39.369999999999997</v>
      </c>
    </row>
    <row r="1388" spans="1:87" ht="14.1" hidden="1" customHeight="1" x14ac:dyDescent="0.3">
      <c r="A1388" s="281" t="s">
        <v>2670</v>
      </c>
      <c r="B1388" s="146">
        <v>46212</v>
      </c>
      <c r="C1388" s="138">
        <v>1353</v>
      </c>
      <c r="D1388" s="138" t="s">
        <v>2978</v>
      </c>
      <c r="E1388" s="129">
        <v>46224</v>
      </c>
      <c r="F1388" s="281" t="s">
        <v>2497</v>
      </c>
      <c r="G1388" s="128" t="s">
        <v>2498</v>
      </c>
      <c r="H1388" s="128" t="s">
        <v>100</v>
      </c>
      <c r="I1388" s="136"/>
      <c r="J1388" s="138" t="s">
        <v>1146</v>
      </c>
      <c r="K1388" s="136"/>
      <c r="L1388" s="146">
        <v>46212</v>
      </c>
      <c r="M1388" s="136"/>
      <c r="N1388" s="128" t="s">
        <v>3027</v>
      </c>
      <c r="O1388" s="146">
        <v>46224</v>
      </c>
      <c r="P1388" s="138">
        <v>0</v>
      </c>
      <c r="Q1388" s="138">
        <v>125</v>
      </c>
      <c r="R1388" s="138">
        <v>30</v>
      </c>
      <c r="S1388" s="138">
        <v>155</v>
      </c>
      <c r="T1388" s="138">
        <v>155</v>
      </c>
      <c r="U1388" s="136"/>
      <c r="V1388" s="165"/>
      <c r="W1388" s="147">
        <v>93.8</v>
      </c>
      <c r="X1388" s="147">
        <v>93.8</v>
      </c>
      <c r="Y1388" s="147">
        <v>750493.8</v>
      </c>
      <c r="Z1388" s="236">
        <v>40.700000000000003</v>
      </c>
      <c r="AA1388" s="147">
        <v>18762.349999999999</v>
      </c>
      <c r="AB1388" s="147">
        <v>18762.349999999999</v>
      </c>
      <c r="AC1388" s="147">
        <v>788018.49</v>
      </c>
      <c r="AD1388" s="315">
        <f t="shared" si="965"/>
        <v>787230.47150999994</v>
      </c>
      <c r="AE1388" s="147">
        <v>40.700000000000003</v>
      </c>
      <c r="AF1388" s="147">
        <v>42</v>
      </c>
      <c r="AG1388" s="147">
        <v>40.700000000000003</v>
      </c>
      <c r="AH1388" s="287">
        <v>3.0000000000000001E-3</v>
      </c>
      <c r="AI1388" s="287">
        <v>0.03</v>
      </c>
      <c r="AJ1388" s="287">
        <v>4.9000000000000002E-2</v>
      </c>
      <c r="AK1388" s="318">
        <f t="shared" si="946"/>
        <v>23229.569999999949</v>
      </c>
      <c r="AL1388" s="193">
        <v>0</v>
      </c>
      <c r="AM1388" s="319">
        <v>0</v>
      </c>
      <c r="AN1388" s="319"/>
      <c r="AO1388" s="320">
        <f t="shared" si="947"/>
        <v>0</v>
      </c>
      <c r="AP1388" s="193">
        <v>0</v>
      </c>
      <c r="AQ1388" s="318">
        <v>0</v>
      </c>
      <c r="AR1388" s="318">
        <f t="shared" si="948"/>
        <v>23229.569999999949</v>
      </c>
      <c r="AS1388" s="318">
        <f t="shared" si="949"/>
        <v>24391</v>
      </c>
      <c r="AT1388" s="321">
        <v>0</v>
      </c>
      <c r="AU1388" s="157"/>
      <c r="AV1388" s="136"/>
      <c r="AW1388" s="318">
        <f t="shared" si="950"/>
        <v>9380</v>
      </c>
      <c r="AX1388" s="193"/>
      <c r="AY1388" s="318">
        <f t="shared" si="951"/>
        <v>9380</v>
      </c>
      <c r="AZ1388" s="318">
        <f t="shared" si="952"/>
        <v>9380</v>
      </c>
      <c r="BA1388" s="318">
        <f t="shared" si="953"/>
        <v>0</v>
      </c>
      <c r="BB1388" s="318">
        <f t="shared" si="954"/>
        <v>18.760000000000002</v>
      </c>
      <c r="BC1388" s="318">
        <v>0</v>
      </c>
      <c r="BD1388" s="136"/>
      <c r="BE1388" s="138">
        <v>93.8</v>
      </c>
      <c r="BF1388" s="321">
        <f t="shared" si="955"/>
        <v>0.14069999999999999</v>
      </c>
      <c r="BG1388" s="197">
        <f t="shared" si="956"/>
        <v>93.659300000000002</v>
      </c>
      <c r="BH1388" s="321">
        <f t="shared" si="957"/>
        <v>93.8</v>
      </c>
      <c r="BI1388" s="322">
        <f t="shared" si="958"/>
        <v>0</v>
      </c>
      <c r="BJ1388" s="322">
        <v>0</v>
      </c>
      <c r="BK1388" s="318">
        <f t="shared" si="959"/>
        <v>0</v>
      </c>
      <c r="BL1388" s="193"/>
      <c r="BM1388" s="449" t="str">
        <f t="shared" si="960"/>
        <v>Unloading no. 1353 Bill No HA/26-27/0452 ,Deduction For Oil Deduction= 23229.5699999999 ,Bardana= 0 ,F.M= 0 Brokerage/Rate Difference  ,Shortage = 0 ,Greenish= 0 ,Moisture= 0</v>
      </c>
      <c r="BN1388" s="193"/>
      <c r="BO1388" s="449" t="str">
        <f t="shared" si="961"/>
        <v xml:space="preserve"> Party Condition 42  ,F.M% 0.3 ,Greenish 3 ,Moisture 4.9 ,Shortage in KG= 0  ,Oil% 40.7</v>
      </c>
      <c r="BP1388" s="318">
        <f t="shared" si="962"/>
        <v>7753.3500000000013</v>
      </c>
      <c r="BQ1388" s="157"/>
      <c r="BR1388" s="157"/>
      <c r="BS1388" s="136"/>
      <c r="BT1388" s="136"/>
      <c r="BU1388" s="136"/>
      <c r="BV1388" s="136"/>
      <c r="BW1388" s="431"/>
      <c r="BX1388" s="30">
        <v>40.799999999999997</v>
      </c>
      <c r="BY1388" s="30">
        <v>40.53</v>
      </c>
    </row>
    <row r="1389" spans="1:87" ht="14.1" hidden="1" customHeight="1" x14ac:dyDescent="0.3">
      <c r="A1389" s="281" t="s">
        <v>2670</v>
      </c>
      <c r="B1389" s="146">
        <v>46212</v>
      </c>
      <c r="C1389" s="138">
        <v>1354</v>
      </c>
      <c r="D1389" s="138" t="s">
        <v>2979</v>
      </c>
      <c r="E1389" s="129">
        <v>46224</v>
      </c>
      <c r="F1389" s="281" t="s">
        <v>2497</v>
      </c>
      <c r="G1389" s="128" t="s">
        <v>2498</v>
      </c>
      <c r="H1389" s="128" t="s">
        <v>100</v>
      </c>
      <c r="I1389" s="136"/>
      <c r="J1389" s="138" t="s">
        <v>1146</v>
      </c>
      <c r="K1389" s="136"/>
      <c r="L1389" s="146">
        <v>46212</v>
      </c>
      <c r="M1389" s="136"/>
      <c r="N1389" s="128" t="s">
        <v>3028</v>
      </c>
      <c r="O1389" s="146">
        <v>46224</v>
      </c>
      <c r="P1389" s="138">
        <v>0</v>
      </c>
      <c r="Q1389" s="138">
        <v>120</v>
      </c>
      <c r="R1389" s="138">
        <v>35</v>
      </c>
      <c r="S1389" s="138">
        <v>155</v>
      </c>
      <c r="T1389" s="138">
        <v>155</v>
      </c>
      <c r="U1389" s="136"/>
      <c r="V1389" s="165"/>
      <c r="W1389" s="147">
        <v>93.8</v>
      </c>
      <c r="X1389" s="147">
        <v>93.8</v>
      </c>
      <c r="Y1389" s="147">
        <v>750493.8</v>
      </c>
      <c r="Z1389" s="236">
        <v>40.46</v>
      </c>
      <c r="AA1389" s="147">
        <v>18762.349999999999</v>
      </c>
      <c r="AB1389" s="147">
        <v>18762.349999999999</v>
      </c>
      <c r="AC1389" s="147">
        <v>788018.49</v>
      </c>
      <c r="AD1389" s="315">
        <f t="shared" si="965"/>
        <v>787230.47150999994</v>
      </c>
      <c r="AE1389" s="147">
        <v>40.46</v>
      </c>
      <c r="AF1389" s="147">
        <v>42</v>
      </c>
      <c r="AG1389" s="147">
        <v>40.46</v>
      </c>
      <c r="AH1389" s="287">
        <v>3.0000000000000001E-3</v>
      </c>
      <c r="AI1389" s="287">
        <v>0.03</v>
      </c>
      <c r="AJ1389" s="287">
        <v>0.05</v>
      </c>
      <c r="AK1389" s="318">
        <f t="shared" si="946"/>
        <v>27518.105999999985</v>
      </c>
      <c r="AL1389" s="193">
        <v>0</v>
      </c>
      <c r="AM1389" s="319">
        <v>0</v>
      </c>
      <c r="AN1389" s="319"/>
      <c r="AO1389" s="320">
        <f t="shared" si="947"/>
        <v>0</v>
      </c>
      <c r="AP1389" s="193">
        <v>0</v>
      </c>
      <c r="AQ1389" s="318">
        <v>0</v>
      </c>
      <c r="AR1389" s="318">
        <f t="shared" si="948"/>
        <v>27518.105999999985</v>
      </c>
      <c r="AS1389" s="318">
        <f t="shared" si="949"/>
        <v>28894</v>
      </c>
      <c r="AT1389" s="321">
        <v>0</v>
      </c>
      <c r="AU1389" s="157"/>
      <c r="AV1389" s="136"/>
      <c r="AW1389" s="318">
        <f t="shared" si="950"/>
        <v>9380</v>
      </c>
      <c r="AX1389" s="193"/>
      <c r="AY1389" s="318">
        <f t="shared" si="951"/>
        <v>9380</v>
      </c>
      <c r="AZ1389" s="318">
        <f t="shared" si="952"/>
        <v>9380</v>
      </c>
      <c r="BA1389" s="318">
        <f t="shared" si="953"/>
        <v>0</v>
      </c>
      <c r="BB1389" s="318">
        <f t="shared" si="954"/>
        <v>18.760000000000002</v>
      </c>
      <c r="BC1389" s="318">
        <v>0</v>
      </c>
      <c r="BD1389" s="136"/>
      <c r="BE1389" s="138">
        <v>93.8</v>
      </c>
      <c r="BF1389" s="321">
        <f t="shared" si="955"/>
        <v>0.14069999999999999</v>
      </c>
      <c r="BG1389" s="197">
        <f t="shared" si="956"/>
        <v>93.659300000000002</v>
      </c>
      <c r="BH1389" s="321">
        <f t="shared" si="957"/>
        <v>93.8</v>
      </c>
      <c r="BI1389" s="322">
        <f t="shared" si="958"/>
        <v>0</v>
      </c>
      <c r="BJ1389" s="322">
        <v>0</v>
      </c>
      <c r="BK1389" s="318">
        <f t="shared" si="959"/>
        <v>0</v>
      </c>
      <c r="BL1389" s="193"/>
      <c r="BM1389" s="449" t="str">
        <f t="shared" si="960"/>
        <v>Unloading no. 1354 Bill No HA/26-27/0453 ,Deduction For Oil Deduction= 27518.106 ,Bardana= 0 ,F.M= 0 Brokerage/Rate Difference  ,Shortage = 0 ,Greenish= 0 ,Moisture= 0</v>
      </c>
      <c r="BN1389" s="193"/>
      <c r="BO1389" s="449" t="str">
        <f t="shared" si="961"/>
        <v xml:space="preserve"> Party Condition 42  ,F.M% 0.3 ,Greenish 3 ,Moisture 5 ,Shortage in KG= 0  ,Oil% 40.46</v>
      </c>
      <c r="BP1389" s="318">
        <f t="shared" si="962"/>
        <v>7707.63</v>
      </c>
      <c r="BQ1389" s="157"/>
      <c r="BR1389" s="157"/>
      <c r="BS1389" s="136"/>
      <c r="BT1389" s="136"/>
      <c r="BU1389" s="136"/>
      <c r="BV1389" s="136"/>
      <c r="BW1389" s="431"/>
      <c r="BX1389" s="27">
        <v>40.29</v>
      </c>
      <c r="BY1389" s="27">
        <v>40.22</v>
      </c>
    </row>
    <row r="1390" spans="1:87" ht="14.1" hidden="1" customHeight="1" x14ac:dyDescent="0.3">
      <c r="A1390" s="281" t="s">
        <v>2670</v>
      </c>
      <c r="B1390" s="146">
        <v>46212</v>
      </c>
      <c r="C1390" s="138">
        <v>1355</v>
      </c>
      <c r="D1390" s="138" t="s">
        <v>2980</v>
      </c>
      <c r="E1390" s="129">
        <v>46224</v>
      </c>
      <c r="F1390" s="281" t="s">
        <v>2497</v>
      </c>
      <c r="G1390" s="128" t="s">
        <v>2498</v>
      </c>
      <c r="H1390" s="128" t="s">
        <v>100</v>
      </c>
      <c r="I1390" s="136"/>
      <c r="J1390" s="138" t="s">
        <v>1146</v>
      </c>
      <c r="K1390" s="136"/>
      <c r="L1390" s="146">
        <v>46212</v>
      </c>
      <c r="M1390" s="136"/>
      <c r="N1390" s="128" t="s">
        <v>3029</v>
      </c>
      <c r="O1390" s="146">
        <v>46224</v>
      </c>
      <c r="P1390" s="138">
        <v>0</v>
      </c>
      <c r="Q1390" s="138">
        <v>110</v>
      </c>
      <c r="R1390" s="138">
        <v>45</v>
      </c>
      <c r="S1390" s="138">
        <v>155</v>
      </c>
      <c r="T1390" s="138">
        <v>155</v>
      </c>
      <c r="U1390" s="136"/>
      <c r="V1390" s="165"/>
      <c r="W1390" s="147">
        <v>92.4</v>
      </c>
      <c r="X1390" s="147">
        <v>92.4</v>
      </c>
      <c r="Y1390" s="147">
        <v>739292.4</v>
      </c>
      <c r="Z1390" s="236">
        <v>41.17</v>
      </c>
      <c r="AA1390" s="147">
        <v>18482.310000000001</v>
      </c>
      <c r="AB1390" s="147">
        <v>18482.310000000001</v>
      </c>
      <c r="AC1390" s="147">
        <v>776257.02</v>
      </c>
      <c r="AD1390" s="315">
        <f t="shared" si="965"/>
        <v>775480.76298</v>
      </c>
      <c r="AE1390" s="147">
        <v>41.17</v>
      </c>
      <c r="AF1390" s="147">
        <v>42</v>
      </c>
      <c r="AG1390" s="147">
        <v>41.17</v>
      </c>
      <c r="AH1390" s="287">
        <v>4.5999999999999999E-3</v>
      </c>
      <c r="AI1390" s="287">
        <v>4.8000000000000001E-2</v>
      </c>
      <c r="AJ1390" s="287">
        <v>5.0999999999999997E-2</v>
      </c>
      <c r="AK1390" s="318">
        <f t="shared" si="946"/>
        <v>14609.82599999997</v>
      </c>
      <c r="AL1390" s="193">
        <v>0</v>
      </c>
      <c r="AM1390" s="319">
        <v>0</v>
      </c>
      <c r="AN1390" s="319"/>
      <c r="AO1390" s="320">
        <f t="shared" si="947"/>
        <v>0</v>
      </c>
      <c r="AP1390" s="193">
        <v>0</v>
      </c>
      <c r="AQ1390" s="318">
        <v>0</v>
      </c>
      <c r="AR1390" s="318">
        <f t="shared" si="948"/>
        <v>14609.82599999997</v>
      </c>
      <c r="AS1390" s="318">
        <f t="shared" si="949"/>
        <v>15340</v>
      </c>
      <c r="AT1390" s="321">
        <v>0</v>
      </c>
      <c r="AU1390" s="157"/>
      <c r="AV1390" s="136"/>
      <c r="AW1390" s="318">
        <f t="shared" si="950"/>
        <v>9240</v>
      </c>
      <c r="AX1390" s="193"/>
      <c r="AY1390" s="318">
        <f t="shared" si="951"/>
        <v>9240</v>
      </c>
      <c r="AZ1390" s="318">
        <f t="shared" si="952"/>
        <v>9240</v>
      </c>
      <c r="BA1390" s="318">
        <f t="shared" si="953"/>
        <v>0</v>
      </c>
      <c r="BB1390" s="318">
        <f t="shared" si="954"/>
        <v>18.48</v>
      </c>
      <c r="BC1390" s="318">
        <v>0</v>
      </c>
      <c r="BD1390" s="136"/>
      <c r="BE1390" s="138">
        <v>92.4</v>
      </c>
      <c r="BF1390" s="321">
        <f t="shared" si="955"/>
        <v>0.1386</v>
      </c>
      <c r="BG1390" s="197">
        <f t="shared" si="956"/>
        <v>92.261400000000009</v>
      </c>
      <c r="BH1390" s="321">
        <f t="shared" si="957"/>
        <v>92.4</v>
      </c>
      <c r="BI1390" s="322">
        <f t="shared" si="958"/>
        <v>0</v>
      </c>
      <c r="BJ1390" s="322">
        <v>0</v>
      </c>
      <c r="BK1390" s="318">
        <f t="shared" si="959"/>
        <v>0</v>
      </c>
      <c r="BL1390" s="193"/>
      <c r="BM1390" s="449" t="str">
        <f t="shared" si="960"/>
        <v>Unloading no. 1355 Bill No HA/26-27/0454 ,Deduction For Oil Deduction= 14609.826 ,Bardana= 0 ,F.M= 0 Brokerage/Rate Difference  ,Shortage = 0 ,Greenish= 0 ,Moisture= 0</v>
      </c>
      <c r="BN1390" s="193"/>
      <c r="BO1390" s="449" t="str">
        <f t="shared" si="961"/>
        <v xml:space="preserve"> Party Condition 42  ,F.M% 0.46 ,Greenish 4.8 ,Moisture 5.1 ,Shortage in KG= 0  ,Oil% 41.17</v>
      </c>
      <c r="BP1390" s="318">
        <f t="shared" si="962"/>
        <v>7842.8849999999993</v>
      </c>
      <c r="BQ1390" s="157"/>
      <c r="BR1390" s="157"/>
      <c r="BS1390" s="136"/>
      <c r="BT1390" s="136"/>
      <c r="BU1390" s="136"/>
      <c r="BV1390" s="136"/>
      <c r="BW1390" s="431"/>
      <c r="BX1390" s="27">
        <v>40.9</v>
      </c>
      <c r="BY1390" s="27">
        <v>40.950000000000003</v>
      </c>
    </row>
    <row r="1391" spans="1:87" ht="14.1" hidden="1" customHeight="1" x14ac:dyDescent="0.3">
      <c r="A1391" s="281" t="s">
        <v>2939</v>
      </c>
      <c r="B1391" s="146">
        <v>46220</v>
      </c>
      <c r="C1391" s="138">
        <v>1356</v>
      </c>
      <c r="D1391" s="138" t="s">
        <v>2981</v>
      </c>
      <c r="E1391" s="129">
        <v>46224</v>
      </c>
      <c r="F1391" s="281" t="s">
        <v>1144</v>
      </c>
      <c r="G1391" s="128" t="s">
        <v>1145</v>
      </c>
      <c r="H1391" s="128" t="s">
        <v>100</v>
      </c>
      <c r="I1391" s="136"/>
      <c r="J1391" s="138" t="s">
        <v>1146</v>
      </c>
      <c r="K1391" s="136"/>
      <c r="L1391" s="146">
        <v>46220</v>
      </c>
      <c r="M1391" s="136"/>
      <c r="N1391" s="128" t="s">
        <v>3030</v>
      </c>
      <c r="O1391" s="146">
        <v>46223</v>
      </c>
      <c r="P1391" s="138">
        <v>0</v>
      </c>
      <c r="Q1391" s="138">
        <v>400</v>
      </c>
      <c r="R1391" s="138">
        <v>110</v>
      </c>
      <c r="S1391" s="138">
        <v>510</v>
      </c>
      <c r="T1391" s="138">
        <v>510</v>
      </c>
      <c r="U1391" s="136"/>
      <c r="V1391" s="136"/>
      <c r="W1391" s="147">
        <v>305.85000000000002</v>
      </c>
      <c r="X1391" s="147">
        <v>305.7</v>
      </c>
      <c r="Y1391" s="147">
        <v>2509499.25</v>
      </c>
      <c r="Z1391" s="147">
        <v>39.799999999999997</v>
      </c>
      <c r="AA1391" s="147">
        <v>62737.48</v>
      </c>
      <c r="AB1391" s="147">
        <v>62737.48</v>
      </c>
      <c r="AC1391" s="147">
        <v>2634974.21</v>
      </c>
      <c r="AD1391" s="315">
        <f t="shared" si="965"/>
        <v>2632339.2357899998</v>
      </c>
      <c r="AE1391" s="147">
        <v>39.799999999999997</v>
      </c>
      <c r="AF1391" s="147">
        <v>42</v>
      </c>
      <c r="AG1391" s="147">
        <v>39.799999999999997</v>
      </c>
      <c r="AH1391" s="287">
        <v>6.4999999999999997E-3</v>
      </c>
      <c r="AI1391" s="287">
        <v>2.8000000000000001E-2</v>
      </c>
      <c r="AJ1391" s="287">
        <v>5.0999999999999997E-2</v>
      </c>
      <c r="AK1391" s="318">
        <f t="shared" si="946"/>
        <v>131449.9607142859</v>
      </c>
      <c r="AL1391" s="193">
        <v>0</v>
      </c>
      <c r="AM1391" s="319">
        <v>0</v>
      </c>
      <c r="AN1391" s="319"/>
      <c r="AO1391" s="320">
        <f t="shared" si="947"/>
        <v>0</v>
      </c>
      <c r="AP1391" s="193">
        <v>0</v>
      </c>
      <c r="AQ1391" s="318">
        <v>0</v>
      </c>
      <c r="AR1391" s="318">
        <f t="shared" si="948"/>
        <v>131449.9607142859</v>
      </c>
      <c r="AS1391" s="318">
        <f t="shared" si="949"/>
        <v>138022</v>
      </c>
      <c r="AT1391" s="321">
        <v>0</v>
      </c>
      <c r="AU1391" s="157"/>
      <c r="AV1391" s="136"/>
      <c r="AW1391" s="318">
        <f t="shared" si="950"/>
        <v>30585.000000000004</v>
      </c>
      <c r="AX1391" s="193"/>
      <c r="AY1391" s="318">
        <f t="shared" si="951"/>
        <v>30585.000000000004</v>
      </c>
      <c r="AZ1391" s="318">
        <f t="shared" si="952"/>
        <v>30570</v>
      </c>
      <c r="BA1391" s="318">
        <f t="shared" si="953"/>
        <v>15.000000000003638</v>
      </c>
      <c r="BB1391" s="318">
        <f t="shared" si="954"/>
        <v>61.170000000000009</v>
      </c>
      <c r="BC1391" s="318">
        <v>0</v>
      </c>
      <c r="BD1391" s="136"/>
      <c r="BE1391" s="138">
        <v>305.85000000000002</v>
      </c>
      <c r="BF1391" s="321">
        <f t="shared" si="955"/>
        <v>0.45877500000000004</v>
      </c>
      <c r="BG1391" s="197">
        <f t="shared" si="956"/>
        <v>305.39122500000002</v>
      </c>
      <c r="BH1391" s="321">
        <f t="shared" si="957"/>
        <v>305.7</v>
      </c>
      <c r="BI1391" s="322">
        <f t="shared" si="958"/>
        <v>15.000000000003411</v>
      </c>
      <c r="BJ1391" s="322">
        <v>0</v>
      </c>
      <c r="BK1391" s="318">
        <f t="shared" si="959"/>
        <v>15.000000000003411</v>
      </c>
      <c r="BL1391" s="193"/>
      <c r="BM1391" s="449" t="str">
        <f t="shared" si="960"/>
        <v>Unloading no. 1356 Bill No 2026-27/472 ,Deduction For Oil Deduction= 131449.960714286 ,Bardana= 0 ,F.M= 0 Brokerage/Rate Difference  ,Shortage = 0 ,Greenish= 0 ,Moisture= 0</v>
      </c>
      <c r="BN1391" s="193"/>
      <c r="BO1391" s="449" t="str">
        <f t="shared" si="961"/>
        <v xml:space="preserve"> Party Condition 42  ,F.M% 0.65 ,Greenish 2.8 ,Moisture 5.1 ,Shortage in KG= 0  ,Oil% 39.8</v>
      </c>
      <c r="BP1391" s="318">
        <f t="shared" si="962"/>
        <v>7779.0294055797003</v>
      </c>
      <c r="BQ1391" s="157"/>
      <c r="BR1391" s="157"/>
      <c r="BS1391" s="136"/>
      <c r="BT1391" s="136"/>
      <c r="BU1391" s="136"/>
      <c r="BV1391" s="136"/>
      <c r="BW1391" s="431"/>
      <c r="BX1391" s="27">
        <v>39.549999999999997</v>
      </c>
      <c r="BY1391" s="27">
        <v>39.54</v>
      </c>
    </row>
    <row r="1392" spans="1:87" ht="14.1" hidden="1" customHeight="1" x14ac:dyDescent="0.3">
      <c r="A1392" s="281" t="s">
        <v>2670</v>
      </c>
      <c r="B1392" s="146">
        <v>46212</v>
      </c>
      <c r="C1392" s="138">
        <v>1357</v>
      </c>
      <c r="D1392" s="138" t="s">
        <v>2982</v>
      </c>
      <c r="E1392" s="129">
        <v>46224</v>
      </c>
      <c r="F1392" s="281" t="s">
        <v>2497</v>
      </c>
      <c r="G1392" s="128" t="s">
        <v>2498</v>
      </c>
      <c r="H1392" s="128" t="s">
        <v>100</v>
      </c>
      <c r="I1392" s="136"/>
      <c r="J1392" s="138" t="s">
        <v>1146</v>
      </c>
      <c r="K1392" s="136"/>
      <c r="L1392" s="146">
        <v>46212</v>
      </c>
      <c r="M1392" s="136"/>
      <c r="N1392" s="128" t="s">
        <v>3031</v>
      </c>
      <c r="O1392" s="146">
        <v>46224</v>
      </c>
      <c r="P1392" s="138">
        <v>0</v>
      </c>
      <c r="Q1392" s="138">
        <v>120</v>
      </c>
      <c r="R1392" s="138">
        <v>35</v>
      </c>
      <c r="S1392" s="138">
        <v>155</v>
      </c>
      <c r="T1392" s="138">
        <v>155</v>
      </c>
      <c r="U1392" s="136"/>
      <c r="V1392" s="165"/>
      <c r="W1392" s="147">
        <v>93.4</v>
      </c>
      <c r="X1392" s="147">
        <v>93.2</v>
      </c>
      <c r="Y1392" s="147">
        <v>747293.4</v>
      </c>
      <c r="Z1392" s="236">
        <v>40.770000000000003</v>
      </c>
      <c r="AA1392" s="147">
        <v>18682.34</v>
      </c>
      <c r="AB1392" s="147">
        <v>18682.34</v>
      </c>
      <c r="AC1392" s="147">
        <v>784658.07</v>
      </c>
      <c r="AD1392" s="315">
        <f t="shared" si="965"/>
        <v>783873.41192999994</v>
      </c>
      <c r="AE1392" s="147">
        <v>40.770000000000003</v>
      </c>
      <c r="AF1392" s="147">
        <v>42</v>
      </c>
      <c r="AG1392" s="147">
        <v>40.770000000000003</v>
      </c>
      <c r="AH1392" s="287">
        <v>2.8E-3</v>
      </c>
      <c r="AI1392" s="287">
        <v>4.3799999999999999E-2</v>
      </c>
      <c r="AJ1392" s="287">
        <v>5.0999999999999997E-2</v>
      </c>
      <c r="AK1392" s="318">
        <f t="shared" si="946"/>
        <v>21885.020999999942</v>
      </c>
      <c r="AL1392" s="193">
        <v>0</v>
      </c>
      <c r="AM1392" s="319">
        <v>0</v>
      </c>
      <c r="AN1392" s="319"/>
      <c r="AO1392" s="320">
        <f t="shared" si="947"/>
        <v>0</v>
      </c>
      <c r="AP1392" s="193">
        <v>0</v>
      </c>
      <c r="AQ1392" s="318">
        <v>0</v>
      </c>
      <c r="AR1392" s="318">
        <f t="shared" si="948"/>
        <v>21885.020999999942</v>
      </c>
      <c r="AS1392" s="318">
        <f t="shared" si="949"/>
        <v>22979</v>
      </c>
      <c r="AT1392" s="321">
        <v>0</v>
      </c>
      <c r="AU1392" s="157"/>
      <c r="AV1392" s="136"/>
      <c r="AW1392" s="318">
        <f t="shared" si="950"/>
        <v>9340</v>
      </c>
      <c r="AX1392" s="193"/>
      <c r="AY1392" s="318">
        <f t="shared" si="951"/>
        <v>9340</v>
      </c>
      <c r="AZ1392" s="318">
        <f t="shared" si="952"/>
        <v>9320</v>
      </c>
      <c r="BA1392" s="318">
        <f t="shared" si="953"/>
        <v>20</v>
      </c>
      <c r="BB1392" s="318">
        <f t="shared" si="954"/>
        <v>18.68</v>
      </c>
      <c r="BC1392" s="318">
        <v>0</v>
      </c>
      <c r="BD1392" s="136"/>
      <c r="BE1392" s="138">
        <v>93.4</v>
      </c>
      <c r="BF1392" s="321">
        <f t="shared" si="955"/>
        <v>0.1401</v>
      </c>
      <c r="BG1392" s="197">
        <f t="shared" si="956"/>
        <v>93.259900000000002</v>
      </c>
      <c r="BH1392" s="321">
        <f t="shared" si="957"/>
        <v>93.2</v>
      </c>
      <c r="BI1392" s="322">
        <f t="shared" si="958"/>
        <v>20.000000000000284</v>
      </c>
      <c r="BJ1392" s="322">
        <v>0</v>
      </c>
      <c r="BK1392" s="318">
        <f t="shared" si="959"/>
        <v>20.000000000000284</v>
      </c>
      <c r="BL1392" s="193"/>
      <c r="BM1392" s="449" t="str">
        <f t="shared" si="960"/>
        <v>Unloading no. 1357 Bill No HA/26-27/0456 ,Deduction For Oil Deduction= 21885.0209999999 ,Bardana= 0 ,F.M= 0 Brokerage/Rate Difference  ,Shortage = 0 ,Greenish= 0 ,Moisture= 0</v>
      </c>
      <c r="BN1392" s="193"/>
      <c r="BO1392" s="449" t="str">
        <f t="shared" si="961"/>
        <v xml:space="preserve"> Party Condition 42  ,F.M% 0.28 ,Greenish 4.38 ,Moisture 5.1 ,Shortage in KG= 0  ,Oil% 40.77</v>
      </c>
      <c r="BP1392" s="318">
        <f t="shared" si="962"/>
        <v>7783.3517060085842</v>
      </c>
      <c r="BQ1392" s="157"/>
      <c r="BR1392" s="157"/>
      <c r="BS1392" s="136"/>
      <c r="BT1392" s="136"/>
      <c r="BU1392" s="136"/>
      <c r="BV1392" s="136"/>
      <c r="BW1392" s="431"/>
      <c r="BX1392" s="27">
        <v>40.9</v>
      </c>
      <c r="BY1392" s="27">
        <v>40.79</v>
      </c>
    </row>
    <row r="1393" spans="1:83" ht="14.1" hidden="1" customHeight="1" x14ac:dyDescent="0.3">
      <c r="A1393" s="281" t="s">
        <v>2670</v>
      </c>
      <c r="B1393" s="146">
        <v>46212</v>
      </c>
      <c r="C1393" s="138">
        <v>1358</v>
      </c>
      <c r="D1393" s="138" t="s">
        <v>2983</v>
      </c>
      <c r="E1393" s="129">
        <v>46224</v>
      </c>
      <c r="F1393" s="281" t="s">
        <v>2497</v>
      </c>
      <c r="G1393" s="128" t="s">
        <v>2498</v>
      </c>
      <c r="H1393" s="128" t="s">
        <v>100</v>
      </c>
      <c r="I1393" s="136"/>
      <c r="J1393" s="138" t="s">
        <v>1146</v>
      </c>
      <c r="K1393" s="136"/>
      <c r="L1393" s="146">
        <v>46212</v>
      </c>
      <c r="M1393" s="136"/>
      <c r="N1393" s="128" t="s">
        <v>3032</v>
      </c>
      <c r="O1393" s="146">
        <v>46224</v>
      </c>
      <c r="P1393" s="138">
        <v>0</v>
      </c>
      <c r="Q1393" s="138">
        <v>145</v>
      </c>
      <c r="R1393" s="138">
        <v>10</v>
      </c>
      <c r="S1393" s="138">
        <v>155</v>
      </c>
      <c r="T1393" s="138">
        <v>155</v>
      </c>
      <c r="U1393" s="136"/>
      <c r="V1393" s="165"/>
      <c r="W1393" s="147">
        <v>93.4</v>
      </c>
      <c r="X1393" s="147">
        <v>93.3</v>
      </c>
      <c r="Y1393" s="147">
        <v>747293.4</v>
      </c>
      <c r="Z1393" s="236">
        <v>41</v>
      </c>
      <c r="AA1393" s="147">
        <v>18682.34</v>
      </c>
      <c r="AB1393" s="147">
        <v>18682.34</v>
      </c>
      <c r="AC1393" s="147">
        <v>784658.07</v>
      </c>
      <c r="AD1393" s="315">
        <f t="shared" si="965"/>
        <v>783873.41192999994</v>
      </c>
      <c r="AE1393" s="147">
        <v>41</v>
      </c>
      <c r="AF1393" s="147">
        <v>42</v>
      </c>
      <c r="AG1393" s="147">
        <v>41</v>
      </c>
      <c r="AH1393" s="287">
        <v>4.5999999999999999E-3</v>
      </c>
      <c r="AI1393" s="287">
        <v>4.6699999999999998E-2</v>
      </c>
      <c r="AJ1393" s="287">
        <v>5.1999999999999998E-2</v>
      </c>
      <c r="AK1393" s="318">
        <f t="shared" si="946"/>
        <v>17792.7</v>
      </c>
      <c r="AL1393" s="193">
        <v>0</v>
      </c>
      <c r="AM1393" s="319">
        <v>0</v>
      </c>
      <c r="AN1393" s="319"/>
      <c r="AO1393" s="320">
        <f t="shared" si="947"/>
        <v>0</v>
      </c>
      <c r="AP1393" s="193">
        <v>0</v>
      </c>
      <c r="AQ1393" s="318">
        <v>0</v>
      </c>
      <c r="AR1393" s="318">
        <f t="shared" si="948"/>
        <v>17792.7</v>
      </c>
      <c r="AS1393" s="318">
        <f t="shared" si="949"/>
        <v>18682</v>
      </c>
      <c r="AT1393" s="321">
        <v>0</v>
      </c>
      <c r="AU1393" s="157"/>
      <c r="AV1393" s="136"/>
      <c r="AW1393" s="318">
        <f t="shared" si="950"/>
        <v>9340</v>
      </c>
      <c r="AX1393" s="193"/>
      <c r="AY1393" s="318">
        <f t="shared" si="951"/>
        <v>9340</v>
      </c>
      <c r="AZ1393" s="318">
        <f t="shared" si="952"/>
        <v>9330</v>
      </c>
      <c r="BA1393" s="318">
        <f t="shared" si="953"/>
        <v>10</v>
      </c>
      <c r="BB1393" s="318">
        <f t="shared" si="954"/>
        <v>18.68</v>
      </c>
      <c r="BC1393" s="318">
        <v>0</v>
      </c>
      <c r="BD1393" s="136"/>
      <c r="BE1393" s="138">
        <v>93.4</v>
      </c>
      <c r="BF1393" s="321">
        <f t="shared" si="955"/>
        <v>0.1401</v>
      </c>
      <c r="BG1393" s="197">
        <f t="shared" si="956"/>
        <v>93.259900000000002</v>
      </c>
      <c r="BH1393" s="321">
        <f t="shared" si="957"/>
        <v>93.3</v>
      </c>
      <c r="BI1393" s="322">
        <f t="shared" si="958"/>
        <v>10.000000000000853</v>
      </c>
      <c r="BJ1393" s="322">
        <v>0</v>
      </c>
      <c r="BK1393" s="318">
        <f t="shared" si="959"/>
        <v>10.000000000000853</v>
      </c>
      <c r="BL1393" s="193"/>
      <c r="BM1393" s="449" t="str">
        <f t="shared" si="960"/>
        <v>Unloading no. 1358 Bill No HA/26-27/0457 ,Deduction For Oil Deduction= 17792.7 ,Bardana= 0 ,F.M= 0 Brokerage/Rate Difference  ,Shortage = 0 ,Greenish= 0 ,Moisture= 0</v>
      </c>
      <c r="BN1393" s="193"/>
      <c r="BO1393" s="449" t="str">
        <f t="shared" si="961"/>
        <v xml:space="preserve"> Party Condition 42  ,F.M% 0.46 ,Greenish 4.67 ,Moisture 5.2 ,Shortage in KG= 0  ,Oil% 41</v>
      </c>
      <c r="BP1393" s="318">
        <f t="shared" si="962"/>
        <v>7818.8713826366566</v>
      </c>
      <c r="BQ1393" s="157"/>
      <c r="BR1393" s="157"/>
      <c r="BS1393" s="136"/>
      <c r="BT1393" s="136"/>
      <c r="BU1393" s="136"/>
      <c r="BV1393" s="136"/>
      <c r="BW1393" s="431"/>
      <c r="BX1393" s="27">
        <v>40.9</v>
      </c>
      <c r="BY1393" s="27">
        <v>40.770000000000003</v>
      </c>
    </row>
    <row r="1394" spans="1:83" ht="14.1" hidden="1" customHeight="1" x14ac:dyDescent="0.3">
      <c r="A1394" s="281" t="s">
        <v>2670</v>
      </c>
      <c r="B1394" s="146">
        <v>46212</v>
      </c>
      <c r="C1394" s="138">
        <v>1359</v>
      </c>
      <c r="D1394" s="138" t="s">
        <v>2984</v>
      </c>
      <c r="E1394" s="129">
        <v>46224</v>
      </c>
      <c r="F1394" s="281" t="s">
        <v>2497</v>
      </c>
      <c r="G1394" s="128" t="s">
        <v>2498</v>
      </c>
      <c r="H1394" s="128" t="s">
        <v>100</v>
      </c>
      <c r="I1394" s="136"/>
      <c r="J1394" s="138" t="s">
        <v>1146</v>
      </c>
      <c r="K1394" s="136"/>
      <c r="L1394" s="146">
        <v>46212</v>
      </c>
      <c r="M1394" s="136"/>
      <c r="N1394" s="128" t="s">
        <v>3033</v>
      </c>
      <c r="O1394" s="146">
        <v>46224</v>
      </c>
      <c r="P1394" s="138">
        <v>0</v>
      </c>
      <c r="Q1394" s="138">
        <v>125</v>
      </c>
      <c r="R1394" s="138">
        <v>30</v>
      </c>
      <c r="S1394" s="138">
        <v>155</v>
      </c>
      <c r="T1394" s="138">
        <v>155</v>
      </c>
      <c r="U1394" s="136"/>
      <c r="V1394" s="165"/>
      <c r="W1394" s="147">
        <v>93.3</v>
      </c>
      <c r="X1394" s="147">
        <v>93.2</v>
      </c>
      <c r="Y1394" s="147">
        <v>746493.3</v>
      </c>
      <c r="Z1394" s="236">
        <v>40.85</v>
      </c>
      <c r="AA1394" s="147">
        <v>18662.330000000002</v>
      </c>
      <c r="AB1394" s="147">
        <v>18662.330000000002</v>
      </c>
      <c r="AC1394" s="147">
        <v>783817.97</v>
      </c>
      <c r="AD1394" s="315">
        <f t="shared" si="965"/>
        <v>783034.15203</v>
      </c>
      <c r="AE1394" s="147">
        <v>40.85</v>
      </c>
      <c r="AF1394" s="147">
        <v>42</v>
      </c>
      <c r="AG1394" s="147">
        <v>40.85</v>
      </c>
      <c r="AH1394" s="287">
        <v>4.4000000000000003E-3</v>
      </c>
      <c r="AI1394" s="287">
        <v>5.2600000000000001E-2</v>
      </c>
      <c r="AJ1394" s="287">
        <v>5.3999999999999999E-2</v>
      </c>
      <c r="AK1394" s="318">
        <f t="shared" si="946"/>
        <v>20439.697499999977</v>
      </c>
      <c r="AL1394" s="193">
        <v>0</v>
      </c>
      <c r="AM1394" s="319">
        <v>0</v>
      </c>
      <c r="AN1394" s="319"/>
      <c r="AO1394" s="320">
        <f t="shared" si="947"/>
        <v>0</v>
      </c>
      <c r="AP1394" s="193">
        <v>0</v>
      </c>
      <c r="AQ1394" s="318">
        <v>0</v>
      </c>
      <c r="AR1394" s="318">
        <f t="shared" si="948"/>
        <v>20439.697499999977</v>
      </c>
      <c r="AS1394" s="318">
        <f t="shared" si="949"/>
        <v>21462</v>
      </c>
      <c r="AT1394" s="321">
        <v>0</v>
      </c>
      <c r="AU1394" s="157"/>
      <c r="AV1394" s="136"/>
      <c r="AW1394" s="318">
        <f t="shared" si="950"/>
        <v>9330</v>
      </c>
      <c r="AX1394" s="193"/>
      <c r="AY1394" s="318">
        <f t="shared" si="951"/>
        <v>9330</v>
      </c>
      <c r="AZ1394" s="318">
        <f t="shared" si="952"/>
        <v>9320</v>
      </c>
      <c r="BA1394" s="318">
        <f t="shared" si="953"/>
        <v>10</v>
      </c>
      <c r="BB1394" s="318">
        <f t="shared" si="954"/>
        <v>18.66</v>
      </c>
      <c r="BC1394" s="318">
        <v>0</v>
      </c>
      <c r="BD1394" s="136"/>
      <c r="BE1394" s="138">
        <v>93.3</v>
      </c>
      <c r="BF1394" s="321">
        <f t="shared" si="955"/>
        <v>0.13994999999999999</v>
      </c>
      <c r="BG1394" s="197">
        <f t="shared" si="956"/>
        <v>93.160049999999998</v>
      </c>
      <c r="BH1394" s="321">
        <f t="shared" si="957"/>
        <v>93.2</v>
      </c>
      <c r="BI1394" s="322">
        <f t="shared" si="958"/>
        <v>9.9999999999994316</v>
      </c>
      <c r="BJ1394" s="322">
        <v>0</v>
      </c>
      <c r="BK1394" s="318">
        <f t="shared" si="959"/>
        <v>9.9999999999994316</v>
      </c>
      <c r="BL1394" s="193"/>
      <c r="BM1394" s="449" t="str">
        <f t="shared" si="960"/>
        <v>Unloading no. 1359 Bill No HA/26-27/0458 ,Deduction For Oil Deduction= 20439.6975 ,Bardana= 0 ,F.M= 0 Brokerage/Rate Difference  ,Shortage = 0 ,Greenish= 0 ,Moisture= 0</v>
      </c>
      <c r="BN1394" s="193"/>
      <c r="BO1394" s="449" t="str">
        <f t="shared" si="961"/>
        <v xml:space="preserve"> Party Condition 42  ,F.M% 0.44 ,Greenish 5.26 ,Moisture 5.4 ,Shortage in KG= 0  ,Oil% 40.85</v>
      </c>
      <c r="BP1394" s="318">
        <f t="shared" si="962"/>
        <v>7790.2747049356221</v>
      </c>
      <c r="BQ1394" s="157"/>
      <c r="BR1394" s="157"/>
      <c r="BS1394" s="136"/>
      <c r="BT1394" s="136"/>
      <c r="BU1394" s="136"/>
      <c r="BV1394" s="136"/>
      <c r="BW1394" s="431"/>
      <c r="BX1394" s="27">
        <v>40.549999999999997</v>
      </c>
      <c r="BY1394" s="27">
        <v>40.33</v>
      </c>
    </row>
    <row r="1395" spans="1:83" ht="14.1" hidden="1" customHeight="1" x14ac:dyDescent="0.3">
      <c r="A1395" s="281" t="s">
        <v>2670</v>
      </c>
      <c r="B1395" s="146">
        <v>46212</v>
      </c>
      <c r="C1395" s="138">
        <v>1360</v>
      </c>
      <c r="D1395" s="138" t="s">
        <v>2985</v>
      </c>
      <c r="E1395" s="129">
        <v>46224</v>
      </c>
      <c r="F1395" s="281" t="s">
        <v>2497</v>
      </c>
      <c r="G1395" s="128" t="s">
        <v>2498</v>
      </c>
      <c r="H1395" s="128" t="s">
        <v>100</v>
      </c>
      <c r="I1395" s="136"/>
      <c r="J1395" s="138" t="s">
        <v>1146</v>
      </c>
      <c r="K1395" s="136"/>
      <c r="L1395" s="146">
        <v>46212</v>
      </c>
      <c r="M1395" s="136"/>
      <c r="N1395" s="128" t="s">
        <v>3034</v>
      </c>
      <c r="O1395" s="146">
        <v>46224</v>
      </c>
      <c r="P1395" s="138">
        <v>0</v>
      </c>
      <c r="Q1395" s="138">
        <v>140</v>
      </c>
      <c r="R1395" s="138">
        <v>15</v>
      </c>
      <c r="S1395" s="138">
        <v>155</v>
      </c>
      <c r="T1395" s="138">
        <v>155</v>
      </c>
      <c r="U1395" s="136"/>
      <c r="V1395" s="165"/>
      <c r="W1395" s="147">
        <v>93.9</v>
      </c>
      <c r="X1395" s="147">
        <v>93.8</v>
      </c>
      <c r="Y1395" s="147">
        <v>751293.9</v>
      </c>
      <c r="Z1395" s="236">
        <v>40.21</v>
      </c>
      <c r="AA1395" s="147">
        <v>18782.349999999999</v>
      </c>
      <c r="AB1395" s="147">
        <v>18782.349999999999</v>
      </c>
      <c r="AC1395" s="147">
        <v>788858.6</v>
      </c>
      <c r="AD1395" s="315">
        <f t="shared" si="965"/>
        <v>788069.74139999994</v>
      </c>
      <c r="AE1395" s="147">
        <v>40.21</v>
      </c>
      <c r="AF1395" s="147">
        <v>42</v>
      </c>
      <c r="AG1395" s="147">
        <v>40.21</v>
      </c>
      <c r="AH1395" s="287">
        <v>4.1999999999999997E-3</v>
      </c>
      <c r="AI1395" s="287">
        <v>4.9399999999999999E-2</v>
      </c>
      <c r="AJ1395" s="287">
        <v>5.5E-2</v>
      </c>
      <c r="AK1395" s="318">
        <f t="shared" si="946"/>
        <v>32019.430499999984</v>
      </c>
      <c r="AL1395" s="193">
        <v>0</v>
      </c>
      <c r="AM1395" s="319">
        <v>0</v>
      </c>
      <c r="AN1395" s="319"/>
      <c r="AO1395" s="320">
        <f t="shared" si="947"/>
        <v>0</v>
      </c>
      <c r="AP1395" s="193">
        <v>0</v>
      </c>
      <c r="AQ1395" s="318">
        <v>0</v>
      </c>
      <c r="AR1395" s="318">
        <f t="shared" si="948"/>
        <v>32019.430499999984</v>
      </c>
      <c r="AS1395" s="318">
        <f t="shared" si="949"/>
        <v>33620</v>
      </c>
      <c r="AT1395" s="321">
        <v>0</v>
      </c>
      <c r="AU1395" s="157"/>
      <c r="AV1395" s="136"/>
      <c r="AW1395" s="318">
        <f t="shared" si="950"/>
        <v>9390</v>
      </c>
      <c r="AX1395" s="193"/>
      <c r="AY1395" s="318">
        <f t="shared" si="951"/>
        <v>9390</v>
      </c>
      <c r="AZ1395" s="318">
        <f t="shared" si="952"/>
        <v>9380</v>
      </c>
      <c r="BA1395" s="318">
        <f t="shared" si="953"/>
        <v>10</v>
      </c>
      <c r="BB1395" s="318">
        <f t="shared" si="954"/>
        <v>18.78</v>
      </c>
      <c r="BC1395" s="318">
        <v>0</v>
      </c>
      <c r="BD1395" s="136"/>
      <c r="BE1395" s="138">
        <v>93.9</v>
      </c>
      <c r="BF1395" s="321">
        <f t="shared" si="955"/>
        <v>0.14085</v>
      </c>
      <c r="BG1395" s="197">
        <f t="shared" si="956"/>
        <v>93.759150000000005</v>
      </c>
      <c r="BH1395" s="321">
        <f t="shared" si="957"/>
        <v>93.8</v>
      </c>
      <c r="BI1395" s="322">
        <f t="shared" si="958"/>
        <v>10.000000000000853</v>
      </c>
      <c r="BJ1395" s="322">
        <v>0</v>
      </c>
      <c r="BK1395" s="318">
        <f t="shared" si="959"/>
        <v>10.000000000000853</v>
      </c>
      <c r="BL1395" s="193"/>
      <c r="BM1395" s="449" t="str">
        <f t="shared" si="960"/>
        <v>Unloading no. 1360 Bill No HA/26-27/0459 ,Deduction For Oil Deduction= 32019.4305 ,Bardana= 0 ,F.M= 0 Brokerage/Rate Difference  ,Shortage = 0 ,Greenish= 0 ,Moisture= 0</v>
      </c>
      <c r="BN1395" s="193"/>
      <c r="BO1395" s="449" t="str">
        <f t="shared" si="961"/>
        <v xml:space="preserve"> Party Condition 42  ,F.M% 0.42 ,Greenish 4.94 ,Moisture 5.5 ,Shortage in KG= 0  ,Oil% 40.21</v>
      </c>
      <c r="BP1395" s="318">
        <f t="shared" si="962"/>
        <v>7668.1713166311301</v>
      </c>
      <c r="BQ1395" s="157"/>
      <c r="BR1395" s="157"/>
      <c r="BS1395" s="136"/>
      <c r="BT1395" s="136"/>
      <c r="BU1395" s="136"/>
      <c r="BV1395" s="136"/>
      <c r="BW1395" s="431"/>
      <c r="BX1395" s="27">
        <v>40.26</v>
      </c>
      <c r="BY1395" s="27">
        <v>40.1</v>
      </c>
    </row>
    <row r="1396" spans="1:83" ht="14.1" hidden="1" customHeight="1" x14ac:dyDescent="0.3">
      <c r="A1396" s="281" t="s">
        <v>2670</v>
      </c>
      <c r="B1396" s="146">
        <v>46212</v>
      </c>
      <c r="C1396" s="138">
        <v>1361</v>
      </c>
      <c r="D1396" s="138" t="s">
        <v>2986</v>
      </c>
      <c r="E1396" s="129">
        <v>46224</v>
      </c>
      <c r="F1396" s="281" t="s">
        <v>2497</v>
      </c>
      <c r="G1396" s="128" t="s">
        <v>2498</v>
      </c>
      <c r="H1396" s="128" t="s">
        <v>100</v>
      </c>
      <c r="I1396" s="136"/>
      <c r="J1396" s="138" t="s">
        <v>1146</v>
      </c>
      <c r="K1396" s="136"/>
      <c r="L1396" s="146">
        <v>46212</v>
      </c>
      <c r="M1396" s="136"/>
      <c r="N1396" s="128" t="s">
        <v>3035</v>
      </c>
      <c r="O1396" s="146">
        <v>46224</v>
      </c>
      <c r="P1396" s="138">
        <v>0</v>
      </c>
      <c r="Q1396" s="138">
        <v>135</v>
      </c>
      <c r="R1396" s="138">
        <v>20</v>
      </c>
      <c r="S1396" s="138">
        <v>155</v>
      </c>
      <c r="T1396" s="138">
        <v>155</v>
      </c>
      <c r="U1396" s="136"/>
      <c r="V1396" s="165"/>
      <c r="W1396" s="147">
        <v>92.9</v>
      </c>
      <c r="X1396" s="147">
        <v>92.8</v>
      </c>
      <c r="Y1396" s="147">
        <v>743292.9</v>
      </c>
      <c r="Z1396" s="236">
        <v>40.03</v>
      </c>
      <c r="AA1396" s="147">
        <v>18582.32</v>
      </c>
      <c r="AB1396" s="147">
        <v>18582.32</v>
      </c>
      <c r="AC1396" s="147">
        <v>780457.55</v>
      </c>
      <c r="AD1396" s="315">
        <f t="shared" si="965"/>
        <v>779677.09245</v>
      </c>
      <c r="AE1396" s="147">
        <v>40.03</v>
      </c>
      <c r="AF1396" s="147">
        <v>42</v>
      </c>
      <c r="AG1396" s="147">
        <v>40.03</v>
      </c>
      <c r="AH1396" s="287">
        <v>3.8E-3</v>
      </c>
      <c r="AI1396" s="287">
        <v>4.53E-2</v>
      </c>
      <c r="AJ1396" s="287">
        <v>5.1999999999999998E-2</v>
      </c>
      <c r="AK1396" s="318">
        <f t="shared" si="946"/>
        <v>34863.976499999982</v>
      </c>
      <c r="AL1396" s="193">
        <v>0</v>
      </c>
      <c r="AM1396" s="319">
        <v>0</v>
      </c>
      <c r="AN1396" s="319"/>
      <c r="AO1396" s="320">
        <f t="shared" si="947"/>
        <v>0</v>
      </c>
      <c r="AP1396" s="193">
        <v>0</v>
      </c>
      <c r="AQ1396" s="318">
        <v>0</v>
      </c>
      <c r="AR1396" s="318">
        <f t="shared" si="948"/>
        <v>34863.976499999982</v>
      </c>
      <c r="AS1396" s="318">
        <f t="shared" si="949"/>
        <v>36607</v>
      </c>
      <c r="AT1396" s="321">
        <v>0</v>
      </c>
      <c r="AU1396" s="157"/>
      <c r="AV1396" s="136"/>
      <c r="AW1396" s="318">
        <f t="shared" si="950"/>
        <v>9290</v>
      </c>
      <c r="AX1396" s="193"/>
      <c r="AY1396" s="318">
        <f t="shared" si="951"/>
        <v>9290</v>
      </c>
      <c r="AZ1396" s="318">
        <f t="shared" si="952"/>
        <v>9280</v>
      </c>
      <c r="BA1396" s="318">
        <f t="shared" si="953"/>
        <v>10</v>
      </c>
      <c r="BB1396" s="318">
        <f t="shared" si="954"/>
        <v>18.579999999999998</v>
      </c>
      <c r="BC1396" s="318">
        <v>0</v>
      </c>
      <c r="BD1396" s="136"/>
      <c r="BE1396" s="138">
        <v>92.9</v>
      </c>
      <c r="BF1396" s="321">
        <f t="shared" si="955"/>
        <v>0.13935</v>
      </c>
      <c r="BG1396" s="197">
        <f t="shared" si="956"/>
        <v>92.760650000000012</v>
      </c>
      <c r="BH1396" s="321">
        <f t="shared" si="957"/>
        <v>92.8</v>
      </c>
      <c r="BI1396" s="322">
        <f t="shared" si="958"/>
        <v>10.000000000000853</v>
      </c>
      <c r="BJ1396" s="322">
        <v>0</v>
      </c>
      <c r="BK1396" s="318">
        <f t="shared" si="959"/>
        <v>10.000000000000853</v>
      </c>
      <c r="BL1396" s="193"/>
      <c r="BM1396" s="449" t="str">
        <f t="shared" si="960"/>
        <v>Unloading no. 1361 Bill No HA/26-27/0460 ,Deduction For Oil Deduction= 34863.9765 ,Bardana= 0 ,F.M= 0 Brokerage/Rate Difference  ,Shortage = 0 ,Greenish= 0 ,Moisture= 0</v>
      </c>
      <c r="BN1396" s="193"/>
      <c r="BO1396" s="449" t="str">
        <f t="shared" si="961"/>
        <v xml:space="preserve"> Party Condition 42  ,F.M% 0.38 ,Greenish 4.53 ,Moisture 5.2 ,Shortage in KG= 0  ,Oil% 40.03</v>
      </c>
      <c r="BP1396" s="318">
        <f t="shared" si="962"/>
        <v>7633.9323653017245</v>
      </c>
      <c r="BQ1396" s="157"/>
      <c r="BR1396" s="157"/>
      <c r="BS1396" s="136"/>
      <c r="BT1396" s="136"/>
      <c r="BU1396" s="136"/>
      <c r="BV1396" s="136"/>
      <c r="BW1396" s="431"/>
      <c r="BX1396" s="27">
        <v>39.799999999999997</v>
      </c>
      <c r="BY1396" s="27">
        <v>39.76</v>
      </c>
    </row>
    <row r="1397" spans="1:83" ht="14.1" hidden="1" customHeight="1" x14ac:dyDescent="0.3">
      <c r="A1397" s="281" t="s">
        <v>2670</v>
      </c>
      <c r="B1397" s="146">
        <v>46212</v>
      </c>
      <c r="C1397" s="138">
        <v>1362</v>
      </c>
      <c r="D1397" s="138" t="s">
        <v>2987</v>
      </c>
      <c r="E1397" s="129">
        <v>46224</v>
      </c>
      <c r="F1397" s="281" t="s">
        <v>2497</v>
      </c>
      <c r="G1397" s="128" t="s">
        <v>2498</v>
      </c>
      <c r="H1397" s="128" t="s">
        <v>100</v>
      </c>
      <c r="I1397" s="136"/>
      <c r="J1397" s="138" t="s">
        <v>1146</v>
      </c>
      <c r="K1397" s="136"/>
      <c r="L1397" s="146">
        <v>46212</v>
      </c>
      <c r="M1397" s="136"/>
      <c r="N1397" s="128" t="s">
        <v>3036</v>
      </c>
      <c r="O1397" s="146">
        <v>46224</v>
      </c>
      <c r="P1397" s="138">
        <v>0</v>
      </c>
      <c r="Q1397" s="138">
        <v>120</v>
      </c>
      <c r="R1397" s="138">
        <v>35</v>
      </c>
      <c r="S1397" s="138">
        <v>155</v>
      </c>
      <c r="T1397" s="138">
        <v>155</v>
      </c>
      <c r="U1397" s="136"/>
      <c r="V1397" s="165"/>
      <c r="W1397" s="147">
        <v>93.1</v>
      </c>
      <c r="X1397" s="147">
        <v>93</v>
      </c>
      <c r="Y1397" s="147">
        <v>744893.1</v>
      </c>
      <c r="Z1397" s="236">
        <v>39.78</v>
      </c>
      <c r="AA1397" s="147">
        <v>18622.330000000002</v>
      </c>
      <c r="AB1397" s="147">
        <v>18622.330000000002</v>
      </c>
      <c r="AC1397" s="147">
        <v>782137.76</v>
      </c>
      <c r="AD1397" s="315">
        <f t="shared" si="965"/>
        <v>781355.62224000006</v>
      </c>
      <c r="AE1397" s="147">
        <v>39.78</v>
      </c>
      <c r="AF1397" s="147">
        <v>42</v>
      </c>
      <c r="AG1397" s="147">
        <v>39.78</v>
      </c>
      <c r="AH1397" s="287">
        <v>3.3E-3</v>
      </c>
      <c r="AI1397" s="287">
        <v>0.05</v>
      </c>
      <c r="AJ1397" s="287">
        <v>5.3999999999999999E-2</v>
      </c>
      <c r="AK1397" s="318">
        <f t="shared" si="946"/>
        <v>39372.92099999998</v>
      </c>
      <c r="AL1397" s="193">
        <v>0</v>
      </c>
      <c r="AM1397" s="319">
        <v>0</v>
      </c>
      <c r="AN1397" s="319"/>
      <c r="AO1397" s="320">
        <f t="shared" si="947"/>
        <v>0</v>
      </c>
      <c r="AP1397" s="193">
        <v>0</v>
      </c>
      <c r="AQ1397" s="318">
        <v>0</v>
      </c>
      <c r="AR1397" s="318">
        <f t="shared" si="948"/>
        <v>39372.92099999998</v>
      </c>
      <c r="AS1397" s="318">
        <f t="shared" si="949"/>
        <v>41342</v>
      </c>
      <c r="AT1397" s="321">
        <v>0</v>
      </c>
      <c r="AU1397" s="157"/>
      <c r="AV1397" s="136"/>
      <c r="AW1397" s="318">
        <f t="shared" si="950"/>
        <v>9310</v>
      </c>
      <c r="AX1397" s="193"/>
      <c r="AY1397" s="318">
        <f t="shared" si="951"/>
        <v>9310</v>
      </c>
      <c r="AZ1397" s="318">
        <f t="shared" si="952"/>
        <v>9300</v>
      </c>
      <c r="BA1397" s="318">
        <f t="shared" si="953"/>
        <v>10</v>
      </c>
      <c r="BB1397" s="318">
        <f t="shared" si="954"/>
        <v>18.62</v>
      </c>
      <c r="BC1397" s="318">
        <v>0</v>
      </c>
      <c r="BD1397" s="136"/>
      <c r="BE1397" s="138">
        <v>93.1</v>
      </c>
      <c r="BF1397" s="321">
        <f t="shared" si="955"/>
        <v>0.13964999999999997</v>
      </c>
      <c r="BG1397" s="197">
        <f t="shared" si="956"/>
        <v>92.960349999999991</v>
      </c>
      <c r="BH1397" s="321">
        <f t="shared" si="957"/>
        <v>93</v>
      </c>
      <c r="BI1397" s="322">
        <f t="shared" si="958"/>
        <v>9.9999999999994316</v>
      </c>
      <c r="BJ1397" s="322">
        <v>0</v>
      </c>
      <c r="BK1397" s="318">
        <f t="shared" si="959"/>
        <v>9.9999999999994316</v>
      </c>
      <c r="BL1397" s="193"/>
      <c r="BM1397" s="449" t="str">
        <f t="shared" si="960"/>
        <v>Unloading no. 1362 Bill No HA/26-27/0461 ,Deduction For Oil Deduction= 39372.921 ,Bardana= 0 ,F.M= 0 Brokerage/Rate Difference  ,Shortage = 0 ,Greenish= 0 ,Moisture= 0</v>
      </c>
      <c r="BN1397" s="193"/>
      <c r="BO1397" s="449" t="str">
        <f t="shared" si="961"/>
        <v xml:space="preserve"> Party Condition 42  ,F.M% 0.33 ,Greenish 5 ,Moisture 5.4 ,Shortage in KG= 0  ,Oil% 39.78</v>
      </c>
      <c r="BP1397" s="318">
        <f t="shared" si="962"/>
        <v>7586.2384838709677</v>
      </c>
      <c r="BQ1397" s="157"/>
      <c r="BR1397" s="157"/>
      <c r="BS1397" s="136"/>
      <c r="BT1397" s="136"/>
      <c r="BU1397" s="136"/>
      <c r="BV1397" s="136"/>
      <c r="BW1397" s="431"/>
      <c r="BX1397" s="27">
        <v>39.72</v>
      </c>
      <c r="BY1397" s="27">
        <v>39.72</v>
      </c>
    </row>
    <row r="1398" spans="1:83" ht="14.1" hidden="1" customHeight="1" x14ac:dyDescent="0.3">
      <c r="A1398" s="281" t="s">
        <v>2670</v>
      </c>
      <c r="B1398" s="146">
        <v>46212</v>
      </c>
      <c r="C1398" s="138">
        <v>1363</v>
      </c>
      <c r="D1398" s="138" t="s">
        <v>2988</v>
      </c>
      <c r="E1398" s="129">
        <v>46224</v>
      </c>
      <c r="F1398" s="281" t="s">
        <v>2497</v>
      </c>
      <c r="G1398" s="128" t="s">
        <v>2498</v>
      </c>
      <c r="H1398" s="128" t="s">
        <v>100</v>
      </c>
      <c r="I1398" s="136"/>
      <c r="J1398" s="138" t="s">
        <v>1146</v>
      </c>
      <c r="K1398" s="136"/>
      <c r="L1398" s="146">
        <v>46212</v>
      </c>
      <c r="M1398" s="136"/>
      <c r="N1398" s="128" t="s">
        <v>3037</v>
      </c>
      <c r="O1398" s="146">
        <v>46224</v>
      </c>
      <c r="P1398" s="138">
        <v>0</v>
      </c>
      <c r="Q1398" s="138">
        <v>150</v>
      </c>
      <c r="R1398" s="138">
        <v>25</v>
      </c>
      <c r="S1398" s="138">
        <v>175</v>
      </c>
      <c r="T1398" s="138">
        <v>175</v>
      </c>
      <c r="U1398" s="136"/>
      <c r="V1398" s="165"/>
      <c r="W1398" s="147">
        <v>104.8</v>
      </c>
      <c r="X1398" s="147">
        <v>104.7</v>
      </c>
      <c r="Y1398" s="147">
        <v>838504.8</v>
      </c>
      <c r="Z1398" s="236">
        <v>40.86</v>
      </c>
      <c r="AA1398" s="147">
        <v>20962.62</v>
      </c>
      <c r="AB1398" s="147">
        <v>20962.62</v>
      </c>
      <c r="AC1398" s="147">
        <v>880430.04</v>
      </c>
      <c r="AD1398" s="315">
        <f t="shared" si="965"/>
        <v>879549.60996000003</v>
      </c>
      <c r="AE1398" s="147">
        <v>40.86</v>
      </c>
      <c r="AF1398" s="147">
        <v>42</v>
      </c>
      <c r="AG1398" s="147">
        <v>40.86</v>
      </c>
      <c r="AH1398" s="287">
        <v>4.7999999999999996E-3</v>
      </c>
      <c r="AI1398" s="287">
        <v>5.4199999999999998E-2</v>
      </c>
      <c r="AJ1398" s="287">
        <v>5.7000000000000002E-2</v>
      </c>
      <c r="AK1398" s="318">
        <f t="shared" si="946"/>
        <v>22759.416000000012</v>
      </c>
      <c r="AL1398" s="193">
        <v>0</v>
      </c>
      <c r="AM1398" s="319">
        <v>0</v>
      </c>
      <c r="AN1398" s="319"/>
      <c r="AO1398" s="320">
        <f t="shared" si="947"/>
        <v>0</v>
      </c>
      <c r="AP1398" s="193">
        <v>0</v>
      </c>
      <c r="AQ1398" s="318">
        <v>0</v>
      </c>
      <c r="AR1398" s="318">
        <f t="shared" si="948"/>
        <v>22759.416000000012</v>
      </c>
      <c r="AS1398" s="318">
        <f t="shared" si="949"/>
        <v>23897</v>
      </c>
      <c r="AT1398" s="321">
        <v>0</v>
      </c>
      <c r="AU1398" s="157"/>
      <c r="AV1398" s="136"/>
      <c r="AW1398" s="318">
        <f t="shared" si="950"/>
        <v>10480</v>
      </c>
      <c r="AX1398" s="193"/>
      <c r="AY1398" s="318">
        <f t="shared" si="951"/>
        <v>10480</v>
      </c>
      <c r="AZ1398" s="318">
        <f t="shared" si="952"/>
        <v>10470</v>
      </c>
      <c r="BA1398" s="318">
        <f t="shared" si="953"/>
        <v>10</v>
      </c>
      <c r="BB1398" s="318">
        <f t="shared" si="954"/>
        <v>20.96</v>
      </c>
      <c r="BC1398" s="318">
        <v>0</v>
      </c>
      <c r="BD1398" s="136"/>
      <c r="BE1398" s="138">
        <v>104.8</v>
      </c>
      <c r="BF1398" s="321">
        <f t="shared" si="955"/>
        <v>0.15719999999999998</v>
      </c>
      <c r="BG1398" s="197">
        <f t="shared" si="956"/>
        <v>104.64279999999999</v>
      </c>
      <c r="BH1398" s="321">
        <f t="shared" si="957"/>
        <v>104.7</v>
      </c>
      <c r="BI1398" s="322">
        <f t="shared" si="958"/>
        <v>9.9999999999994316</v>
      </c>
      <c r="BJ1398" s="322">
        <v>0</v>
      </c>
      <c r="BK1398" s="318">
        <f t="shared" si="959"/>
        <v>9.9999999999994316</v>
      </c>
      <c r="BL1398" s="193"/>
      <c r="BM1398" s="449" t="str">
        <f t="shared" si="960"/>
        <v>Unloading no. 1363 Bill No HA/26-27/0462 ,Deduction For Oil Deduction= 22759.416 ,Bardana= 0 ,F.M= 0 Brokerage/Rate Difference  ,Shortage = 0 ,Greenish= 0 ,Moisture= 0</v>
      </c>
      <c r="BN1398" s="193"/>
      <c r="BO1398" s="449" t="str">
        <f t="shared" si="961"/>
        <v xml:space="preserve"> Party Condition 42  ,F.M% 0.48 ,Greenish 5.42 ,Moisture 5.7 ,Shortage in KG= 0  ,Oil% 40.86</v>
      </c>
      <c r="BP1398" s="318">
        <f t="shared" si="962"/>
        <v>7791.2644126074501</v>
      </c>
      <c r="BQ1398" s="157"/>
      <c r="BR1398" s="157"/>
      <c r="BS1398" s="136"/>
      <c r="BT1398" s="136"/>
      <c r="BU1398" s="136"/>
      <c r="BV1398" s="136"/>
      <c r="BW1398" s="431"/>
      <c r="BX1398" s="27">
        <v>40.770000000000003</v>
      </c>
      <c r="BY1398" s="27">
        <v>40.74</v>
      </c>
    </row>
    <row r="1399" spans="1:83" ht="14.1" hidden="1" customHeight="1" x14ac:dyDescent="0.3">
      <c r="A1399" s="281" t="s">
        <v>2670</v>
      </c>
      <c r="B1399" s="146">
        <v>46212</v>
      </c>
      <c r="C1399" s="138">
        <v>1364</v>
      </c>
      <c r="D1399" s="138" t="s">
        <v>2989</v>
      </c>
      <c r="E1399" s="129">
        <v>46224</v>
      </c>
      <c r="F1399" s="281" t="s">
        <v>2497</v>
      </c>
      <c r="G1399" s="128" t="s">
        <v>2498</v>
      </c>
      <c r="H1399" s="128" t="s">
        <v>100</v>
      </c>
      <c r="I1399" s="136"/>
      <c r="J1399" s="138" t="s">
        <v>1146</v>
      </c>
      <c r="K1399" s="136"/>
      <c r="L1399" s="146">
        <v>46212</v>
      </c>
      <c r="M1399" s="136"/>
      <c r="N1399" s="128" t="s">
        <v>3038</v>
      </c>
      <c r="O1399" s="146">
        <v>46224</v>
      </c>
      <c r="P1399" s="138">
        <v>0</v>
      </c>
      <c r="Q1399" s="138">
        <v>90</v>
      </c>
      <c r="R1399" s="138">
        <v>40</v>
      </c>
      <c r="S1399" s="138">
        <v>130</v>
      </c>
      <c r="T1399" s="138">
        <v>130</v>
      </c>
      <c r="U1399" s="136"/>
      <c r="V1399" s="165"/>
      <c r="W1399" s="147">
        <v>79.099999999999994</v>
      </c>
      <c r="X1399" s="147">
        <v>79</v>
      </c>
      <c r="Y1399" s="147">
        <v>632879.1</v>
      </c>
      <c r="Z1399" s="236">
        <v>40.200000000000003</v>
      </c>
      <c r="AA1399" s="147">
        <v>15821.98</v>
      </c>
      <c r="AB1399" s="147">
        <v>15821.98</v>
      </c>
      <c r="AC1399" s="147">
        <v>664523.06000000006</v>
      </c>
      <c r="AD1399" s="315">
        <f t="shared" si="965"/>
        <v>663858.53694000002</v>
      </c>
      <c r="AE1399" s="147">
        <v>40.200000000000003</v>
      </c>
      <c r="AF1399" s="147">
        <v>42</v>
      </c>
      <c r="AG1399" s="147">
        <v>40.200000000000003</v>
      </c>
      <c r="AH1399" s="287">
        <v>4.3E-3</v>
      </c>
      <c r="AI1399" s="287">
        <v>4.24E-2</v>
      </c>
      <c r="AJ1399" s="287">
        <v>5.2999999999999999E-2</v>
      </c>
      <c r="AK1399" s="318">
        <f t="shared" si="946"/>
        <v>27123.389999999956</v>
      </c>
      <c r="AL1399" s="193">
        <v>0</v>
      </c>
      <c r="AM1399" s="319">
        <v>0</v>
      </c>
      <c r="AN1399" s="319"/>
      <c r="AO1399" s="320">
        <f t="shared" si="947"/>
        <v>0</v>
      </c>
      <c r="AP1399" s="193">
        <v>0</v>
      </c>
      <c r="AQ1399" s="318">
        <v>0</v>
      </c>
      <c r="AR1399" s="318">
        <f t="shared" si="948"/>
        <v>27123.389999999956</v>
      </c>
      <c r="AS1399" s="318">
        <f t="shared" si="949"/>
        <v>28480</v>
      </c>
      <c r="AT1399" s="321">
        <v>0</v>
      </c>
      <c r="AU1399" s="157"/>
      <c r="AV1399" s="136"/>
      <c r="AW1399" s="318">
        <f t="shared" si="950"/>
        <v>7909.9999999999991</v>
      </c>
      <c r="AX1399" s="193"/>
      <c r="AY1399" s="318">
        <f t="shared" si="951"/>
        <v>7909.9999999999991</v>
      </c>
      <c r="AZ1399" s="318">
        <f t="shared" si="952"/>
        <v>7900</v>
      </c>
      <c r="BA1399" s="318">
        <f t="shared" si="953"/>
        <v>9.9999999999990905</v>
      </c>
      <c r="BB1399" s="318">
        <f t="shared" si="954"/>
        <v>15.819999999999999</v>
      </c>
      <c r="BC1399" s="318">
        <v>0</v>
      </c>
      <c r="BD1399" s="136"/>
      <c r="BE1399" s="138">
        <v>79.099999999999994</v>
      </c>
      <c r="BF1399" s="321">
        <f t="shared" si="955"/>
        <v>0.11864999999999998</v>
      </c>
      <c r="BG1399" s="197">
        <f t="shared" si="956"/>
        <v>78.981349999999992</v>
      </c>
      <c r="BH1399" s="321">
        <f t="shared" si="957"/>
        <v>79</v>
      </c>
      <c r="BI1399" s="322">
        <f t="shared" si="958"/>
        <v>9.9999999999994316</v>
      </c>
      <c r="BJ1399" s="322">
        <v>0</v>
      </c>
      <c r="BK1399" s="318">
        <f t="shared" si="959"/>
        <v>9.9999999999994316</v>
      </c>
      <c r="BL1399" s="193"/>
      <c r="BM1399" s="449" t="str">
        <f t="shared" si="960"/>
        <v>Unloading no. 1364 Bill No HA/26-27/0463 ,Deduction For Oil Deduction= 27123.39 ,Bardana= 0 ,F.M= 0 Brokerage/Rate Difference  ,Shortage = 0 ,Greenish= 0 ,Moisture= 0</v>
      </c>
      <c r="BN1399" s="193"/>
      <c r="BO1399" s="449" t="str">
        <f t="shared" si="961"/>
        <v xml:space="preserve"> Party Condition 42  ,F.M% 0.43 ,Greenish 4.24 ,Moisture 5.3 ,Shortage in KG= 0  ,Oil% 40.2</v>
      </c>
      <c r="BP1399" s="318">
        <f t="shared" si="962"/>
        <v>7667.7937974683537</v>
      </c>
      <c r="BQ1399" s="157"/>
      <c r="BR1399" s="157"/>
      <c r="BS1399" s="136"/>
      <c r="BT1399" s="136"/>
      <c r="BU1399" s="136"/>
      <c r="BV1399" s="136"/>
      <c r="BW1399" s="431"/>
      <c r="BX1399" s="27">
        <v>39.950000000000003</v>
      </c>
      <c r="BY1399" s="27">
        <v>39.909999999999997</v>
      </c>
    </row>
    <row r="1400" spans="1:83" ht="14.1" hidden="1" customHeight="1" x14ac:dyDescent="0.3">
      <c r="A1400" s="281" t="s">
        <v>2827</v>
      </c>
      <c r="B1400" s="146">
        <v>46216</v>
      </c>
      <c r="C1400" s="138">
        <v>1365</v>
      </c>
      <c r="D1400" s="138" t="s">
        <v>2990</v>
      </c>
      <c r="E1400" s="129">
        <v>46224</v>
      </c>
      <c r="F1400" s="281" t="s">
        <v>2497</v>
      </c>
      <c r="G1400" s="128" t="s">
        <v>2498</v>
      </c>
      <c r="H1400" s="128" t="s">
        <v>100</v>
      </c>
      <c r="I1400" s="136"/>
      <c r="J1400" s="138" t="s">
        <v>1146</v>
      </c>
      <c r="K1400" s="136"/>
      <c r="L1400" s="146">
        <v>46216</v>
      </c>
      <c r="M1400" s="136"/>
      <c r="N1400" s="128" t="s">
        <v>3039</v>
      </c>
      <c r="O1400" s="146">
        <v>46224</v>
      </c>
      <c r="P1400" s="138">
        <v>0</v>
      </c>
      <c r="Q1400" s="138">
        <v>135</v>
      </c>
      <c r="R1400" s="138">
        <v>25</v>
      </c>
      <c r="S1400" s="138">
        <v>160</v>
      </c>
      <c r="T1400" s="138">
        <v>160</v>
      </c>
      <c r="U1400" s="136"/>
      <c r="V1400" s="165"/>
      <c r="W1400" s="147">
        <v>95.1</v>
      </c>
      <c r="X1400" s="147">
        <v>95</v>
      </c>
      <c r="Y1400" s="147">
        <v>765555</v>
      </c>
      <c r="Z1400" s="236">
        <v>40.22</v>
      </c>
      <c r="AA1400" s="147">
        <v>19138.88</v>
      </c>
      <c r="AB1400" s="147">
        <v>19138.88</v>
      </c>
      <c r="AC1400" s="147">
        <v>803832.75</v>
      </c>
      <c r="AD1400" s="315">
        <f t="shared" si="965"/>
        <v>803028.91725000006</v>
      </c>
      <c r="AE1400" s="147">
        <v>40.22</v>
      </c>
      <c r="AF1400" s="147">
        <v>42</v>
      </c>
      <c r="AG1400" s="147">
        <v>40.22</v>
      </c>
      <c r="AH1400" s="287">
        <v>2.5999999999999999E-3</v>
      </c>
      <c r="AI1400" s="287">
        <v>4.3200000000000002E-2</v>
      </c>
      <c r="AJ1400" s="287">
        <v>5.1999999999999998E-2</v>
      </c>
      <c r="AK1400" s="318">
        <f t="shared" si="946"/>
        <v>32444.950000000019</v>
      </c>
      <c r="AL1400" s="193">
        <v>0</v>
      </c>
      <c r="AM1400" s="319">
        <v>0</v>
      </c>
      <c r="AN1400" s="319"/>
      <c r="AO1400" s="320">
        <f t="shared" si="947"/>
        <v>0</v>
      </c>
      <c r="AP1400" s="193">
        <v>0</v>
      </c>
      <c r="AQ1400" s="318">
        <v>0</v>
      </c>
      <c r="AR1400" s="318">
        <f t="shared" si="948"/>
        <v>32444.950000000019</v>
      </c>
      <c r="AS1400" s="318">
        <f t="shared" si="949"/>
        <v>34067</v>
      </c>
      <c r="AT1400" s="321">
        <v>0</v>
      </c>
      <c r="AU1400" s="157"/>
      <c r="AV1400" s="136"/>
      <c r="AW1400" s="318">
        <f t="shared" si="950"/>
        <v>9510</v>
      </c>
      <c r="AX1400" s="193"/>
      <c r="AY1400" s="318">
        <f t="shared" si="951"/>
        <v>9510</v>
      </c>
      <c r="AZ1400" s="318">
        <f t="shared" si="952"/>
        <v>9500</v>
      </c>
      <c r="BA1400" s="318">
        <f t="shared" si="953"/>
        <v>10</v>
      </c>
      <c r="BB1400" s="318">
        <f t="shared" si="954"/>
        <v>19.02</v>
      </c>
      <c r="BC1400" s="318">
        <v>0</v>
      </c>
      <c r="BD1400" s="136"/>
      <c r="BE1400" s="138">
        <v>95.1</v>
      </c>
      <c r="BF1400" s="321">
        <f t="shared" si="955"/>
        <v>0.14265</v>
      </c>
      <c r="BG1400" s="197">
        <f t="shared" si="956"/>
        <v>94.957349999999991</v>
      </c>
      <c r="BH1400" s="321">
        <f t="shared" si="957"/>
        <v>95</v>
      </c>
      <c r="BI1400" s="322">
        <f t="shared" si="958"/>
        <v>9.9999999999994316</v>
      </c>
      <c r="BJ1400" s="322">
        <v>0</v>
      </c>
      <c r="BK1400" s="318">
        <f t="shared" si="959"/>
        <v>9.9999999999994316</v>
      </c>
      <c r="BL1400" s="193"/>
      <c r="BM1400" s="449" t="str">
        <f t="shared" si="960"/>
        <v>Unloading no. 1365 Bill No HA/26-27/0464 ,Deduction For Oil Deduction= 32444.95 ,Bardana= 0 ,F.M= 0 Brokerage/Rate Difference  ,Shortage = 0 ,Greenish= 0 ,Moisture= 0</v>
      </c>
      <c r="BN1400" s="193"/>
      <c r="BO1400" s="449" t="str">
        <f t="shared" si="961"/>
        <v xml:space="preserve"> Party Condition 42  ,F.M% 0.26 ,Greenish 4.32 ,Moisture 5.2 ,Shortage in KG= 0  ,Oil% 40.22</v>
      </c>
      <c r="BP1400" s="318">
        <f t="shared" si="962"/>
        <v>7716.9478947368416</v>
      </c>
      <c r="BQ1400" s="157"/>
      <c r="BR1400" s="157"/>
      <c r="BS1400" s="136"/>
      <c r="BT1400" s="136"/>
      <c r="BU1400" s="136"/>
      <c r="BV1400" s="136"/>
      <c r="BW1400" s="431"/>
      <c r="BX1400" s="27">
        <v>39.9</v>
      </c>
      <c r="BY1400" s="27">
        <v>40.020000000000003</v>
      </c>
    </row>
    <row r="1401" spans="1:83" ht="14.1" hidden="1" customHeight="1" x14ac:dyDescent="0.3">
      <c r="A1401" s="281" t="s">
        <v>2827</v>
      </c>
      <c r="B1401" s="146">
        <v>46216</v>
      </c>
      <c r="C1401" s="138">
        <v>1366</v>
      </c>
      <c r="D1401" s="138" t="s">
        <v>2991</v>
      </c>
      <c r="E1401" s="129">
        <v>46224</v>
      </c>
      <c r="F1401" s="281" t="s">
        <v>2497</v>
      </c>
      <c r="G1401" s="128" t="s">
        <v>2498</v>
      </c>
      <c r="H1401" s="128" t="s">
        <v>100</v>
      </c>
      <c r="I1401" s="136"/>
      <c r="J1401" s="138" t="s">
        <v>1146</v>
      </c>
      <c r="K1401" s="136"/>
      <c r="L1401" s="146">
        <v>46216</v>
      </c>
      <c r="M1401" s="136"/>
      <c r="N1401" s="128" t="s">
        <v>3040</v>
      </c>
      <c r="O1401" s="146">
        <v>46224</v>
      </c>
      <c r="P1401" s="138">
        <v>0</v>
      </c>
      <c r="Q1401" s="138">
        <v>130</v>
      </c>
      <c r="R1401" s="138">
        <v>30</v>
      </c>
      <c r="S1401" s="138">
        <v>160</v>
      </c>
      <c r="T1401" s="138">
        <v>160</v>
      </c>
      <c r="U1401" s="136"/>
      <c r="V1401" s="165"/>
      <c r="W1401" s="147">
        <v>95</v>
      </c>
      <c r="X1401" s="147">
        <v>94.9</v>
      </c>
      <c r="Y1401" s="147">
        <v>764750</v>
      </c>
      <c r="Z1401" s="236">
        <v>40.43</v>
      </c>
      <c r="AA1401" s="147">
        <v>19118.75</v>
      </c>
      <c r="AB1401" s="147">
        <v>19118.75</v>
      </c>
      <c r="AC1401" s="147">
        <v>802987.5</v>
      </c>
      <c r="AD1401" s="315">
        <f t="shared" si="965"/>
        <v>802184.51249999995</v>
      </c>
      <c r="AE1401" s="147">
        <v>40.43</v>
      </c>
      <c r="AF1401" s="147">
        <v>42</v>
      </c>
      <c r="AG1401" s="147">
        <v>40.43</v>
      </c>
      <c r="AH1401" s="287">
        <v>2.5000000000000001E-3</v>
      </c>
      <c r="AI1401" s="287">
        <v>2.69E-2</v>
      </c>
      <c r="AJ1401" s="287">
        <v>5.3999999999999999E-2</v>
      </c>
      <c r="AK1401" s="318">
        <f t="shared" si="946"/>
        <v>28587.083333333339</v>
      </c>
      <c r="AL1401" s="193">
        <v>0</v>
      </c>
      <c r="AM1401" s="319">
        <v>0</v>
      </c>
      <c r="AN1401" s="319"/>
      <c r="AO1401" s="320">
        <f t="shared" si="947"/>
        <v>0</v>
      </c>
      <c r="AP1401" s="193">
        <v>0</v>
      </c>
      <c r="AQ1401" s="318">
        <v>0</v>
      </c>
      <c r="AR1401" s="318">
        <f t="shared" si="948"/>
        <v>28587.083333333339</v>
      </c>
      <c r="AS1401" s="318">
        <f t="shared" si="949"/>
        <v>30016</v>
      </c>
      <c r="AT1401" s="321">
        <v>0</v>
      </c>
      <c r="AU1401" s="157"/>
      <c r="AV1401" s="136"/>
      <c r="AW1401" s="318">
        <f t="shared" si="950"/>
        <v>9500</v>
      </c>
      <c r="AX1401" s="193"/>
      <c r="AY1401" s="318">
        <f t="shared" si="951"/>
        <v>9500</v>
      </c>
      <c r="AZ1401" s="318">
        <f t="shared" si="952"/>
        <v>9490</v>
      </c>
      <c r="BA1401" s="318">
        <f t="shared" si="953"/>
        <v>10</v>
      </c>
      <c r="BB1401" s="318">
        <f t="shared" si="954"/>
        <v>19</v>
      </c>
      <c r="BC1401" s="318">
        <v>0</v>
      </c>
      <c r="BD1401" s="136"/>
      <c r="BE1401" s="138">
        <v>95</v>
      </c>
      <c r="BF1401" s="321">
        <f t="shared" si="955"/>
        <v>0.14249999999999999</v>
      </c>
      <c r="BG1401" s="197">
        <f t="shared" si="956"/>
        <v>94.857500000000002</v>
      </c>
      <c r="BH1401" s="321">
        <f t="shared" si="957"/>
        <v>94.9</v>
      </c>
      <c r="BI1401" s="322">
        <f t="shared" si="958"/>
        <v>9.9999999999994316</v>
      </c>
      <c r="BJ1401" s="322">
        <v>0</v>
      </c>
      <c r="BK1401" s="318">
        <f t="shared" si="959"/>
        <v>9.9999999999994316</v>
      </c>
      <c r="BL1401" s="193"/>
      <c r="BM1401" s="449" t="str">
        <f t="shared" si="960"/>
        <v>Unloading no. 1366 Bill No HA/26-27/0465 ,Deduction For Oil Deduction= 28587.0833333333 ,Bardana= 0 ,F.M= 0 Brokerage/Rate Difference  ,Shortage = 0 ,Greenish= 0 ,Moisture= 0</v>
      </c>
      <c r="BN1401" s="193"/>
      <c r="BO1401" s="449" t="str">
        <f t="shared" si="961"/>
        <v xml:space="preserve"> Party Condition 42  ,F.M% 0.25 ,Greenish 2.69 ,Moisture 5.4 ,Shortage in KG= 0  ,Oil% 40.43</v>
      </c>
      <c r="BP1401" s="318">
        <f t="shared" si="962"/>
        <v>7757.2488584474877</v>
      </c>
      <c r="BQ1401" s="157"/>
      <c r="BR1401" s="157"/>
      <c r="BS1401" s="136"/>
      <c r="BT1401" s="136"/>
      <c r="BU1401" s="136"/>
      <c r="BV1401" s="136"/>
      <c r="BW1401" s="431"/>
      <c r="BX1401" s="27">
        <v>40.17</v>
      </c>
      <c r="BY1401" s="27">
        <v>40.270000000000003</v>
      </c>
    </row>
    <row r="1402" spans="1:83" ht="14.1" hidden="1" customHeight="1" x14ac:dyDescent="0.3">
      <c r="A1402" s="281" t="s">
        <v>2827</v>
      </c>
      <c r="B1402" s="146">
        <v>46216</v>
      </c>
      <c r="C1402" s="138">
        <v>1367</v>
      </c>
      <c r="D1402" s="138" t="s">
        <v>2992</v>
      </c>
      <c r="E1402" s="129">
        <v>46224</v>
      </c>
      <c r="F1402" s="281" t="s">
        <v>2497</v>
      </c>
      <c r="G1402" s="128" t="s">
        <v>2498</v>
      </c>
      <c r="H1402" s="128" t="s">
        <v>100</v>
      </c>
      <c r="I1402" s="136"/>
      <c r="J1402" s="138" t="s">
        <v>1146</v>
      </c>
      <c r="K1402" s="136"/>
      <c r="L1402" s="146">
        <v>46216</v>
      </c>
      <c r="M1402" s="136"/>
      <c r="N1402" s="128" t="s">
        <v>3041</v>
      </c>
      <c r="O1402" s="146">
        <v>46224</v>
      </c>
      <c r="P1402" s="138">
        <v>0</v>
      </c>
      <c r="Q1402" s="138">
        <v>140</v>
      </c>
      <c r="R1402" s="138">
        <v>20</v>
      </c>
      <c r="S1402" s="138">
        <v>160</v>
      </c>
      <c r="T1402" s="138">
        <v>160</v>
      </c>
      <c r="U1402" s="136"/>
      <c r="V1402" s="165"/>
      <c r="W1402" s="147">
        <v>95.8</v>
      </c>
      <c r="X1402" s="147">
        <v>95.7</v>
      </c>
      <c r="Y1402" s="147">
        <v>771190</v>
      </c>
      <c r="Z1402" s="236">
        <v>40.15</v>
      </c>
      <c r="AA1402" s="147">
        <v>19279.75</v>
      </c>
      <c r="AB1402" s="147">
        <v>19279.75</v>
      </c>
      <c r="AC1402" s="147">
        <v>809749.5</v>
      </c>
      <c r="AD1402" s="315">
        <f t="shared" si="965"/>
        <v>808939.75049999997</v>
      </c>
      <c r="AE1402" s="147">
        <v>40.15</v>
      </c>
      <c r="AF1402" s="147">
        <v>42</v>
      </c>
      <c r="AG1402" s="147">
        <v>40.15</v>
      </c>
      <c r="AH1402" s="287">
        <v>2.3999999999999998E-3</v>
      </c>
      <c r="AI1402" s="287">
        <v>2.4799999999999999E-2</v>
      </c>
      <c r="AJ1402" s="287">
        <v>5.2999999999999999E-2</v>
      </c>
      <c r="AK1402" s="318">
        <f t="shared" si="946"/>
        <v>33969.083333333358</v>
      </c>
      <c r="AL1402" s="193">
        <v>0</v>
      </c>
      <c r="AM1402" s="319">
        <v>0</v>
      </c>
      <c r="AN1402" s="319"/>
      <c r="AO1402" s="320">
        <f t="shared" si="947"/>
        <v>0</v>
      </c>
      <c r="AP1402" s="193">
        <v>0</v>
      </c>
      <c r="AQ1402" s="318">
        <v>0</v>
      </c>
      <c r="AR1402" s="318">
        <f t="shared" si="948"/>
        <v>33969.083333333358</v>
      </c>
      <c r="AS1402" s="318">
        <f t="shared" si="949"/>
        <v>35668</v>
      </c>
      <c r="AT1402" s="321">
        <v>0</v>
      </c>
      <c r="AU1402" s="157"/>
      <c r="AV1402" s="136"/>
      <c r="AW1402" s="318">
        <f t="shared" si="950"/>
        <v>9580</v>
      </c>
      <c r="AX1402" s="193"/>
      <c r="AY1402" s="318">
        <f t="shared" si="951"/>
        <v>9580</v>
      </c>
      <c r="AZ1402" s="318">
        <f t="shared" si="952"/>
        <v>9570</v>
      </c>
      <c r="BA1402" s="318">
        <f t="shared" si="953"/>
        <v>10</v>
      </c>
      <c r="BB1402" s="318">
        <f t="shared" si="954"/>
        <v>19.16</v>
      </c>
      <c r="BC1402" s="318">
        <v>0</v>
      </c>
      <c r="BD1402" s="136"/>
      <c r="BE1402" s="138">
        <v>95.8</v>
      </c>
      <c r="BF1402" s="321">
        <f t="shared" si="955"/>
        <v>0.14369999999999999</v>
      </c>
      <c r="BG1402" s="197">
        <f t="shared" si="956"/>
        <v>95.656300000000002</v>
      </c>
      <c r="BH1402" s="321">
        <f t="shared" si="957"/>
        <v>95.7</v>
      </c>
      <c r="BI1402" s="322">
        <f t="shared" si="958"/>
        <v>9.9999999999994316</v>
      </c>
      <c r="BJ1402" s="322">
        <v>0</v>
      </c>
      <c r="BK1402" s="318">
        <f t="shared" si="959"/>
        <v>9.9999999999994316</v>
      </c>
      <c r="BL1402" s="193"/>
      <c r="BM1402" s="449" t="str">
        <f t="shared" si="960"/>
        <v>Unloading no. 1367 Bill No HA/26-27/0467 ,Deduction For Oil Deduction= 33969.0833333334 ,Bardana= 0 ,F.M= 0 Brokerage/Rate Difference  ,Shortage = 0 ,Greenish= 0 ,Moisture= 0</v>
      </c>
      <c r="BN1402" s="193"/>
      <c r="BO1402" s="449" t="str">
        <f t="shared" si="961"/>
        <v xml:space="preserve"> Party Condition 42  ,F.M% 0.24 ,Greenish 2.48 ,Moisture 5.3 ,Shortage in KG= 0  ,Oil% 40.15</v>
      </c>
      <c r="BP1402" s="318">
        <f t="shared" si="962"/>
        <v>7703.4578544061296</v>
      </c>
      <c r="BQ1402" s="157"/>
      <c r="BR1402" s="157"/>
      <c r="BS1402" s="136"/>
      <c r="BT1402" s="136"/>
      <c r="BU1402" s="136"/>
      <c r="BV1402" s="136"/>
      <c r="BW1402" s="431"/>
      <c r="BX1402" s="27">
        <v>40.229999999999997</v>
      </c>
      <c r="BY1402" s="27">
        <v>40.03</v>
      </c>
    </row>
    <row r="1403" spans="1:83" ht="14.1" hidden="1" customHeight="1" x14ac:dyDescent="0.3">
      <c r="A1403" s="281" t="s">
        <v>2827</v>
      </c>
      <c r="B1403" s="146">
        <v>46216</v>
      </c>
      <c r="C1403" s="138">
        <v>1368</v>
      </c>
      <c r="D1403" s="138" t="s">
        <v>2993</v>
      </c>
      <c r="E1403" s="129">
        <v>46224</v>
      </c>
      <c r="F1403" s="281" t="s">
        <v>2497</v>
      </c>
      <c r="G1403" s="128" t="s">
        <v>2498</v>
      </c>
      <c r="H1403" s="128" t="s">
        <v>100</v>
      </c>
      <c r="I1403" s="136"/>
      <c r="J1403" s="138" t="s">
        <v>1146</v>
      </c>
      <c r="K1403" s="136"/>
      <c r="L1403" s="146">
        <v>46216</v>
      </c>
      <c r="M1403" s="136"/>
      <c r="N1403" s="128" t="s">
        <v>3042</v>
      </c>
      <c r="O1403" s="146">
        <v>46224</v>
      </c>
      <c r="P1403" s="138">
        <v>0</v>
      </c>
      <c r="Q1403" s="138">
        <v>140</v>
      </c>
      <c r="R1403" s="138">
        <v>20</v>
      </c>
      <c r="S1403" s="138">
        <v>160</v>
      </c>
      <c r="T1403" s="138">
        <v>160</v>
      </c>
      <c r="U1403" s="136"/>
      <c r="V1403" s="165"/>
      <c r="W1403" s="147">
        <v>97</v>
      </c>
      <c r="X1403" s="147">
        <v>96.9</v>
      </c>
      <c r="Y1403" s="147">
        <v>780850</v>
      </c>
      <c r="Z1403" s="236">
        <v>40.89</v>
      </c>
      <c r="AA1403" s="147">
        <v>19521.25</v>
      </c>
      <c r="AB1403" s="147">
        <v>19521.25</v>
      </c>
      <c r="AC1403" s="147">
        <v>819892.5</v>
      </c>
      <c r="AD1403" s="315">
        <f t="shared" si="965"/>
        <v>819072.60750000004</v>
      </c>
      <c r="AE1403" s="147">
        <v>40.89</v>
      </c>
      <c r="AF1403" s="147">
        <v>42</v>
      </c>
      <c r="AG1403" s="147">
        <v>40.89</v>
      </c>
      <c r="AH1403" s="287">
        <v>2.2000000000000001E-3</v>
      </c>
      <c r="AI1403" s="287">
        <v>2.4E-2</v>
      </c>
      <c r="AJ1403" s="287">
        <v>5.0999999999999997E-2</v>
      </c>
      <c r="AK1403" s="318">
        <f t="shared" si="946"/>
        <v>20636.749999999989</v>
      </c>
      <c r="AL1403" s="193">
        <v>0</v>
      </c>
      <c r="AM1403" s="319">
        <v>0</v>
      </c>
      <c r="AN1403" s="319"/>
      <c r="AO1403" s="320">
        <f t="shared" si="947"/>
        <v>0</v>
      </c>
      <c r="AP1403" s="193">
        <v>0</v>
      </c>
      <c r="AQ1403" s="318">
        <v>0</v>
      </c>
      <c r="AR1403" s="318">
        <f t="shared" si="948"/>
        <v>20636.749999999989</v>
      </c>
      <c r="AS1403" s="318">
        <f t="shared" si="949"/>
        <v>21669</v>
      </c>
      <c r="AT1403" s="321">
        <v>0</v>
      </c>
      <c r="AU1403" s="157"/>
      <c r="AV1403" s="136"/>
      <c r="AW1403" s="318">
        <f t="shared" si="950"/>
        <v>9700</v>
      </c>
      <c r="AX1403" s="193"/>
      <c r="AY1403" s="318">
        <f t="shared" si="951"/>
        <v>9700</v>
      </c>
      <c r="AZ1403" s="318">
        <f t="shared" si="952"/>
        <v>9690</v>
      </c>
      <c r="BA1403" s="318">
        <f t="shared" si="953"/>
        <v>10</v>
      </c>
      <c r="BB1403" s="318">
        <f t="shared" si="954"/>
        <v>19.399999999999999</v>
      </c>
      <c r="BC1403" s="318">
        <v>0</v>
      </c>
      <c r="BD1403" s="136"/>
      <c r="BE1403" s="138">
        <v>97</v>
      </c>
      <c r="BF1403" s="321">
        <f t="shared" si="955"/>
        <v>0.14549999999999999</v>
      </c>
      <c r="BG1403" s="197">
        <f t="shared" si="956"/>
        <v>96.854500000000002</v>
      </c>
      <c r="BH1403" s="321">
        <f t="shared" si="957"/>
        <v>96.9</v>
      </c>
      <c r="BI1403" s="322">
        <f t="shared" si="958"/>
        <v>9.9999999999994316</v>
      </c>
      <c r="BJ1403" s="322">
        <v>0</v>
      </c>
      <c r="BK1403" s="318">
        <f t="shared" si="959"/>
        <v>9.9999999999994316</v>
      </c>
      <c r="BL1403" s="193"/>
      <c r="BM1403" s="449" t="str">
        <f t="shared" si="960"/>
        <v>Unloading no. 1368 Bill No HA/26-27/0468 ,Deduction For Oil Deduction= 20636.75 ,Bardana= 0 ,F.M= 0 Brokerage/Rate Difference  ,Shortage = 0 ,Greenish= 0 ,Moisture= 0</v>
      </c>
      <c r="BN1403" s="193"/>
      <c r="BO1403" s="449" t="str">
        <f t="shared" si="961"/>
        <v xml:space="preserve"> Party Condition 42  ,F.M% 0.22 ,Greenish 2.4 ,Moisture 5.1 ,Shortage in KG= 0  ,Oil% 40.89</v>
      </c>
      <c r="BP1403" s="318">
        <f t="shared" si="962"/>
        <v>7845.3379772961807</v>
      </c>
      <c r="BQ1403" s="157"/>
      <c r="BR1403" s="157"/>
      <c r="BS1403" s="136"/>
      <c r="BT1403" s="136"/>
      <c r="BU1403" s="136"/>
      <c r="BV1403" s="136"/>
      <c r="BW1403" s="431"/>
      <c r="BX1403" s="27">
        <v>41.02</v>
      </c>
      <c r="BY1403" s="27">
        <v>40.83</v>
      </c>
    </row>
    <row r="1404" spans="1:83" ht="14.1" hidden="1" customHeight="1" x14ac:dyDescent="0.3">
      <c r="A1404" s="281" t="s">
        <v>2939</v>
      </c>
      <c r="B1404" s="146">
        <v>46220</v>
      </c>
      <c r="C1404" s="138">
        <v>1369</v>
      </c>
      <c r="D1404" s="138" t="s">
        <v>2994</v>
      </c>
      <c r="E1404" s="129">
        <v>46225</v>
      </c>
      <c r="F1404" s="281" t="s">
        <v>1144</v>
      </c>
      <c r="G1404" s="128" t="s">
        <v>1145</v>
      </c>
      <c r="H1404" s="128" t="s">
        <v>100</v>
      </c>
      <c r="I1404" s="136"/>
      <c r="J1404" s="138" t="s">
        <v>1146</v>
      </c>
      <c r="K1404" s="136"/>
      <c r="L1404" s="146">
        <v>46220</v>
      </c>
      <c r="M1404" s="136"/>
      <c r="N1404" s="128" t="s">
        <v>3043</v>
      </c>
      <c r="O1404" s="146">
        <v>46223</v>
      </c>
      <c r="P1404" s="138">
        <v>0</v>
      </c>
      <c r="Q1404" s="138">
        <v>460</v>
      </c>
      <c r="R1404" s="138">
        <v>120</v>
      </c>
      <c r="S1404" s="138">
        <v>580</v>
      </c>
      <c r="T1404" s="138">
        <v>580</v>
      </c>
      <c r="U1404" s="136"/>
      <c r="V1404" s="136"/>
      <c r="W1404" s="147">
        <v>346.7</v>
      </c>
      <c r="X1404" s="147">
        <v>346.1</v>
      </c>
      <c r="Y1404" s="147">
        <v>2844673.5</v>
      </c>
      <c r="Z1404" s="147">
        <v>37.520000000000003</v>
      </c>
      <c r="AA1404" s="147">
        <v>71116.84</v>
      </c>
      <c r="AB1404" s="147">
        <v>71116.84</v>
      </c>
      <c r="AC1404" s="147">
        <v>2986907.18</v>
      </c>
      <c r="AD1404" s="315">
        <f t="shared" si="965"/>
        <v>2983920.2728200001</v>
      </c>
      <c r="AE1404" s="147">
        <v>37.520000000000003</v>
      </c>
      <c r="AF1404" s="147">
        <v>42</v>
      </c>
      <c r="AG1404" s="147">
        <v>37.520000000000003</v>
      </c>
      <c r="AH1404" s="287">
        <v>6.7999999999999996E-3</v>
      </c>
      <c r="AI1404" s="287">
        <v>2.5999999999999999E-2</v>
      </c>
      <c r="AJ1404" s="287">
        <v>5.5E-2</v>
      </c>
      <c r="AK1404" s="318">
        <f t="shared" si="946"/>
        <v>303431.83999999979</v>
      </c>
      <c r="AL1404" s="193">
        <v>0</v>
      </c>
      <c r="AM1404" s="319">
        <v>0</v>
      </c>
      <c r="AN1404" s="319"/>
      <c r="AO1404" s="320">
        <f t="shared" si="947"/>
        <v>0</v>
      </c>
      <c r="AP1404" s="193">
        <v>0</v>
      </c>
      <c r="AQ1404" s="318">
        <v>0</v>
      </c>
      <c r="AR1404" s="318">
        <f t="shared" si="948"/>
        <v>303431.83999999979</v>
      </c>
      <c r="AS1404" s="318">
        <f t="shared" si="949"/>
        <v>318603</v>
      </c>
      <c r="AT1404" s="321">
        <v>0</v>
      </c>
      <c r="AU1404" s="157"/>
      <c r="AV1404" s="136"/>
      <c r="AW1404" s="318">
        <f t="shared" si="950"/>
        <v>34670</v>
      </c>
      <c r="AX1404" s="193"/>
      <c r="AY1404" s="318">
        <f t="shared" si="951"/>
        <v>34670</v>
      </c>
      <c r="AZ1404" s="318">
        <f t="shared" si="952"/>
        <v>34610</v>
      </c>
      <c r="BA1404" s="318">
        <f t="shared" si="953"/>
        <v>60</v>
      </c>
      <c r="BB1404" s="318">
        <f t="shared" si="954"/>
        <v>69.34</v>
      </c>
      <c r="BC1404" s="318">
        <v>0</v>
      </c>
      <c r="BD1404" s="136"/>
      <c r="BE1404" s="138">
        <v>346.7</v>
      </c>
      <c r="BF1404" s="321">
        <f t="shared" si="955"/>
        <v>0.5200499999999999</v>
      </c>
      <c r="BG1404" s="197">
        <f t="shared" si="956"/>
        <v>346.17994999999996</v>
      </c>
      <c r="BH1404" s="321">
        <f t="shared" si="957"/>
        <v>346.1</v>
      </c>
      <c r="BI1404" s="322">
        <f t="shared" si="958"/>
        <v>59.999999999996589</v>
      </c>
      <c r="BJ1404" s="322">
        <v>0</v>
      </c>
      <c r="BK1404" s="318">
        <f t="shared" si="959"/>
        <v>59.999999999996589</v>
      </c>
      <c r="BL1404" s="193"/>
      <c r="BM1404" s="449" t="str">
        <f t="shared" si="960"/>
        <v>Unloading no. 1369 Bill No 2026-27/473 ,Deduction For Oil Deduction= 303431.84 ,Bardana= 0 ,F.M= 0 Brokerage/Rate Difference  ,Shortage = 0 ,Greenish= 0 ,Moisture= 0</v>
      </c>
      <c r="BN1404" s="193"/>
      <c r="BO1404" s="449" t="str">
        <f t="shared" si="961"/>
        <v xml:space="preserve"> Party Condition 42  ,F.M% 0.68 ,Greenish 2.6 ,Moisture 5.5 ,Shortage in KG= 0  ,Oil% 37.52</v>
      </c>
      <c r="BP1404" s="318">
        <f t="shared" si="962"/>
        <v>7342.5069633054027</v>
      </c>
      <c r="BQ1404" s="157"/>
      <c r="BR1404" s="157"/>
      <c r="BS1404" s="136"/>
      <c r="BT1404" s="136"/>
      <c r="BU1404" s="136"/>
      <c r="BV1404" s="136"/>
      <c r="BW1404" s="431"/>
      <c r="BX1404" s="27">
        <v>37.369999999999997</v>
      </c>
      <c r="BY1404" s="27">
        <v>37.21</v>
      </c>
    </row>
    <row r="1405" spans="1:83" ht="14.1" hidden="1" customHeight="1" x14ac:dyDescent="0.3">
      <c r="A1405" s="281" t="s">
        <v>2939</v>
      </c>
      <c r="B1405" s="146">
        <v>46220</v>
      </c>
      <c r="C1405" s="138">
        <v>1370</v>
      </c>
      <c r="D1405" s="138" t="s">
        <v>2995</v>
      </c>
      <c r="E1405" s="129">
        <v>46225</v>
      </c>
      <c r="F1405" s="281" t="s">
        <v>1144</v>
      </c>
      <c r="G1405" s="128" t="s">
        <v>1145</v>
      </c>
      <c r="H1405" s="128" t="s">
        <v>100</v>
      </c>
      <c r="I1405" s="136"/>
      <c r="J1405" s="138" t="s">
        <v>1146</v>
      </c>
      <c r="K1405" s="136"/>
      <c r="L1405" s="146">
        <v>46220</v>
      </c>
      <c r="M1405" s="136"/>
      <c r="N1405" s="128" t="s">
        <v>3044</v>
      </c>
      <c r="O1405" s="146">
        <v>46223</v>
      </c>
      <c r="P1405" s="138">
        <v>0</v>
      </c>
      <c r="Q1405" s="138">
        <v>390</v>
      </c>
      <c r="R1405" s="138">
        <v>110</v>
      </c>
      <c r="S1405" s="138">
        <v>500</v>
      </c>
      <c r="T1405" s="138">
        <v>500</v>
      </c>
      <c r="U1405" s="136"/>
      <c r="V1405" s="136"/>
      <c r="W1405" s="147">
        <v>302.2</v>
      </c>
      <c r="X1405" s="147">
        <v>302.8</v>
      </c>
      <c r="Y1405" s="147">
        <v>2479551</v>
      </c>
      <c r="Z1405" s="147">
        <v>39.21</v>
      </c>
      <c r="AA1405" s="147">
        <v>61988.78</v>
      </c>
      <c r="AB1405" s="147">
        <v>61988.78</v>
      </c>
      <c r="AC1405" s="147">
        <v>2603528.5499999998</v>
      </c>
      <c r="AD1405" s="315">
        <f t="shared" si="965"/>
        <v>2600925.0214499999</v>
      </c>
      <c r="AE1405" s="147">
        <v>39.21</v>
      </c>
      <c r="AF1405" s="147">
        <v>42</v>
      </c>
      <c r="AG1405" s="147">
        <v>39.21</v>
      </c>
      <c r="AH1405" s="287">
        <v>7.0000000000000001E-3</v>
      </c>
      <c r="AI1405" s="287">
        <v>5.6599999999999998E-2</v>
      </c>
      <c r="AJ1405" s="287">
        <v>0.05</v>
      </c>
      <c r="AK1405" s="318">
        <f t="shared" si="946"/>
        <v>164713.03071428565</v>
      </c>
      <c r="AL1405" s="193">
        <v>0</v>
      </c>
      <c r="AM1405" s="319">
        <v>0</v>
      </c>
      <c r="AN1405" s="319"/>
      <c r="AO1405" s="320">
        <f t="shared" si="947"/>
        <v>0</v>
      </c>
      <c r="AP1405" s="193">
        <v>0</v>
      </c>
      <c r="AQ1405" s="318">
        <v>0</v>
      </c>
      <c r="AR1405" s="318">
        <f t="shared" si="948"/>
        <v>164713.03071428565</v>
      </c>
      <c r="AS1405" s="318">
        <f t="shared" si="949"/>
        <v>172949</v>
      </c>
      <c r="AT1405" s="321">
        <v>0</v>
      </c>
      <c r="AU1405" s="157"/>
      <c r="AV1405" s="136"/>
      <c r="AW1405" s="318">
        <f t="shared" si="950"/>
        <v>30220</v>
      </c>
      <c r="AX1405" s="193"/>
      <c r="AY1405" s="318">
        <f t="shared" si="951"/>
        <v>30220</v>
      </c>
      <c r="AZ1405" s="318">
        <f t="shared" si="952"/>
        <v>30280</v>
      </c>
      <c r="BA1405" s="318">
        <f t="shared" si="953"/>
        <v>-60</v>
      </c>
      <c r="BB1405" s="318">
        <f t="shared" si="954"/>
        <v>60.44</v>
      </c>
      <c r="BC1405" s="318">
        <v>0</v>
      </c>
      <c r="BD1405" s="136"/>
      <c r="BE1405" s="138">
        <v>302.2</v>
      </c>
      <c r="BF1405" s="321">
        <f t="shared" si="955"/>
        <v>0.45329999999999998</v>
      </c>
      <c r="BG1405" s="197">
        <f t="shared" si="956"/>
        <v>301.74669999999998</v>
      </c>
      <c r="BH1405" s="321">
        <f t="shared" si="957"/>
        <v>302.8</v>
      </c>
      <c r="BI1405" s="322">
        <f t="shared" si="958"/>
        <v>-60.000000000002274</v>
      </c>
      <c r="BJ1405" s="322">
        <v>0</v>
      </c>
      <c r="BK1405" s="318">
        <f t="shared" si="959"/>
        <v>-60.000000000002274</v>
      </c>
      <c r="BL1405" s="193"/>
      <c r="BM1405" s="449" t="str">
        <f t="shared" si="960"/>
        <v>Unloading no. 1370 Bill No 2026-27/474 ,Deduction For Oil Deduction= 164713.030714286 ,Bardana= 0 ,F.M= 0 Brokerage/Rate Difference  ,Shortage = 0 ,Greenish= 0 ,Moisture= 0</v>
      </c>
      <c r="BN1405" s="193"/>
      <c r="BO1405" s="449" t="str">
        <f t="shared" si="961"/>
        <v xml:space="preserve"> Party Condition 42  ,F.M% 0.7 ,Greenish 5.66 ,Moisture 5 ,Shortage in KG= 0  ,Oil% 39.21</v>
      </c>
      <c r="BP1405" s="318">
        <f t="shared" si="962"/>
        <v>7644.7753278920554</v>
      </c>
      <c r="BQ1405" s="157"/>
      <c r="BR1405" s="157"/>
      <c r="BS1405" s="136"/>
      <c r="BT1405" s="136"/>
      <c r="BU1405" s="136"/>
      <c r="BV1405" s="136"/>
      <c r="BW1405" s="431"/>
      <c r="BX1405" s="27">
        <v>39.32</v>
      </c>
      <c r="BY1405" s="27">
        <v>39.25</v>
      </c>
    </row>
    <row r="1406" spans="1:83" ht="14.1" hidden="1" customHeight="1" x14ac:dyDescent="0.3">
      <c r="A1406" s="281" t="s">
        <v>2939</v>
      </c>
      <c r="B1406" s="146">
        <v>46220</v>
      </c>
      <c r="C1406" s="138">
        <v>1371</v>
      </c>
      <c r="D1406" s="138" t="s">
        <v>2996</v>
      </c>
      <c r="E1406" s="129">
        <v>46225</v>
      </c>
      <c r="F1406" s="281" t="s">
        <v>1144</v>
      </c>
      <c r="G1406" s="163" t="s">
        <v>1145</v>
      </c>
      <c r="H1406" s="128" t="s">
        <v>100</v>
      </c>
      <c r="I1406" s="136"/>
      <c r="J1406" s="138" t="s">
        <v>1146</v>
      </c>
      <c r="K1406" s="136"/>
      <c r="L1406" s="146">
        <v>46220</v>
      </c>
      <c r="M1406" s="136"/>
      <c r="N1406" s="128" t="s">
        <v>3045</v>
      </c>
      <c r="O1406" s="146">
        <v>46223</v>
      </c>
      <c r="P1406" s="138">
        <v>0</v>
      </c>
      <c r="Q1406" s="138">
        <v>400</v>
      </c>
      <c r="R1406" s="138">
        <v>180</v>
      </c>
      <c r="S1406" s="138">
        <v>580</v>
      </c>
      <c r="T1406" s="138">
        <v>580</v>
      </c>
      <c r="U1406" s="136"/>
      <c r="V1406" s="136"/>
      <c r="W1406" s="147">
        <v>345.8</v>
      </c>
      <c r="X1406" s="147">
        <v>344.3</v>
      </c>
      <c r="Y1406" s="147">
        <v>2837289</v>
      </c>
      <c r="Z1406" s="147">
        <v>39.51</v>
      </c>
      <c r="AA1406" s="147">
        <v>70932.23</v>
      </c>
      <c r="AB1406" s="147">
        <v>70932.23</v>
      </c>
      <c r="AC1406" s="147">
        <v>2979153.45</v>
      </c>
      <c r="AD1406" s="315">
        <f t="shared" si="965"/>
        <v>2976174.2965500001</v>
      </c>
      <c r="AE1406" s="147">
        <v>39.51</v>
      </c>
      <c r="AF1406" s="147">
        <v>42</v>
      </c>
      <c r="AG1406" s="147">
        <v>39.51</v>
      </c>
      <c r="AH1406" s="287">
        <v>2.5999999999999999E-3</v>
      </c>
      <c r="AI1406" s="287">
        <v>8.3199999999999996E-2</v>
      </c>
      <c r="AJ1406" s="287">
        <v>0.05</v>
      </c>
      <c r="AK1406" s="318">
        <f t="shared" si="946"/>
        <v>168210.70500000013</v>
      </c>
      <c r="AL1406" s="193">
        <v>0</v>
      </c>
      <c r="AM1406" s="319">
        <v>0</v>
      </c>
      <c r="AN1406" s="319"/>
      <c r="AO1406" s="320">
        <f t="shared" si="947"/>
        <v>6646.05</v>
      </c>
      <c r="AP1406" s="193">
        <v>0</v>
      </c>
      <c r="AQ1406" s="318">
        <v>0</v>
      </c>
      <c r="AR1406" s="318">
        <f t="shared" si="948"/>
        <v>174856.75500000012</v>
      </c>
      <c r="AS1406" s="318">
        <f t="shared" si="949"/>
        <v>183600</v>
      </c>
      <c r="AT1406" s="321">
        <v>81</v>
      </c>
      <c r="AU1406" s="157"/>
      <c r="AV1406" s="136"/>
      <c r="AW1406" s="318">
        <f t="shared" si="950"/>
        <v>34580</v>
      </c>
      <c r="AX1406" s="193"/>
      <c r="AY1406" s="318">
        <f t="shared" si="951"/>
        <v>34580</v>
      </c>
      <c r="AZ1406" s="318">
        <f t="shared" si="952"/>
        <v>34430</v>
      </c>
      <c r="BA1406" s="318">
        <f t="shared" si="953"/>
        <v>150</v>
      </c>
      <c r="BB1406" s="318">
        <f t="shared" si="954"/>
        <v>69.16</v>
      </c>
      <c r="BC1406" s="318">
        <v>0</v>
      </c>
      <c r="BD1406" s="136"/>
      <c r="BE1406" s="138">
        <v>345.8</v>
      </c>
      <c r="BF1406" s="321">
        <f t="shared" si="955"/>
        <v>0.51869999999999994</v>
      </c>
      <c r="BG1406" s="197">
        <f t="shared" si="956"/>
        <v>345.28129999999999</v>
      </c>
      <c r="BH1406" s="321">
        <f t="shared" si="957"/>
        <v>344.3</v>
      </c>
      <c r="BI1406" s="322">
        <f t="shared" si="958"/>
        <v>150</v>
      </c>
      <c r="BJ1406" s="322">
        <v>0</v>
      </c>
      <c r="BK1406" s="318">
        <f t="shared" si="959"/>
        <v>150</v>
      </c>
      <c r="BL1406" s="193"/>
      <c r="BM1406" s="449" t="str">
        <f t="shared" si="960"/>
        <v>Unloading no. 1371 Bill No 2026-27/469 ,Deduction For Oil Deduction= 168210.705 ,Bardana= 0 ,F.M= 0 Brokerage/Rate Difference  ,Shortage = 6646.05 ,Greenish= 0 ,Moisture= 0</v>
      </c>
      <c r="BN1406" s="193"/>
      <c r="BO1406" s="449" t="str">
        <f t="shared" si="961"/>
        <v xml:space="preserve"> Party Condition 42  ,F.M% 0.26 ,Greenish 8.32 ,Moisture 5 ,Shortage in KG= 81  ,Oil% 39.51</v>
      </c>
      <c r="BP1406" s="318">
        <f t="shared" si="962"/>
        <v>7732.88482428115</v>
      </c>
      <c r="BQ1406" s="157"/>
      <c r="BR1406" s="157"/>
      <c r="BS1406" s="136"/>
      <c r="BT1406" s="136"/>
      <c r="BU1406" s="136"/>
      <c r="BV1406" s="136"/>
      <c r="BW1406" s="431"/>
      <c r="BX1406" s="27">
        <v>39.700000000000003</v>
      </c>
      <c r="BY1406" s="27">
        <v>39.47</v>
      </c>
    </row>
    <row r="1407" spans="1:83" ht="14.1" hidden="1" customHeight="1" x14ac:dyDescent="0.3">
      <c r="A1407" s="281" t="s">
        <v>2968</v>
      </c>
      <c r="B1407" s="146">
        <v>46223</v>
      </c>
      <c r="C1407" s="138">
        <v>1372</v>
      </c>
      <c r="D1407" s="138" t="s">
        <v>2997</v>
      </c>
      <c r="E1407" s="129">
        <v>46225</v>
      </c>
      <c r="F1407" s="281" t="s">
        <v>1382</v>
      </c>
      <c r="G1407" s="163" t="s">
        <v>1383</v>
      </c>
      <c r="H1407" s="128" t="s">
        <v>1384</v>
      </c>
      <c r="I1407" s="136"/>
      <c r="J1407" s="138" t="s">
        <v>2499</v>
      </c>
      <c r="K1407" s="136"/>
      <c r="L1407" s="146">
        <v>46223</v>
      </c>
      <c r="M1407" s="136"/>
      <c r="N1407" s="281">
        <v>35</v>
      </c>
      <c r="O1407" s="146">
        <v>46223</v>
      </c>
      <c r="P1407" s="138">
        <v>0</v>
      </c>
      <c r="Q1407" s="138">
        <v>70</v>
      </c>
      <c r="R1407" s="138">
        <v>439</v>
      </c>
      <c r="S1407" s="138">
        <v>509</v>
      </c>
      <c r="T1407" s="138">
        <v>509</v>
      </c>
      <c r="U1407" s="136"/>
      <c r="V1407" s="136"/>
      <c r="W1407" s="147">
        <v>309.10000000000002</v>
      </c>
      <c r="X1407" s="147">
        <v>307.60000000000002</v>
      </c>
      <c r="Y1407" s="147">
        <v>2565530</v>
      </c>
      <c r="Z1407" s="169"/>
      <c r="AA1407" s="147">
        <v>64138.25</v>
      </c>
      <c r="AB1407" s="147">
        <v>64138.25</v>
      </c>
      <c r="AC1407" s="147">
        <v>2693806.5</v>
      </c>
      <c r="AD1407" s="315">
        <f t="shared" si="965"/>
        <v>2691112.6935000001</v>
      </c>
      <c r="AE1407" s="147">
        <v>40.409999999999997</v>
      </c>
      <c r="AF1407" s="147">
        <v>42</v>
      </c>
      <c r="AG1407" s="147">
        <v>40.340000000000003</v>
      </c>
      <c r="AH1407" s="287">
        <v>4.4999999999999997E-3</v>
      </c>
      <c r="AI1407" s="287">
        <v>3.5400000000000001E-2</v>
      </c>
      <c r="AJ1407" s="397">
        <v>5.1999999999999998E-2</v>
      </c>
      <c r="AK1407" s="318">
        <f t="shared" si="946"/>
        <v>101399.51904761883</v>
      </c>
      <c r="AL1407" s="193">
        <f>70*10+439*15</f>
        <v>7285</v>
      </c>
      <c r="AM1407" s="319">
        <f>Y1407*AH1407</f>
        <v>11544.884999999998</v>
      </c>
      <c r="AN1407" s="319"/>
      <c r="AO1407" s="320">
        <f t="shared" si="947"/>
        <v>12449.999999999998</v>
      </c>
      <c r="AP1407" s="193">
        <v>0</v>
      </c>
      <c r="AQ1407" s="318">
        <f>Y1407*0.2/100</f>
        <v>5131.0600000000004</v>
      </c>
      <c r="AR1407" s="318">
        <f t="shared" si="948"/>
        <v>137810.46404761882</v>
      </c>
      <c r="AS1407" s="318">
        <f t="shared" si="949"/>
        <v>144701</v>
      </c>
      <c r="AT1407" s="321">
        <v>150</v>
      </c>
      <c r="AU1407" s="157"/>
      <c r="AV1407" s="136"/>
      <c r="AW1407" s="318">
        <f t="shared" si="950"/>
        <v>30910.000000000004</v>
      </c>
      <c r="AX1407" s="193"/>
      <c r="AY1407" s="318">
        <f t="shared" si="951"/>
        <v>30910.000000000004</v>
      </c>
      <c r="AZ1407" s="318">
        <f t="shared" si="952"/>
        <v>30760.000000000004</v>
      </c>
      <c r="BA1407" s="318">
        <f t="shared" si="953"/>
        <v>150</v>
      </c>
      <c r="BB1407" s="318">
        <f t="shared" si="954"/>
        <v>61.820000000000007</v>
      </c>
      <c r="BC1407" s="318">
        <v>0</v>
      </c>
      <c r="BD1407" s="136"/>
      <c r="BE1407" s="138">
        <v>309.10000000000002</v>
      </c>
      <c r="BF1407" s="321">
        <f t="shared" si="955"/>
        <v>0.46365000000000001</v>
      </c>
      <c r="BG1407" s="197">
        <f t="shared" si="956"/>
        <v>308.63635000000005</v>
      </c>
      <c r="BH1407" s="321">
        <f t="shared" si="957"/>
        <v>307.60000000000002</v>
      </c>
      <c r="BI1407" s="322">
        <f t="shared" si="958"/>
        <v>150</v>
      </c>
      <c r="BJ1407" s="322">
        <v>0</v>
      </c>
      <c r="BK1407" s="318">
        <f t="shared" si="959"/>
        <v>150</v>
      </c>
      <c r="BL1407" s="193"/>
      <c r="BM1407" s="449" t="str">
        <f t="shared" si="960"/>
        <v>Unloading no. 1372 Bill No 35 ,Deduction For Oil Deduction= 101399.519047619 ,Bardana= 7285 ,F.M= 11544.885 Brokerage/Rate Difference  ,Shortage = 12450 ,Greenish= 0 ,Moisture= 5131.06</v>
      </c>
      <c r="BN1407" s="193"/>
      <c r="BO1407" s="449" t="str">
        <f t="shared" si="961"/>
        <v xml:space="preserve"> Party Condition 42  ,F.M% 0.45 ,Greenish 3.54 ,Moisture 5.2 ,Shortage in KG= 150  ,Oil% 40.34</v>
      </c>
      <c r="BP1407" s="318">
        <f t="shared" si="962"/>
        <v>7892.4562287138533</v>
      </c>
      <c r="BQ1407" s="157"/>
      <c r="BR1407" s="157"/>
      <c r="BS1407" s="136"/>
      <c r="BT1407" s="136"/>
      <c r="BU1407" s="136"/>
      <c r="BV1407" s="136"/>
      <c r="BW1407" s="431"/>
      <c r="BX1407" s="27">
        <v>40.409999999999997</v>
      </c>
      <c r="BY1407" s="27">
        <v>40.340000000000003</v>
      </c>
      <c r="CA1407" s="56">
        <v>0</v>
      </c>
      <c r="CC1407" s="57">
        <f t="shared" ref="CC1407" si="966">AS1407-CA1407</f>
        <v>144701</v>
      </c>
      <c r="CE1407" s="88">
        <f t="shared" ref="CE1407" si="967">CC1407/105%</f>
        <v>137810.47619047618</v>
      </c>
    </row>
    <row r="1408" spans="1:83" ht="14.1" hidden="1" customHeight="1" x14ac:dyDescent="0.3">
      <c r="A1408" s="281" t="s">
        <v>2967</v>
      </c>
      <c r="B1408" s="146">
        <v>46220</v>
      </c>
      <c r="C1408" s="138">
        <v>1373</v>
      </c>
      <c r="D1408" s="138" t="s">
        <v>2998</v>
      </c>
      <c r="E1408" s="129">
        <v>46225</v>
      </c>
      <c r="F1408" s="281" t="s">
        <v>3018</v>
      </c>
      <c r="G1408" s="163" t="s">
        <v>3019</v>
      </c>
      <c r="H1408" s="128" t="s">
        <v>1508</v>
      </c>
      <c r="I1408" s="136"/>
      <c r="J1408" s="138" t="s">
        <v>1146</v>
      </c>
      <c r="K1408" s="136"/>
      <c r="L1408" s="146">
        <v>46220</v>
      </c>
      <c r="M1408" s="136"/>
      <c r="N1408" s="128" t="s">
        <v>3046</v>
      </c>
      <c r="O1408" s="146">
        <v>46222</v>
      </c>
      <c r="P1408" s="138">
        <v>0</v>
      </c>
      <c r="Q1408" s="138">
        <v>0</v>
      </c>
      <c r="R1408" s="138">
        <v>805</v>
      </c>
      <c r="S1408" s="138">
        <v>805</v>
      </c>
      <c r="T1408" s="138">
        <v>805</v>
      </c>
      <c r="U1408" s="136"/>
      <c r="V1408" s="136"/>
      <c r="W1408" s="147">
        <v>391.7</v>
      </c>
      <c r="X1408" s="147">
        <v>391.4</v>
      </c>
      <c r="Y1408" s="196">
        <v>3196369.93</v>
      </c>
      <c r="Z1408" s="147">
        <v>39.450000000000003</v>
      </c>
      <c r="AA1408" s="147">
        <v>79909.25</v>
      </c>
      <c r="AB1408" s="147">
        <v>79909.25</v>
      </c>
      <c r="AC1408" s="147">
        <v>3356188.42</v>
      </c>
      <c r="AD1408" s="315">
        <f t="shared" si="965"/>
        <v>3352832.2315799999</v>
      </c>
      <c r="AE1408" s="147">
        <v>39.450000000000003</v>
      </c>
      <c r="AF1408" s="147">
        <v>42</v>
      </c>
      <c r="AG1408" s="147">
        <v>39.450000000000003</v>
      </c>
      <c r="AH1408" s="287">
        <v>4.4000000000000003E-3</v>
      </c>
      <c r="AI1408" s="287">
        <v>4.4999999999999998E-2</v>
      </c>
      <c r="AJ1408" s="287">
        <v>0.05</v>
      </c>
      <c r="AK1408" s="318">
        <f t="shared" si="946"/>
        <v>194065.31717857122</v>
      </c>
      <c r="AL1408" s="193">
        <v>0</v>
      </c>
      <c r="AM1408" s="319">
        <v>0</v>
      </c>
      <c r="AN1408" s="319"/>
      <c r="AO1408" s="320">
        <f t="shared" si="947"/>
        <v>0</v>
      </c>
      <c r="AP1408" s="193">
        <v>0</v>
      </c>
      <c r="AQ1408" s="318">
        <v>0</v>
      </c>
      <c r="AR1408" s="318">
        <f t="shared" si="948"/>
        <v>194065.31717857122</v>
      </c>
      <c r="AS1408" s="318">
        <f t="shared" si="949"/>
        <v>203769</v>
      </c>
      <c r="AT1408" s="321">
        <v>0</v>
      </c>
      <c r="AU1408" s="157"/>
      <c r="AV1408" s="136"/>
      <c r="AW1408" s="318">
        <f t="shared" si="950"/>
        <v>39170</v>
      </c>
      <c r="AX1408" s="193"/>
      <c r="AY1408" s="318">
        <f t="shared" si="951"/>
        <v>39170</v>
      </c>
      <c r="AZ1408" s="318">
        <f t="shared" si="952"/>
        <v>39140</v>
      </c>
      <c r="BA1408" s="318">
        <f t="shared" si="953"/>
        <v>30</v>
      </c>
      <c r="BB1408" s="318">
        <f t="shared" si="954"/>
        <v>78.34</v>
      </c>
      <c r="BC1408" s="318">
        <v>0</v>
      </c>
      <c r="BD1408" s="136"/>
      <c r="BE1408" s="138">
        <v>391.7</v>
      </c>
      <c r="BF1408" s="321">
        <f t="shared" si="955"/>
        <v>0.58754999999999991</v>
      </c>
      <c r="BG1408" s="197">
        <f t="shared" si="956"/>
        <v>391.11244999999997</v>
      </c>
      <c r="BH1408" s="321">
        <f t="shared" si="957"/>
        <v>391.4</v>
      </c>
      <c r="BI1408" s="322">
        <f t="shared" si="958"/>
        <v>30.000000000001137</v>
      </c>
      <c r="BJ1408" s="322">
        <v>0</v>
      </c>
      <c r="BK1408" s="318">
        <f t="shared" si="959"/>
        <v>30.000000000001137</v>
      </c>
      <c r="BL1408" s="193"/>
      <c r="BM1408" s="449" t="str">
        <f t="shared" si="960"/>
        <v>Unloading no. 1373 Bill No BTC-7/26-27 ,Deduction For Oil Deduction= 194065.317178571 ,Bardana= 0 ,F.M= 0 Brokerage/Rate Difference  ,Shortage = 0 ,Greenish= 0 ,Moisture= 0</v>
      </c>
      <c r="BN1408" s="193"/>
      <c r="BO1408" s="449" t="str">
        <f t="shared" si="961"/>
        <v xml:space="preserve"> Party Condition 42  ,F.M% 0.44 ,Greenish 4.5 ,Moisture 5 ,Shortage in KG= 0  ,Oil% 39.45</v>
      </c>
      <c r="BP1408" s="318">
        <f t="shared" si="962"/>
        <v>7670.6811773669624</v>
      </c>
      <c r="BQ1408" s="157"/>
      <c r="BR1408" s="157"/>
      <c r="BS1408" s="136"/>
      <c r="BT1408" s="136"/>
      <c r="BU1408" s="136"/>
      <c r="BV1408" s="136"/>
      <c r="BW1408" s="431"/>
      <c r="BX1408" s="27">
        <v>39.799999999999997</v>
      </c>
      <c r="BY1408" s="27">
        <v>39.64</v>
      </c>
    </row>
    <row r="1409" spans="1:83" ht="14.1" hidden="1" customHeight="1" x14ac:dyDescent="0.3">
      <c r="A1409" s="281" t="s">
        <v>2969</v>
      </c>
      <c r="B1409" s="146">
        <v>46223</v>
      </c>
      <c r="C1409" s="138">
        <v>1374</v>
      </c>
      <c r="D1409" s="138" t="s">
        <v>2999</v>
      </c>
      <c r="E1409" s="129">
        <v>46225</v>
      </c>
      <c r="F1409" s="281" t="s">
        <v>104</v>
      </c>
      <c r="G1409" s="163" t="s">
        <v>105</v>
      </c>
      <c r="H1409" s="128" t="s">
        <v>106</v>
      </c>
      <c r="I1409" s="136"/>
      <c r="J1409" s="138" t="s">
        <v>1146</v>
      </c>
      <c r="K1409" s="136"/>
      <c r="L1409" s="146">
        <v>46223</v>
      </c>
      <c r="M1409" s="136"/>
      <c r="N1409" s="128" t="s">
        <v>3047</v>
      </c>
      <c r="O1409" s="146">
        <v>46223</v>
      </c>
      <c r="P1409" s="138">
        <v>0</v>
      </c>
      <c r="Q1409" s="138">
        <v>290</v>
      </c>
      <c r="R1409" s="138">
        <v>110</v>
      </c>
      <c r="S1409" s="138">
        <v>400</v>
      </c>
      <c r="T1409" s="138">
        <v>400</v>
      </c>
      <c r="U1409" s="136"/>
      <c r="V1409" s="136"/>
      <c r="W1409" s="147">
        <v>203.54</v>
      </c>
      <c r="X1409" s="147">
        <v>203.7</v>
      </c>
      <c r="Y1409" s="147">
        <v>1675932.08</v>
      </c>
      <c r="Z1409" s="169"/>
      <c r="AA1409" s="147">
        <v>41898.300000000003</v>
      </c>
      <c r="AB1409" s="147">
        <v>41898.300000000003</v>
      </c>
      <c r="AC1409" s="147">
        <v>1759728.68</v>
      </c>
      <c r="AD1409" s="315">
        <f t="shared" si="965"/>
        <v>1757968.95132</v>
      </c>
      <c r="AE1409" s="147">
        <v>41.05</v>
      </c>
      <c r="AF1409" s="147">
        <v>42</v>
      </c>
      <c r="AG1409" s="147">
        <v>40.93</v>
      </c>
      <c r="AH1409" s="287">
        <v>3.0000000000000001E-3</v>
      </c>
      <c r="AI1409" s="287">
        <v>0.05</v>
      </c>
      <c r="AJ1409" s="287">
        <v>0.05</v>
      </c>
      <c r="AK1409" s="318">
        <f t="shared" si="946"/>
        <v>42696.364895238105</v>
      </c>
      <c r="AL1409" s="193">
        <v>0</v>
      </c>
      <c r="AM1409" s="319">
        <v>0</v>
      </c>
      <c r="AN1409" s="319">
        <v>370</v>
      </c>
      <c r="AO1409" s="320">
        <f t="shared" si="947"/>
        <v>0</v>
      </c>
      <c r="AP1409" s="193">
        <v>0</v>
      </c>
      <c r="AQ1409" s="318">
        <v>0</v>
      </c>
      <c r="AR1409" s="318">
        <f t="shared" si="948"/>
        <v>43066.364895238105</v>
      </c>
      <c r="AS1409" s="318">
        <f t="shared" si="949"/>
        <v>45220</v>
      </c>
      <c r="AT1409" s="321">
        <v>0</v>
      </c>
      <c r="AU1409" s="157"/>
      <c r="AV1409" s="136"/>
      <c r="AW1409" s="318">
        <f t="shared" si="950"/>
        <v>20354</v>
      </c>
      <c r="AX1409" s="193"/>
      <c r="AY1409" s="318">
        <f t="shared" si="951"/>
        <v>20354</v>
      </c>
      <c r="AZ1409" s="318">
        <f t="shared" si="952"/>
        <v>20370</v>
      </c>
      <c r="BA1409" s="318">
        <f t="shared" si="953"/>
        <v>-16</v>
      </c>
      <c r="BB1409" s="318">
        <f t="shared" si="954"/>
        <v>40.707999999999998</v>
      </c>
      <c r="BC1409" s="318">
        <v>0</v>
      </c>
      <c r="BD1409" s="136"/>
      <c r="BE1409" s="138">
        <v>203.54</v>
      </c>
      <c r="BF1409" s="321">
        <f t="shared" si="955"/>
        <v>0.30530999999999997</v>
      </c>
      <c r="BG1409" s="197">
        <f t="shared" si="956"/>
        <v>203.23469</v>
      </c>
      <c r="BH1409" s="321">
        <f t="shared" si="957"/>
        <v>203.7</v>
      </c>
      <c r="BI1409" s="322">
        <f t="shared" si="958"/>
        <v>-15.999999999999659</v>
      </c>
      <c r="BJ1409" s="322">
        <v>0</v>
      </c>
      <c r="BK1409" s="318">
        <f t="shared" si="959"/>
        <v>-15.999999999999659</v>
      </c>
      <c r="BL1409" s="193"/>
      <c r="BM1409" s="449" t="str">
        <f t="shared" si="960"/>
        <v>Unloading no. 1374 Bill No MTC/2026-27/0263 ,Deduction For Oil Deduction= 42696.3648952381 ,Bardana= 0 ,F.M= 0 Brokerage/Rate Difference 370 ,Shortage = 0 ,Greenish= 0 ,Moisture= 0</v>
      </c>
      <c r="BN1409" s="193"/>
      <c r="BO1409" s="449" t="str">
        <f t="shared" si="961"/>
        <v xml:space="preserve"> Party Condition 42  ,F.M% 0.3 ,Greenish 5 ,Moisture 5 ,Shortage in KG= 0  ,Oil% 40.93</v>
      </c>
      <c r="BP1409" s="318">
        <f t="shared" si="962"/>
        <v>8016.0319838230835</v>
      </c>
      <c r="BQ1409" s="157"/>
      <c r="BR1409" s="157"/>
      <c r="BS1409" s="136"/>
      <c r="BT1409" s="136"/>
      <c r="BU1409" s="136"/>
      <c r="BV1409" s="136"/>
      <c r="BW1409" s="431"/>
      <c r="BX1409" s="27">
        <v>41.05</v>
      </c>
      <c r="BY1409" s="27">
        <v>40.93</v>
      </c>
      <c r="CA1409" s="56">
        <v>0</v>
      </c>
      <c r="CC1409" s="57">
        <f t="shared" ref="CC1409" si="968">AS1409-CA1409</f>
        <v>45220</v>
      </c>
      <c r="CE1409" s="88">
        <f t="shared" ref="CE1409" si="969">CC1409/105%</f>
        <v>43066.666666666664</v>
      </c>
    </row>
    <row r="1410" spans="1:83" ht="14.1" hidden="1" customHeight="1" x14ac:dyDescent="0.3">
      <c r="A1410" s="281" t="s">
        <v>2827</v>
      </c>
      <c r="B1410" s="146">
        <v>46216</v>
      </c>
      <c r="C1410" s="138">
        <v>1375</v>
      </c>
      <c r="D1410" s="138" t="s">
        <v>3000</v>
      </c>
      <c r="E1410" s="129">
        <v>46225</v>
      </c>
      <c r="F1410" s="281" t="s">
        <v>2497</v>
      </c>
      <c r="G1410" s="163" t="s">
        <v>2498</v>
      </c>
      <c r="H1410" s="128" t="s">
        <v>100</v>
      </c>
      <c r="I1410" s="136"/>
      <c r="J1410" s="138" t="s">
        <v>1146</v>
      </c>
      <c r="K1410" s="136"/>
      <c r="L1410" s="146">
        <v>46216</v>
      </c>
      <c r="M1410" s="136"/>
      <c r="N1410" s="128" t="s">
        <v>3048</v>
      </c>
      <c r="O1410" s="146">
        <v>46225</v>
      </c>
      <c r="P1410" s="138">
        <v>0</v>
      </c>
      <c r="Q1410" s="138">
        <v>140</v>
      </c>
      <c r="R1410" s="138">
        <v>20</v>
      </c>
      <c r="S1410" s="138">
        <v>160</v>
      </c>
      <c r="T1410" s="138">
        <v>160</v>
      </c>
      <c r="U1410" s="136"/>
      <c r="V1410" s="165"/>
      <c r="W1410" s="147">
        <v>97.7</v>
      </c>
      <c r="X1410" s="147">
        <v>97.6</v>
      </c>
      <c r="Y1410" s="147">
        <v>786485</v>
      </c>
      <c r="Z1410" s="236">
        <v>40.880000000000003</v>
      </c>
      <c r="AA1410" s="147">
        <v>19662.13</v>
      </c>
      <c r="AB1410" s="147">
        <v>19662.13</v>
      </c>
      <c r="AC1410" s="147">
        <v>825809.25</v>
      </c>
      <c r="AD1410" s="315">
        <f t="shared" si="965"/>
        <v>824983.44074999995</v>
      </c>
      <c r="AE1410" s="147">
        <v>40.880000000000003</v>
      </c>
      <c r="AF1410" s="147">
        <v>42</v>
      </c>
      <c r="AG1410" s="147">
        <v>40.880000000000003</v>
      </c>
      <c r="AH1410" s="287">
        <v>2.2000000000000001E-3</v>
      </c>
      <c r="AI1410" s="287">
        <v>3.5999999999999997E-2</v>
      </c>
      <c r="AJ1410" s="287">
        <v>4.7E-2</v>
      </c>
      <c r="AK1410" s="318">
        <f t="shared" si="946"/>
        <v>20972.933333333287</v>
      </c>
      <c r="AL1410" s="193">
        <v>0</v>
      </c>
      <c r="AM1410" s="319">
        <v>0</v>
      </c>
      <c r="AN1410" s="319"/>
      <c r="AO1410" s="320">
        <f t="shared" si="947"/>
        <v>0</v>
      </c>
      <c r="AP1410" s="193">
        <v>0</v>
      </c>
      <c r="AQ1410" s="318">
        <v>0</v>
      </c>
      <c r="AR1410" s="318">
        <f t="shared" si="948"/>
        <v>20972.933333333287</v>
      </c>
      <c r="AS1410" s="318">
        <f t="shared" si="949"/>
        <v>22022</v>
      </c>
      <c r="AT1410" s="321">
        <v>0</v>
      </c>
      <c r="AU1410" s="157"/>
      <c r="AV1410" s="136"/>
      <c r="AW1410" s="318">
        <f t="shared" si="950"/>
        <v>9770</v>
      </c>
      <c r="AX1410" s="193"/>
      <c r="AY1410" s="318">
        <f t="shared" si="951"/>
        <v>9770</v>
      </c>
      <c r="AZ1410" s="318">
        <f t="shared" si="952"/>
        <v>9760</v>
      </c>
      <c r="BA1410" s="318">
        <f t="shared" si="953"/>
        <v>10</v>
      </c>
      <c r="BB1410" s="318">
        <f t="shared" si="954"/>
        <v>19.54</v>
      </c>
      <c r="BC1410" s="318">
        <v>0</v>
      </c>
      <c r="BD1410" s="136"/>
      <c r="BE1410" s="138">
        <v>97.7</v>
      </c>
      <c r="BF1410" s="321">
        <f t="shared" si="955"/>
        <v>0.14654999999999999</v>
      </c>
      <c r="BG1410" s="197">
        <f t="shared" si="956"/>
        <v>97.553449999999998</v>
      </c>
      <c r="BH1410" s="321">
        <f t="shared" si="957"/>
        <v>97.6</v>
      </c>
      <c r="BI1410" s="322">
        <f t="shared" si="958"/>
        <v>10.000000000000853</v>
      </c>
      <c r="BJ1410" s="322">
        <v>0</v>
      </c>
      <c r="BK1410" s="318">
        <f t="shared" si="959"/>
        <v>10.000000000000853</v>
      </c>
      <c r="BL1410" s="193"/>
      <c r="BM1410" s="449" t="str">
        <f t="shared" si="960"/>
        <v>Unloading no. 1375 Bill No HA/26-27/0471 ,Deduction For Oil Deduction= 20972.9333333333 ,Bardana= 0 ,F.M= 0 Brokerage/Rate Difference  ,Shortage = 0 ,Greenish= 0 ,Moisture= 0</v>
      </c>
      <c r="BN1410" s="193"/>
      <c r="BO1410" s="449" t="str">
        <f t="shared" si="961"/>
        <v xml:space="preserve"> Party Condition 42  ,F.M% 0.22 ,Greenish 3.6 ,Moisture 4.7 ,Shortage in KG= 0  ,Oil% 40.88</v>
      </c>
      <c r="BP1410" s="318">
        <f t="shared" si="962"/>
        <v>7843.3613387978157</v>
      </c>
      <c r="BQ1410" s="157"/>
      <c r="BR1410" s="157"/>
      <c r="BS1410" s="136"/>
      <c r="BT1410" s="136"/>
      <c r="BU1410" s="136"/>
      <c r="BV1410" s="136"/>
      <c r="BW1410" s="431"/>
      <c r="BX1410" s="27">
        <v>40.65</v>
      </c>
      <c r="BY1410" s="27">
        <v>40.520000000000003</v>
      </c>
    </row>
    <row r="1411" spans="1:83" ht="14.1" hidden="1" customHeight="1" x14ac:dyDescent="0.3">
      <c r="A1411" s="281" t="s">
        <v>2827</v>
      </c>
      <c r="B1411" s="146">
        <v>46216</v>
      </c>
      <c r="C1411" s="138">
        <v>1376</v>
      </c>
      <c r="D1411" s="138" t="s">
        <v>3001</v>
      </c>
      <c r="E1411" s="129">
        <v>46225</v>
      </c>
      <c r="F1411" s="281" t="s">
        <v>2497</v>
      </c>
      <c r="G1411" s="163" t="s">
        <v>2498</v>
      </c>
      <c r="H1411" s="128" t="s">
        <v>100</v>
      </c>
      <c r="I1411" s="136"/>
      <c r="J1411" s="138" t="s">
        <v>1146</v>
      </c>
      <c r="K1411" s="136"/>
      <c r="L1411" s="146">
        <v>46216</v>
      </c>
      <c r="M1411" s="136"/>
      <c r="N1411" s="128" t="s">
        <v>3049</v>
      </c>
      <c r="O1411" s="146">
        <v>46225</v>
      </c>
      <c r="P1411" s="138">
        <v>0</v>
      </c>
      <c r="Q1411" s="138">
        <v>120</v>
      </c>
      <c r="R1411" s="138">
        <v>40</v>
      </c>
      <c r="S1411" s="138">
        <v>160</v>
      </c>
      <c r="T1411" s="138">
        <v>160</v>
      </c>
      <c r="U1411" s="136"/>
      <c r="V1411" s="165"/>
      <c r="W1411" s="147">
        <v>97.2</v>
      </c>
      <c r="X1411" s="147">
        <v>97.2</v>
      </c>
      <c r="Y1411" s="147">
        <v>782460</v>
      </c>
      <c r="Z1411" s="236">
        <v>41.07</v>
      </c>
      <c r="AA1411" s="147">
        <v>19561.5</v>
      </c>
      <c r="AB1411" s="147">
        <v>19561.5</v>
      </c>
      <c r="AC1411" s="147">
        <v>821583</v>
      </c>
      <c r="AD1411" s="315">
        <f t="shared" si="965"/>
        <v>820761.41700000002</v>
      </c>
      <c r="AE1411" s="147">
        <v>41.07</v>
      </c>
      <c r="AF1411" s="147">
        <v>42</v>
      </c>
      <c r="AG1411" s="147">
        <v>41.07</v>
      </c>
      <c r="AH1411" s="287">
        <v>2E-3</v>
      </c>
      <c r="AI1411" s="287">
        <v>0.04</v>
      </c>
      <c r="AJ1411" s="287">
        <v>0.05</v>
      </c>
      <c r="AK1411" s="318">
        <f t="shared" si="946"/>
        <v>17325.899999999994</v>
      </c>
      <c r="AL1411" s="193">
        <v>0</v>
      </c>
      <c r="AM1411" s="319">
        <v>0</v>
      </c>
      <c r="AN1411" s="319"/>
      <c r="AO1411" s="320">
        <f t="shared" si="947"/>
        <v>0</v>
      </c>
      <c r="AP1411" s="193">
        <v>0</v>
      </c>
      <c r="AQ1411" s="318">
        <v>0</v>
      </c>
      <c r="AR1411" s="318">
        <f t="shared" si="948"/>
        <v>17325.899999999994</v>
      </c>
      <c r="AS1411" s="318">
        <f t="shared" si="949"/>
        <v>18192</v>
      </c>
      <c r="AT1411" s="321">
        <v>0</v>
      </c>
      <c r="AU1411" s="157"/>
      <c r="AV1411" s="136"/>
      <c r="AW1411" s="318">
        <f t="shared" si="950"/>
        <v>9720</v>
      </c>
      <c r="AX1411" s="193"/>
      <c r="AY1411" s="318">
        <f t="shared" si="951"/>
        <v>9720</v>
      </c>
      <c r="AZ1411" s="318">
        <f t="shared" si="952"/>
        <v>9720</v>
      </c>
      <c r="BA1411" s="318">
        <f t="shared" si="953"/>
        <v>0</v>
      </c>
      <c r="BB1411" s="318">
        <f t="shared" si="954"/>
        <v>19.440000000000001</v>
      </c>
      <c r="BC1411" s="318">
        <v>0</v>
      </c>
      <c r="BD1411" s="136"/>
      <c r="BE1411" s="138">
        <v>97.2</v>
      </c>
      <c r="BF1411" s="321">
        <f t="shared" si="955"/>
        <v>0.14580000000000001</v>
      </c>
      <c r="BG1411" s="197">
        <f t="shared" si="956"/>
        <v>97.054200000000009</v>
      </c>
      <c r="BH1411" s="321">
        <f t="shared" si="957"/>
        <v>97.2</v>
      </c>
      <c r="BI1411" s="322">
        <f t="shared" si="958"/>
        <v>0</v>
      </c>
      <c r="BJ1411" s="322">
        <v>0</v>
      </c>
      <c r="BK1411" s="318">
        <f t="shared" si="959"/>
        <v>0</v>
      </c>
      <c r="BL1411" s="193"/>
      <c r="BM1411" s="449" t="str">
        <f t="shared" si="960"/>
        <v>Unloading no. 1376 Bill No HA/26-27/0470 ,Deduction For Oil Deduction= 17325.9 ,Bardana= 0 ,F.M= 0 Brokerage/Rate Difference  ,Shortage = 0 ,Greenish= 0 ,Moisture= 0</v>
      </c>
      <c r="BN1411" s="193"/>
      <c r="BO1411" s="449" t="str">
        <f t="shared" si="961"/>
        <v xml:space="preserve"> Party Condition 42  ,F.M% 0.2 ,Greenish 4 ,Moisture 5 ,Shortage in KG= 0  ,Oil% 41.07</v>
      </c>
      <c r="BP1411" s="318">
        <f t="shared" si="962"/>
        <v>7871.7499999999991</v>
      </c>
      <c r="BQ1411" s="157"/>
      <c r="BR1411" s="157"/>
      <c r="BS1411" s="136"/>
      <c r="BT1411" s="136"/>
      <c r="BU1411" s="136"/>
      <c r="BV1411" s="136"/>
      <c r="BW1411" s="431"/>
      <c r="BX1411" s="27">
        <v>40.520000000000003</v>
      </c>
      <c r="BY1411" s="27">
        <v>40.5</v>
      </c>
    </row>
    <row r="1412" spans="1:83" ht="14.1" hidden="1" customHeight="1" x14ac:dyDescent="0.3">
      <c r="A1412" s="281" t="s">
        <v>2970</v>
      </c>
      <c r="B1412" s="146">
        <v>46223</v>
      </c>
      <c r="C1412" s="138">
        <v>1377</v>
      </c>
      <c r="D1412" s="138" t="s">
        <v>3002</v>
      </c>
      <c r="E1412" s="129">
        <v>46225</v>
      </c>
      <c r="F1412" s="281" t="s">
        <v>1689</v>
      </c>
      <c r="G1412" s="163" t="s">
        <v>1690</v>
      </c>
      <c r="H1412" s="128" t="s">
        <v>1511</v>
      </c>
      <c r="I1412" s="136"/>
      <c r="J1412" s="138" t="s">
        <v>2499</v>
      </c>
      <c r="K1412" s="136"/>
      <c r="L1412" s="146">
        <v>46223</v>
      </c>
      <c r="M1412" s="136"/>
      <c r="N1412" s="128" t="s">
        <v>3050</v>
      </c>
      <c r="O1412" s="146">
        <v>46224</v>
      </c>
      <c r="P1412" s="138">
        <v>0</v>
      </c>
      <c r="Q1412" s="138">
        <v>147</v>
      </c>
      <c r="R1412" s="138">
        <v>300</v>
      </c>
      <c r="S1412" s="138">
        <v>447</v>
      </c>
      <c r="T1412" s="138">
        <v>447</v>
      </c>
      <c r="U1412" s="136"/>
      <c r="V1412" s="136"/>
      <c r="W1412" s="147">
        <v>252.15</v>
      </c>
      <c r="X1412" s="147">
        <v>252.1</v>
      </c>
      <c r="Y1412" s="147">
        <v>2092845</v>
      </c>
      <c r="Z1412" s="169"/>
      <c r="AA1412" s="147">
        <v>52321.13</v>
      </c>
      <c r="AB1412" s="147">
        <v>52321.13</v>
      </c>
      <c r="AC1412" s="147">
        <v>2197487.25</v>
      </c>
      <c r="AD1412" s="315">
        <f t="shared" si="965"/>
        <v>2195289.7627500002</v>
      </c>
      <c r="AE1412" s="147">
        <v>40.29</v>
      </c>
      <c r="AF1412" s="147">
        <v>42</v>
      </c>
      <c r="AG1412" s="147">
        <v>40.17</v>
      </c>
      <c r="AH1412" s="418">
        <v>3.5000000000000001E-3</v>
      </c>
      <c r="AI1412" s="452">
        <v>5.2999999999999999E-2</v>
      </c>
      <c r="AJ1412" s="397">
        <v>5.0999999999999997E-2</v>
      </c>
      <c r="AK1412" s="318">
        <f t="shared" si="946"/>
        <v>91188.24642857135</v>
      </c>
      <c r="AL1412" s="193">
        <f>147*10+300*15</f>
        <v>5970</v>
      </c>
      <c r="AM1412" s="319">
        <f>Y1412*AH1412</f>
        <v>7324.9575000000004</v>
      </c>
      <c r="AN1412" s="319"/>
      <c r="AO1412" s="320">
        <f t="shared" si="947"/>
        <v>415</v>
      </c>
      <c r="AP1412" s="319">
        <f>Y1412*0.15/100</f>
        <v>3139.2674999999999</v>
      </c>
      <c r="AQ1412" s="318">
        <f>Y1412*0.1/100</f>
        <v>2092.8449999999998</v>
      </c>
      <c r="AR1412" s="318">
        <f t="shared" si="948"/>
        <v>110130.31642857136</v>
      </c>
      <c r="AS1412" s="318">
        <f t="shared" si="949"/>
        <v>115637</v>
      </c>
      <c r="AT1412" s="321">
        <v>5</v>
      </c>
      <c r="AU1412" s="157"/>
      <c r="AV1412" s="136"/>
      <c r="AW1412" s="318">
        <f t="shared" si="950"/>
        <v>25215</v>
      </c>
      <c r="AX1412" s="193"/>
      <c r="AY1412" s="318">
        <f t="shared" si="951"/>
        <v>25215</v>
      </c>
      <c r="AZ1412" s="318">
        <f t="shared" si="952"/>
        <v>25210</v>
      </c>
      <c r="BA1412" s="318">
        <f t="shared" si="953"/>
        <v>5</v>
      </c>
      <c r="BB1412" s="318">
        <f t="shared" si="954"/>
        <v>50.43</v>
      </c>
      <c r="BC1412" s="318">
        <v>0</v>
      </c>
      <c r="BD1412" s="136"/>
      <c r="BE1412" s="138">
        <v>252.15</v>
      </c>
      <c r="BF1412" s="321">
        <f t="shared" si="955"/>
        <v>0.37822499999999998</v>
      </c>
      <c r="BG1412" s="197">
        <f t="shared" si="956"/>
        <v>251.77177500000002</v>
      </c>
      <c r="BH1412" s="321">
        <f t="shared" si="957"/>
        <v>252.1</v>
      </c>
      <c r="BI1412" s="322">
        <f t="shared" si="958"/>
        <v>5.0000000000011369</v>
      </c>
      <c r="BJ1412" s="322">
        <v>0</v>
      </c>
      <c r="BK1412" s="318">
        <f t="shared" si="959"/>
        <v>5.0000000000011369</v>
      </c>
      <c r="BL1412" s="193"/>
      <c r="BM1412" s="449" t="str">
        <f t="shared" si="960"/>
        <v>Unloading no. 1377 Bill No GST49 ,Deduction For Oil Deduction= 91188.2464285714 ,Bardana= 5970 ,F.M= 7324.9575 Brokerage/Rate Difference  ,Shortage = 415 ,Greenish= 3139.2675 ,Moisture= 2092.845</v>
      </c>
      <c r="BN1412" s="193"/>
      <c r="BO1412" s="449" t="str">
        <f t="shared" si="961"/>
        <v xml:space="preserve"> Party Condition 42  ,F.M% 0.35 ,Greenish 5.3 ,Moisture 5.1 ,Shortage in KG= 5  ,Oil% 40.17</v>
      </c>
      <c r="BP1412" s="318">
        <f t="shared" si="962"/>
        <v>7864.7944608148691</v>
      </c>
      <c r="BQ1412" s="157"/>
      <c r="BR1412" s="157"/>
      <c r="BS1412" s="136"/>
      <c r="BT1412" s="136"/>
      <c r="BU1412" s="136"/>
      <c r="BV1412" s="136"/>
      <c r="BW1412" s="431"/>
      <c r="BX1412" s="27">
        <v>40.29</v>
      </c>
      <c r="BY1412" s="27">
        <v>40.17</v>
      </c>
      <c r="CA1412" s="56">
        <v>114098.6</v>
      </c>
      <c r="CC1412" s="57">
        <f t="shared" ref="CC1412" si="970">AS1412-CA1412</f>
        <v>1538.3999999999942</v>
      </c>
      <c r="CE1412" s="88">
        <f t="shared" ref="CE1412" si="971">CC1412/105%</f>
        <v>1465.1428571428514</v>
      </c>
    </row>
    <row r="1413" spans="1:83" ht="14.1" hidden="1" customHeight="1" x14ac:dyDescent="0.3">
      <c r="A1413" s="281" t="s">
        <v>2827</v>
      </c>
      <c r="B1413" s="146">
        <v>46216</v>
      </c>
      <c r="C1413" s="138">
        <v>1378</v>
      </c>
      <c r="D1413" s="138" t="s">
        <v>3003</v>
      </c>
      <c r="E1413" s="129">
        <v>46225</v>
      </c>
      <c r="F1413" s="281" t="s">
        <v>2497</v>
      </c>
      <c r="G1413" s="163" t="s">
        <v>2498</v>
      </c>
      <c r="H1413" s="128" t="s">
        <v>100</v>
      </c>
      <c r="I1413" s="136"/>
      <c r="J1413" s="138" t="s">
        <v>1146</v>
      </c>
      <c r="K1413" s="136"/>
      <c r="L1413" s="146">
        <v>46216</v>
      </c>
      <c r="M1413" s="136"/>
      <c r="N1413" s="128" t="s">
        <v>3051</v>
      </c>
      <c r="O1413" s="146">
        <v>46225</v>
      </c>
      <c r="P1413" s="138">
        <v>0</v>
      </c>
      <c r="Q1413" s="138">
        <v>120</v>
      </c>
      <c r="R1413" s="138">
        <v>40</v>
      </c>
      <c r="S1413" s="138">
        <v>160</v>
      </c>
      <c r="T1413" s="138">
        <v>160</v>
      </c>
      <c r="U1413" s="136"/>
      <c r="V1413" s="165"/>
      <c r="W1413" s="147">
        <v>97.5</v>
      </c>
      <c r="X1413" s="147">
        <v>97.4</v>
      </c>
      <c r="Y1413" s="147">
        <v>784875</v>
      </c>
      <c r="Z1413" s="236">
        <v>40.39</v>
      </c>
      <c r="AA1413" s="147">
        <v>19621.88</v>
      </c>
      <c r="AB1413" s="147">
        <v>19621.88</v>
      </c>
      <c r="AC1413" s="147">
        <v>824118.75</v>
      </c>
      <c r="AD1413" s="315">
        <f t="shared" si="965"/>
        <v>823294.63124999998</v>
      </c>
      <c r="AE1413" s="147">
        <v>40.39</v>
      </c>
      <c r="AF1413" s="147">
        <v>42</v>
      </c>
      <c r="AG1413" s="147">
        <v>40.39</v>
      </c>
      <c r="AH1413" s="287">
        <v>2E-3</v>
      </c>
      <c r="AI1413" s="287">
        <v>0.03</v>
      </c>
      <c r="AJ1413" s="287">
        <v>4.5999999999999999E-2</v>
      </c>
      <c r="AK1413" s="318">
        <f t="shared" si="946"/>
        <v>30086.874999999985</v>
      </c>
      <c r="AL1413" s="193">
        <v>0</v>
      </c>
      <c r="AM1413" s="319">
        <v>0</v>
      </c>
      <c r="AN1413" s="319"/>
      <c r="AO1413" s="320">
        <f t="shared" si="947"/>
        <v>0</v>
      </c>
      <c r="AP1413" s="193">
        <v>0</v>
      </c>
      <c r="AQ1413" s="318">
        <v>0</v>
      </c>
      <c r="AR1413" s="318">
        <f t="shared" si="948"/>
        <v>30086.874999999985</v>
      </c>
      <c r="AS1413" s="318">
        <f t="shared" si="949"/>
        <v>31591</v>
      </c>
      <c r="AT1413" s="321">
        <v>0</v>
      </c>
      <c r="AU1413" s="157"/>
      <c r="AV1413" s="136"/>
      <c r="AW1413" s="318">
        <f t="shared" si="950"/>
        <v>9750</v>
      </c>
      <c r="AX1413" s="193"/>
      <c r="AY1413" s="318">
        <f t="shared" si="951"/>
        <v>9750</v>
      </c>
      <c r="AZ1413" s="318">
        <f t="shared" si="952"/>
        <v>9740</v>
      </c>
      <c r="BA1413" s="318">
        <f t="shared" si="953"/>
        <v>10</v>
      </c>
      <c r="BB1413" s="318">
        <f t="shared" si="954"/>
        <v>19.5</v>
      </c>
      <c r="BC1413" s="318">
        <v>0</v>
      </c>
      <c r="BD1413" s="136"/>
      <c r="BE1413" s="138">
        <v>97.5</v>
      </c>
      <c r="BF1413" s="321">
        <f t="shared" si="955"/>
        <v>0.14624999999999999</v>
      </c>
      <c r="BG1413" s="197">
        <f t="shared" si="956"/>
        <v>97.353750000000005</v>
      </c>
      <c r="BH1413" s="321">
        <f t="shared" si="957"/>
        <v>97.4</v>
      </c>
      <c r="BI1413" s="322">
        <f t="shared" si="958"/>
        <v>9.9999999999994316</v>
      </c>
      <c r="BJ1413" s="322">
        <v>0</v>
      </c>
      <c r="BK1413" s="318">
        <f t="shared" si="959"/>
        <v>9.9999999999994316</v>
      </c>
      <c r="BL1413" s="193"/>
      <c r="BM1413" s="449" t="str">
        <f t="shared" si="960"/>
        <v>Unloading no. 1378 Bill No HA/26-27/0472 ,Deduction For Oil Deduction= 30086.875 ,Bardana= 0 ,F.M= 0 Brokerage/Rate Difference  ,Shortage = 0 ,Greenish= 0 ,Moisture= 0</v>
      </c>
      <c r="BN1413" s="193"/>
      <c r="BO1413" s="449" t="str">
        <f t="shared" si="961"/>
        <v xml:space="preserve"> Party Condition 42  ,F.M% 0.2 ,Greenish 3 ,Moisture 4.6 ,Shortage in KG= 0  ,Oil% 40.39</v>
      </c>
      <c r="BP1413" s="318">
        <f t="shared" si="962"/>
        <v>7749.3647330595477</v>
      </c>
      <c r="BQ1413" s="157"/>
      <c r="BR1413" s="157"/>
      <c r="BS1413" s="136"/>
      <c r="BT1413" s="136"/>
      <c r="BU1413" s="136"/>
      <c r="BV1413" s="136"/>
      <c r="BW1413" s="431"/>
      <c r="BX1413" s="27">
        <v>40.229999999999997</v>
      </c>
      <c r="BY1413" s="27">
        <v>40.14</v>
      </c>
    </row>
    <row r="1414" spans="1:83" ht="14.1" hidden="1" customHeight="1" x14ac:dyDescent="0.3">
      <c r="A1414" s="281" t="s">
        <v>2827</v>
      </c>
      <c r="B1414" s="146">
        <v>46216</v>
      </c>
      <c r="C1414" s="138">
        <v>1379</v>
      </c>
      <c r="D1414" s="138" t="s">
        <v>3004</v>
      </c>
      <c r="E1414" s="129">
        <v>46225</v>
      </c>
      <c r="F1414" s="281" t="s">
        <v>2497</v>
      </c>
      <c r="G1414" s="163" t="s">
        <v>2498</v>
      </c>
      <c r="H1414" s="128" t="s">
        <v>100</v>
      </c>
      <c r="I1414" s="136"/>
      <c r="J1414" s="138" t="s">
        <v>1146</v>
      </c>
      <c r="K1414" s="136"/>
      <c r="L1414" s="146">
        <v>46216</v>
      </c>
      <c r="M1414" s="136"/>
      <c r="N1414" s="128" t="s">
        <v>3052</v>
      </c>
      <c r="O1414" s="146">
        <v>46225</v>
      </c>
      <c r="P1414" s="138">
        <v>0</v>
      </c>
      <c r="Q1414" s="138">
        <v>125</v>
      </c>
      <c r="R1414" s="138">
        <v>35</v>
      </c>
      <c r="S1414" s="138">
        <v>160</v>
      </c>
      <c r="T1414" s="138">
        <v>160</v>
      </c>
      <c r="U1414" s="136"/>
      <c r="V1414" s="165"/>
      <c r="W1414" s="147">
        <v>96.7</v>
      </c>
      <c r="X1414" s="147">
        <v>96.6</v>
      </c>
      <c r="Y1414" s="147">
        <v>778435</v>
      </c>
      <c r="Z1414" s="236">
        <v>40.82</v>
      </c>
      <c r="AA1414" s="147">
        <v>19460.88</v>
      </c>
      <c r="AB1414" s="147">
        <v>19460.88</v>
      </c>
      <c r="AC1414" s="147">
        <v>817356.75</v>
      </c>
      <c r="AD1414" s="315">
        <f t="shared" si="965"/>
        <v>816539.39324999996</v>
      </c>
      <c r="AE1414" s="147">
        <v>40.82</v>
      </c>
      <c r="AF1414" s="147">
        <v>42</v>
      </c>
      <c r="AG1414" s="147">
        <v>40.82</v>
      </c>
      <c r="AH1414" s="287">
        <v>2.0999999999999999E-3</v>
      </c>
      <c r="AI1414" s="287">
        <v>3.4000000000000002E-2</v>
      </c>
      <c r="AJ1414" s="287">
        <v>4.2999999999999997E-2</v>
      </c>
      <c r="AK1414" s="318">
        <f t="shared" si="946"/>
        <v>21870.316666666662</v>
      </c>
      <c r="AL1414" s="193">
        <v>0</v>
      </c>
      <c r="AM1414" s="319">
        <v>0</v>
      </c>
      <c r="AN1414" s="319"/>
      <c r="AO1414" s="320">
        <f t="shared" si="947"/>
        <v>0</v>
      </c>
      <c r="AP1414" s="193">
        <v>0</v>
      </c>
      <c r="AQ1414" s="318">
        <v>0</v>
      </c>
      <c r="AR1414" s="318">
        <f t="shared" si="948"/>
        <v>21870.316666666662</v>
      </c>
      <c r="AS1414" s="318">
        <f t="shared" si="949"/>
        <v>22964</v>
      </c>
      <c r="AT1414" s="321">
        <v>0</v>
      </c>
      <c r="AU1414" s="157"/>
      <c r="AV1414" s="136"/>
      <c r="AW1414" s="318">
        <f t="shared" si="950"/>
        <v>9670</v>
      </c>
      <c r="AX1414" s="193"/>
      <c r="AY1414" s="318">
        <f t="shared" si="951"/>
        <v>9670</v>
      </c>
      <c r="AZ1414" s="318">
        <f t="shared" si="952"/>
        <v>9660</v>
      </c>
      <c r="BA1414" s="318">
        <f t="shared" si="953"/>
        <v>10</v>
      </c>
      <c r="BB1414" s="318">
        <f t="shared" si="954"/>
        <v>19.34</v>
      </c>
      <c r="BC1414" s="318">
        <v>0</v>
      </c>
      <c r="BD1414" s="136"/>
      <c r="BE1414" s="138">
        <v>96.7</v>
      </c>
      <c r="BF1414" s="321">
        <f t="shared" si="955"/>
        <v>0.14504999999999998</v>
      </c>
      <c r="BG1414" s="197">
        <f t="shared" si="956"/>
        <v>96.554950000000005</v>
      </c>
      <c r="BH1414" s="321">
        <f t="shared" si="957"/>
        <v>96.6</v>
      </c>
      <c r="BI1414" s="322">
        <f t="shared" si="958"/>
        <v>10.000000000000853</v>
      </c>
      <c r="BJ1414" s="322">
        <v>0</v>
      </c>
      <c r="BK1414" s="318">
        <f t="shared" si="959"/>
        <v>10.000000000000853</v>
      </c>
      <c r="BL1414" s="193"/>
      <c r="BM1414" s="449" t="str">
        <f t="shared" si="960"/>
        <v>Unloading no. 1379 Bill No HA/26-27/473 ,Deduction For Oil Deduction= 21870.3166666667 ,Bardana= 0 ,F.M= 0 Brokerage/Rate Difference  ,Shortage = 0 ,Greenish= 0 ,Moisture= 0</v>
      </c>
      <c r="BN1414" s="193"/>
      <c r="BO1414" s="449" t="str">
        <f t="shared" si="961"/>
        <v xml:space="preserve"> Party Condition 42  ,F.M% 0.21 ,Greenish 3.4 ,Moisture 4.3 ,Shortage in KG= 0  ,Oil% 40.82</v>
      </c>
      <c r="BP1414" s="318">
        <f t="shared" si="962"/>
        <v>7831.9325396825407</v>
      </c>
      <c r="BQ1414" s="157"/>
      <c r="BR1414" s="157"/>
      <c r="BS1414" s="136"/>
      <c r="BT1414" s="136"/>
      <c r="BU1414" s="136"/>
      <c r="BV1414" s="136"/>
      <c r="BW1414" s="431"/>
      <c r="BX1414" s="27">
        <v>40.549999999999997</v>
      </c>
      <c r="BY1414" s="27">
        <v>40.35</v>
      </c>
    </row>
    <row r="1415" spans="1:83" ht="14.1" hidden="1" customHeight="1" x14ac:dyDescent="0.3">
      <c r="A1415" s="281" t="s">
        <v>2939</v>
      </c>
      <c r="B1415" s="146">
        <v>46220</v>
      </c>
      <c r="C1415" s="138">
        <v>1380</v>
      </c>
      <c r="D1415" s="138" t="s">
        <v>3005</v>
      </c>
      <c r="E1415" s="129">
        <v>46225</v>
      </c>
      <c r="F1415" s="281" t="s">
        <v>1144</v>
      </c>
      <c r="G1415" s="163" t="s">
        <v>1145</v>
      </c>
      <c r="H1415" s="128" t="s">
        <v>100</v>
      </c>
      <c r="I1415" s="136"/>
      <c r="J1415" s="138" t="s">
        <v>1146</v>
      </c>
      <c r="K1415" s="136"/>
      <c r="L1415" s="146">
        <v>46220</v>
      </c>
      <c r="M1415" s="136"/>
      <c r="N1415" s="128" t="s">
        <v>3053</v>
      </c>
      <c r="O1415" s="146">
        <v>46224</v>
      </c>
      <c r="P1415" s="138">
        <v>0</v>
      </c>
      <c r="Q1415" s="138">
        <v>450</v>
      </c>
      <c r="R1415" s="138">
        <v>50</v>
      </c>
      <c r="S1415" s="138">
        <v>500</v>
      </c>
      <c r="T1415" s="138">
        <v>500</v>
      </c>
      <c r="U1415" s="136"/>
      <c r="V1415" s="136"/>
      <c r="W1415" s="147">
        <v>305.64999999999998</v>
      </c>
      <c r="X1415" s="147">
        <v>305.39999999999998</v>
      </c>
      <c r="Y1415" s="147">
        <v>2507858.25</v>
      </c>
      <c r="Z1415" s="147">
        <v>38.299999999999997</v>
      </c>
      <c r="AA1415" s="147">
        <v>62696.46</v>
      </c>
      <c r="AB1415" s="147">
        <v>62696.46</v>
      </c>
      <c r="AC1415" s="147">
        <v>2633251.16</v>
      </c>
      <c r="AD1415" s="315">
        <f t="shared" si="965"/>
        <v>2630617.9088400002</v>
      </c>
      <c r="AE1415" s="147">
        <v>38.299999999999997</v>
      </c>
      <c r="AF1415" s="147">
        <v>42</v>
      </c>
      <c r="AG1415" s="147">
        <v>38.299999999999997</v>
      </c>
      <c r="AH1415" s="287">
        <v>3.5000000000000001E-3</v>
      </c>
      <c r="AI1415" s="287">
        <v>0.04</v>
      </c>
      <c r="AJ1415" s="287">
        <v>4.5999999999999999E-2</v>
      </c>
      <c r="AK1415" s="318">
        <f t="shared" si="946"/>
        <v>220930.36964285729</v>
      </c>
      <c r="AL1415" s="193">
        <v>0</v>
      </c>
      <c r="AM1415" s="319">
        <v>0</v>
      </c>
      <c r="AN1415" s="319"/>
      <c r="AO1415" s="320">
        <f t="shared" si="947"/>
        <v>0</v>
      </c>
      <c r="AP1415" s="193">
        <v>0</v>
      </c>
      <c r="AQ1415" s="318">
        <v>0</v>
      </c>
      <c r="AR1415" s="318">
        <f t="shared" si="948"/>
        <v>220930.36964285729</v>
      </c>
      <c r="AS1415" s="318">
        <f t="shared" si="949"/>
        <v>231977</v>
      </c>
      <c r="AT1415" s="321">
        <v>0</v>
      </c>
      <c r="AU1415" s="157"/>
      <c r="AV1415" s="136"/>
      <c r="AW1415" s="318">
        <f t="shared" si="950"/>
        <v>30564.999999999996</v>
      </c>
      <c r="AX1415" s="193"/>
      <c r="AY1415" s="318">
        <f t="shared" si="951"/>
        <v>30564.999999999996</v>
      </c>
      <c r="AZ1415" s="318">
        <f t="shared" si="952"/>
        <v>30539.999999999996</v>
      </c>
      <c r="BA1415" s="318">
        <f t="shared" si="953"/>
        <v>25</v>
      </c>
      <c r="BB1415" s="318">
        <f t="shared" si="954"/>
        <v>61.129999999999995</v>
      </c>
      <c r="BC1415" s="318">
        <v>0</v>
      </c>
      <c r="BD1415" s="136"/>
      <c r="BE1415" s="138">
        <v>305.64999999999998</v>
      </c>
      <c r="BF1415" s="321">
        <f t="shared" si="955"/>
        <v>0.45847499999999997</v>
      </c>
      <c r="BG1415" s="197">
        <f t="shared" si="956"/>
        <v>305.19152499999996</v>
      </c>
      <c r="BH1415" s="321">
        <f t="shared" si="957"/>
        <v>305.39999999999998</v>
      </c>
      <c r="BI1415" s="322">
        <f t="shared" si="958"/>
        <v>25</v>
      </c>
      <c r="BJ1415" s="322">
        <v>0</v>
      </c>
      <c r="BK1415" s="318">
        <f t="shared" si="959"/>
        <v>25</v>
      </c>
      <c r="BL1415" s="193"/>
      <c r="BM1415" s="449" t="str">
        <f t="shared" si="960"/>
        <v>Unloading no. 1380 Bill No 2026-27/478 ,Deduction For Oil Deduction= 220930.369642857 ,Bardana= 0 ,F.M= 0 Brokerage/Rate Difference  ,Shortage = 0 ,Greenish= 0 ,Moisture= 0</v>
      </c>
      <c r="BN1415" s="193"/>
      <c r="BO1415" s="449" t="str">
        <f t="shared" si="961"/>
        <v xml:space="preserve"> Party Condition 42  ,F.M% 0.35 ,Greenish 4 ,Moisture 4.6 ,Shortage in KG= 0  ,Oil% 38.3</v>
      </c>
      <c r="BP1415" s="318">
        <f t="shared" si="962"/>
        <v>7488.3034720273172</v>
      </c>
      <c r="BQ1415" s="157"/>
      <c r="BR1415" s="157"/>
      <c r="BS1415" s="136"/>
      <c r="BT1415" s="136"/>
      <c r="BU1415" s="136"/>
      <c r="BV1415" s="136"/>
      <c r="BW1415" s="431"/>
      <c r="BX1415" s="27">
        <v>38.04</v>
      </c>
      <c r="BY1415" s="27">
        <v>37.9</v>
      </c>
    </row>
    <row r="1416" spans="1:83" ht="14.1" hidden="1" customHeight="1" x14ac:dyDescent="0.3">
      <c r="A1416" s="281" t="s">
        <v>2827</v>
      </c>
      <c r="B1416" s="146">
        <v>46216</v>
      </c>
      <c r="C1416" s="138">
        <v>1381</v>
      </c>
      <c r="D1416" s="138" t="s">
        <v>3006</v>
      </c>
      <c r="E1416" s="129">
        <v>46225</v>
      </c>
      <c r="F1416" s="281" t="s">
        <v>2497</v>
      </c>
      <c r="G1416" s="163" t="s">
        <v>2498</v>
      </c>
      <c r="H1416" s="128" t="s">
        <v>100</v>
      </c>
      <c r="I1416" s="136"/>
      <c r="J1416" s="138" t="s">
        <v>1146</v>
      </c>
      <c r="K1416" s="136"/>
      <c r="L1416" s="146">
        <v>46216</v>
      </c>
      <c r="M1416" s="136"/>
      <c r="N1416" s="128" t="s">
        <v>3054</v>
      </c>
      <c r="O1416" s="146">
        <v>46225</v>
      </c>
      <c r="P1416" s="138">
        <v>0</v>
      </c>
      <c r="Q1416" s="138">
        <v>135</v>
      </c>
      <c r="R1416" s="138">
        <v>25</v>
      </c>
      <c r="S1416" s="138">
        <v>160</v>
      </c>
      <c r="T1416" s="138">
        <v>160</v>
      </c>
      <c r="U1416" s="136"/>
      <c r="V1416" s="165"/>
      <c r="W1416" s="147">
        <v>96.4</v>
      </c>
      <c r="X1416" s="147">
        <v>96.2</v>
      </c>
      <c r="Y1416" s="147">
        <v>776020</v>
      </c>
      <c r="Z1416" s="236">
        <v>41.09</v>
      </c>
      <c r="AA1416" s="147">
        <v>19400.5</v>
      </c>
      <c r="AB1416" s="147">
        <v>19400.5</v>
      </c>
      <c r="AC1416" s="147">
        <v>814821</v>
      </c>
      <c r="AD1416" s="315">
        <f t="shared" si="965"/>
        <v>814006.179</v>
      </c>
      <c r="AE1416" s="147">
        <v>41.09</v>
      </c>
      <c r="AF1416" s="147">
        <v>42</v>
      </c>
      <c r="AG1416" s="147">
        <v>41.09</v>
      </c>
      <c r="AH1416" s="287">
        <v>1.8E-3</v>
      </c>
      <c r="AI1416" s="287">
        <v>3.5000000000000003E-2</v>
      </c>
      <c r="AJ1416" s="287">
        <v>4.8000000000000001E-2</v>
      </c>
      <c r="AK1416" s="318">
        <f t="shared" si="946"/>
        <v>16813.766666666601</v>
      </c>
      <c r="AL1416" s="193">
        <v>0</v>
      </c>
      <c r="AM1416" s="319">
        <v>0</v>
      </c>
      <c r="AN1416" s="319"/>
      <c r="AO1416" s="320">
        <f t="shared" si="947"/>
        <v>0</v>
      </c>
      <c r="AP1416" s="193">
        <v>0</v>
      </c>
      <c r="AQ1416" s="318">
        <v>0</v>
      </c>
      <c r="AR1416" s="318">
        <f t="shared" si="948"/>
        <v>16813.766666666601</v>
      </c>
      <c r="AS1416" s="318">
        <f t="shared" si="949"/>
        <v>17654</v>
      </c>
      <c r="AT1416" s="321">
        <v>0</v>
      </c>
      <c r="AU1416" s="157"/>
      <c r="AV1416" s="136"/>
      <c r="AW1416" s="318">
        <f t="shared" si="950"/>
        <v>9640</v>
      </c>
      <c r="AX1416" s="193"/>
      <c r="AY1416" s="318">
        <f t="shared" si="951"/>
        <v>9640</v>
      </c>
      <c r="AZ1416" s="318">
        <f t="shared" si="952"/>
        <v>9620</v>
      </c>
      <c r="BA1416" s="318">
        <f t="shared" si="953"/>
        <v>20</v>
      </c>
      <c r="BB1416" s="318">
        <f t="shared" si="954"/>
        <v>19.28</v>
      </c>
      <c r="BC1416" s="318">
        <v>0</v>
      </c>
      <c r="BD1416" s="136"/>
      <c r="BE1416" s="138">
        <v>96.4</v>
      </c>
      <c r="BF1416" s="321">
        <f t="shared" si="955"/>
        <v>0.14460000000000001</v>
      </c>
      <c r="BG1416" s="197">
        <f t="shared" si="956"/>
        <v>96.255400000000009</v>
      </c>
      <c r="BH1416" s="321">
        <f t="shared" si="957"/>
        <v>96.2</v>
      </c>
      <c r="BI1416" s="322">
        <f t="shared" si="958"/>
        <v>20.000000000000284</v>
      </c>
      <c r="BJ1416" s="322">
        <v>0</v>
      </c>
      <c r="BK1416" s="318">
        <f t="shared" si="959"/>
        <v>20.000000000000284</v>
      </c>
      <c r="BL1416" s="193"/>
      <c r="BM1416" s="449" t="str">
        <f t="shared" si="960"/>
        <v>Unloading no. 1381 Bill No HA/26-27/0474 ,Deduction For Oil Deduction= 16813.7666666666 ,Bardana= 0 ,F.M= 0 Brokerage/Rate Difference  ,Shortage = 0 ,Greenish= 0 ,Moisture= 0</v>
      </c>
      <c r="BN1416" s="193"/>
      <c r="BO1416" s="449" t="str">
        <f t="shared" si="961"/>
        <v xml:space="preserve"> Party Condition 42  ,F.M% 0.18 ,Greenish 3.5 ,Moisture 4.8 ,Shortage in KG= 0  ,Oil% 41.09</v>
      </c>
      <c r="BP1416" s="318">
        <f t="shared" si="962"/>
        <v>7891.9566874566881</v>
      </c>
      <c r="BQ1416" s="157"/>
      <c r="BR1416" s="157"/>
      <c r="BS1416" s="136"/>
      <c r="BT1416" s="136"/>
      <c r="BU1416" s="136"/>
      <c r="BV1416" s="136"/>
      <c r="BW1416" s="431"/>
      <c r="BX1416" s="27">
        <v>40.799999999999997</v>
      </c>
      <c r="BY1416" s="27">
        <v>40.659999999999997</v>
      </c>
    </row>
    <row r="1417" spans="1:83" ht="14.1" hidden="1" customHeight="1" x14ac:dyDescent="0.3">
      <c r="A1417" s="281" t="s">
        <v>2827</v>
      </c>
      <c r="B1417" s="146">
        <v>46216</v>
      </c>
      <c r="C1417" s="138">
        <v>1382</v>
      </c>
      <c r="D1417" s="138" t="s">
        <v>3007</v>
      </c>
      <c r="E1417" s="129">
        <v>46225</v>
      </c>
      <c r="F1417" s="281" t="s">
        <v>2497</v>
      </c>
      <c r="G1417" s="163" t="s">
        <v>2498</v>
      </c>
      <c r="H1417" s="128" t="s">
        <v>100</v>
      </c>
      <c r="I1417" s="136"/>
      <c r="J1417" s="138" t="s">
        <v>1146</v>
      </c>
      <c r="K1417" s="136"/>
      <c r="L1417" s="146">
        <v>46216</v>
      </c>
      <c r="M1417" s="136"/>
      <c r="N1417" s="128" t="s">
        <v>3055</v>
      </c>
      <c r="O1417" s="146">
        <v>46225</v>
      </c>
      <c r="P1417" s="138">
        <v>0</v>
      </c>
      <c r="Q1417" s="138">
        <v>120</v>
      </c>
      <c r="R1417" s="138">
        <v>40</v>
      </c>
      <c r="S1417" s="138">
        <v>160</v>
      </c>
      <c r="T1417" s="138">
        <v>160</v>
      </c>
      <c r="U1417" s="136"/>
      <c r="V1417" s="165"/>
      <c r="W1417" s="147">
        <v>95.9</v>
      </c>
      <c r="X1417" s="147">
        <v>95.8</v>
      </c>
      <c r="Y1417" s="147">
        <v>771995</v>
      </c>
      <c r="Z1417" s="236">
        <v>40.92</v>
      </c>
      <c r="AA1417" s="147">
        <v>19299.88</v>
      </c>
      <c r="AB1417" s="147">
        <v>19299.88</v>
      </c>
      <c r="AC1417" s="147">
        <v>810594.75</v>
      </c>
      <c r="AD1417" s="315">
        <f t="shared" si="965"/>
        <v>809784.15524999995</v>
      </c>
      <c r="AE1417" s="147">
        <v>40.92</v>
      </c>
      <c r="AF1417" s="147">
        <v>42</v>
      </c>
      <c r="AG1417" s="147">
        <v>40.92</v>
      </c>
      <c r="AH1417" s="287">
        <v>2.2000000000000001E-3</v>
      </c>
      <c r="AI1417" s="287">
        <v>4.3299999999999998E-2</v>
      </c>
      <c r="AJ1417" s="287">
        <v>0.05</v>
      </c>
      <c r="AK1417" s="318">
        <f t="shared" si="946"/>
        <v>19851.299999999967</v>
      </c>
      <c r="AL1417" s="193">
        <v>0</v>
      </c>
      <c r="AM1417" s="319">
        <v>0</v>
      </c>
      <c r="AN1417" s="319"/>
      <c r="AO1417" s="320">
        <f t="shared" si="947"/>
        <v>0</v>
      </c>
      <c r="AP1417" s="193">
        <v>0</v>
      </c>
      <c r="AQ1417" s="318">
        <v>0</v>
      </c>
      <c r="AR1417" s="318">
        <f t="shared" si="948"/>
        <v>19851.299999999967</v>
      </c>
      <c r="AS1417" s="318">
        <f t="shared" si="949"/>
        <v>20844</v>
      </c>
      <c r="AT1417" s="321">
        <v>0</v>
      </c>
      <c r="AU1417" s="157"/>
      <c r="AV1417" s="136"/>
      <c r="AW1417" s="318">
        <f t="shared" si="950"/>
        <v>9590</v>
      </c>
      <c r="AX1417" s="193"/>
      <c r="AY1417" s="318">
        <f t="shared" si="951"/>
        <v>9590</v>
      </c>
      <c r="AZ1417" s="318">
        <f t="shared" si="952"/>
        <v>9580</v>
      </c>
      <c r="BA1417" s="318">
        <f t="shared" si="953"/>
        <v>10</v>
      </c>
      <c r="BB1417" s="318">
        <f t="shared" si="954"/>
        <v>19.18</v>
      </c>
      <c r="BC1417" s="318">
        <v>0</v>
      </c>
      <c r="BD1417" s="136"/>
      <c r="BE1417" s="138">
        <v>95.9</v>
      </c>
      <c r="BF1417" s="321">
        <f t="shared" si="955"/>
        <v>0.14385000000000001</v>
      </c>
      <c r="BG1417" s="197">
        <f t="shared" si="956"/>
        <v>95.756150000000005</v>
      </c>
      <c r="BH1417" s="321">
        <f t="shared" si="957"/>
        <v>95.8</v>
      </c>
      <c r="BI1417" s="322">
        <f t="shared" si="958"/>
        <v>10.000000000000853</v>
      </c>
      <c r="BJ1417" s="322">
        <v>0</v>
      </c>
      <c r="BK1417" s="318">
        <f t="shared" si="959"/>
        <v>10.000000000000853</v>
      </c>
      <c r="BL1417" s="193"/>
      <c r="BM1417" s="449" t="str">
        <f t="shared" si="960"/>
        <v>Unloading no. 1382 Bill No HA/26-27/0475 ,Deduction For Oil Deduction= 19851.3 ,Bardana= 0 ,F.M= 0 Brokerage/Rate Difference  ,Shortage = 0 ,Greenish= 0 ,Moisture= 0</v>
      </c>
      <c r="BN1417" s="193"/>
      <c r="BO1417" s="449" t="str">
        <f t="shared" si="961"/>
        <v xml:space="preserve"> Party Condition 42  ,F.M% 0.22 ,Greenish 4.33 ,Moisture 5 ,Shortage in KG= 0  ,Oil% 40.92</v>
      </c>
      <c r="BP1417" s="318">
        <f t="shared" si="962"/>
        <v>7851.186847599166</v>
      </c>
      <c r="BQ1417" s="157"/>
      <c r="BR1417" s="157"/>
      <c r="BS1417" s="136"/>
      <c r="BT1417" s="136"/>
      <c r="BU1417" s="136"/>
      <c r="BV1417" s="136"/>
      <c r="BW1417" s="431"/>
      <c r="BX1417" s="27">
        <v>40.92</v>
      </c>
      <c r="BY1417" s="27">
        <v>40.76</v>
      </c>
    </row>
    <row r="1418" spans="1:83" ht="14.1" hidden="1" customHeight="1" x14ac:dyDescent="0.3">
      <c r="A1418" s="281" t="s">
        <v>2827</v>
      </c>
      <c r="B1418" s="146">
        <v>46216</v>
      </c>
      <c r="C1418" s="138">
        <v>1383</v>
      </c>
      <c r="D1418" s="138" t="s">
        <v>3008</v>
      </c>
      <c r="E1418" s="129">
        <v>46225</v>
      </c>
      <c r="F1418" s="281" t="s">
        <v>2497</v>
      </c>
      <c r="G1418" s="163" t="s">
        <v>2498</v>
      </c>
      <c r="H1418" s="128" t="s">
        <v>100</v>
      </c>
      <c r="I1418" s="136"/>
      <c r="J1418" s="138" t="s">
        <v>1146</v>
      </c>
      <c r="K1418" s="136"/>
      <c r="L1418" s="146">
        <v>46216</v>
      </c>
      <c r="M1418" s="136"/>
      <c r="N1418" s="128" t="s">
        <v>3056</v>
      </c>
      <c r="O1418" s="146">
        <v>46225</v>
      </c>
      <c r="P1418" s="138">
        <v>0</v>
      </c>
      <c r="Q1418" s="138">
        <v>130</v>
      </c>
      <c r="R1418" s="138">
        <v>30</v>
      </c>
      <c r="S1418" s="138">
        <v>160</v>
      </c>
      <c r="T1418" s="138">
        <v>160</v>
      </c>
      <c r="U1418" s="136"/>
      <c r="V1418" s="165"/>
      <c r="W1418" s="147">
        <v>96.4</v>
      </c>
      <c r="X1418" s="147">
        <v>96.2</v>
      </c>
      <c r="Y1418" s="147">
        <v>776020</v>
      </c>
      <c r="Z1418" s="236">
        <v>40.78</v>
      </c>
      <c r="AA1418" s="147">
        <v>19400.5</v>
      </c>
      <c r="AB1418" s="147">
        <v>19400.5</v>
      </c>
      <c r="AC1418" s="147">
        <v>814821</v>
      </c>
      <c r="AD1418" s="315">
        <f t="shared" si="965"/>
        <v>814006.179</v>
      </c>
      <c r="AE1418" s="147">
        <v>40.78</v>
      </c>
      <c r="AF1418" s="147">
        <v>42</v>
      </c>
      <c r="AG1418" s="147">
        <v>40.78</v>
      </c>
      <c r="AH1418" s="287">
        <v>2.5999999999999999E-3</v>
      </c>
      <c r="AI1418" s="287">
        <v>4.9599999999999998E-2</v>
      </c>
      <c r="AJ1418" s="287">
        <v>5.0999999999999997E-2</v>
      </c>
      <c r="AK1418" s="318">
        <f t="shared" si="946"/>
        <v>22541.533333333311</v>
      </c>
      <c r="AL1418" s="193">
        <v>0</v>
      </c>
      <c r="AM1418" s="319">
        <v>0</v>
      </c>
      <c r="AN1418" s="319"/>
      <c r="AO1418" s="320">
        <f t="shared" si="947"/>
        <v>0</v>
      </c>
      <c r="AP1418" s="193">
        <v>0</v>
      </c>
      <c r="AQ1418" s="318">
        <v>0</v>
      </c>
      <c r="AR1418" s="318">
        <f t="shared" si="948"/>
        <v>22541.533333333311</v>
      </c>
      <c r="AS1418" s="318">
        <f t="shared" si="949"/>
        <v>23669</v>
      </c>
      <c r="AT1418" s="321">
        <v>0</v>
      </c>
      <c r="AU1418" s="157"/>
      <c r="AV1418" s="136"/>
      <c r="AW1418" s="318">
        <f t="shared" si="950"/>
        <v>9640</v>
      </c>
      <c r="AX1418" s="193"/>
      <c r="AY1418" s="318">
        <f t="shared" si="951"/>
        <v>9640</v>
      </c>
      <c r="AZ1418" s="318">
        <f t="shared" si="952"/>
        <v>9620</v>
      </c>
      <c r="BA1418" s="318">
        <f t="shared" si="953"/>
        <v>20</v>
      </c>
      <c r="BB1418" s="318">
        <f t="shared" si="954"/>
        <v>19.28</v>
      </c>
      <c r="BC1418" s="318">
        <v>0</v>
      </c>
      <c r="BD1418" s="136"/>
      <c r="BE1418" s="138">
        <v>96.4</v>
      </c>
      <c r="BF1418" s="321">
        <f t="shared" si="955"/>
        <v>0.14460000000000001</v>
      </c>
      <c r="BG1418" s="197">
        <f t="shared" si="956"/>
        <v>96.255400000000009</v>
      </c>
      <c r="BH1418" s="321">
        <f t="shared" si="957"/>
        <v>96.2</v>
      </c>
      <c r="BI1418" s="322">
        <f t="shared" si="958"/>
        <v>20.000000000000284</v>
      </c>
      <c r="BJ1418" s="322">
        <v>0</v>
      </c>
      <c r="BK1418" s="318">
        <f t="shared" si="959"/>
        <v>20.000000000000284</v>
      </c>
      <c r="BL1418" s="193"/>
      <c r="BM1418" s="449" t="str">
        <f t="shared" si="960"/>
        <v>Unloading no. 1383 Bill No HA/26-27/0476 ,Deduction For Oil Deduction= 22541.5333333333 ,Bardana= 0 ,F.M= 0 Brokerage/Rate Difference  ,Shortage = 0 ,Greenish= 0 ,Moisture= 0</v>
      </c>
      <c r="BN1418" s="193"/>
      <c r="BO1418" s="449" t="str">
        <f t="shared" si="961"/>
        <v xml:space="preserve"> Party Condition 42  ,F.M% 0.26 ,Greenish 4.96 ,Moisture 5.1 ,Shortage in KG= 0  ,Oil% 40.78</v>
      </c>
      <c r="BP1418" s="318">
        <f t="shared" si="962"/>
        <v>7832.4164934164928</v>
      </c>
      <c r="BQ1418" s="157"/>
      <c r="BR1418" s="157"/>
      <c r="BS1418" s="136"/>
      <c r="BT1418" s="136"/>
      <c r="BU1418" s="136"/>
      <c r="BV1418" s="136"/>
      <c r="BW1418" s="431"/>
      <c r="BX1418" s="27">
        <v>40.799999999999997</v>
      </c>
      <c r="BY1418" s="27">
        <v>40.74</v>
      </c>
    </row>
    <row r="1419" spans="1:83" ht="14.1" hidden="1" customHeight="1" x14ac:dyDescent="0.3">
      <c r="A1419" s="281" t="s">
        <v>2827</v>
      </c>
      <c r="B1419" s="146">
        <v>46216</v>
      </c>
      <c r="C1419" s="138">
        <v>1384</v>
      </c>
      <c r="D1419" s="138" t="s">
        <v>3009</v>
      </c>
      <c r="E1419" s="129">
        <v>46225</v>
      </c>
      <c r="F1419" s="281" t="s">
        <v>2497</v>
      </c>
      <c r="G1419" s="163" t="s">
        <v>2498</v>
      </c>
      <c r="H1419" s="128" t="s">
        <v>100</v>
      </c>
      <c r="I1419" s="136"/>
      <c r="J1419" s="138" t="s">
        <v>1146</v>
      </c>
      <c r="K1419" s="136"/>
      <c r="L1419" s="146">
        <v>46216</v>
      </c>
      <c r="M1419" s="136"/>
      <c r="N1419" s="128" t="s">
        <v>3057</v>
      </c>
      <c r="O1419" s="146">
        <v>46225</v>
      </c>
      <c r="P1419" s="138">
        <v>0</v>
      </c>
      <c r="Q1419" s="138">
        <v>60</v>
      </c>
      <c r="R1419" s="138">
        <v>100</v>
      </c>
      <c r="S1419" s="138">
        <v>160</v>
      </c>
      <c r="T1419" s="138">
        <v>160</v>
      </c>
      <c r="U1419" s="136"/>
      <c r="V1419" s="165"/>
      <c r="W1419" s="147">
        <v>95.6</v>
      </c>
      <c r="X1419" s="147">
        <v>95.5</v>
      </c>
      <c r="Y1419" s="147">
        <v>769580</v>
      </c>
      <c r="Z1419" s="236">
        <v>40.58</v>
      </c>
      <c r="AA1419" s="147">
        <v>19239.5</v>
      </c>
      <c r="AB1419" s="147">
        <v>19239.5</v>
      </c>
      <c r="AC1419" s="147">
        <v>808059</v>
      </c>
      <c r="AD1419" s="315">
        <f t="shared" si="965"/>
        <v>807250.94099999999</v>
      </c>
      <c r="AE1419" s="147">
        <v>40.58</v>
      </c>
      <c r="AF1419" s="147">
        <v>42</v>
      </c>
      <c r="AG1419" s="147">
        <v>40.58</v>
      </c>
      <c r="AH1419" s="287">
        <v>2.7000000000000001E-3</v>
      </c>
      <c r="AI1419" s="287">
        <v>4.1399999999999999E-2</v>
      </c>
      <c r="AJ1419" s="287">
        <v>5.1999999999999998E-2</v>
      </c>
      <c r="AK1419" s="318">
        <f t="shared" si="946"/>
        <v>26019.133333333364</v>
      </c>
      <c r="AL1419" s="193">
        <v>0</v>
      </c>
      <c r="AM1419" s="319">
        <v>0</v>
      </c>
      <c r="AN1419" s="319"/>
      <c r="AO1419" s="320">
        <f t="shared" si="947"/>
        <v>0</v>
      </c>
      <c r="AP1419" s="193">
        <v>0</v>
      </c>
      <c r="AQ1419" s="318">
        <v>0</v>
      </c>
      <c r="AR1419" s="318">
        <f t="shared" si="948"/>
        <v>26019.133333333364</v>
      </c>
      <c r="AS1419" s="318">
        <f t="shared" si="949"/>
        <v>27320</v>
      </c>
      <c r="AT1419" s="321">
        <v>0</v>
      </c>
      <c r="AU1419" s="157"/>
      <c r="AV1419" s="136"/>
      <c r="AW1419" s="318">
        <f t="shared" si="950"/>
        <v>9560</v>
      </c>
      <c r="AX1419" s="193"/>
      <c r="AY1419" s="318">
        <f t="shared" si="951"/>
        <v>9560</v>
      </c>
      <c r="AZ1419" s="318">
        <f t="shared" si="952"/>
        <v>9550</v>
      </c>
      <c r="BA1419" s="318">
        <f t="shared" si="953"/>
        <v>10</v>
      </c>
      <c r="BB1419" s="318">
        <f t="shared" si="954"/>
        <v>19.12</v>
      </c>
      <c r="BC1419" s="318">
        <v>0</v>
      </c>
      <c r="BD1419" s="136"/>
      <c r="BE1419" s="138">
        <v>95.6</v>
      </c>
      <c r="BF1419" s="321">
        <f t="shared" si="955"/>
        <v>0.14339999999999997</v>
      </c>
      <c r="BG1419" s="197">
        <f t="shared" si="956"/>
        <v>95.456599999999995</v>
      </c>
      <c r="BH1419" s="321">
        <f t="shared" si="957"/>
        <v>95.5</v>
      </c>
      <c r="BI1419" s="322">
        <f t="shared" si="958"/>
        <v>9.9999999999994316</v>
      </c>
      <c r="BJ1419" s="322">
        <v>0</v>
      </c>
      <c r="BK1419" s="318">
        <f t="shared" si="959"/>
        <v>9.9999999999994316</v>
      </c>
      <c r="BL1419" s="193"/>
      <c r="BM1419" s="449" t="str">
        <f t="shared" si="960"/>
        <v>Unloading no. 1384 Bill No HA/26-27/0477 ,Deduction For Oil Deduction= 26019.1333333334 ,Bardana= 0 ,F.M= 0 Brokerage/Rate Difference  ,Shortage = 0 ,Greenish= 0 ,Moisture= 0</v>
      </c>
      <c r="BN1419" s="193"/>
      <c r="BO1419" s="449" t="str">
        <f t="shared" si="961"/>
        <v xml:space="preserve"> Party Condition 42  ,F.M% 0.27 ,Greenish 4.14 ,Moisture 5.2 ,Shortage in KG= 0  ,Oil% 40.58</v>
      </c>
      <c r="BP1419" s="318">
        <f t="shared" si="962"/>
        <v>7785.977661431064</v>
      </c>
      <c r="BQ1419" s="157"/>
      <c r="BR1419" s="157"/>
      <c r="BS1419" s="136"/>
      <c r="BT1419" s="136"/>
      <c r="BU1419" s="136"/>
      <c r="BV1419" s="136"/>
      <c r="BW1419" s="431"/>
      <c r="BX1419" s="27">
        <v>40.6</v>
      </c>
      <c r="BY1419" s="27">
        <v>40.54</v>
      </c>
    </row>
    <row r="1420" spans="1:83" ht="14.1" hidden="1" customHeight="1" x14ac:dyDescent="0.3">
      <c r="A1420" s="281" t="s">
        <v>2827</v>
      </c>
      <c r="B1420" s="146">
        <v>46216</v>
      </c>
      <c r="C1420" s="138">
        <v>1385</v>
      </c>
      <c r="D1420" s="138" t="s">
        <v>3010</v>
      </c>
      <c r="E1420" s="129">
        <v>46225</v>
      </c>
      <c r="F1420" s="281" t="s">
        <v>2497</v>
      </c>
      <c r="G1420" s="163" t="s">
        <v>2498</v>
      </c>
      <c r="H1420" s="128" t="s">
        <v>100</v>
      </c>
      <c r="I1420" s="136"/>
      <c r="J1420" s="138" t="s">
        <v>1146</v>
      </c>
      <c r="K1420" s="136"/>
      <c r="L1420" s="146">
        <v>46216</v>
      </c>
      <c r="M1420" s="136"/>
      <c r="N1420" s="128" t="s">
        <v>3058</v>
      </c>
      <c r="O1420" s="146">
        <v>46225</v>
      </c>
      <c r="P1420" s="138">
        <v>0</v>
      </c>
      <c r="Q1420" s="138">
        <v>130</v>
      </c>
      <c r="R1420" s="138">
        <v>30</v>
      </c>
      <c r="S1420" s="138">
        <v>160</v>
      </c>
      <c r="T1420" s="138">
        <v>160</v>
      </c>
      <c r="U1420" s="136"/>
      <c r="V1420" s="165"/>
      <c r="W1420" s="147">
        <v>96.4</v>
      </c>
      <c r="X1420" s="147">
        <v>96.2</v>
      </c>
      <c r="Y1420" s="147">
        <v>776020</v>
      </c>
      <c r="Z1420" s="236">
        <v>40.630000000000003</v>
      </c>
      <c r="AA1420" s="147">
        <v>19400.5</v>
      </c>
      <c r="AB1420" s="147">
        <v>19400.5</v>
      </c>
      <c r="AC1420" s="147">
        <v>814821</v>
      </c>
      <c r="AD1420" s="315">
        <f t="shared" si="965"/>
        <v>814006.179</v>
      </c>
      <c r="AE1420" s="147">
        <v>40.630000000000003</v>
      </c>
      <c r="AF1420" s="147">
        <v>42</v>
      </c>
      <c r="AG1420" s="147">
        <v>40.630000000000003</v>
      </c>
      <c r="AH1420" s="287">
        <v>4.5999999999999999E-3</v>
      </c>
      <c r="AI1420" s="287">
        <v>4.2299999999999997E-2</v>
      </c>
      <c r="AJ1420" s="287">
        <v>5.0999999999999997E-2</v>
      </c>
      <c r="AK1420" s="318">
        <f t="shared" si="946"/>
        <v>25313.033333333289</v>
      </c>
      <c r="AL1420" s="193">
        <v>0</v>
      </c>
      <c r="AM1420" s="319">
        <v>0</v>
      </c>
      <c r="AN1420" s="319"/>
      <c r="AO1420" s="320">
        <f t="shared" si="947"/>
        <v>0</v>
      </c>
      <c r="AP1420" s="193">
        <v>0</v>
      </c>
      <c r="AQ1420" s="318">
        <v>0</v>
      </c>
      <c r="AR1420" s="318">
        <f t="shared" si="948"/>
        <v>25313.033333333289</v>
      </c>
      <c r="AS1420" s="318">
        <f t="shared" si="949"/>
        <v>26579</v>
      </c>
      <c r="AT1420" s="321">
        <v>0</v>
      </c>
      <c r="AU1420" s="157"/>
      <c r="AV1420" s="136"/>
      <c r="AW1420" s="318">
        <f t="shared" si="950"/>
        <v>9640</v>
      </c>
      <c r="AX1420" s="193"/>
      <c r="AY1420" s="318">
        <f t="shared" si="951"/>
        <v>9640</v>
      </c>
      <c r="AZ1420" s="318">
        <f t="shared" si="952"/>
        <v>9620</v>
      </c>
      <c r="BA1420" s="318">
        <f t="shared" si="953"/>
        <v>20</v>
      </c>
      <c r="BB1420" s="318">
        <f t="shared" si="954"/>
        <v>19.28</v>
      </c>
      <c r="BC1420" s="318">
        <v>0</v>
      </c>
      <c r="BD1420" s="136"/>
      <c r="BE1420" s="138">
        <v>96.4</v>
      </c>
      <c r="BF1420" s="321">
        <f t="shared" si="955"/>
        <v>0.14460000000000001</v>
      </c>
      <c r="BG1420" s="197">
        <f t="shared" si="956"/>
        <v>96.255400000000009</v>
      </c>
      <c r="BH1420" s="321">
        <f t="shared" si="957"/>
        <v>96.2</v>
      </c>
      <c r="BI1420" s="322">
        <f t="shared" si="958"/>
        <v>20.000000000000284</v>
      </c>
      <c r="BJ1420" s="322">
        <v>0</v>
      </c>
      <c r="BK1420" s="318">
        <f t="shared" si="959"/>
        <v>20.000000000000284</v>
      </c>
      <c r="BL1420" s="193"/>
      <c r="BM1420" s="449" t="str">
        <f t="shared" si="960"/>
        <v>Unloading no. 1385 Bill No HA/26-27/0478 ,Deduction For Oil Deduction= 25313.0333333333 ,Bardana= 0 ,F.M= 0 Brokerage/Rate Difference  ,Shortage = 0 ,Greenish= 0 ,Moisture= 0</v>
      </c>
      <c r="BN1420" s="193"/>
      <c r="BO1420" s="449" t="str">
        <f t="shared" si="961"/>
        <v xml:space="preserve"> Party Condition 42  ,F.M% 0.46 ,Greenish 4.23 ,Moisture 5.1 ,Shortage in KG= 0  ,Oil% 40.63</v>
      </c>
      <c r="BP1420" s="318">
        <f t="shared" si="962"/>
        <v>7803.6067221067224</v>
      </c>
      <c r="BQ1420" s="157"/>
      <c r="BR1420" s="157"/>
      <c r="BS1420" s="136"/>
      <c r="BT1420" s="136"/>
      <c r="BU1420" s="136"/>
      <c r="BV1420" s="136"/>
      <c r="BW1420" s="431"/>
      <c r="BX1420" s="27">
        <v>40.4</v>
      </c>
      <c r="BY1420" s="27">
        <v>40.26</v>
      </c>
    </row>
    <row r="1421" spans="1:83" ht="14.1" hidden="1" customHeight="1" x14ac:dyDescent="0.3">
      <c r="A1421" s="281" t="s">
        <v>2827</v>
      </c>
      <c r="B1421" s="146">
        <v>46216</v>
      </c>
      <c r="C1421" s="138">
        <v>1386</v>
      </c>
      <c r="D1421" s="138" t="s">
        <v>3011</v>
      </c>
      <c r="E1421" s="129">
        <v>46225</v>
      </c>
      <c r="F1421" s="281" t="s">
        <v>2497</v>
      </c>
      <c r="G1421" s="163" t="s">
        <v>2498</v>
      </c>
      <c r="H1421" s="128" t="s">
        <v>100</v>
      </c>
      <c r="I1421" s="136"/>
      <c r="J1421" s="138" t="s">
        <v>1146</v>
      </c>
      <c r="K1421" s="136"/>
      <c r="L1421" s="146">
        <v>46216</v>
      </c>
      <c r="M1421" s="136"/>
      <c r="N1421" s="128" t="s">
        <v>3059</v>
      </c>
      <c r="O1421" s="146">
        <v>46225</v>
      </c>
      <c r="P1421" s="138">
        <v>0</v>
      </c>
      <c r="Q1421" s="138">
        <v>140</v>
      </c>
      <c r="R1421" s="138">
        <v>20</v>
      </c>
      <c r="S1421" s="138">
        <v>160</v>
      </c>
      <c r="T1421" s="138">
        <v>160</v>
      </c>
      <c r="U1421" s="136"/>
      <c r="V1421" s="165"/>
      <c r="W1421" s="147">
        <v>96.6</v>
      </c>
      <c r="X1421" s="147">
        <v>96.5</v>
      </c>
      <c r="Y1421" s="147">
        <v>777630</v>
      </c>
      <c r="Z1421" s="236">
        <v>40.409999999999997</v>
      </c>
      <c r="AA1421" s="147">
        <v>19440.75</v>
      </c>
      <c r="AB1421" s="147">
        <v>19440.75</v>
      </c>
      <c r="AC1421" s="147">
        <v>816511.5</v>
      </c>
      <c r="AD1421" s="315">
        <f t="shared" si="965"/>
        <v>815694.98849999998</v>
      </c>
      <c r="AE1421" s="147">
        <v>40.409999999999997</v>
      </c>
      <c r="AF1421" s="147">
        <v>42</v>
      </c>
      <c r="AG1421" s="147">
        <v>40.409999999999997</v>
      </c>
      <c r="AH1421" s="287">
        <v>4.4000000000000003E-3</v>
      </c>
      <c r="AI1421" s="287">
        <v>3.4000000000000002E-2</v>
      </c>
      <c r="AJ1421" s="287">
        <v>5.2999999999999999E-2</v>
      </c>
      <c r="AK1421" s="318">
        <f t="shared" si="946"/>
        <v>29438.85000000006</v>
      </c>
      <c r="AL1421" s="193">
        <v>0</v>
      </c>
      <c r="AM1421" s="319">
        <v>0</v>
      </c>
      <c r="AN1421" s="319"/>
      <c r="AO1421" s="320">
        <f t="shared" si="947"/>
        <v>0</v>
      </c>
      <c r="AP1421" s="193">
        <v>0</v>
      </c>
      <c r="AQ1421" s="318">
        <v>0</v>
      </c>
      <c r="AR1421" s="318">
        <f t="shared" si="948"/>
        <v>29438.85000000006</v>
      </c>
      <c r="AS1421" s="318">
        <f t="shared" si="949"/>
        <v>30911</v>
      </c>
      <c r="AT1421" s="321">
        <v>0</v>
      </c>
      <c r="AU1421" s="157"/>
      <c r="AV1421" s="136"/>
      <c r="AW1421" s="318">
        <f t="shared" si="950"/>
        <v>9660</v>
      </c>
      <c r="AX1421" s="193"/>
      <c r="AY1421" s="318">
        <f t="shared" si="951"/>
        <v>9660</v>
      </c>
      <c r="AZ1421" s="318">
        <f t="shared" si="952"/>
        <v>9650</v>
      </c>
      <c r="BA1421" s="318">
        <f t="shared" si="953"/>
        <v>10</v>
      </c>
      <c r="BB1421" s="318">
        <f t="shared" si="954"/>
        <v>19.32</v>
      </c>
      <c r="BC1421" s="318">
        <v>0</v>
      </c>
      <c r="BD1421" s="136"/>
      <c r="BE1421" s="138">
        <v>96.6</v>
      </c>
      <c r="BF1421" s="321">
        <f t="shared" si="955"/>
        <v>0.14489999999999997</v>
      </c>
      <c r="BG1421" s="197">
        <f t="shared" si="956"/>
        <v>96.455099999999987</v>
      </c>
      <c r="BH1421" s="321">
        <f t="shared" si="957"/>
        <v>96.5</v>
      </c>
      <c r="BI1421" s="322">
        <f t="shared" si="958"/>
        <v>9.9999999999994316</v>
      </c>
      <c r="BJ1421" s="322">
        <v>0</v>
      </c>
      <c r="BK1421" s="318">
        <f t="shared" si="959"/>
        <v>9.9999999999994316</v>
      </c>
      <c r="BL1421" s="193"/>
      <c r="BM1421" s="449" t="str">
        <f t="shared" si="960"/>
        <v>Unloading no. 1386 Bill No HA/26-27/0479 ,Deduction For Oil Deduction= 29438.8500000001 ,Bardana= 0 ,F.M= 0 Brokerage/Rate Difference  ,Shortage = 0 ,Greenish= 0 ,Moisture= 0</v>
      </c>
      <c r="BN1421" s="193"/>
      <c r="BO1421" s="449" t="str">
        <f t="shared" si="961"/>
        <v xml:space="preserve"> Party Condition 42  ,F.M% 0.44 ,Greenish 3.4 ,Moisture 5.3 ,Shortage in KG= 0  ,Oil% 40.41</v>
      </c>
      <c r="BP1421" s="318">
        <f t="shared" si="962"/>
        <v>7753.2761658031077</v>
      </c>
      <c r="BQ1421" s="157"/>
      <c r="BR1421" s="157"/>
      <c r="BS1421" s="136"/>
      <c r="BT1421" s="136"/>
      <c r="BU1421" s="136"/>
      <c r="BV1421" s="136"/>
      <c r="BW1421" s="431"/>
      <c r="BX1421" s="27">
        <v>40.35</v>
      </c>
      <c r="BY1421" s="27">
        <v>40.28</v>
      </c>
    </row>
    <row r="1422" spans="1:83" ht="14.1" hidden="1" customHeight="1" x14ac:dyDescent="0.3">
      <c r="A1422" s="281" t="s">
        <v>2827</v>
      </c>
      <c r="B1422" s="146">
        <v>46216</v>
      </c>
      <c r="C1422" s="138">
        <v>1387</v>
      </c>
      <c r="D1422" s="138" t="s">
        <v>3012</v>
      </c>
      <c r="E1422" s="129">
        <v>46225</v>
      </c>
      <c r="F1422" s="281" t="s">
        <v>2497</v>
      </c>
      <c r="G1422" s="128" t="s">
        <v>2498</v>
      </c>
      <c r="H1422" s="128" t="s">
        <v>100</v>
      </c>
      <c r="I1422" s="136"/>
      <c r="J1422" s="138" t="s">
        <v>1146</v>
      </c>
      <c r="K1422" s="136"/>
      <c r="L1422" s="146">
        <v>46216</v>
      </c>
      <c r="M1422" s="136"/>
      <c r="N1422" s="128" t="s">
        <v>3060</v>
      </c>
      <c r="O1422" s="146">
        <v>46225</v>
      </c>
      <c r="P1422" s="138">
        <v>0</v>
      </c>
      <c r="Q1422" s="138">
        <v>150</v>
      </c>
      <c r="R1422" s="138">
        <v>10</v>
      </c>
      <c r="S1422" s="138">
        <v>160</v>
      </c>
      <c r="T1422" s="138">
        <v>160</v>
      </c>
      <c r="U1422" s="136"/>
      <c r="V1422" s="165"/>
      <c r="W1422" s="147">
        <v>96.5</v>
      </c>
      <c r="X1422" s="147">
        <v>96.4</v>
      </c>
      <c r="Y1422" s="147">
        <v>776825</v>
      </c>
      <c r="Z1422" s="236">
        <v>40.32</v>
      </c>
      <c r="AA1422" s="147">
        <v>19420.63</v>
      </c>
      <c r="AB1422" s="147">
        <v>19420.63</v>
      </c>
      <c r="AC1422" s="147">
        <v>815666.25</v>
      </c>
      <c r="AD1422" s="315">
        <f t="shared" si="965"/>
        <v>814850.58374999999</v>
      </c>
      <c r="AE1422" s="147">
        <v>40.32</v>
      </c>
      <c r="AF1422" s="147">
        <v>42</v>
      </c>
      <c r="AG1422" s="147">
        <v>40.32</v>
      </c>
      <c r="AH1422" s="287">
        <v>4.7000000000000002E-3</v>
      </c>
      <c r="AI1422" s="287">
        <v>0.03</v>
      </c>
      <c r="AJ1422" s="287">
        <v>0.05</v>
      </c>
      <c r="AK1422" s="318">
        <f t="shared" si="946"/>
        <v>31072.999999999996</v>
      </c>
      <c r="AL1422" s="193">
        <v>0</v>
      </c>
      <c r="AM1422" s="319">
        <v>0</v>
      </c>
      <c r="AN1422" s="319"/>
      <c r="AO1422" s="320">
        <f t="shared" si="947"/>
        <v>0</v>
      </c>
      <c r="AP1422" s="193">
        <v>0</v>
      </c>
      <c r="AQ1422" s="318">
        <v>0</v>
      </c>
      <c r="AR1422" s="318">
        <f t="shared" si="948"/>
        <v>31072.999999999996</v>
      </c>
      <c r="AS1422" s="318">
        <f t="shared" si="949"/>
        <v>32627</v>
      </c>
      <c r="AT1422" s="321">
        <v>0</v>
      </c>
      <c r="AU1422" s="157"/>
      <c r="AV1422" s="136"/>
      <c r="AW1422" s="318">
        <f t="shared" si="950"/>
        <v>9650</v>
      </c>
      <c r="AX1422" s="193"/>
      <c r="AY1422" s="318">
        <f t="shared" si="951"/>
        <v>9650</v>
      </c>
      <c r="AZ1422" s="318">
        <f t="shared" si="952"/>
        <v>9640</v>
      </c>
      <c r="BA1422" s="318">
        <f t="shared" si="953"/>
        <v>10</v>
      </c>
      <c r="BB1422" s="318">
        <f t="shared" si="954"/>
        <v>19.3</v>
      </c>
      <c r="BC1422" s="318">
        <v>0</v>
      </c>
      <c r="BD1422" s="136"/>
      <c r="BE1422" s="138">
        <v>96.5</v>
      </c>
      <c r="BF1422" s="321">
        <f t="shared" si="955"/>
        <v>0.14474999999999999</v>
      </c>
      <c r="BG1422" s="197">
        <f t="shared" si="956"/>
        <v>96.355249999999998</v>
      </c>
      <c r="BH1422" s="321">
        <f t="shared" si="957"/>
        <v>96.4</v>
      </c>
      <c r="BI1422" s="322">
        <f t="shared" si="958"/>
        <v>9.9999999999994316</v>
      </c>
      <c r="BJ1422" s="322">
        <v>0</v>
      </c>
      <c r="BK1422" s="318">
        <f t="shared" si="959"/>
        <v>9.9999999999994316</v>
      </c>
      <c r="BL1422" s="193"/>
      <c r="BM1422" s="449" t="str">
        <f t="shared" si="960"/>
        <v>Unloading no. 1387 Bill No HA/26-27/0481 ,Deduction For Oil Deduction= 31073 ,Bardana= 0 ,F.M= 0 Brokerage/Rate Difference  ,Shortage = 0 ,Greenish= 0 ,Moisture= 0</v>
      </c>
      <c r="BN1422" s="193"/>
      <c r="BO1422" s="449" t="str">
        <f t="shared" si="961"/>
        <v xml:space="preserve"> Party Condition 42  ,F.M% 0.47 ,Greenish 3 ,Moisture 5 ,Shortage in KG= 0  ,Oil% 40.32</v>
      </c>
      <c r="BP1422" s="318">
        <f t="shared" si="962"/>
        <v>7736.0165975103728</v>
      </c>
      <c r="BQ1422" s="157"/>
      <c r="BR1422" s="157"/>
      <c r="BS1422" s="136"/>
      <c r="BT1422" s="136"/>
      <c r="BU1422" s="136"/>
      <c r="BV1422" s="136"/>
      <c r="BW1422" s="431"/>
      <c r="BX1422" s="27">
        <v>40.33</v>
      </c>
      <c r="BY1422" s="27">
        <v>40.159999999999997</v>
      </c>
    </row>
    <row r="1423" spans="1:83" ht="14.1" hidden="1" customHeight="1" x14ac:dyDescent="0.3">
      <c r="A1423" s="281" t="s">
        <v>2827</v>
      </c>
      <c r="B1423" s="146">
        <v>46216</v>
      </c>
      <c r="C1423" s="138">
        <v>1388</v>
      </c>
      <c r="D1423" s="138" t="s">
        <v>3013</v>
      </c>
      <c r="E1423" s="129">
        <v>46225</v>
      </c>
      <c r="F1423" s="281" t="s">
        <v>2497</v>
      </c>
      <c r="G1423" s="128" t="s">
        <v>2498</v>
      </c>
      <c r="H1423" s="128" t="s">
        <v>100</v>
      </c>
      <c r="I1423" s="136"/>
      <c r="J1423" s="138" t="s">
        <v>1146</v>
      </c>
      <c r="K1423" s="136"/>
      <c r="L1423" s="146">
        <v>46216</v>
      </c>
      <c r="M1423" s="136"/>
      <c r="N1423" s="128" t="s">
        <v>3061</v>
      </c>
      <c r="O1423" s="146">
        <v>46225</v>
      </c>
      <c r="P1423" s="138">
        <v>0</v>
      </c>
      <c r="Q1423" s="138">
        <v>120</v>
      </c>
      <c r="R1423" s="138">
        <v>40</v>
      </c>
      <c r="S1423" s="138">
        <v>160</v>
      </c>
      <c r="T1423" s="138">
        <v>160</v>
      </c>
      <c r="U1423" s="136"/>
      <c r="V1423" s="165"/>
      <c r="W1423" s="147">
        <v>95.5</v>
      </c>
      <c r="X1423" s="147">
        <v>95.4</v>
      </c>
      <c r="Y1423" s="147">
        <v>768775</v>
      </c>
      <c r="Z1423" s="236">
        <v>40.31</v>
      </c>
      <c r="AA1423" s="147">
        <v>19219.38</v>
      </c>
      <c r="AB1423" s="147">
        <v>19219.38</v>
      </c>
      <c r="AC1423" s="147">
        <v>807213.75</v>
      </c>
      <c r="AD1423" s="315">
        <f t="shared" si="965"/>
        <v>806406.53625</v>
      </c>
      <c r="AE1423" s="147">
        <v>40.31</v>
      </c>
      <c r="AF1423" s="147">
        <v>42</v>
      </c>
      <c r="AG1423" s="147">
        <v>40.31</v>
      </c>
      <c r="AH1423" s="287">
        <v>4.1999999999999997E-3</v>
      </c>
      <c r="AI1423" s="287">
        <v>0.04</v>
      </c>
      <c r="AJ1423" s="287">
        <v>5.2999999999999999E-2</v>
      </c>
      <c r="AK1423" s="318">
        <f t="shared" si="946"/>
        <v>30934.041666666624</v>
      </c>
      <c r="AL1423" s="193">
        <v>0</v>
      </c>
      <c r="AM1423" s="319">
        <v>0</v>
      </c>
      <c r="AN1423" s="319"/>
      <c r="AO1423" s="320">
        <f t="shared" si="947"/>
        <v>0</v>
      </c>
      <c r="AP1423" s="193">
        <v>0</v>
      </c>
      <c r="AQ1423" s="318">
        <v>0</v>
      </c>
      <c r="AR1423" s="318">
        <f t="shared" si="948"/>
        <v>30934.041666666624</v>
      </c>
      <c r="AS1423" s="318">
        <f t="shared" si="949"/>
        <v>32481</v>
      </c>
      <c r="AT1423" s="321">
        <v>0</v>
      </c>
      <c r="AU1423" s="157"/>
      <c r="AV1423" s="136"/>
      <c r="AW1423" s="318">
        <f t="shared" si="950"/>
        <v>9550</v>
      </c>
      <c r="AX1423" s="193"/>
      <c r="AY1423" s="318">
        <f t="shared" si="951"/>
        <v>9550</v>
      </c>
      <c r="AZ1423" s="318">
        <f t="shared" si="952"/>
        <v>9540</v>
      </c>
      <c r="BA1423" s="318">
        <f t="shared" si="953"/>
        <v>10</v>
      </c>
      <c r="BB1423" s="318">
        <f t="shared" si="954"/>
        <v>19.100000000000001</v>
      </c>
      <c r="BC1423" s="318">
        <v>0</v>
      </c>
      <c r="BD1423" s="136"/>
      <c r="BE1423" s="138">
        <v>95.5</v>
      </c>
      <c r="BF1423" s="321">
        <f t="shared" si="955"/>
        <v>0.14324999999999999</v>
      </c>
      <c r="BG1423" s="197">
        <f t="shared" si="956"/>
        <v>95.356750000000005</v>
      </c>
      <c r="BH1423" s="321">
        <f t="shared" si="957"/>
        <v>95.4</v>
      </c>
      <c r="BI1423" s="322">
        <f t="shared" si="958"/>
        <v>9.9999999999994316</v>
      </c>
      <c r="BJ1423" s="322">
        <v>0</v>
      </c>
      <c r="BK1423" s="318">
        <f t="shared" si="959"/>
        <v>9.9999999999994316</v>
      </c>
      <c r="BL1423" s="193"/>
      <c r="BM1423" s="449" t="str">
        <f t="shared" si="960"/>
        <v>Unloading no. 1388 Bill No HA/26-27/0482 ,Deduction For Oil Deduction= 30934.0416666666 ,Bardana= 0 ,F.M= 0 Brokerage/Rate Difference  ,Shortage = 0 ,Greenish= 0 ,Moisture= 0</v>
      </c>
      <c r="BN1423" s="193"/>
      <c r="BO1423" s="449" t="str">
        <f t="shared" si="961"/>
        <v xml:space="preserve"> Party Condition 42  ,F.M% 0.42 ,Greenish 4 ,Moisture 5.3 ,Shortage in KG= 0  ,Oil% 40.31</v>
      </c>
      <c r="BP1423" s="318">
        <f t="shared" si="962"/>
        <v>7734.1819531795945</v>
      </c>
      <c r="BQ1423" s="157"/>
      <c r="BR1423" s="157"/>
      <c r="BS1423" s="136"/>
      <c r="BT1423" s="136"/>
      <c r="BU1423" s="136"/>
      <c r="BV1423" s="136"/>
      <c r="BW1423" s="431"/>
      <c r="BX1423" s="27">
        <v>40.380000000000003</v>
      </c>
      <c r="BY1423" s="27">
        <v>40.11</v>
      </c>
    </row>
    <row r="1424" spans="1:83" ht="14.1" hidden="1" customHeight="1" x14ac:dyDescent="0.3">
      <c r="A1424" s="281" t="s">
        <v>2827</v>
      </c>
      <c r="B1424" s="146">
        <v>46216</v>
      </c>
      <c r="C1424" s="138">
        <v>1389</v>
      </c>
      <c r="D1424" s="138" t="s">
        <v>3014</v>
      </c>
      <c r="E1424" s="129">
        <v>46225</v>
      </c>
      <c r="F1424" s="281" t="s">
        <v>2497</v>
      </c>
      <c r="G1424" s="128" t="s">
        <v>2498</v>
      </c>
      <c r="H1424" s="128" t="s">
        <v>100</v>
      </c>
      <c r="I1424" s="136"/>
      <c r="J1424" s="138" t="s">
        <v>1146</v>
      </c>
      <c r="K1424" s="136"/>
      <c r="L1424" s="146">
        <v>46216</v>
      </c>
      <c r="M1424" s="136"/>
      <c r="N1424" s="128" t="s">
        <v>3062</v>
      </c>
      <c r="O1424" s="146">
        <v>46225</v>
      </c>
      <c r="P1424" s="138">
        <v>0</v>
      </c>
      <c r="Q1424" s="138">
        <v>135</v>
      </c>
      <c r="R1424" s="138">
        <v>25</v>
      </c>
      <c r="S1424" s="138">
        <v>160</v>
      </c>
      <c r="T1424" s="138">
        <v>160</v>
      </c>
      <c r="U1424" s="136"/>
      <c r="V1424" s="165"/>
      <c r="W1424" s="147">
        <v>96.6</v>
      </c>
      <c r="X1424" s="147">
        <v>96.5</v>
      </c>
      <c r="Y1424" s="147">
        <v>777630</v>
      </c>
      <c r="Z1424" s="236">
        <v>39.9</v>
      </c>
      <c r="AA1424" s="147">
        <v>19440.75</v>
      </c>
      <c r="AB1424" s="147">
        <v>19440.75</v>
      </c>
      <c r="AC1424" s="147">
        <v>816511.5</v>
      </c>
      <c r="AD1424" s="315">
        <f t="shared" si="965"/>
        <v>815694.98849999998</v>
      </c>
      <c r="AE1424" s="147">
        <v>39.9</v>
      </c>
      <c r="AF1424" s="147">
        <v>42</v>
      </c>
      <c r="AG1424" s="147">
        <v>39.9</v>
      </c>
      <c r="AH1424" s="287">
        <v>4.3E-3</v>
      </c>
      <c r="AI1424" s="287">
        <v>0.03</v>
      </c>
      <c r="AJ1424" s="287">
        <v>5.3999999999999999E-2</v>
      </c>
      <c r="AK1424" s="318">
        <f t="shared" si="946"/>
        <v>38881.500000000022</v>
      </c>
      <c r="AL1424" s="193">
        <v>0</v>
      </c>
      <c r="AM1424" s="319">
        <v>0</v>
      </c>
      <c r="AN1424" s="319"/>
      <c r="AO1424" s="320">
        <f t="shared" si="947"/>
        <v>0</v>
      </c>
      <c r="AP1424" s="193">
        <v>0</v>
      </c>
      <c r="AQ1424" s="318">
        <v>0</v>
      </c>
      <c r="AR1424" s="318">
        <f t="shared" si="948"/>
        <v>38881.500000000022</v>
      </c>
      <c r="AS1424" s="318">
        <f t="shared" si="949"/>
        <v>40826</v>
      </c>
      <c r="AT1424" s="321">
        <v>0</v>
      </c>
      <c r="AU1424" s="157"/>
      <c r="AV1424" s="136"/>
      <c r="AW1424" s="318">
        <f t="shared" si="950"/>
        <v>9660</v>
      </c>
      <c r="AX1424" s="193"/>
      <c r="AY1424" s="318">
        <f t="shared" si="951"/>
        <v>9660</v>
      </c>
      <c r="AZ1424" s="318">
        <f t="shared" si="952"/>
        <v>9650</v>
      </c>
      <c r="BA1424" s="318">
        <f t="shared" si="953"/>
        <v>10</v>
      </c>
      <c r="BB1424" s="318">
        <f t="shared" si="954"/>
        <v>19.32</v>
      </c>
      <c r="BC1424" s="318">
        <v>0</v>
      </c>
      <c r="BD1424" s="136"/>
      <c r="BE1424" s="138">
        <v>96.6</v>
      </c>
      <c r="BF1424" s="321">
        <f t="shared" si="955"/>
        <v>0.14489999999999997</v>
      </c>
      <c r="BG1424" s="197">
        <f t="shared" si="956"/>
        <v>96.455099999999987</v>
      </c>
      <c r="BH1424" s="321">
        <f t="shared" si="957"/>
        <v>96.5</v>
      </c>
      <c r="BI1424" s="322">
        <f t="shared" si="958"/>
        <v>9.9999999999994316</v>
      </c>
      <c r="BJ1424" s="322">
        <v>0</v>
      </c>
      <c r="BK1424" s="318">
        <f t="shared" si="959"/>
        <v>9.9999999999994316</v>
      </c>
      <c r="BL1424" s="193"/>
      <c r="BM1424" s="449" t="str">
        <f t="shared" si="960"/>
        <v>Unloading no. 1389 Bill No HA/26-27/0483 ,Deduction For Oil Deduction= 38881.5 ,Bardana= 0 ,F.M= 0 Brokerage/Rate Difference  ,Shortage = 0 ,Greenish= 0 ,Moisture= 0</v>
      </c>
      <c r="BN1424" s="193"/>
      <c r="BO1424" s="449" t="str">
        <f t="shared" si="961"/>
        <v xml:space="preserve"> Party Condition 42  ,F.M% 0.43 ,Greenish 3 ,Moisture 5.4 ,Shortage in KG= 0  ,Oil% 39.9</v>
      </c>
      <c r="BP1424" s="318">
        <f t="shared" si="962"/>
        <v>7655.4248704663214</v>
      </c>
      <c r="BQ1424" s="157"/>
      <c r="BR1424" s="157"/>
      <c r="BS1424" s="136"/>
      <c r="BT1424" s="136"/>
      <c r="BU1424" s="136"/>
      <c r="BV1424" s="136"/>
      <c r="BW1424" s="431"/>
      <c r="BX1424" s="27">
        <v>39.659999999999997</v>
      </c>
      <c r="BY1424" s="27">
        <v>39.58</v>
      </c>
    </row>
    <row r="1425" spans="1:83" ht="14.1" hidden="1" customHeight="1" x14ac:dyDescent="0.3">
      <c r="A1425" s="281" t="s">
        <v>2939</v>
      </c>
      <c r="B1425" s="146">
        <v>46216</v>
      </c>
      <c r="C1425" s="138">
        <v>1390</v>
      </c>
      <c r="D1425" s="138" t="s">
        <v>3015</v>
      </c>
      <c r="E1425" s="129">
        <v>46225</v>
      </c>
      <c r="F1425" s="281" t="s">
        <v>1144</v>
      </c>
      <c r="G1425" s="128" t="s">
        <v>1145</v>
      </c>
      <c r="H1425" s="128" t="s">
        <v>100</v>
      </c>
      <c r="I1425" s="136"/>
      <c r="J1425" s="138" t="s">
        <v>1146</v>
      </c>
      <c r="K1425" s="136"/>
      <c r="L1425" s="146">
        <v>46216</v>
      </c>
      <c r="M1425" s="136"/>
      <c r="N1425" s="128" t="s">
        <v>3063</v>
      </c>
      <c r="O1425" s="146">
        <v>46224</v>
      </c>
      <c r="P1425" s="138">
        <v>0</v>
      </c>
      <c r="Q1425" s="138">
        <v>460</v>
      </c>
      <c r="R1425" s="138">
        <v>40</v>
      </c>
      <c r="S1425" s="138">
        <v>500</v>
      </c>
      <c r="T1425" s="138">
        <v>500</v>
      </c>
      <c r="U1425" s="136"/>
      <c r="V1425" s="136"/>
      <c r="W1425" s="147">
        <v>298.10000000000002</v>
      </c>
      <c r="X1425" s="147">
        <v>298.3</v>
      </c>
      <c r="Y1425" s="147">
        <v>2445910.5</v>
      </c>
      <c r="Z1425" s="147">
        <v>38.61</v>
      </c>
      <c r="AA1425" s="147">
        <v>61147.76</v>
      </c>
      <c r="AB1425" s="147">
        <v>61147.76</v>
      </c>
      <c r="AC1425" s="147">
        <v>2568206.0299999998</v>
      </c>
      <c r="AD1425" s="315">
        <f t="shared" si="965"/>
        <v>2565637.8239699998</v>
      </c>
      <c r="AE1425" s="147">
        <v>38.61</v>
      </c>
      <c r="AF1425" s="147">
        <v>42</v>
      </c>
      <c r="AG1425" s="147">
        <v>38.61</v>
      </c>
      <c r="AH1425" s="287">
        <v>3.0000000000000001E-3</v>
      </c>
      <c r="AI1425" s="287">
        <v>3.4000000000000002E-2</v>
      </c>
      <c r="AJ1425" s="287">
        <v>4.8000000000000001E-2</v>
      </c>
      <c r="AK1425" s="318">
        <f t="shared" si="946"/>
        <v>197419.91892857145</v>
      </c>
      <c r="AL1425" s="193">
        <v>0</v>
      </c>
      <c r="AM1425" s="319">
        <v>0</v>
      </c>
      <c r="AN1425" s="319"/>
      <c r="AO1425" s="320">
        <f t="shared" si="947"/>
        <v>0</v>
      </c>
      <c r="AP1425" s="193">
        <v>0</v>
      </c>
      <c r="AQ1425" s="318">
        <v>0</v>
      </c>
      <c r="AR1425" s="318">
        <f t="shared" si="948"/>
        <v>197419.91892857145</v>
      </c>
      <c r="AS1425" s="318">
        <f t="shared" si="949"/>
        <v>207291</v>
      </c>
      <c r="AT1425" s="321">
        <v>0</v>
      </c>
      <c r="AU1425" s="157"/>
      <c r="AV1425" s="136"/>
      <c r="AW1425" s="318">
        <f t="shared" si="950"/>
        <v>29810.000000000004</v>
      </c>
      <c r="AX1425" s="193"/>
      <c r="AY1425" s="318">
        <f t="shared" si="951"/>
        <v>29810.000000000004</v>
      </c>
      <c r="AZ1425" s="318">
        <f t="shared" si="952"/>
        <v>29830</v>
      </c>
      <c r="BA1425" s="318">
        <f t="shared" si="953"/>
        <v>-19.999999999996362</v>
      </c>
      <c r="BB1425" s="318">
        <f t="shared" si="954"/>
        <v>59.620000000000005</v>
      </c>
      <c r="BC1425" s="318">
        <v>0</v>
      </c>
      <c r="BD1425" s="136"/>
      <c r="BE1425" s="138">
        <v>298.10000000000002</v>
      </c>
      <c r="BF1425" s="321">
        <f t="shared" si="955"/>
        <v>0.44715000000000005</v>
      </c>
      <c r="BG1425" s="197">
        <f t="shared" si="956"/>
        <v>297.65285</v>
      </c>
      <c r="BH1425" s="321">
        <f t="shared" si="957"/>
        <v>298.3</v>
      </c>
      <c r="BI1425" s="322">
        <f t="shared" si="958"/>
        <v>-19.999999999998863</v>
      </c>
      <c r="BJ1425" s="322">
        <v>0</v>
      </c>
      <c r="BK1425" s="318">
        <f t="shared" si="959"/>
        <v>-19.999999999998863</v>
      </c>
      <c r="BL1425" s="193"/>
      <c r="BM1425" s="449" t="str">
        <f t="shared" si="960"/>
        <v>Unloading no. 1390 Bill No 2026-27/475 ,Deduction For Oil Deduction= 197419.918928571 ,Bardana= 0 ,F.M= 0 Brokerage/Rate Difference  ,Shortage = 0 ,Greenish= 0 ,Moisture= 0</v>
      </c>
      <c r="BN1425" s="193"/>
      <c r="BO1425" s="449" t="str">
        <f t="shared" si="961"/>
        <v xml:space="preserve"> Party Condition 42  ,F.M% 0.3 ,Greenish 3.4 ,Moisture 4.8 ,Shortage in KG= 0  ,Oil% 38.61</v>
      </c>
      <c r="BP1425" s="318">
        <f t="shared" si="962"/>
        <v>7537.6821356735782</v>
      </c>
      <c r="BQ1425" s="157"/>
      <c r="BR1425" s="157"/>
      <c r="BS1425" s="136"/>
      <c r="BT1425" s="136"/>
      <c r="BU1425" s="136"/>
      <c r="BV1425" s="136"/>
      <c r="BW1425" s="431"/>
      <c r="BX1425" s="27">
        <v>38.549999999999997</v>
      </c>
      <c r="BY1425" s="27">
        <v>38.44</v>
      </c>
    </row>
    <row r="1426" spans="1:83" ht="14.1" hidden="1" customHeight="1" x14ac:dyDescent="0.3">
      <c r="A1426" s="281" t="s">
        <v>2827</v>
      </c>
      <c r="B1426" s="146">
        <v>46216</v>
      </c>
      <c r="C1426" s="138">
        <v>1391</v>
      </c>
      <c r="D1426" s="138" t="s">
        <v>3016</v>
      </c>
      <c r="E1426" s="129">
        <v>46225</v>
      </c>
      <c r="F1426" s="281" t="s">
        <v>2497</v>
      </c>
      <c r="G1426" s="128" t="s">
        <v>2498</v>
      </c>
      <c r="H1426" s="128" t="s">
        <v>100</v>
      </c>
      <c r="I1426" s="136"/>
      <c r="J1426" s="138" t="s">
        <v>1146</v>
      </c>
      <c r="K1426" s="136"/>
      <c r="L1426" s="146">
        <v>46216</v>
      </c>
      <c r="M1426" s="136"/>
      <c r="N1426" s="128" t="s">
        <v>3064</v>
      </c>
      <c r="O1426" s="146">
        <v>46225</v>
      </c>
      <c r="P1426" s="138">
        <v>0</v>
      </c>
      <c r="Q1426" s="138">
        <v>120</v>
      </c>
      <c r="R1426" s="138">
        <v>40</v>
      </c>
      <c r="S1426" s="138">
        <v>160</v>
      </c>
      <c r="T1426" s="138">
        <v>160</v>
      </c>
      <c r="U1426" s="136"/>
      <c r="V1426" s="165"/>
      <c r="W1426" s="147">
        <v>95.5</v>
      </c>
      <c r="X1426" s="147">
        <v>95.4</v>
      </c>
      <c r="Y1426" s="147">
        <v>768775</v>
      </c>
      <c r="Z1426" s="236">
        <v>39.9</v>
      </c>
      <c r="AA1426" s="147">
        <v>19219.38</v>
      </c>
      <c r="AB1426" s="147">
        <v>19219.38</v>
      </c>
      <c r="AC1426" s="147">
        <v>807213.75</v>
      </c>
      <c r="AD1426" s="315">
        <f t="shared" si="965"/>
        <v>806406.53625</v>
      </c>
      <c r="AE1426" s="147">
        <v>39.9</v>
      </c>
      <c r="AF1426" s="147">
        <v>42</v>
      </c>
      <c r="AG1426" s="147">
        <v>39.9</v>
      </c>
      <c r="AH1426" s="287">
        <v>2.2000000000000001E-3</v>
      </c>
      <c r="AI1426" s="287">
        <v>4.5499999999999999E-2</v>
      </c>
      <c r="AJ1426" s="287">
        <v>5.3999999999999999E-2</v>
      </c>
      <c r="AK1426" s="318">
        <f t="shared" si="946"/>
        <v>38438.750000000022</v>
      </c>
      <c r="AL1426" s="193">
        <v>0</v>
      </c>
      <c r="AM1426" s="319">
        <v>0</v>
      </c>
      <c r="AN1426" s="319"/>
      <c r="AO1426" s="320">
        <f t="shared" si="947"/>
        <v>0</v>
      </c>
      <c r="AP1426" s="193">
        <v>0</v>
      </c>
      <c r="AQ1426" s="318">
        <v>0</v>
      </c>
      <c r="AR1426" s="318">
        <f t="shared" si="948"/>
        <v>38438.750000000022</v>
      </c>
      <c r="AS1426" s="318">
        <f t="shared" si="949"/>
        <v>40361</v>
      </c>
      <c r="AT1426" s="321">
        <v>0</v>
      </c>
      <c r="AU1426" s="157"/>
      <c r="AV1426" s="136"/>
      <c r="AW1426" s="318">
        <f t="shared" si="950"/>
        <v>9550</v>
      </c>
      <c r="AX1426" s="193"/>
      <c r="AY1426" s="318">
        <f t="shared" si="951"/>
        <v>9550</v>
      </c>
      <c r="AZ1426" s="318">
        <f t="shared" si="952"/>
        <v>9540</v>
      </c>
      <c r="BA1426" s="318">
        <f t="shared" si="953"/>
        <v>10</v>
      </c>
      <c r="BB1426" s="318">
        <f t="shared" si="954"/>
        <v>19.100000000000001</v>
      </c>
      <c r="BC1426" s="318">
        <v>0</v>
      </c>
      <c r="BD1426" s="136"/>
      <c r="BE1426" s="138">
        <v>95.5</v>
      </c>
      <c r="BF1426" s="321">
        <f t="shared" si="955"/>
        <v>0.14324999999999999</v>
      </c>
      <c r="BG1426" s="197">
        <f t="shared" si="956"/>
        <v>95.356750000000005</v>
      </c>
      <c r="BH1426" s="321">
        <f t="shared" si="957"/>
        <v>95.4</v>
      </c>
      <c r="BI1426" s="322">
        <f t="shared" si="958"/>
        <v>9.9999999999994316</v>
      </c>
      <c r="BJ1426" s="322">
        <v>0</v>
      </c>
      <c r="BK1426" s="318">
        <f t="shared" si="959"/>
        <v>9.9999999999994316</v>
      </c>
      <c r="BL1426" s="193"/>
      <c r="BM1426" s="449" t="str">
        <f t="shared" si="960"/>
        <v>Unloading no. 1391 Bill No HA/26-27/0485 ,Deduction For Oil Deduction= 38438.75 ,Bardana= 0 ,F.M= 0 Brokerage/Rate Difference  ,Shortage = 0 ,Greenish= 0 ,Moisture= 0</v>
      </c>
      <c r="BN1426" s="193"/>
      <c r="BO1426" s="449" t="str">
        <f t="shared" si="961"/>
        <v xml:space="preserve"> Party Condition 42  ,F.M% 0.22 ,Greenish 4.55 ,Moisture 5.4 ,Shortage in KG= 0  ,Oil% 39.9</v>
      </c>
      <c r="BP1426" s="318">
        <f t="shared" si="962"/>
        <v>7655.5162473794544</v>
      </c>
      <c r="BQ1426" s="157"/>
      <c r="BR1426" s="157"/>
      <c r="BS1426" s="136"/>
      <c r="BT1426" s="136"/>
      <c r="BU1426" s="136"/>
      <c r="BV1426" s="136"/>
      <c r="BW1426" s="431"/>
      <c r="BX1426" s="27">
        <v>39.799999999999997</v>
      </c>
      <c r="BY1426" s="27">
        <v>39.86</v>
      </c>
    </row>
    <row r="1427" spans="1:83" ht="14.1" hidden="1" customHeight="1" x14ac:dyDescent="0.3">
      <c r="A1427" s="453" t="s">
        <v>2827</v>
      </c>
      <c r="B1427" s="330">
        <v>46216</v>
      </c>
      <c r="C1427" s="329">
        <v>1392</v>
      </c>
      <c r="D1427" s="329" t="s">
        <v>3017</v>
      </c>
      <c r="E1427" s="332">
        <v>46225</v>
      </c>
      <c r="F1427" s="333" t="s">
        <v>2497</v>
      </c>
      <c r="G1427" s="334" t="s">
        <v>2498</v>
      </c>
      <c r="H1427" s="334" t="s">
        <v>100</v>
      </c>
      <c r="I1427" s="335"/>
      <c r="J1427" s="329" t="s">
        <v>1146</v>
      </c>
      <c r="K1427" s="335"/>
      <c r="L1427" s="330">
        <v>46216</v>
      </c>
      <c r="M1427" s="335"/>
      <c r="N1427" s="334" t="s">
        <v>3065</v>
      </c>
      <c r="O1427" s="330">
        <v>46225</v>
      </c>
      <c r="P1427" s="329">
        <v>0</v>
      </c>
      <c r="Q1427" s="329">
        <v>130</v>
      </c>
      <c r="R1427" s="329">
        <v>30</v>
      </c>
      <c r="S1427" s="329">
        <v>160</v>
      </c>
      <c r="T1427" s="329">
        <v>160</v>
      </c>
      <c r="U1427" s="335"/>
      <c r="V1427" s="182"/>
      <c r="W1427" s="340">
        <v>97</v>
      </c>
      <c r="X1427" s="340">
        <v>96.9</v>
      </c>
      <c r="Y1427" s="340">
        <v>780850</v>
      </c>
      <c r="Z1427" s="338">
        <v>39.89</v>
      </c>
      <c r="AA1427" s="340">
        <v>19521.25</v>
      </c>
      <c r="AB1427" s="340">
        <v>19521.25</v>
      </c>
      <c r="AC1427" s="340">
        <v>819892.5</v>
      </c>
      <c r="AD1427" s="339">
        <f t="shared" si="965"/>
        <v>819072.60750000004</v>
      </c>
      <c r="AE1427" s="340">
        <v>39.89</v>
      </c>
      <c r="AF1427" s="340">
        <v>42</v>
      </c>
      <c r="AG1427" s="340">
        <v>39.89</v>
      </c>
      <c r="AH1427" s="341">
        <v>1.8E-3</v>
      </c>
      <c r="AI1427" s="341">
        <v>4.1700000000000001E-2</v>
      </c>
      <c r="AJ1427" s="341">
        <v>5.5E-2</v>
      </c>
      <c r="AK1427" s="342">
        <f t="shared" si="946"/>
        <v>39228.416666666657</v>
      </c>
      <c r="AL1427" s="335">
        <v>0</v>
      </c>
      <c r="AM1427" s="343">
        <v>0</v>
      </c>
      <c r="AN1427" s="343"/>
      <c r="AO1427" s="344">
        <f t="shared" si="947"/>
        <v>0</v>
      </c>
      <c r="AP1427" s="335">
        <v>0</v>
      </c>
      <c r="AQ1427" s="342">
        <v>0</v>
      </c>
      <c r="AR1427" s="342">
        <f t="shared" si="948"/>
        <v>39228.416666666657</v>
      </c>
      <c r="AS1427" s="342">
        <f t="shared" si="949"/>
        <v>41190</v>
      </c>
      <c r="AT1427" s="345">
        <v>0</v>
      </c>
      <c r="AU1427" s="335"/>
      <c r="AV1427" s="335"/>
      <c r="AW1427" s="342">
        <f t="shared" si="950"/>
        <v>9700</v>
      </c>
      <c r="AX1427" s="335"/>
      <c r="AY1427" s="342">
        <f t="shared" si="951"/>
        <v>9700</v>
      </c>
      <c r="AZ1427" s="342">
        <f t="shared" si="952"/>
        <v>9690</v>
      </c>
      <c r="BA1427" s="342">
        <f t="shared" si="953"/>
        <v>10</v>
      </c>
      <c r="BB1427" s="342">
        <f t="shared" si="954"/>
        <v>19.399999999999999</v>
      </c>
      <c r="BC1427" s="342">
        <v>0</v>
      </c>
      <c r="BD1427" s="335"/>
      <c r="BE1427" s="329">
        <v>97</v>
      </c>
      <c r="BF1427" s="345">
        <f t="shared" ref="BF1427" si="972">+BE1427*0.15/100</f>
        <v>0.14549999999999999</v>
      </c>
      <c r="BG1427" s="345">
        <f t="shared" ref="BG1427" si="973">BE1427-BF1427</f>
        <v>96.854500000000002</v>
      </c>
      <c r="BH1427" s="345">
        <f t="shared" ref="BH1427" si="974">X1427</f>
        <v>96.9</v>
      </c>
      <c r="BI1427" s="346">
        <f t="shared" ref="BI1427" si="975">(BE1427-BH1427)*100</f>
        <v>9.9999999999994316</v>
      </c>
      <c r="BJ1427" s="346">
        <v>0</v>
      </c>
      <c r="BK1427" s="342">
        <f t="shared" ref="BK1427" si="976">BI1427</f>
        <v>9.9999999999994316</v>
      </c>
      <c r="BL1427" s="335"/>
      <c r="BM1427" s="453" t="str">
        <f t="shared" ref="BM1427" si="977">+$C$1&amp;" "&amp;C1427 &amp;" "&amp;$N$1&amp;" "&amp;N1427&amp;" "&amp;$BM$1&amp;" "&amp;$AK$1&amp;" "&amp;AK1427&amp;" "&amp;$AL$1&amp;" "&amp;AL1427&amp;" "&amp;$AM$1&amp;" "&amp;AM1427&amp;" "&amp;$AN$1&amp;" "&amp;AN1427&amp;" "&amp;$AO$1&amp;" "&amp;AO1427&amp;" "&amp;$AP$1&amp;" "&amp;AP1427&amp;" "&amp;$AQ$1&amp;" "&amp;AQ1427</f>
        <v>Unloading no. 1392 Bill No HA/26-27/0484 ,Deduction For Oil Deduction= 39228.4166666667 ,Bardana= 0 ,F.M= 0 Brokerage/Rate Difference  ,Shortage = 0 ,Greenish= 0 ,Moisture= 0</v>
      </c>
      <c r="BN1427" s="335"/>
      <c r="BO1427" s="453" t="str">
        <f t="shared" ref="BO1427" si="978">+" "&amp;$AF$1&amp;" "&amp;AF1427&amp;" "&amp;" "&amp;$AH$1&amp;" "&amp;AH1427*100&amp;" "&amp;$AI$1&amp;" "&amp;AI1427*100&amp;" "&amp;$AJ$1&amp;" "&amp;AJ1427*100&amp;" ,"&amp;$AT$1&amp;" "&amp;AT1427&amp;" "&amp;IF(AE1427&gt;AG1427," ,Oil%"&amp;" "&amp;AG1427," ,Oil%"&amp;" "&amp;AE1427)</f>
        <v xml:space="preserve"> Party Condition 42  ,F.M% 0.18 ,Greenish 4.17 ,Moisture 5.5 ,Shortage in KG= 0  ,Oil% 39.89</v>
      </c>
      <c r="BP1427" s="342">
        <f t="shared" ref="BP1427" si="979">(Y1427-AR1427)/X1427</f>
        <v>7653.4735122119018</v>
      </c>
      <c r="BQ1427" s="335"/>
      <c r="BR1427" s="335"/>
      <c r="BS1427" s="335"/>
      <c r="BT1427" s="335"/>
      <c r="BU1427" s="335"/>
      <c r="BV1427" s="335"/>
      <c r="BW1427" s="380"/>
      <c r="BX1427" s="30">
        <v>39.78</v>
      </c>
      <c r="BY1427" s="30">
        <v>39.68</v>
      </c>
    </row>
    <row r="1428" spans="1:83" ht="14.1" hidden="1" customHeight="1" x14ac:dyDescent="0.3">
      <c r="A1428" s="128" t="s">
        <v>2939</v>
      </c>
      <c r="B1428" s="146">
        <v>46220</v>
      </c>
      <c r="C1428" s="138">
        <v>1393</v>
      </c>
      <c r="D1428" s="138" t="s">
        <v>3070</v>
      </c>
      <c r="E1428" s="129">
        <v>46226</v>
      </c>
      <c r="F1428" s="128" t="s">
        <v>1144</v>
      </c>
      <c r="G1428" s="281" t="s">
        <v>1145</v>
      </c>
      <c r="H1428" s="281" t="s">
        <v>100</v>
      </c>
      <c r="I1428" s="138"/>
      <c r="J1428" s="138" t="s">
        <v>1146</v>
      </c>
      <c r="K1428" s="136"/>
      <c r="L1428" s="146">
        <v>46220</v>
      </c>
      <c r="M1428" s="136"/>
      <c r="N1428" s="128" t="s">
        <v>3099</v>
      </c>
      <c r="O1428" s="146">
        <v>46224</v>
      </c>
      <c r="P1428" s="138">
        <v>0</v>
      </c>
      <c r="Q1428" s="138">
        <v>310</v>
      </c>
      <c r="R1428" s="138">
        <v>145</v>
      </c>
      <c r="S1428" s="138">
        <v>455</v>
      </c>
      <c r="T1428" s="138">
        <v>455</v>
      </c>
      <c r="U1428" s="136"/>
      <c r="V1428" s="136"/>
      <c r="W1428" s="147">
        <v>275.8</v>
      </c>
      <c r="X1428" s="147">
        <v>276.2</v>
      </c>
      <c r="Y1428" s="147">
        <v>2262939</v>
      </c>
      <c r="Z1428" s="236">
        <v>38.69</v>
      </c>
      <c r="AA1428" s="147">
        <v>56573.48</v>
      </c>
      <c r="AB1428" s="147">
        <v>56573.48</v>
      </c>
      <c r="AC1428" s="147">
        <v>2376085.9500000002</v>
      </c>
      <c r="AD1428" s="315">
        <f t="shared" si="965"/>
        <v>2373709.86405</v>
      </c>
      <c r="AE1428" s="236">
        <v>38.69</v>
      </c>
      <c r="AF1428" s="147">
        <v>42</v>
      </c>
      <c r="AG1428" s="236">
        <v>38.69</v>
      </c>
      <c r="AH1428" s="287">
        <v>3.8E-3</v>
      </c>
      <c r="AI1428" s="287">
        <v>2.6800000000000001E-2</v>
      </c>
      <c r="AJ1428" s="287">
        <v>5.1999999999999998E-2</v>
      </c>
      <c r="AK1428" s="318">
        <f t="shared" ref="AK1428:AK1456" si="980">+IF(AF1428=42,IF(MIN(AE1428,AG1428)&lt;AF1428,Y1428*((AF1428-MIN(AE1428,AG1428))/AF1428)),IF(MIN(AE1428,AG1428)&lt;AF1428,Y1428*((AF1428-MIN(AE1428,AG1428))/AF1428),0))</f>
        <v>178341.14500000011</v>
      </c>
      <c r="AL1428" s="193">
        <v>0</v>
      </c>
      <c r="AM1428" s="319">
        <v>0</v>
      </c>
      <c r="AN1428" s="319"/>
      <c r="AO1428" s="320">
        <f t="shared" ref="AO1428:AO1456" si="981">AT1428*Y1428/AW1428</f>
        <v>0</v>
      </c>
      <c r="AP1428" s="193">
        <v>0</v>
      </c>
      <c r="AQ1428" s="318">
        <v>0</v>
      </c>
      <c r="AR1428" s="318">
        <f t="shared" ref="AR1428:AR1456" si="982">SUM(AK1428:AQ1428)</f>
        <v>178341.14500000011</v>
      </c>
      <c r="AS1428" s="318">
        <f t="shared" ref="AS1428:AS1456" si="983">ROUND(AR1428*1.05,0)</f>
        <v>187258</v>
      </c>
      <c r="AT1428" s="321">
        <v>0</v>
      </c>
      <c r="AU1428" s="193"/>
      <c r="AV1428" s="193"/>
      <c r="AW1428" s="318">
        <f t="shared" ref="AW1428:AW1456" si="984">W1428*100</f>
        <v>27580</v>
      </c>
      <c r="AX1428" s="193"/>
      <c r="AY1428" s="318">
        <f t="shared" ref="AY1428:AY1456" si="985">+AW1428+AX1428</f>
        <v>27580</v>
      </c>
      <c r="AZ1428" s="318">
        <f t="shared" ref="AZ1428:AZ1456" si="986">X1428*100</f>
        <v>27620</v>
      </c>
      <c r="BA1428" s="318">
        <f t="shared" ref="BA1428:BA1456" si="987">AY1428-AZ1428</f>
        <v>-40</v>
      </c>
      <c r="BB1428" s="318">
        <f t="shared" ref="BB1428:BB1456" si="988">AW1428*2/1000</f>
        <v>55.16</v>
      </c>
      <c r="BC1428" s="318">
        <v>0</v>
      </c>
      <c r="BD1428" s="193"/>
      <c r="BE1428" s="138">
        <v>275.8</v>
      </c>
      <c r="BF1428" s="321">
        <f t="shared" ref="BF1428:BF1456" si="989">+BE1428*0.15/100</f>
        <v>0.41369999999999996</v>
      </c>
      <c r="BG1428" s="321">
        <f t="shared" ref="BG1428:BG1456" si="990">BE1428-BF1428</f>
        <v>275.38630000000001</v>
      </c>
      <c r="BH1428" s="321">
        <f t="shared" ref="BH1428:BH1456" si="991">X1428</f>
        <v>276.2</v>
      </c>
      <c r="BI1428" s="322">
        <f t="shared" ref="BI1428:BI1456" si="992">(BE1428-BH1428)*100</f>
        <v>-39.999999999997726</v>
      </c>
      <c r="BJ1428" s="322">
        <v>0</v>
      </c>
      <c r="BK1428" s="318">
        <f t="shared" ref="BK1428:BK1456" si="993">BI1428</f>
        <v>-39.999999999997726</v>
      </c>
      <c r="BL1428" s="193"/>
      <c r="BM1428" s="449" t="str">
        <f t="shared" ref="BM1428:BM1456" si="994">+$C$1&amp;" "&amp;C1428 &amp;" "&amp;$N$1&amp;" "&amp;N1428&amp;" "&amp;$BM$1&amp;" "&amp;$AK$1&amp;" "&amp;AK1428&amp;" "&amp;$AL$1&amp;" "&amp;AL1428&amp;" "&amp;$AM$1&amp;" "&amp;AM1428&amp;" "&amp;$AN$1&amp;" "&amp;AN1428&amp;" "&amp;$AO$1&amp;" "&amp;AO1428&amp;" "&amp;$AP$1&amp;" "&amp;AP1428&amp;" "&amp;$AQ$1&amp;" "&amp;AQ1428</f>
        <v>Unloading no. 1393 Bill No 2026-27/476 ,Deduction For Oil Deduction= 178341.145 ,Bardana= 0 ,F.M= 0 Brokerage/Rate Difference  ,Shortage = 0 ,Greenish= 0 ,Moisture= 0</v>
      </c>
      <c r="BN1428" s="193"/>
      <c r="BO1428" s="449" t="str">
        <f t="shared" ref="BO1428:BO1456" si="995">+" "&amp;$AF$1&amp;" "&amp;AF1428&amp;" "&amp;" "&amp;$AH$1&amp;" "&amp;AH1428*100&amp;" "&amp;$AI$1&amp;" "&amp;AI1428*100&amp;" "&amp;$AJ$1&amp;" "&amp;AJ1428*100&amp;" ,"&amp;$AT$1&amp;" "&amp;AT1428&amp;" "&amp;IF(AE1428&gt;AG1428," ,Oil%"&amp;" "&amp;AG1428," ,Oil%"&amp;" "&amp;AE1428)</f>
        <v xml:space="preserve"> Party Condition 42  ,F.M% 0.38 ,Greenish 2.68 ,Moisture 5.2 ,Shortage in KG= 0  ,Oil% 38.69</v>
      </c>
      <c r="BP1428" s="318">
        <f t="shared" ref="BP1428:BP1456" si="996">(Y1428-AR1428)/X1428</f>
        <v>7547.4216328747289</v>
      </c>
      <c r="BQ1428" s="193"/>
      <c r="BR1428" s="193"/>
      <c r="BS1428" s="193"/>
      <c r="BT1428" s="193"/>
      <c r="BU1428" s="193"/>
      <c r="BV1428" s="193"/>
      <c r="BW1428" s="373"/>
      <c r="BX1428" s="27">
        <v>38.229999999999997</v>
      </c>
      <c r="BY1428" s="27">
        <v>38.06</v>
      </c>
    </row>
    <row r="1429" spans="1:83" ht="14.1" hidden="1" customHeight="1" x14ac:dyDescent="0.3">
      <c r="A1429" s="128" t="s">
        <v>2939</v>
      </c>
      <c r="B1429" s="146">
        <v>46220</v>
      </c>
      <c r="C1429" s="138">
        <v>1394</v>
      </c>
      <c r="D1429" s="138" t="s">
        <v>3071</v>
      </c>
      <c r="E1429" s="129">
        <v>46226</v>
      </c>
      <c r="F1429" s="128" t="s">
        <v>1144</v>
      </c>
      <c r="G1429" s="281" t="s">
        <v>1145</v>
      </c>
      <c r="H1429" s="281" t="s">
        <v>100</v>
      </c>
      <c r="I1429" s="138"/>
      <c r="J1429" s="138" t="s">
        <v>1146</v>
      </c>
      <c r="K1429" s="136"/>
      <c r="L1429" s="146">
        <v>46220</v>
      </c>
      <c r="M1429" s="136"/>
      <c r="N1429" s="128" t="s">
        <v>3100</v>
      </c>
      <c r="O1429" s="146">
        <v>46224</v>
      </c>
      <c r="P1429" s="138">
        <v>0</v>
      </c>
      <c r="Q1429" s="138">
        <v>400</v>
      </c>
      <c r="R1429" s="138">
        <v>100</v>
      </c>
      <c r="S1429" s="138">
        <v>500</v>
      </c>
      <c r="T1429" s="138">
        <v>500</v>
      </c>
      <c r="U1429" s="136"/>
      <c r="V1429" s="136"/>
      <c r="W1429" s="147">
        <v>299.7</v>
      </c>
      <c r="X1429" s="147">
        <v>300.60000000000002</v>
      </c>
      <c r="Y1429" s="147">
        <v>2459038.5</v>
      </c>
      <c r="Z1429" s="236">
        <v>38.79</v>
      </c>
      <c r="AA1429" s="147">
        <v>61475.96</v>
      </c>
      <c r="AB1429" s="147">
        <v>61475.96</v>
      </c>
      <c r="AC1429" s="147">
        <v>2581990.4300000002</v>
      </c>
      <c r="AD1429" s="315">
        <f t="shared" si="965"/>
        <v>2579408.4395700004</v>
      </c>
      <c r="AE1429" s="236">
        <v>38.79</v>
      </c>
      <c r="AF1429" s="147">
        <v>42</v>
      </c>
      <c r="AG1429" s="236">
        <v>38.79</v>
      </c>
      <c r="AH1429" s="287">
        <v>4.0000000000000001E-3</v>
      </c>
      <c r="AI1429" s="287">
        <v>2.8000000000000001E-2</v>
      </c>
      <c r="AJ1429" s="287">
        <v>5.1999999999999998E-2</v>
      </c>
      <c r="AK1429" s="318">
        <f t="shared" si="980"/>
        <v>187940.79964285716</v>
      </c>
      <c r="AL1429" s="193">
        <v>0</v>
      </c>
      <c r="AM1429" s="319">
        <v>0</v>
      </c>
      <c r="AN1429" s="319"/>
      <c r="AO1429" s="320">
        <f t="shared" si="981"/>
        <v>0</v>
      </c>
      <c r="AP1429" s="193">
        <v>0</v>
      </c>
      <c r="AQ1429" s="318">
        <v>0</v>
      </c>
      <c r="AR1429" s="318">
        <f t="shared" si="982"/>
        <v>187940.79964285716</v>
      </c>
      <c r="AS1429" s="318">
        <f t="shared" si="983"/>
        <v>197338</v>
      </c>
      <c r="AT1429" s="321">
        <v>0</v>
      </c>
      <c r="AU1429" s="193"/>
      <c r="AV1429" s="193"/>
      <c r="AW1429" s="318">
        <f t="shared" si="984"/>
        <v>29970</v>
      </c>
      <c r="AX1429" s="193"/>
      <c r="AY1429" s="318">
        <f t="shared" si="985"/>
        <v>29970</v>
      </c>
      <c r="AZ1429" s="318">
        <f t="shared" si="986"/>
        <v>30060.000000000004</v>
      </c>
      <c r="BA1429" s="318">
        <f t="shared" si="987"/>
        <v>-90.000000000003638</v>
      </c>
      <c r="BB1429" s="318">
        <f t="shared" si="988"/>
        <v>59.94</v>
      </c>
      <c r="BC1429" s="318">
        <v>0</v>
      </c>
      <c r="BD1429" s="193"/>
      <c r="BE1429" s="138">
        <v>299.7</v>
      </c>
      <c r="BF1429" s="321">
        <f t="shared" si="989"/>
        <v>0.44955000000000001</v>
      </c>
      <c r="BG1429" s="321">
        <f t="shared" si="990"/>
        <v>299.25045</v>
      </c>
      <c r="BH1429" s="321">
        <f t="shared" si="991"/>
        <v>300.60000000000002</v>
      </c>
      <c r="BI1429" s="322">
        <f t="shared" si="992"/>
        <v>-90.000000000003411</v>
      </c>
      <c r="BJ1429" s="322">
        <v>0</v>
      </c>
      <c r="BK1429" s="318">
        <f t="shared" si="993"/>
        <v>-90.000000000003411</v>
      </c>
      <c r="BL1429" s="193"/>
      <c r="BM1429" s="449" t="str">
        <f t="shared" si="994"/>
        <v>Unloading no. 1394 Bill No 2026-27/477 ,Deduction For Oil Deduction= 187940.799642857 ,Bardana= 0 ,F.M= 0 Brokerage/Rate Difference  ,Shortage = 0 ,Greenish= 0 ,Moisture= 0</v>
      </c>
      <c r="BN1429" s="193"/>
      <c r="BO1429" s="449" t="str">
        <f t="shared" si="995"/>
        <v xml:space="preserve"> Party Condition 42  ,F.M% 0.4 ,Greenish 2.8 ,Moisture 5.2 ,Shortage in KG= 0  ,Oil% 38.79</v>
      </c>
      <c r="BP1429" s="318">
        <f t="shared" si="996"/>
        <v>7555.2152373823774</v>
      </c>
      <c r="BQ1429" s="193"/>
      <c r="BR1429" s="193"/>
      <c r="BS1429" s="193"/>
      <c r="BT1429" s="193"/>
      <c r="BU1429" s="193"/>
      <c r="BV1429" s="193"/>
      <c r="BW1429" s="373"/>
      <c r="BX1429" s="27">
        <v>38.39</v>
      </c>
      <c r="BY1429" s="27">
        <v>38.340000000000003</v>
      </c>
    </row>
    <row r="1430" spans="1:83" ht="14.1" hidden="1" customHeight="1" x14ac:dyDescent="0.3">
      <c r="A1430" s="128" t="s">
        <v>3066</v>
      </c>
      <c r="B1430" s="146">
        <v>46223</v>
      </c>
      <c r="C1430" s="138">
        <v>1395</v>
      </c>
      <c r="D1430" s="138" t="s">
        <v>3072</v>
      </c>
      <c r="E1430" s="129">
        <v>46226</v>
      </c>
      <c r="F1430" s="128" t="s">
        <v>95</v>
      </c>
      <c r="G1430" s="281" t="s">
        <v>96</v>
      </c>
      <c r="H1430" s="281" t="s">
        <v>97</v>
      </c>
      <c r="I1430" s="347"/>
      <c r="J1430" s="347" t="s">
        <v>1455</v>
      </c>
      <c r="K1430" s="136"/>
      <c r="L1430" s="146">
        <v>46223</v>
      </c>
      <c r="M1430" s="136"/>
      <c r="N1430" s="281">
        <v>229</v>
      </c>
      <c r="O1430" s="146">
        <v>46224</v>
      </c>
      <c r="P1430" s="138">
        <v>0</v>
      </c>
      <c r="Q1430" s="138">
        <v>260</v>
      </c>
      <c r="R1430" s="138">
        <v>122</v>
      </c>
      <c r="S1430" s="138">
        <v>382</v>
      </c>
      <c r="T1430" s="138">
        <v>382</v>
      </c>
      <c r="U1430" s="136"/>
      <c r="V1430" s="136"/>
      <c r="W1430" s="147">
        <v>232</v>
      </c>
      <c r="X1430" s="147">
        <v>231.8</v>
      </c>
      <c r="Y1430" s="147">
        <v>1925600</v>
      </c>
      <c r="Z1430" s="169"/>
      <c r="AA1430" s="147">
        <v>48140</v>
      </c>
      <c r="AB1430" s="147">
        <v>48140</v>
      </c>
      <c r="AC1430" s="147">
        <v>2021880</v>
      </c>
      <c r="AD1430" s="315">
        <f t="shared" si="965"/>
        <v>2019858.12</v>
      </c>
      <c r="AE1430" s="147">
        <v>39.880000000000003</v>
      </c>
      <c r="AF1430" s="147">
        <v>42</v>
      </c>
      <c r="AG1430" s="147">
        <v>39.82</v>
      </c>
      <c r="AH1430" s="418">
        <v>2.2000000000000001E-3</v>
      </c>
      <c r="AI1430" s="287">
        <v>3.1E-2</v>
      </c>
      <c r="AJ1430" s="397">
        <v>5.8000000000000003E-2</v>
      </c>
      <c r="AK1430" s="318">
        <f t="shared" si="980"/>
        <v>99947.809523809512</v>
      </c>
      <c r="AL1430" s="193">
        <f>260*10+122*15</f>
        <v>4430</v>
      </c>
      <c r="AM1430" s="319">
        <f>Y1430*AH1430</f>
        <v>4236.3200000000006</v>
      </c>
      <c r="AN1430" s="319"/>
      <c r="AO1430" s="320">
        <f t="shared" si="981"/>
        <v>1660</v>
      </c>
      <c r="AP1430" s="193">
        <v>0</v>
      </c>
      <c r="AQ1430" s="318">
        <f>Y1430*0.8/100</f>
        <v>15404.8</v>
      </c>
      <c r="AR1430" s="318">
        <f t="shared" si="982"/>
        <v>125678.92952380952</v>
      </c>
      <c r="AS1430" s="318">
        <f t="shared" si="983"/>
        <v>131963</v>
      </c>
      <c r="AT1430" s="321">
        <v>20</v>
      </c>
      <c r="AU1430" s="193"/>
      <c r="AV1430" s="193"/>
      <c r="AW1430" s="318">
        <f t="shared" si="984"/>
        <v>23200</v>
      </c>
      <c r="AX1430" s="193"/>
      <c r="AY1430" s="318">
        <f t="shared" si="985"/>
        <v>23200</v>
      </c>
      <c r="AZ1430" s="318">
        <f t="shared" si="986"/>
        <v>23180</v>
      </c>
      <c r="BA1430" s="318">
        <f t="shared" si="987"/>
        <v>20</v>
      </c>
      <c r="BB1430" s="318">
        <f t="shared" si="988"/>
        <v>46.4</v>
      </c>
      <c r="BC1430" s="318">
        <v>0</v>
      </c>
      <c r="BD1430" s="193"/>
      <c r="BE1430" s="138">
        <v>232</v>
      </c>
      <c r="BF1430" s="321">
        <f t="shared" si="989"/>
        <v>0.34799999999999998</v>
      </c>
      <c r="BG1430" s="321">
        <f t="shared" si="990"/>
        <v>231.65199999999999</v>
      </c>
      <c r="BH1430" s="321">
        <f t="shared" si="991"/>
        <v>231.8</v>
      </c>
      <c r="BI1430" s="322">
        <f t="shared" si="992"/>
        <v>19.999999999998863</v>
      </c>
      <c r="BJ1430" s="322">
        <v>0</v>
      </c>
      <c r="BK1430" s="318">
        <f t="shared" si="993"/>
        <v>19.999999999998863</v>
      </c>
      <c r="BL1430" s="193"/>
      <c r="BM1430" s="449" t="str">
        <f t="shared" si="994"/>
        <v>Unloading no. 1395 Bill No 229 ,Deduction For Oil Deduction= 99947.8095238095 ,Bardana= 4430 ,F.M= 4236.32 Brokerage/Rate Difference  ,Shortage = 1660 ,Greenish= 0 ,Moisture= 15404.8</v>
      </c>
      <c r="BN1430" s="193"/>
      <c r="BO1430" s="449" t="str">
        <f t="shared" si="995"/>
        <v xml:space="preserve"> Party Condition 42  ,F.M% 0.22 ,Greenish 3.1 ,Moisture 5.8 ,Shortage in KG= 20  ,Oil% 39.82</v>
      </c>
      <c r="BP1430" s="318">
        <f t="shared" si="996"/>
        <v>7764.9744196556958</v>
      </c>
      <c r="BQ1430" s="193"/>
      <c r="BR1430" s="193"/>
      <c r="BS1430" s="193"/>
      <c r="BT1430" s="193"/>
      <c r="BU1430" s="193"/>
      <c r="BV1430" s="193"/>
      <c r="BW1430" s="373"/>
      <c r="BX1430" s="27">
        <v>39.880000000000003</v>
      </c>
      <c r="BY1430" s="27">
        <v>39.82</v>
      </c>
      <c r="CA1430" s="56">
        <v>116596.61</v>
      </c>
      <c r="CC1430" s="57">
        <f t="shared" ref="CC1430:CC1432" si="997">AS1430-CA1430</f>
        <v>15366.39</v>
      </c>
      <c r="CE1430" s="88">
        <f t="shared" ref="CE1430:CE1432" si="998">CC1430/105%</f>
        <v>14634.657142857142</v>
      </c>
    </row>
    <row r="1431" spans="1:83" ht="14.1" hidden="1" customHeight="1" x14ac:dyDescent="0.3">
      <c r="A1431" s="128" t="s">
        <v>3066</v>
      </c>
      <c r="B1431" s="146">
        <v>46223</v>
      </c>
      <c r="C1431" s="138">
        <v>1396</v>
      </c>
      <c r="D1431" s="138" t="s">
        <v>3073</v>
      </c>
      <c r="E1431" s="129">
        <v>46226</v>
      </c>
      <c r="F1431" s="128" t="s">
        <v>95</v>
      </c>
      <c r="G1431" s="281" t="s">
        <v>96</v>
      </c>
      <c r="H1431" s="281" t="s">
        <v>97</v>
      </c>
      <c r="I1431" s="347"/>
      <c r="J1431" s="347" t="s">
        <v>1455</v>
      </c>
      <c r="K1431" s="136"/>
      <c r="L1431" s="146">
        <v>46223</v>
      </c>
      <c r="M1431" s="136"/>
      <c r="N1431" s="281">
        <v>230</v>
      </c>
      <c r="O1431" s="146">
        <v>46224</v>
      </c>
      <c r="P1431" s="138">
        <v>0</v>
      </c>
      <c r="Q1431" s="138">
        <v>290</v>
      </c>
      <c r="R1431" s="138">
        <v>88</v>
      </c>
      <c r="S1431" s="138">
        <v>378</v>
      </c>
      <c r="T1431" s="138">
        <v>378</v>
      </c>
      <c r="U1431" s="136"/>
      <c r="V1431" s="136"/>
      <c r="W1431" s="147">
        <v>229.2</v>
      </c>
      <c r="X1431" s="147">
        <v>229.6</v>
      </c>
      <c r="Y1431" s="147">
        <v>1902360</v>
      </c>
      <c r="Z1431" s="169"/>
      <c r="AA1431" s="147">
        <v>47559</v>
      </c>
      <c r="AB1431" s="147">
        <v>47559</v>
      </c>
      <c r="AC1431" s="147">
        <v>1997478</v>
      </c>
      <c r="AD1431" s="315">
        <f t="shared" si="965"/>
        <v>1995480.5220000001</v>
      </c>
      <c r="AE1431" s="147">
        <v>40.049999999999997</v>
      </c>
      <c r="AF1431" s="147">
        <v>42</v>
      </c>
      <c r="AG1431" s="147">
        <v>39.840000000000003</v>
      </c>
      <c r="AH1431" s="418">
        <v>3.0000000000000001E-3</v>
      </c>
      <c r="AI1431" s="287">
        <v>3.2500000000000001E-2</v>
      </c>
      <c r="AJ1431" s="397">
        <v>5.7000000000000002E-2</v>
      </c>
      <c r="AK1431" s="318">
        <f t="shared" si="980"/>
        <v>97835.657142856988</v>
      </c>
      <c r="AL1431" s="193">
        <f>290*10+88*15</f>
        <v>4220</v>
      </c>
      <c r="AM1431" s="319">
        <f>Y1431*AH1431</f>
        <v>5707.08</v>
      </c>
      <c r="AN1431" s="319"/>
      <c r="AO1431" s="320">
        <f t="shared" si="981"/>
        <v>0</v>
      </c>
      <c r="AP1431" s="193">
        <v>0</v>
      </c>
      <c r="AQ1431" s="318">
        <f>Y1431*0.7/100</f>
        <v>13316.52</v>
      </c>
      <c r="AR1431" s="318">
        <f t="shared" si="982"/>
        <v>121079.25714285699</v>
      </c>
      <c r="AS1431" s="318">
        <f t="shared" si="983"/>
        <v>127133</v>
      </c>
      <c r="AT1431" s="321">
        <v>0</v>
      </c>
      <c r="AU1431" s="193" t="s">
        <v>2208</v>
      </c>
      <c r="AV1431" s="193"/>
      <c r="AW1431" s="318">
        <f t="shared" si="984"/>
        <v>22920</v>
      </c>
      <c r="AX1431" s="193"/>
      <c r="AY1431" s="318">
        <f t="shared" si="985"/>
        <v>22920</v>
      </c>
      <c r="AZ1431" s="318">
        <f t="shared" si="986"/>
        <v>22960</v>
      </c>
      <c r="BA1431" s="318">
        <f t="shared" si="987"/>
        <v>-40</v>
      </c>
      <c r="BB1431" s="318">
        <f t="shared" si="988"/>
        <v>45.84</v>
      </c>
      <c r="BC1431" s="318">
        <v>0</v>
      </c>
      <c r="BD1431" s="193"/>
      <c r="BE1431" s="138">
        <v>229.2</v>
      </c>
      <c r="BF1431" s="321">
        <f t="shared" si="989"/>
        <v>0.34379999999999994</v>
      </c>
      <c r="BG1431" s="321">
        <f t="shared" si="990"/>
        <v>228.8562</v>
      </c>
      <c r="BH1431" s="321">
        <f t="shared" si="991"/>
        <v>229.6</v>
      </c>
      <c r="BI1431" s="322">
        <f t="shared" si="992"/>
        <v>-40.000000000000568</v>
      </c>
      <c r="BJ1431" s="322">
        <v>0</v>
      </c>
      <c r="BK1431" s="318">
        <f t="shared" si="993"/>
        <v>-40.000000000000568</v>
      </c>
      <c r="BL1431" s="193"/>
      <c r="BM1431" s="449" t="str">
        <f t="shared" si="994"/>
        <v>Unloading no. 1396 Bill No 230 ,Deduction For Oil Deduction= 97835.657142857 ,Bardana= 4220 ,F.M= 5707.08 Brokerage/Rate Difference  ,Shortage = 0 ,Greenish= 0 ,Moisture= 13316.52</v>
      </c>
      <c r="BN1431" s="193"/>
      <c r="BO1431" s="449" t="str">
        <f t="shared" si="995"/>
        <v xml:space="preserve"> Party Condition 42  ,F.M% 0.3 ,Greenish 3.25 ,Moisture 5.7 ,Shortage in KG= 0  ,Oil% 39.84</v>
      </c>
      <c r="BP1431" s="318">
        <f t="shared" si="996"/>
        <v>7758.1913887506234</v>
      </c>
      <c r="BQ1431" s="193"/>
      <c r="BR1431" s="193"/>
      <c r="BS1431" s="193"/>
      <c r="BT1431" s="193"/>
      <c r="BU1431" s="193"/>
      <c r="BV1431" s="193"/>
      <c r="BW1431" s="373"/>
      <c r="BX1431" s="27">
        <v>40.049999999999997</v>
      </c>
      <c r="BY1431" s="27">
        <v>39.840000000000003</v>
      </c>
      <c r="CA1431" s="56">
        <v>119143.32</v>
      </c>
      <c r="CC1431" s="57">
        <f t="shared" si="997"/>
        <v>7989.679999999993</v>
      </c>
      <c r="CE1431" s="88">
        <f t="shared" si="998"/>
        <v>7609.2190476190408</v>
      </c>
    </row>
    <row r="1432" spans="1:83" ht="14.1" hidden="1" customHeight="1" x14ac:dyDescent="0.3">
      <c r="A1432" s="128" t="s">
        <v>3067</v>
      </c>
      <c r="B1432" s="146">
        <v>46224</v>
      </c>
      <c r="C1432" s="138">
        <v>1397</v>
      </c>
      <c r="D1432" s="138" t="s">
        <v>3074</v>
      </c>
      <c r="E1432" s="129">
        <v>46226</v>
      </c>
      <c r="F1432" s="128" t="s">
        <v>2296</v>
      </c>
      <c r="G1432" s="281" t="s">
        <v>2297</v>
      </c>
      <c r="H1432" s="281" t="s">
        <v>1511</v>
      </c>
      <c r="I1432" s="347"/>
      <c r="J1432" s="347" t="s">
        <v>1455</v>
      </c>
      <c r="K1432" s="136"/>
      <c r="L1432" s="146">
        <v>46224</v>
      </c>
      <c r="M1432" s="136"/>
      <c r="N1432" s="128" t="s">
        <v>3101</v>
      </c>
      <c r="O1432" s="146">
        <v>46225</v>
      </c>
      <c r="P1432" s="138">
        <v>0</v>
      </c>
      <c r="Q1432" s="138">
        <v>500</v>
      </c>
      <c r="R1432" s="138">
        <v>121</v>
      </c>
      <c r="S1432" s="138">
        <v>621</v>
      </c>
      <c r="T1432" s="138">
        <v>621</v>
      </c>
      <c r="U1432" s="136"/>
      <c r="V1432" s="136"/>
      <c r="W1432" s="147">
        <v>376.6</v>
      </c>
      <c r="X1432" s="147">
        <v>376.9</v>
      </c>
      <c r="Y1432" s="147">
        <v>3118248</v>
      </c>
      <c r="Z1432" s="169"/>
      <c r="AA1432" s="147">
        <v>77956.2</v>
      </c>
      <c r="AB1432" s="147">
        <v>77956.2</v>
      </c>
      <c r="AC1432" s="147">
        <v>3274160.4</v>
      </c>
      <c r="AD1432" s="315">
        <f t="shared" si="965"/>
        <v>3270886.2396</v>
      </c>
      <c r="AE1432" s="147">
        <v>38.85</v>
      </c>
      <c r="AF1432" s="147">
        <v>42</v>
      </c>
      <c r="AG1432" s="147">
        <v>38.75</v>
      </c>
      <c r="AH1432" s="418">
        <v>2.8999999999999998E-3</v>
      </c>
      <c r="AI1432" s="287">
        <v>3.4000000000000002E-2</v>
      </c>
      <c r="AJ1432" s="397">
        <v>5.5899999999999998E-2</v>
      </c>
      <c r="AK1432" s="318">
        <f t="shared" si="980"/>
        <v>241293</v>
      </c>
      <c r="AL1432" s="193">
        <f>500*10+121*15</f>
        <v>6815</v>
      </c>
      <c r="AM1432" s="319">
        <f>Y1432*AH1432</f>
        <v>9042.9192000000003</v>
      </c>
      <c r="AN1432" s="319"/>
      <c r="AO1432" s="320">
        <f t="shared" si="981"/>
        <v>0</v>
      </c>
      <c r="AP1432" s="193">
        <v>0</v>
      </c>
      <c r="AQ1432" s="318">
        <f>Y1432*0.59/100</f>
        <v>18397.663199999999</v>
      </c>
      <c r="AR1432" s="318">
        <f t="shared" si="982"/>
        <v>275548.58240000001</v>
      </c>
      <c r="AS1432" s="318">
        <f t="shared" si="983"/>
        <v>289326</v>
      </c>
      <c r="AT1432" s="321">
        <v>0</v>
      </c>
      <c r="AU1432" s="193" t="s">
        <v>2208</v>
      </c>
      <c r="AV1432" s="193"/>
      <c r="AW1432" s="318">
        <f t="shared" si="984"/>
        <v>37660</v>
      </c>
      <c r="AX1432" s="193"/>
      <c r="AY1432" s="318">
        <f t="shared" si="985"/>
        <v>37660</v>
      </c>
      <c r="AZ1432" s="318">
        <f t="shared" si="986"/>
        <v>37690</v>
      </c>
      <c r="BA1432" s="318">
        <f t="shared" si="987"/>
        <v>-30</v>
      </c>
      <c r="BB1432" s="318">
        <f t="shared" si="988"/>
        <v>75.319999999999993</v>
      </c>
      <c r="BC1432" s="318">
        <v>0</v>
      </c>
      <c r="BD1432" s="193"/>
      <c r="BE1432" s="138">
        <v>376.6</v>
      </c>
      <c r="BF1432" s="321">
        <f t="shared" si="989"/>
        <v>0.56490000000000007</v>
      </c>
      <c r="BG1432" s="321">
        <f t="shared" si="990"/>
        <v>376.0351</v>
      </c>
      <c r="BH1432" s="321">
        <f t="shared" si="991"/>
        <v>376.9</v>
      </c>
      <c r="BI1432" s="322">
        <f t="shared" si="992"/>
        <v>-29.999999999995453</v>
      </c>
      <c r="BJ1432" s="322">
        <v>0</v>
      </c>
      <c r="BK1432" s="318">
        <f t="shared" si="993"/>
        <v>-29.999999999995453</v>
      </c>
      <c r="BL1432" s="193"/>
      <c r="BM1432" s="449" t="str">
        <f t="shared" si="994"/>
        <v>Unloading no. 1397 Bill No STTC/2026-27/22 ,Deduction For Oil Deduction= 241293 ,Bardana= 6815 ,F.M= 9042.9192 Brokerage/Rate Difference  ,Shortage = 0 ,Greenish= 0 ,Moisture= 18397.6632</v>
      </c>
      <c r="BN1432" s="193"/>
      <c r="BO1432" s="449" t="str">
        <f t="shared" si="995"/>
        <v xml:space="preserve"> Party Condition 42  ,F.M% 0.29 ,Greenish 3.4 ,Moisture 5.59 ,Shortage in KG= 0  ,Oil% 38.75</v>
      </c>
      <c r="BP1432" s="318">
        <f t="shared" si="996"/>
        <v>7542.3173722472802</v>
      </c>
      <c r="BQ1432" s="193"/>
      <c r="BR1432" s="193"/>
      <c r="BS1432" s="193"/>
      <c r="BT1432" s="193"/>
      <c r="BU1432" s="193"/>
      <c r="BV1432" s="193"/>
      <c r="BW1432" s="373"/>
      <c r="BX1432" s="27">
        <v>38.85</v>
      </c>
      <c r="BY1432" s="27">
        <v>38.75</v>
      </c>
      <c r="CA1432" s="56">
        <v>289326.02</v>
      </c>
      <c r="CC1432" s="57">
        <f t="shared" si="997"/>
        <v>-2.0000000018626451E-2</v>
      </c>
      <c r="CE1432" s="88">
        <f t="shared" si="998"/>
        <v>-1.9047619065358526E-2</v>
      </c>
    </row>
    <row r="1433" spans="1:83" ht="14.1" hidden="1" customHeight="1" x14ac:dyDescent="0.3">
      <c r="A1433" s="128" t="s">
        <v>2827</v>
      </c>
      <c r="B1433" s="146">
        <v>46216</v>
      </c>
      <c r="C1433" s="138">
        <v>1398</v>
      </c>
      <c r="D1433" s="138" t="s">
        <v>3075</v>
      </c>
      <c r="E1433" s="129">
        <v>46226</v>
      </c>
      <c r="F1433" s="128" t="s">
        <v>2497</v>
      </c>
      <c r="G1433" s="281" t="s">
        <v>2498</v>
      </c>
      <c r="H1433" s="281" t="s">
        <v>100</v>
      </c>
      <c r="I1433" s="138"/>
      <c r="J1433" s="138" t="s">
        <v>1146</v>
      </c>
      <c r="K1433" s="136"/>
      <c r="L1433" s="146">
        <v>46216</v>
      </c>
      <c r="M1433" s="136"/>
      <c r="N1433" s="128" t="s">
        <v>3102</v>
      </c>
      <c r="O1433" s="146">
        <v>46226</v>
      </c>
      <c r="P1433" s="138">
        <v>0</v>
      </c>
      <c r="Q1433" s="138">
        <v>130</v>
      </c>
      <c r="R1433" s="138">
        <v>30</v>
      </c>
      <c r="S1433" s="138">
        <v>160</v>
      </c>
      <c r="T1433" s="138">
        <v>160</v>
      </c>
      <c r="U1433" s="136"/>
      <c r="V1433" s="136"/>
      <c r="W1433" s="147">
        <v>97</v>
      </c>
      <c r="X1433" s="147">
        <v>97</v>
      </c>
      <c r="Y1433" s="147">
        <v>780850</v>
      </c>
      <c r="Z1433" s="236">
        <v>40.57</v>
      </c>
      <c r="AA1433" s="147">
        <v>19521.25</v>
      </c>
      <c r="AB1433" s="147">
        <v>19521.25</v>
      </c>
      <c r="AC1433" s="147">
        <v>819892.5</v>
      </c>
      <c r="AD1433" s="315">
        <f t="shared" si="965"/>
        <v>819072.60750000004</v>
      </c>
      <c r="AE1433" s="236">
        <v>40.57</v>
      </c>
      <c r="AF1433" s="147">
        <v>42</v>
      </c>
      <c r="AG1433" s="236">
        <v>40.57</v>
      </c>
      <c r="AH1433" s="287">
        <v>2.5999999999999999E-3</v>
      </c>
      <c r="AI1433" s="287">
        <v>0.06</v>
      </c>
      <c r="AJ1433" s="287">
        <v>0.05</v>
      </c>
      <c r="AK1433" s="318">
        <f t="shared" si="980"/>
        <v>26586.083333333328</v>
      </c>
      <c r="AL1433" s="193">
        <v>0</v>
      </c>
      <c r="AM1433" s="319">
        <v>0</v>
      </c>
      <c r="AN1433" s="319"/>
      <c r="AO1433" s="320">
        <f t="shared" si="981"/>
        <v>0</v>
      </c>
      <c r="AP1433" s="193">
        <v>0</v>
      </c>
      <c r="AQ1433" s="318">
        <v>0</v>
      </c>
      <c r="AR1433" s="318">
        <f t="shared" si="982"/>
        <v>26586.083333333328</v>
      </c>
      <c r="AS1433" s="318">
        <f t="shared" si="983"/>
        <v>27915</v>
      </c>
      <c r="AT1433" s="321">
        <v>0</v>
      </c>
      <c r="AU1433" s="193"/>
      <c r="AV1433" s="193"/>
      <c r="AW1433" s="318">
        <f t="shared" si="984"/>
        <v>9700</v>
      </c>
      <c r="AX1433" s="193"/>
      <c r="AY1433" s="318">
        <f t="shared" si="985"/>
        <v>9700</v>
      </c>
      <c r="AZ1433" s="318">
        <f t="shared" si="986"/>
        <v>9700</v>
      </c>
      <c r="BA1433" s="318">
        <f t="shared" si="987"/>
        <v>0</v>
      </c>
      <c r="BB1433" s="318">
        <f t="shared" si="988"/>
        <v>19.399999999999999</v>
      </c>
      <c r="BC1433" s="318">
        <v>0</v>
      </c>
      <c r="BD1433" s="193"/>
      <c r="BE1433" s="138">
        <v>97</v>
      </c>
      <c r="BF1433" s="321">
        <f t="shared" si="989"/>
        <v>0.14549999999999999</v>
      </c>
      <c r="BG1433" s="321">
        <f t="shared" si="990"/>
        <v>96.854500000000002</v>
      </c>
      <c r="BH1433" s="321">
        <f t="shared" si="991"/>
        <v>97</v>
      </c>
      <c r="BI1433" s="322">
        <f t="shared" si="992"/>
        <v>0</v>
      </c>
      <c r="BJ1433" s="322">
        <v>0</v>
      </c>
      <c r="BK1433" s="318">
        <f t="shared" si="993"/>
        <v>0</v>
      </c>
      <c r="BL1433" s="193"/>
      <c r="BM1433" s="449" t="str">
        <f t="shared" si="994"/>
        <v>Unloading no. 1398 Bill No HA/26-27/0486 ,Deduction For Oil Deduction= 26586.0833333333 ,Bardana= 0 ,F.M= 0 Brokerage/Rate Difference  ,Shortage = 0 ,Greenish= 0 ,Moisture= 0</v>
      </c>
      <c r="BN1433" s="193"/>
      <c r="BO1433" s="449" t="str">
        <f t="shared" si="995"/>
        <v xml:space="preserve"> Party Condition 42  ,F.M% 0.26 ,Greenish 6 ,Moisture 5 ,Shortage in KG= 0  ,Oil% 40.57</v>
      </c>
      <c r="BP1433" s="318">
        <f t="shared" si="996"/>
        <v>7775.9166666666661</v>
      </c>
      <c r="BQ1433" s="193"/>
      <c r="BR1433" s="193"/>
      <c r="BS1433" s="193"/>
      <c r="BT1433" s="193"/>
      <c r="BU1433" s="193"/>
      <c r="BV1433" s="193"/>
      <c r="BW1433" s="373"/>
      <c r="BX1433" s="27">
        <v>40.17</v>
      </c>
      <c r="BY1433" s="27">
        <v>40.01</v>
      </c>
    </row>
    <row r="1434" spans="1:83" ht="14.1" hidden="1" customHeight="1" x14ac:dyDescent="0.3">
      <c r="A1434" s="128" t="s">
        <v>2827</v>
      </c>
      <c r="B1434" s="146">
        <v>46216</v>
      </c>
      <c r="C1434" s="138">
        <v>1399</v>
      </c>
      <c r="D1434" s="138" t="s">
        <v>3076</v>
      </c>
      <c r="E1434" s="129">
        <v>46226</v>
      </c>
      <c r="F1434" s="128" t="s">
        <v>2497</v>
      </c>
      <c r="G1434" s="281" t="s">
        <v>2498</v>
      </c>
      <c r="H1434" s="281" t="s">
        <v>100</v>
      </c>
      <c r="I1434" s="138"/>
      <c r="J1434" s="138" t="s">
        <v>1146</v>
      </c>
      <c r="K1434" s="136"/>
      <c r="L1434" s="146">
        <v>46216</v>
      </c>
      <c r="M1434" s="136"/>
      <c r="N1434" s="128" t="s">
        <v>3103</v>
      </c>
      <c r="O1434" s="146">
        <v>46226</v>
      </c>
      <c r="P1434" s="138">
        <v>0</v>
      </c>
      <c r="Q1434" s="138">
        <v>140</v>
      </c>
      <c r="R1434" s="138">
        <v>20</v>
      </c>
      <c r="S1434" s="138">
        <v>160</v>
      </c>
      <c r="T1434" s="138">
        <v>160</v>
      </c>
      <c r="U1434" s="136"/>
      <c r="V1434" s="136"/>
      <c r="W1434" s="147">
        <v>97.5</v>
      </c>
      <c r="X1434" s="147">
        <v>97.4</v>
      </c>
      <c r="Y1434" s="147">
        <v>784875</v>
      </c>
      <c r="Z1434" s="236">
        <v>40.799999999999997</v>
      </c>
      <c r="AA1434" s="147">
        <v>19621.88</v>
      </c>
      <c r="AB1434" s="147">
        <v>19621.88</v>
      </c>
      <c r="AC1434" s="147">
        <v>824118.75</v>
      </c>
      <c r="AD1434" s="315">
        <f t="shared" si="965"/>
        <v>823294.63124999998</v>
      </c>
      <c r="AE1434" s="236">
        <v>40.799999999999997</v>
      </c>
      <c r="AF1434" s="147">
        <v>42</v>
      </c>
      <c r="AG1434" s="236">
        <v>40.799999999999997</v>
      </c>
      <c r="AH1434" s="287">
        <v>2E-3</v>
      </c>
      <c r="AI1434" s="287">
        <v>0.04</v>
      </c>
      <c r="AJ1434" s="287">
        <v>0.05</v>
      </c>
      <c r="AK1434" s="318">
        <f t="shared" si="980"/>
        <v>22425.000000000055</v>
      </c>
      <c r="AL1434" s="193">
        <v>0</v>
      </c>
      <c r="AM1434" s="319">
        <v>0</v>
      </c>
      <c r="AN1434" s="319"/>
      <c r="AO1434" s="320">
        <f t="shared" si="981"/>
        <v>0</v>
      </c>
      <c r="AP1434" s="193">
        <v>0</v>
      </c>
      <c r="AQ1434" s="318">
        <v>0</v>
      </c>
      <c r="AR1434" s="318">
        <f t="shared" si="982"/>
        <v>22425.000000000055</v>
      </c>
      <c r="AS1434" s="318">
        <f t="shared" si="983"/>
        <v>23546</v>
      </c>
      <c r="AT1434" s="321">
        <v>0</v>
      </c>
      <c r="AU1434" s="193"/>
      <c r="AV1434" s="193"/>
      <c r="AW1434" s="318">
        <f t="shared" si="984"/>
        <v>9750</v>
      </c>
      <c r="AX1434" s="193"/>
      <c r="AY1434" s="318">
        <f t="shared" si="985"/>
        <v>9750</v>
      </c>
      <c r="AZ1434" s="318">
        <f t="shared" si="986"/>
        <v>9740</v>
      </c>
      <c r="BA1434" s="318">
        <f t="shared" si="987"/>
        <v>10</v>
      </c>
      <c r="BB1434" s="318">
        <f t="shared" si="988"/>
        <v>19.5</v>
      </c>
      <c r="BC1434" s="318">
        <v>0</v>
      </c>
      <c r="BD1434" s="193"/>
      <c r="BE1434" s="138">
        <v>97.5</v>
      </c>
      <c r="BF1434" s="321">
        <f t="shared" si="989"/>
        <v>0.14624999999999999</v>
      </c>
      <c r="BG1434" s="321">
        <f t="shared" si="990"/>
        <v>97.353750000000005</v>
      </c>
      <c r="BH1434" s="321">
        <f t="shared" si="991"/>
        <v>97.4</v>
      </c>
      <c r="BI1434" s="322">
        <f t="shared" si="992"/>
        <v>9.9999999999994316</v>
      </c>
      <c r="BJ1434" s="322">
        <v>0</v>
      </c>
      <c r="BK1434" s="318">
        <f t="shared" si="993"/>
        <v>9.9999999999994316</v>
      </c>
      <c r="BL1434" s="193"/>
      <c r="BM1434" s="449" t="str">
        <f t="shared" si="994"/>
        <v>Unloading no. 1399 Bill No HA/26-27/0487 ,Deduction For Oil Deduction= 22425.0000000001 ,Bardana= 0 ,F.M= 0 Brokerage/Rate Difference  ,Shortage = 0 ,Greenish= 0 ,Moisture= 0</v>
      </c>
      <c r="BN1434" s="193"/>
      <c r="BO1434" s="449" t="str">
        <f t="shared" si="995"/>
        <v xml:space="preserve"> Party Condition 42  ,F.M% 0.2 ,Greenish 4 ,Moisture 5 ,Shortage in KG= 0  ,Oil% 40.8</v>
      </c>
      <c r="BP1434" s="318">
        <f t="shared" si="996"/>
        <v>7828.0287474332645</v>
      </c>
      <c r="BQ1434" s="193"/>
      <c r="BR1434" s="193"/>
      <c r="BS1434" s="193"/>
      <c r="BT1434" s="193"/>
      <c r="BU1434" s="193"/>
      <c r="BV1434" s="193"/>
      <c r="BW1434" s="373"/>
      <c r="BX1434" s="27">
        <v>40.549999999999997</v>
      </c>
      <c r="BY1434" s="27">
        <v>40.409999999999997</v>
      </c>
    </row>
    <row r="1435" spans="1:83" ht="14.1" hidden="1" customHeight="1" x14ac:dyDescent="0.3">
      <c r="A1435" s="128" t="s">
        <v>2827</v>
      </c>
      <c r="B1435" s="146">
        <v>46216</v>
      </c>
      <c r="C1435" s="138">
        <v>1400</v>
      </c>
      <c r="D1435" s="138" t="s">
        <v>3077</v>
      </c>
      <c r="E1435" s="129">
        <v>46226</v>
      </c>
      <c r="F1435" s="128" t="s">
        <v>2497</v>
      </c>
      <c r="G1435" s="281" t="s">
        <v>2498</v>
      </c>
      <c r="H1435" s="281" t="s">
        <v>100</v>
      </c>
      <c r="I1435" s="138"/>
      <c r="J1435" s="138" t="s">
        <v>1146</v>
      </c>
      <c r="K1435" s="136"/>
      <c r="L1435" s="146">
        <v>46216</v>
      </c>
      <c r="M1435" s="136"/>
      <c r="N1435" s="128" t="s">
        <v>3104</v>
      </c>
      <c r="O1435" s="146">
        <v>46226</v>
      </c>
      <c r="P1435" s="138">
        <v>0</v>
      </c>
      <c r="Q1435" s="138">
        <v>140</v>
      </c>
      <c r="R1435" s="138">
        <v>20</v>
      </c>
      <c r="S1435" s="138">
        <v>160</v>
      </c>
      <c r="T1435" s="138">
        <v>160</v>
      </c>
      <c r="U1435" s="136"/>
      <c r="V1435" s="136"/>
      <c r="W1435" s="147">
        <v>97.4</v>
      </c>
      <c r="X1435" s="147">
        <v>97.2</v>
      </c>
      <c r="Y1435" s="147">
        <v>784070</v>
      </c>
      <c r="Z1435" s="236">
        <v>40.69</v>
      </c>
      <c r="AA1435" s="147">
        <v>19601.75</v>
      </c>
      <c r="AB1435" s="147">
        <v>19601.75</v>
      </c>
      <c r="AC1435" s="147">
        <v>823273.5</v>
      </c>
      <c r="AD1435" s="315">
        <f t="shared" si="965"/>
        <v>822450.22649999999</v>
      </c>
      <c r="AE1435" s="236">
        <v>40.69</v>
      </c>
      <c r="AF1435" s="147">
        <v>42</v>
      </c>
      <c r="AG1435" s="236">
        <v>40.69</v>
      </c>
      <c r="AH1435" s="287">
        <v>1.9E-3</v>
      </c>
      <c r="AI1435" s="287">
        <v>0.04</v>
      </c>
      <c r="AJ1435" s="287">
        <v>0.05</v>
      </c>
      <c r="AK1435" s="318">
        <f t="shared" si="980"/>
        <v>24455.51666666671</v>
      </c>
      <c r="AL1435" s="193">
        <v>0</v>
      </c>
      <c r="AM1435" s="319">
        <v>0</v>
      </c>
      <c r="AN1435" s="319"/>
      <c r="AO1435" s="320">
        <f t="shared" si="981"/>
        <v>0</v>
      </c>
      <c r="AP1435" s="193">
        <v>0</v>
      </c>
      <c r="AQ1435" s="318">
        <v>0</v>
      </c>
      <c r="AR1435" s="318">
        <f t="shared" si="982"/>
        <v>24455.51666666671</v>
      </c>
      <c r="AS1435" s="318">
        <f t="shared" si="983"/>
        <v>25678</v>
      </c>
      <c r="AT1435" s="321">
        <v>0</v>
      </c>
      <c r="AU1435" s="193"/>
      <c r="AV1435" s="193"/>
      <c r="AW1435" s="318">
        <f t="shared" si="984"/>
        <v>9740</v>
      </c>
      <c r="AX1435" s="193"/>
      <c r="AY1435" s="318">
        <f t="shared" si="985"/>
        <v>9740</v>
      </c>
      <c r="AZ1435" s="318">
        <f t="shared" si="986"/>
        <v>9720</v>
      </c>
      <c r="BA1435" s="318">
        <f t="shared" si="987"/>
        <v>20</v>
      </c>
      <c r="BB1435" s="318">
        <f t="shared" si="988"/>
        <v>19.48</v>
      </c>
      <c r="BC1435" s="318">
        <v>0</v>
      </c>
      <c r="BD1435" s="193"/>
      <c r="BE1435" s="138">
        <v>97.4</v>
      </c>
      <c r="BF1435" s="321">
        <f t="shared" si="989"/>
        <v>0.14610000000000001</v>
      </c>
      <c r="BG1435" s="321">
        <f t="shared" si="990"/>
        <v>97.253900000000002</v>
      </c>
      <c r="BH1435" s="321">
        <f t="shared" si="991"/>
        <v>97.2</v>
      </c>
      <c r="BI1435" s="322">
        <f t="shared" si="992"/>
        <v>20.000000000000284</v>
      </c>
      <c r="BJ1435" s="322">
        <v>0</v>
      </c>
      <c r="BK1435" s="318">
        <f t="shared" si="993"/>
        <v>20.000000000000284</v>
      </c>
      <c r="BL1435" s="193"/>
      <c r="BM1435" s="449" t="str">
        <f t="shared" si="994"/>
        <v>Unloading no. 1400 Bill No HA/26-27/0488 ,Deduction For Oil Deduction= 24455.5166666667 ,Bardana= 0 ,F.M= 0 Brokerage/Rate Difference  ,Shortage = 0 ,Greenish= 0 ,Moisture= 0</v>
      </c>
      <c r="BN1435" s="193"/>
      <c r="BO1435" s="449" t="str">
        <f t="shared" si="995"/>
        <v xml:space="preserve"> Party Condition 42  ,F.M% 0.19 ,Greenish 4 ,Moisture 5 ,Shortage in KG= 0  ,Oil% 40.69</v>
      </c>
      <c r="BP1435" s="318">
        <f t="shared" si="996"/>
        <v>7814.9638203017821</v>
      </c>
      <c r="BQ1435" s="193"/>
      <c r="BR1435" s="193"/>
      <c r="BS1435" s="193"/>
      <c r="BT1435" s="193"/>
      <c r="BU1435" s="193"/>
      <c r="BV1435" s="193"/>
      <c r="BW1435" s="373"/>
      <c r="BX1435" s="27">
        <v>40.39</v>
      </c>
      <c r="BY1435" s="27">
        <v>40.229999999999997</v>
      </c>
    </row>
    <row r="1436" spans="1:83" ht="14.1" hidden="1" customHeight="1" x14ac:dyDescent="0.3">
      <c r="A1436" s="128" t="s">
        <v>2827</v>
      </c>
      <c r="B1436" s="146">
        <v>46216</v>
      </c>
      <c r="C1436" s="138">
        <v>1401</v>
      </c>
      <c r="D1436" s="138" t="s">
        <v>3078</v>
      </c>
      <c r="E1436" s="129">
        <v>46226</v>
      </c>
      <c r="F1436" s="128" t="s">
        <v>2497</v>
      </c>
      <c r="G1436" s="281" t="s">
        <v>2498</v>
      </c>
      <c r="H1436" s="281" t="s">
        <v>100</v>
      </c>
      <c r="I1436" s="138"/>
      <c r="J1436" s="138" t="s">
        <v>1146</v>
      </c>
      <c r="K1436" s="136"/>
      <c r="L1436" s="146">
        <v>46216</v>
      </c>
      <c r="M1436" s="136"/>
      <c r="N1436" s="128" t="s">
        <v>3105</v>
      </c>
      <c r="O1436" s="146">
        <v>46226</v>
      </c>
      <c r="P1436" s="138">
        <v>0</v>
      </c>
      <c r="Q1436" s="138">
        <v>140</v>
      </c>
      <c r="R1436" s="138">
        <v>20</v>
      </c>
      <c r="S1436" s="138">
        <v>160</v>
      </c>
      <c r="T1436" s="138">
        <v>160</v>
      </c>
      <c r="U1436" s="136"/>
      <c r="V1436" s="136"/>
      <c r="W1436" s="147">
        <v>97.1</v>
      </c>
      <c r="X1436" s="147">
        <v>97</v>
      </c>
      <c r="Y1436" s="147">
        <v>781655</v>
      </c>
      <c r="Z1436" s="236">
        <v>39.82</v>
      </c>
      <c r="AA1436" s="147">
        <v>19541.38</v>
      </c>
      <c r="AB1436" s="147">
        <v>19541.38</v>
      </c>
      <c r="AC1436" s="147">
        <v>820737.75</v>
      </c>
      <c r="AD1436" s="315">
        <f t="shared" si="965"/>
        <v>819917.01225000003</v>
      </c>
      <c r="AE1436" s="236">
        <v>39.82</v>
      </c>
      <c r="AF1436" s="147">
        <v>42</v>
      </c>
      <c r="AG1436" s="236">
        <v>39.82</v>
      </c>
      <c r="AH1436" s="287">
        <v>2E-3</v>
      </c>
      <c r="AI1436" s="287">
        <v>0.04</v>
      </c>
      <c r="AJ1436" s="287">
        <v>5.8999999999999997E-2</v>
      </c>
      <c r="AK1436" s="318">
        <f t="shared" si="980"/>
        <v>40571.616666666661</v>
      </c>
      <c r="AL1436" s="193">
        <v>0</v>
      </c>
      <c r="AM1436" s="319">
        <v>0</v>
      </c>
      <c r="AN1436" s="319"/>
      <c r="AO1436" s="320">
        <f t="shared" si="981"/>
        <v>0</v>
      </c>
      <c r="AP1436" s="193">
        <v>0</v>
      </c>
      <c r="AQ1436" s="318">
        <v>0</v>
      </c>
      <c r="AR1436" s="318">
        <f t="shared" si="982"/>
        <v>40571.616666666661</v>
      </c>
      <c r="AS1436" s="318">
        <f t="shared" si="983"/>
        <v>42600</v>
      </c>
      <c r="AT1436" s="321">
        <v>0</v>
      </c>
      <c r="AU1436" s="193"/>
      <c r="AV1436" s="193"/>
      <c r="AW1436" s="318">
        <f t="shared" si="984"/>
        <v>9710</v>
      </c>
      <c r="AX1436" s="193"/>
      <c r="AY1436" s="318">
        <f t="shared" si="985"/>
        <v>9710</v>
      </c>
      <c r="AZ1436" s="318">
        <f t="shared" si="986"/>
        <v>9700</v>
      </c>
      <c r="BA1436" s="318">
        <f t="shared" si="987"/>
        <v>10</v>
      </c>
      <c r="BB1436" s="318">
        <f t="shared" si="988"/>
        <v>19.420000000000002</v>
      </c>
      <c r="BC1436" s="318">
        <v>0</v>
      </c>
      <c r="BD1436" s="193"/>
      <c r="BE1436" s="138">
        <v>97.1</v>
      </c>
      <c r="BF1436" s="321">
        <f t="shared" si="989"/>
        <v>0.14564999999999997</v>
      </c>
      <c r="BG1436" s="321">
        <f t="shared" si="990"/>
        <v>96.954349999999991</v>
      </c>
      <c r="BH1436" s="321">
        <f t="shared" si="991"/>
        <v>97</v>
      </c>
      <c r="BI1436" s="322">
        <f t="shared" si="992"/>
        <v>9.9999999999994316</v>
      </c>
      <c r="BJ1436" s="322">
        <v>0</v>
      </c>
      <c r="BK1436" s="318">
        <f t="shared" si="993"/>
        <v>9.9999999999994316</v>
      </c>
      <c r="BL1436" s="193"/>
      <c r="BM1436" s="449" t="str">
        <f t="shared" si="994"/>
        <v>Unloading no. 1401 Bill No HA/26-27/0489 ,Deduction For Oil Deduction= 40571.6166666667 ,Bardana= 0 ,F.M= 0 Brokerage/Rate Difference  ,Shortage = 0 ,Greenish= 0 ,Moisture= 0</v>
      </c>
      <c r="BN1436" s="193"/>
      <c r="BO1436" s="449" t="str">
        <f t="shared" si="995"/>
        <v xml:space="preserve"> Party Condition 42  ,F.M% 0.2 ,Greenish 4 ,Moisture 5.9 ,Shortage in KG= 0  ,Oil% 39.82</v>
      </c>
      <c r="BP1436" s="318">
        <f t="shared" si="996"/>
        <v>7640.0348797250854</v>
      </c>
      <c r="BQ1436" s="193"/>
      <c r="BR1436" s="193"/>
      <c r="BS1436" s="193"/>
      <c r="BT1436" s="193"/>
      <c r="BU1436" s="193"/>
      <c r="BV1436" s="193"/>
      <c r="BW1436" s="373"/>
      <c r="BX1436" s="27">
        <v>39.630000000000003</v>
      </c>
      <c r="BY1436" s="27">
        <v>39.53</v>
      </c>
    </row>
    <row r="1437" spans="1:83" ht="14.1" hidden="1" customHeight="1" x14ac:dyDescent="0.3">
      <c r="A1437" s="128" t="s">
        <v>2827</v>
      </c>
      <c r="B1437" s="146">
        <v>46216</v>
      </c>
      <c r="C1437" s="138">
        <v>1402</v>
      </c>
      <c r="D1437" s="138" t="s">
        <v>3079</v>
      </c>
      <c r="E1437" s="129">
        <v>46226</v>
      </c>
      <c r="F1437" s="128" t="s">
        <v>2497</v>
      </c>
      <c r="G1437" s="281" t="s">
        <v>2498</v>
      </c>
      <c r="H1437" s="281" t="s">
        <v>100</v>
      </c>
      <c r="I1437" s="138"/>
      <c r="J1437" s="138" t="s">
        <v>1146</v>
      </c>
      <c r="K1437" s="136"/>
      <c r="L1437" s="146">
        <v>46216</v>
      </c>
      <c r="M1437" s="136"/>
      <c r="N1437" s="128" t="s">
        <v>3106</v>
      </c>
      <c r="O1437" s="146">
        <v>46226</v>
      </c>
      <c r="P1437" s="138">
        <v>0</v>
      </c>
      <c r="Q1437" s="138">
        <v>145</v>
      </c>
      <c r="R1437" s="138">
        <v>15</v>
      </c>
      <c r="S1437" s="138">
        <v>160</v>
      </c>
      <c r="T1437" s="138">
        <v>160</v>
      </c>
      <c r="U1437" s="136"/>
      <c r="V1437" s="136"/>
      <c r="W1437" s="147">
        <v>97.5</v>
      </c>
      <c r="X1437" s="147">
        <v>97.4</v>
      </c>
      <c r="Y1437" s="147">
        <v>784875</v>
      </c>
      <c r="Z1437" s="236">
        <v>40.159999999999997</v>
      </c>
      <c r="AA1437" s="147">
        <v>19621.88</v>
      </c>
      <c r="AB1437" s="147">
        <v>19621.88</v>
      </c>
      <c r="AC1437" s="147">
        <v>824118.75</v>
      </c>
      <c r="AD1437" s="315">
        <f t="shared" si="965"/>
        <v>823294.63124999998</v>
      </c>
      <c r="AE1437" s="236">
        <v>40.159999999999997</v>
      </c>
      <c r="AF1437" s="147">
        <v>42</v>
      </c>
      <c r="AG1437" s="236">
        <v>40.159999999999997</v>
      </c>
      <c r="AH1437" s="287">
        <v>4.5999999999999999E-3</v>
      </c>
      <c r="AI1437" s="287">
        <v>4.8000000000000001E-2</v>
      </c>
      <c r="AJ1437" s="287">
        <v>5.3999999999999999E-2</v>
      </c>
      <c r="AK1437" s="318">
        <f t="shared" si="980"/>
        <v>34385.000000000065</v>
      </c>
      <c r="AL1437" s="193">
        <v>0</v>
      </c>
      <c r="AM1437" s="319">
        <v>0</v>
      </c>
      <c r="AN1437" s="319"/>
      <c r="AO1437" s="320">
        <f t="shared" si="981"/>
        <v>0</v>
      </c>
      <c r="AP1437" s="193">
        <v>0</v>
      </c>
      <c r="AQ1437" s="318">
        <v>0</v>
      </c>
      <c r="AR1437" s="318">
        <f t="shared" si="982"/>
        <v>34385.000000000065</v>
      </c>
      <c r="AS1437" s="318">
        <f t="shared" si="983"/>
        <v>36104</v>
      </c>
      <c r="AT1437" s="321">
        <v>0</v>
      </c>
      <c r="AU1437" s="193"/>
      <c r="AV1437" s="193"/>
      <c r="AW1437" s="318">
        <f t="shared" si="984"/>
        <v>9750</v>
      </c>
      <c r="AX1437" s="193"/>
      <c r="AY1437" s="318">
        <f t="shared" si="985"/>
        <v>9750</v>
      </c>
      <c r="AZ1437" s="318">
        <f t="shared" si="986"/>
        <v>9740</v>
      </c>
      <c r="BA1437" s="318">
        <f t="shared" si="987"/>
        <v>10</v>
      </c>
      <c r="BB1437" s="318">
        <f t="shared" si="988"/>
        <v>19.5</v>
      </c>
      <c r="BC1437" s="318">
        <v>0</v>
      </c>
      <c r="BD1437" s="193"/>
      <c r="BE1437" s="138">
        <v>97.5</v>
      </c>
      <c r="BF1437" s="321">
        <f t="shared" si="989"/>
        <v>0.14624999999999999</v>
      </c>
      <c r="BG1437" s="321">
        <f t="shared" si="990"/>
        <v>97.353750000000005</v>
      </c>
      <c r="BH1437" s="321">
        <f t="shared" si="991"/>
        <v>97.4</v>
      </c>
      <c r="BI1437" s="322">
        <f t="shared" si="992"/>
        <v>9.9999999999994316</v>
      </c>
      <c r="BJ1437" s="322">
        <v>0</v>
      </c>
      <c r="BK1437" s="318">
        <f t="shared" si="993"/>
        <v>9.9999999999994316</v>
      </c>
      <c r="BL1437" s="193"/>
      <c r="BM1437" s="449" t="str">
        <f t="shared" si="994"/>
        <v>Unloading no. 1402 Bill No HA/26-27/0490 ,Deduction For Oil Deduction= 34385.0000000001 ,Bardana= 0 ,F.M= 0 Brokerage/Rate Difference  ,Shortage = 0 ,Greenish= 0 ,Moisture= 0</v>
      </c>
      <c r="BN1437" s="193"/>
      <c r="BO1437" s="449" t="str">
        <f t="shared" si="995"/>
        <v xml:space="preserve"> Party Condition 42  ,F.M% 0.46 ,Greenish 4.8 ,Moisture 5.4 ,Shortage in KG= 0  ,Oil% 40.16</v>
      </c>
      <c r="BP1437" s="318">
        <f t="shared" si="996"/>
        <v>7705.2361396303886</v>
      </c>
      <c r="BQ1437" s="193"/>
      <c r="BR1437" s="193"/>
      <c r="BS1437" s="193"/>
      <c r="BT1437" s="193"/>
      <c r="BU1437" s="193"/>
      <c r="BV1437" s="193"/>
      <c r="BW1437" s="373"/>
      <c r="BX1437" s="27">
        <v>40.22</v>
      </c>
      <c r="BY1437" s="27">
        <v>40.020000000000003</v>
      </c>
    </row>
    <row r="1438" spans="1:83" ht="14.1" hidden="1" customHeight="1" x14ac:dyDescent="0.3">
      <c r="A1438" s="128" t="s">
        <v>2827</v>
      </c>
      <c r="B1438" s="146">
        <v>46216</v>
      </c>
      <c r="C1438" s="138">
        <v>1403</v>
      </c>
      <c r="D1438" s="138" t="s">
        <v>3080</v>
      </c>
      <c r="E1438" s="129">
        <v>46226</v>
      </c>
      <c r="F1438" s="128" t="s">
        <v>2497</v>
      </c>
      <c r="G1438" s="281" t="s">
        <v>2498</v>
      </c>
      <c r="H1438" s="281" t="s">
        <v>100</v>
      </c>
      <c r="I1438" s="138"/>
      <c r="J1438" s="138" t="s">
        <v>1146</v>
      </c>
      <c r="K1438" s="136"/>
      <c r="L1438" s="146">
        <v>46216</v>
      </c>
      <c r="M1438" s="136"/>
      <c r="N1438" s="128" t="s">
        <v>3107</v>
      </c>
      <c r="O1438" s="146">
        <v>46226</v>
      </c>
      <c r="P1438" s="138">
        <v>0</v>
      </c>
      <c r="Q1438" s="138">
        <v>140</v>
      </c>
      <c r="R1438" s="138">
        <v>20</v>
      </c>
      <c r="S1438" s="138">
        <v>160</v>
      </c>
      <c r="T1438" s="138">
        <v>160</v>
      </c>
      <c r="U1438" s="136"/>
      <c r="V1438" s="136"/>
      <c r="W1438" s="147">
        <v>96.9</v>
      </c>
      <c r="X1438" s="147">
        <v>96.7</v>
      </c>
      <c r="Y1438" s="147">
        <v>780045</v>
      </c>
      <c r="Z1438" s="236">
        <v>39.64</v>
      </c>
      <c r="AA1438" s="147">
        <v>19501.13</v>
      </c>
      <c r="AB1438" s="147">
        <v>19501.13</v>
      </c>
      <c r="AC1438" s="147">
        <v>819047.25</v>
      </c>
      <c r="AD1438" s="315">
        <f t="shared" si="965"/>
        <v>818228.20275000005</v>
      </c>
      <c r="AE1438" s="236">
        <v>39.64</v>
      </c>
      <c r="AF1438" s="147">
        <v>42</v>
      </c>
      <c r="AG1438" s="236">
        <v>39.64</v>
      </c>
      <c r="AH1438" s="287">
        <v>2.2000000000000001E-3</v>
      </c>
      <c r="AI1438" s="287">
        <v>3.2199999999999999E-2</v>
      </c>
      <c r="AJ1438" s="287">
        <v>5.3999999999999999E-2</v>
      </c>
      <c r="AK1438" s="318">
        <f t="shared" si="980"/>
        <v>43831.099999999991</v>
      </c>
      <c r="AL1438" s="193">
        <v>0</v>
      </c>
      <c r="AM1438" s="319">
        <v>0</v>
      </c>
      <c r="AN1438" s="319"/>
      <c r="AO1438" s="320">
        <f t="shared" si="981"/>
        <v>0</v>
      </c>
      <c r="AP1438" s="193">
        <v>0</v>
      </c>
      <c r="AQ1438" s="318">
        <v>0</v>
      </c>
      <c r="AR1438" s="318">
        <f t="shared" si="982"/>
        <v>43831.099999999991</v>
      </c>
      <c r="AS1438" s="318">
        <f t="shared" si="983"/>
        <v>46023</v>
      </c>
      <c r="AT1438" s="321">
        <v>0</v>
      </c>
      <c r="AU1438" s="193"/>
      <c r="AV1438" s="193"/>
      <c r="AW1438" s="318">
        <f t="shared" si="984"/>
        <v>9690</v>
      </c>
      <c r="AX1438" s="193"/>
      <c r="AY1438" s="318">
        <f t="shared" si="985"/>
        <v>9690</v>
      </c>
      <c r="AZ1438" s="318">
        <f t="shared" si="986"/>
        <v>9670</v>
      </c>
      <c r="BA1438" s="318">
        <f t="shared" si="987"/>
        <v>20</v>
      </c>
      <c r="BB1438" s="318">
        <f t="shared" si="988"/>
        <v>19.38</v>
      </c>
      <c r="BC1438" s="318">
        <v>0</v>
      </c>
      <c r="BD1438" s="193"/>
      <c r="BE1438" s="138">
        <v>96.9</v>
      </c>
      <c r="BF1438" s="321">
        <f t="shared" si="989"/>
        <v>0.14535000000000001</v>
      </c>
      <c r="BG1438" s="321">
        <f t="shared" si="990"/>
        <v>96.754650000000012</v>
      </c>
      <c r="BH1438" s="321">
        <f t="shared" si="991"/>
        <v>96.7</v>
      </c>
      <c r="BI1438" s="322">
        <f t="shared" si="992"/>
        <v>20.000000000000284</v>
      </c>
      <c r="BJ1438" s="322">
        <v>0</v>
      </c>
      <c r="BK1438" s="318">
        <f t="shared" si="993"/>
        <v>20.000000000000284</v>
      </c>
      <c r="BL1438" s="193"/>
      <c r="BM1438" s="449" t="str">
        <f t="shared" si="994"/>
        <v>Unloading no. 1403 Bill No HA/26-27/0492 ,Deduction For Oil Deduction= 43831.1 ,Bardana= 0 ,F.M= 0 Brokerage/Rate Difference  ,Shortage = 0 ,Greenish= 0 ,Moisture= 0</v>
      </c>
      <c r="BN1438" s="193"/>
      <c r="BO1438" s="449" t="str">
        <f t="shared" si="995"/>
        <v xml:space="preserve"> Party Condition 42  ,F.M% 0.22 ,Greenish 3.22 ,Moisture 5.4 ,Shortage in KG= 0  ,Oil% 39.64</v>
      </c>
      <c r="BP1438" s="318">
        <f t="shared" si="996"/>
        <v>7613.3805584281281</v>
      </c>
      <c r="BQ1438" s="193"/>
      <c r="BR1438" s="193"/>
      <c r="BS1438" s="193"/>
      <c r="BT1438" s="193"/>
      <c r="BU1438" s="193"/>
      <c r="BV1438" s="193"/>
      <c r="BW1438" s="373"/>
      <c r="BX1438" s="27">
        <v>39.65</v>
      </c>
      <c r="BY1438" s="27">
        <v>39.53</v>
      </c>
    </row>
    <row r="1439" spans="1:83" ht="14.1" hidden="1" customHeight="1" x14ac:dyDescent="0.3">
      <c r="A1439" s="128" t="s">
        <v>2827</v>
      </c>
      <c r="B1439" s="146">
        <v>46216</v>
      </c>
      <c r="C1439" s="138">
        <v>1404</v>
      </c>
      <c r="D1439" s="138" t="s">
        <v>3081</v>
      </c>
      <c r="E1439" s="129">
        <v>46226</v>
      </c>
      <c r="F1439" s="128" t="s">
        <v>2497</v>
      </c>
      <c r="G1439" s="281" t="s">
        <v>2498</v>
      </c>
      <c r="H1439" s="281" t="s">
        <v>100</v>
      </c>
      <c r="I1439" s="138"/>
      <c r="J1439" s="138" t="s">
        <v>1146</v>
      </c>
      <c r="K1439" s="136"/>
      <c r="L1439" s="146">
        <v>46216</v>
      </c>
      <c r="M1439" s="136"/>
      <c r="N1439" s="128" t="s">
        <v>3108</v>
      </c>
      <c r="O1439" s="146">
        <v>46226</v>
      </c>
      <c r="P1439" s="138">
        <v>0</v>
      </c>
      <c r="Q1439" s="138">
        <v>145</v>
      </c>
      <c r="R1439" s="138">
        <v>15</v>
      </c>
      <c r="S1439" s="138">
        <v>160</v>
      </c>
      <c r="T1439" s="138">
        <v>160</v>
      </c>
      <c r="U1439" s="136"/>
      <c r="V1439" s="136"/>
      <c r="W1439" s="147">
        <v>97</v>
      </c>
      <c r="X1439" s="147">
        <v>97</v>
      </c>
      <c r="Y1439" s="147">
        <v>780850</v>
      </c>
      <c r="Z1439" s="236">
        <v>39.549999999999997</v>
      </c>
      <c r="AA1439" s="147">
        <v>19521.25</v>
      </c>
      <c r="AB1439" s="147">
        <v>19521.25</v>
      </c>
      <c r="AC1439" s="147">
        <v>819892.5</v>
      </c>
      <c r="AD1439" s="315">
        <f t="shared" si="965"/>
        <v>819072.60750000004</v>
      </c>
      <c r="AE1439" s="236">
        <v>39.549999999999997</v>
      </c>
      <c r="AF1439" s="147">
        <v>42</v>
      </c>
      <c r="AG1439" s="236">
        <v>39.549999999999997</v>
      </c>
      <c r="AH1439" s="287">
        <v>3.8E-3</v>
      </c>
      <c r="AI1439" s="287">
        <v>3.3000000000000002E-2</v>
      </c>
      <c r="AJ1439" s="287">
        <v>5.3999999999999999E-2</v>
      </c>
      <c r="AK1439" s="318">
        <f t="shared" si="980"/>
        <v>45549.583333333387</v>
      </c>
      <c r="AL1439" s="193">
        <v>0</v>
      </c>
      <c r="AM1439" s="319">
        <v>0</v>
      </c>
      <c r="AN1439" s="319"/>
      <c r="AO1439" s="320">
        <f t="shared" si="981"/>
        <v>0</v>
      </c>
      <c r="AP1439" s="193">
        <v>0</v>
      </c>
      <c r="AQ1439" s="318">
        <v>0</v>
      </c>
      <c r="AR1439" s="318">
        <f t="shared" si="982"/>
        <v>45549.583333333387</v>
      </c>
      <c r="AS1439" s="318">
        <f t="shared" si="983"/>
        <v>47827</v>
      </c>
      <c r="AT1439" s="321">
        <v>0</v>
      </c>
      <c r="AU1439" s="193"/>
      <c r="AV1439" s="193"/>
      <c r="AW1439" s="318">
        <f t="shared" si="984"/>
        <v>9700</v>
      </c>
      <c r="AX1439" s="193"/>
      <c r="AY1439" s="318">
        <f t="shared" si="985"/>
        <v>9700</v>
      </c>
      <c r="AZ1439" s="318">
        <f t="shared" si="986"/>
        <v>9700</v>
      </c>
      <c r="BA1439" s="318">
        <f t="shared" si="987"/>
        <v>0</v>
      </c>
      <c r="BB1439" s="318">
        <f t="shared" si="988"/>
        <v>19.399999999999999</v>
      </c>
      <c r="BC1439" s="318">
        <v>0</v>
      </c>
      <c r="BD1439" s="193"/>
      <c r="BE1439" s="138">
        <v>97</v>
      </c>
      <c r="BF1439" s="321">
        <f t="shared" si="989"/>
        <v>0.14549999999999999</v>
      </c>
      <c r="BG1439" s="321">
        <f t="shared" si="990"/>
        <v>96.854500000000002</v>
      </c>
      <c r="BH1439" s="321">
        <f t="shared" si="991"/>
        <v>97</v>
      </c>
      <c r="BI1439" s="322">
        <f t="shared" si="992"/>
        <v>0</v>
      </c>
      <c r="BJ1439" s="322">
        <v>0</v>
      </c>
      <c r="BK1439" s="318">
        <f t="shared" si="993"/>
        <v>0</v>
      </c>
      <c r="BL1439" s="193"/>
      <c r="BM1439" s="449" t="str">
        <f t="shared" si="994"/>
        <v>Unloading no. 1404 Bill No HA/26-27/0493 ,Deduction For Oil Deduction= 45549.5833333334 ,Bardana= 0 ,F.M= 0 Brokerage/Rate Difference  ,Shortage = 0 ,Greenish= 0 ,Moisture= 0</v>
      </c>
      <c r="BN1439" s="193"/>
      <c r="BO1439" s="449" t="str">
        <f t="shared" si="995"/>
        <v xml:space="preserve"> Party Condition 42  ,F.M% 0.38 ,Greenish 3.3 ,Moisture 5.4 ,Shortage in KG= 0  ,Oil% 39.55</v>
      </c>
      <c r="BP1439" s="318">
        <f t="shared" si="996"/>
        <v>7580.4166666666661</v>
      </c>
      <c r="BQ1439" s="193"/>
      <c r="BR1439" s="193"/>
      <c r="BS1439" s="193"/>
      <c r="BT1439" s="193"/>
      <c r="BU1439" s="193"/>
      <c r="BV1439" s="193"/>
      <c r="BW1439" s="373"/>
      <c r="BX1439" s="27">
        <v>39.18</v>
      </c>
      <c r="BY1439" s="27">
        <v>39.08</v>
      </c>
    </row>
    <row r="1440" spans="1:83" ht="14.1" hidden="1" customHeight="1" x14ac:dyDescent="0.3">
      <c r="A1440" s="128" t="s">
        <v>2827</v>
      </c>
      <c r="B1440" s="146">
        <v>46216</v>
      </c>
      <c r="C1440" s="138">
        <v>1405</v>
      </c>
      <c r="D1440" s="138" t="s">
        <v>3082</v>
      </c>
      <c r="E1440" s="129">
        <v>46226</v>
      </c>
      <c r="F1440" s="128" t="s">
        <v>2497</v>
      </c>
      <c r="G1440" s="281" t="s">
        <v>2498</v>
      </c>
      <c r="H1440" s="281" t="s">
        <v>100</v>
      </c>
      <c r="I1440" s="138"/>
      <c r="J1440" s="138" t="s">
        <v>1146</v>
      </c>
      <c r="K1440" s="136"/>
      <c r="L1440" s="146">
        <v>46216</v>
      </c>
      <c r="M1440" s="136"/>
      <c r="N1440" s="128" t="s">
        <v>3109</v>
      </c>
      <c r="O1440" s="146">
        <v>46226</v>
      </c>
      <c r="P1440" s="138">
        <v>0</v>
      </c>
      <c r="Q1440" s="138">
        <v>140</v>
      </c>
      <c r="R1440" s="138">
        <v>20</v>
      </c>
      <c r="S1440" s="138">
        <v>160</v>
      </c>
      <c r="T1440" s="138">
        <v>160</v>
      </c>
      <c r="U1440" s="136"/>
      <c r="V1440" s="136"/>
      <c r="W1440" s="147">
        <v>96.4</v>
      </c>
      <c r="X1440" s="147">
        <v>96.8</v>
      </c>
      <c r="Y1440" s="147">
        <v>776020</v>
      </c>
      <c r="Z1440" s="236">
        <v>40.01</v>
      </c>
      <c r="AA1440" s="147">
        <v>19400.5</v>
      </c>
      <c r="AB1440" s="147">
        <v>19400.5</v>
      </c>
      <c r="AC1440" s="147">
        <v>814821</v>
      </c>
      <c r="AD1440" s="315">
        <f t="shared" si="965"/>
        <v>814006.179</v>
      </c>
      <c r="AE1440" s="236">
        <v>40.01</v>
      </c>
      <c r="AF1440" s="147">
        <v>42</v>
      </c>
      <c r="AG1440" s="236">
        <v>40.01</v>
      </c>
      <c r="AH1440" s="287">
        <v>2.8E-3</v>
      </c>
      <c r="AI1440" s="287">
        <v>3.56E-2</v>
      </c>
      <c r="AJ1440" s="287">
        <v>5.5E-2</v>
      </c>
      <c r="AK1440" s="318">
        <f t="shared" si="980"/>
        <v>36768.566666666702</v>
      </c>
      <c r="AL1440" s="193">
        <v>0</v>
      </c>
      <c r="AM1440" s="319">
        <v>0</v>
      </c>
      <c r="AN1440" s="319"/>
      <c r="AO1440" s="320">
        <f t="shared" si="981"/>
        <v>0</v>
      </c>
      <c r="AP1440" s="193">
        <v>0</v>
      </c>
      <c r="AQ1440" s="318">
        <v>0</v>
      </c>
      <c r="AR1440" s="318">
        <f t="shared" si="982"/>
        <v>36768.566666666702</v>
      </c>
      <c r="AS1440" s="318">
        <f t="shared" si="983"/>
        <v>38607</v>
      </c>
      <c r="AT1440" s="321">
        <v>0</v>
      </c>
      <c r="AU1440" s="193"/>
      <c r="AV1440" s="193"/>
      <c r="AW1440" s="318">
        <f t="shared" si="984"/>
        <v>9640</v>
      </c>
      <c r="AX1440" s="193"/>
      <c r="AY1440" s="318">
        <f t="shared" si="985"/>
        <v>9640</v>
      </c>
      <c r="AZ1440" s="318">
        <f t="shared" si="986"/>
        <v>9680</v>
      </c>
      <c r="BA1440" s="318">
        <f t="shared" si="987"/>
        <v>-40</v>
      </c>
      <c r="BB1440" s="318">
        <f t="shared" si="988"/>
        <v>19.28</v>
      </c>
      <c r="BC1440" s="318">
        <v>0</v>
      </c>
      <c r="BD1440" s="193"/>
      <c r="BE1440" s="138">
        <v>96.4</v>
      </c>
      <c r="BF1440" s="321">
        <f t="shared" si="989"/>
        <v>0.14460000000000001</v>
      </c>
      <c r="BG1440" s="321">
        <f t="shared" si="990"/>
        <v>96.255400000000009</v>
      </c>
      <c r="BH1440" s="321">
        <f t="shared" si="991"/>
        <v>96.8</v>
      </c>
      <c r="BI1440" s="322">
        <f t="shared" si="992"/>
        <v>-39.999999999999147</v>
      </c>
      <c r="BJ1440" s="322">
        <v>0</v>
      </c>
      <c r="BK1440" s="318">
        <f t="shared" si="993"/>
        <v>-39.999999999999147</v>
      </c>
      <c r="BL1440" s="193"/>
      <c r="BM1440" s="449" t="str">
        <f t="shared" si="994"/>
        <v>Unloading no. 1405 Bill No HA/26-27/0494 ,Deduction For Oil Deduction= 36768.5666666667 ,Bardana= 0 ,F.M= 0 Brokerage/Rate Difference  ,Shortage = 0 ,Greenish= 0 ,Moisture= 0</v>
      </c>
      <c r="BN1440" s="193"/>
      <c r="BO1440" s="449" t="str">
        <f t="shared" si="995"/>
        <v xml:space="preserve"> Party Condition 42  ,F.M% 0.28 ,Greenish 3.56 ,Moisture 5.5 ,Shortage in KG= 0  ,Oil% 40.01</v>
      </c>
      <c r="BP1440" s="318">
        <f t="shared" si="996"/>
        <v>7636.8949724517906</v>
      </c>
      <c r="BQ1440" s="193"/>
      <c r="BR1440" s="193"/>
      <c r="BS1440" s="193"/>
      <c r="BT1440" s="193"/>
      <c r="BU1440" s="193"/>
      <c r="BV1440" s="193"/>
      <c r="BW1440" s="373"/>
      <c r="BX1440" s="27">
        <v>39.799999999999997</v>
      </c>
      <c r="BY1440" s="27">
        <v>39.78</v>
      </c>
    </row>
    <row r="1441" spans="1:83" ht="14.1" hidden="1" customHeight="1" x14ac:dyDescent="0.3">
      <c r="A1441" s="128" t="s">
        <v>2827</v>
      </c>
      <c r="B1441" s="146">
        <v>46216</v>
      </c>
      <c r="C1441" s="138">
        <v>1406</v>
      </c>
      <c r="D1441" s="138" t="s">
        <v>3083</v>
      </c>
      <c r="E1441" s="129">
        <v>46226</v>
      </c>
      <c r="F1441" s="128" t="s">
        <v>2497</v>
      </c>
      <c r="G1441" s="281" t="s">
        <v>2498</v>
      </c>
      <c r="H1441" s="281" t="s">
        <v>100</v>
      </c>
      <c r="I1441" s="138"/>
      <c r="J1441" s="138" t="s">
        <v>1146</v>
      </c>
      <c r="K1441" s="136"/>
      <c r="L1441" s="146">
        <v>46216</v>
      </c>
      <c r="M1441" s="136"/>
      <c r="N1441" s="128" t="s">
        <v>3110</v>
      </c>
      <c r="O1441" s="146">
        <v>46226</v>
      </c>
      <c r="P1441" s="138">
        <v>0</v>
      </c>
      <c r="Q1441" s="138">
        <v>130</v>
      </c>
      <c r="R1441" s="138">
        <v>30</v>
      </c>
      <c r="S1441" s="138">
        <v>160</v>
      </c>
      <c r="T1441" s="138">
        <v>160</v>
      </c>
      <c r="U1441" s="136"/>
      <c r="V1441" s="136"/>
      <c r="W1441" s="147">
        <v>97</v>
      </c>
      <c r="X1441" s="147">
        <v>97.1</v>
      </c>
      <c r="Y1441" s="147">
        <v>780850</v>
      </c>
      <c r="Z1441" s="236">
        <v>40.03</v>
      </c>
      <c r="AA1441" s="147">
        <v>19521.25</v>
      </c>
      <c r="AB1441" s="147">
        <v>19521.25</v>
      </c>
      <c r="AC1441" s="147">
        <v>819892.5</v>
      </c>
      <c r="AD1441" s="315">
        <f t="shared" si="965"/>
        <v>819072.60750000004</v>
      </c>
      <c r="AE1441" s="236">
        <v>40.03</v>
      </c>
      <c r="AF1441" s="147">
        <v>42</v>
      </c>
      <c r="AG1441" s="236">
        <v>40.03</v>
      </c>
      <c r="AH1441" s="287">
        <v>3.0000000000000001E-3</v>
      </c>
      <c r="AI1441" s="287">
        <v>4.1000000000000002E-2</v>
      </c>
      <c r="AJ1441" s="287">
        <v>5.1999999999999998E-2</v>
      </c>
      <c r="AK1441" s="318">
        <f t="shared" si="980"/>
        <v>36625.583333333314</v>
      </c>
      <c r="AL1441" s="193">
        <v>0</v>
      </c>
      <c r="AM1441" s="319">
        <v>0</v>
      </c>
      <c r="AN1441" s="319"/>
      <c r="AO1441" s="320">
        <f t="shared" si="981"/>
        <v>0</v>
      </c>
      <c r="AP1441" s="193">
        <v>0</v>
      </c>
      <c r="AQ1441" s="318">
        <v>0</v>
      </c>
      <c r="AR1441" s="318">
        <f t="shared" si="982"/>
        <v>36625.583333333314</v>
      </c>
      <c r="AS1441" s="318">
        <f t="shared" si="983"/>
        <v>38457</v>
      </c>
      <c r="AT1441" s="321">
        <v>0</v>
      </c>
      <c r="AU1441" s="193"/>
      <c r="AV1441" s="193"/>
      <c r="AW1441" s="318">
        <f t="shared" si="984"/>
        <v>9700</v>
      </c>
      <c r="AX1441" s="193"/>
      <c r="AY1441" s="318">
        <f t="shared" si="985"/>
        <v>9700</v>
      </c>
      <c r="AZ1441" s="318">
        <f t="shared" si="986"/>
        <v>9710</v>
      </c>
      <c r="BA1441" s="318">
        <f t="shared" si="987"/>
        <v>-10</v>
      </c>
      <c r="BB1441" s="318">
        <f t="shared" si="988"/>
        <v>19.399999999999999</v>
      </c>
      <c r="BC1441" s="318">
        <v>0</v>
      </c>
      <c r="BD1441" s="193"/>
      <c r="BE1441" s="138">
        <v>97</v>
      </c>
      <c r="BF1441" s="321">
        <f t="shared" si="989"/>
        <v>0.14549999999999999</v>
      </c>
      <c r="BG1441" s="321">
        <f t="shared" si="990"/>
        <v>96.854500000000002</v>
      </c>
      <c r="BH1441" s="321">
        <f t="shared" si="991"/>
        <v>97.1</v>
      </c>
      <c r="BI1441" s="322">
        <f t="shared" si="992"/>
        <v>-9.9999999999994316</v>
      </c>
      <c r="BJ1441" s="322">
        <v>0</v>
      </c>
      <c r="BK1441" s="318">
        <f t="shared" si="993"/>
        <v>-9.9999999999994316</v>
      </c>
      <c r="BL1441" s="193"/>
      <c r="BM1441" s="449" t="str">
        <f t="shared" si="994"/>
        <v>Unloading no. 1406 Bill No HA/26-27/0495 ,Deduction For Oil Deduction= 36625.5833333333 ,Bardana= 0 ,F.M= 0 Brokerage/Rate Difference  ,Shortage = 0 ,Greenish= 0 ,Moisture= 0</v>
      </c>
      <c r="BN1441" s="193"/>
      <c r="BO1441" s="449" t="str">
        <f t="shared" si="995"/>
        <v xml:space="preserve"> Party Condition 42  ,F.M% 0.3 ,Greenish 4.1 ,Moisture 5.2 ,Shortage in KG= 0  ,Oil% 40.03</v>
      </c>
      <c r="BP1441" s="318">
        <f t="shared" si="996"/>
        <v>7664.5151047030567</v>
      </c>
      <c r="BQ1441" s="193"/>
      <c r="BR1441" s="193"/>
      <c r="BS1441" s="193"/>
      <c r="BT1441" s="193"/>
      <c r="BU1441" s="193"/>
      <c r="BV1441" s="193"/>
      <c r="BW1441" s="373"/>
      <c r="BX1441" s="27">
        <v>40.03</v>
      </c>
      <c r="BY1441" s="27">
        <v>39.979999999999997</v>
      </c>
    </row>
    <row r="1442" spans="1:83" ht="14.1" hidden="1" customHeight="1" x14ac:dyDescent="0.3">
      <c r="A1442" s="128" t="s">
        <v>2827</v>
      </c>
      <c r="B1442" s="146">
        <v>46216</v>
      </c>
      <c r="C1442" s="138">
        <v>1407</v>
      </c>
      <c r="D1442" s="138" t="s">
        <v>3084</v>
      </c>
      <c r="E1442" s="129">
        <v>46226</v>
      </c>
      <c r="F1442" s="128" t="s">
        <v>2497</v>
      </c>
      <c r="G1442" s="281" t="s">
        <v>2498</v>
      </c>
      <c r="H1442" s="281" t="s">
        <v>100</v>
      </c>
      <c r="I1442" s="138"/>
      <c r="J1442" s="138" t="s">
        <v>1146</v>
      </c>
      <c r="K1442" s="136"/>
      <c r="L1442" s="146">
        <v>46216</v>
      </c>
      <c r="M1442" s="136"/>
      <c r="N1442" s="128" t="s">
        <v>3111</v>
      </c>
      <c r="O1442" s="146">
        <v>46226</v>
      </c>
      <c r="P1442" s="138">
        <v>0</v>
      </c>
      <c r="Q1442" s="138">
        <v>130</v>
      </c>
      <c r="R1442" s="138">
        <v>30</v>
      </c>
      <c r="S1442" s="138">
        <v>160</v>
      </c>
      <c r="T1442" s="138">
        <v>160</v>
      </c>
      <c r="U1442" s="136"/>
      <c r="V1442" s="136"/>
      <c r="W1442" s="147">
        <v>96.3</v>
      </c>
      <c r="X1442" s="147">
        <v>96.2</v>
      </c>
      <c r="Y1442" s="147">
        <v>775215</v>
      </c>
      <c r="Z1442" s="236">
        <v>40.08</v>
      </c>
      <c r="AA1442" s="147">
        <v>19380.38</v>
      </c>
      <c r="AB1442" s="147">
        <v>19380.38</v>
      </c>
      <c r="AC1442" s="147">
        <v>813975.75</v>
      </c>
      <c r="AD1442" s="315">
        <f t="shared" si="965"/>
        <v>813161.77425000002</v>
      </c>
      <c r="AE1442" s="236">
        <v>40.08</v>
      </c>
      <c r="AF1442" s="147">
        <v>42</v>
      </c>
      <c r="AG1442" s="236">
        <v>40.08</v>
      </c>
      <c r="AH1442" s="287">
        <v>2.8E-3</v>
      </c>
      <c r="AI1442" s="287">
        <v>4.65E-2</v>
      </c>
      <c r="AJ1442" s="287">
        <v>5.8000000000000003E-2</v>
      </c>
      <c r="AK1442" s="318">
        <f t="shared" si="980"/>
        <v>35438.400000000031</v>
      </c>
      <c r="AL1442" s="193">
        <v>0</v>
      </c>
      <c r="AM1442" s="319">
        <v>0</v>
      </c>
      <c r="AN1442" s="319"/>
      <c r="AO1442" s="320">
        <f t="shared" si="981"/>
        <v>0</v>
      </c>
      <c r="AP1442" s="193">
        <v>0</v>
      </c>
      <c r="AQ1442" s="318">
        <v>0</v>
      </c>
      <c r="AR1442" s="318">
        <f t="shared" si="982"/>
        <v>35438.400000000031</v>
      </c>
      <c r="AS1442" s="318">
        <f t="shared" si="983"/>
        <v>37210</v>
      </c>
      <c r="AT1442" s="321">
        <v>0</v>
      </c>
      <c r="AU1442" s="193"/>
      <c r="AV1442" s="193"/>
      <c r="AW1442" s="318">
        <f t="shared" si="984"/>
        <v>9630</v>
      </c>
      <c r="AX1442" s="193"/>
      <c r="AY1442" s="318">
        <f t="shared" si="985"/>
        <v>9630</v>
      </c>
      <c r="AZ1442" s="318">
        <f t="shared" si="986"/>
        <v>9620</v>
      </c>
      <c r="BA1442" s="318">
        <f t="shared" si="987"/>
        <v>10</v>
      </c>
      <c r="BB1442" s="318">
        <f t="shared" si="988"/>
        <v>19.260000000000002</v>
      </c>
      <c r="BC1442" s="318">
        <v>0</v>
      </c>
      <c r="BD1442" s="193"/>
      <c r="BE1442" s="138">
        <v>96.3</v>
      </c>
      <c r="BF1442" s="321">
        <f t="shared" si="989"/>
        <v>0.14445</v>
      </c>
      <c r="BG1442" s="321">
        <f t="shared" si="990"/>
        <v>96.155549999999991</v>
      </c>
      <c r="BH1442" s="321">
        <f t="shared" si="991"/>
        <v>96.2</v>
      </c>
      <c r="BI1442" s="322">
        <f t="shared" si="992"/>
        <v>9.9999999999994316</v>
      </c>
      <c r="BJ1442" s="322">
        <v>0</v>
      </c>
      <c r="BK1442" s="318">
        <f t="shared" si="993"/>
        <v>9.9999999999994316</v>
      </c>
      <c r="BL1442" s="193"/>
      <c r="BM1442" s="449" t="str">
        <f t="shared" si="994"/>
        <v>Unloading no. 1407 Bill No HA/26-27/0496 ,Deduction For Oil Deduction= 35438.4 ,Bardana= 0 ,F.M= 0 Brokerage/Rate Difference  ,Shortage = 0 ,Greenish= 0 ,Moisture= 0</v>
      </c>
      <c r="BN1442" s="193"/>
      <c r="BO1442" s="449" t="str">
        <f t="shared" si="995"/>
        <v xml:space="preserve"> Party Condition 42  ,F.M% 0.28 ,Greenish 4.65 ,Moisture 5.8 ,Shortage in KG= 0  ,Oil% 40.08</v>
      </c>
      <c r="BP1442" s="318">
        <f t="shared" si="996"/>
        <v>7689.9854469854463</v>
      </c>
      <c r="BQ1442" s="193"/>
      <c r="BR1442" s="193"/>
      <c r="BS1442" s="193"/>
      <c r="BT1442" s="193"/>
      <c r="BU1442" s="193"/>
      <c r="BV1442" s="193"/>
      <c r="BW1442" s="373"/>
      <c r="BX1442" s="27">
        <v>40</v>
      </c>
      <c r="BY1442" s="27">
        <v>39.880000000000003</v>
      </c>
    </row>
    <row r="1443" spans="1:83" ht="14.1" hidden="1" customHeight="1" x14ac:dyDescent="0.3">
      <c r="A1443" s="128" t="s">
        <v>2939</v>
      </c>
      <c r="B1443" s="146">
        <v>46220</v>
      </c>
      <c r="C1443" s="138">
        <v>1408</v>
      </c>
      <c r="D1443" s="138" t="s">
        <v>3085</v>
      </c>
      <c r="E1443" s="129">
        <v>46227</v>
      </c>
      <c r="F1443" s="128" t="s">
        <v>1144</v>
      </c>
      <c r="G1443" s="281" t="s">
        <v>1145</v>
      </c>
      <c r="H1443" s="281" t="s">
        <v>100</v>
      </c>
      <c r="I1443" s="138"/>
      <c r="J1443" s="138" t="s">
        <v>1146</v>
      </c>
      <c r="K1443" s="136"/>
      <c r="L1443" s="146">
        <v>46220</v>
      </c>
      <c r="M1443" s="136"/>
      <c r="N1443" s="128" t="s">
        <v>3112</v>
      </c>
      <c r="O1443" s="146">
        <v>46225</v>
      </c>
      <c r="P1443" s="138">
        <v>0</v>
      </c>
      <c r="Q1443" s="138">
        <v>520</v>
      </c>
      <c r="R1443" s="138">
        <v>35</v>
      </c>
      <c r="S1443" s="138">
        <v>555</v>
      </c>
      <c r="T1443" s="138">
        <v>555</v>
      </c>
      <c r="U1443" s="136"/>
      <c r="V1443" s="136"/>
      <c r="W1443" s="147">
        <v>331.3</v>
      </c>
      <c r="X1443" s="147">
        <v>331.3</v>
      </c>
      <c r="Y1443" s="147">
        <v>2718316.5</v>
      </c>
      <c r="Z1443" s="236">
        <v>38.869999999999997</v>
      </c>
      <c r="AA1443" s="147">
        <v>67957.91</v>
      </c>
      <c r="AB1443" s="147">
        <v>67957.91</v>
      </c>
      <c r="AC1443" s="147">
        <v>2854232.33</v>
      </c>
      <c r="AD1443" s="315">
        <f t="shared" si="965"/>
        <v>2851378.09767</v>
      </c>
      <c r="AE1443" s="236">
        <v>38.869999999999997</v>
      </c>
      <c r="AF1443" s="147">
        <v>42</v>
      </c>
      <c r="AG1443" s="236">
        <v>38.869999999999997</v>
      </c>
      <c r="AH1443" s="287">
        <v>6.7999999999999996E-3</v>
      </c>
      <c r="AI1443" s="287">
        <v>0.04</v>
      </c>
      <c r="AJ1443" s="287">
        <v>5.8999999999999997E-2</v>
      </c>
      <c r="AK1443" s="318">
        <f t="shared" si="980"/>
        <v>202579.30107142875</v>
      </c>
      <c r="AL1443" s="193">
        <v>0</v>
      </c>
      <c r="AM1443" s="319">
        <v>0</v>
      </c>
      <c r="AN1443" s="319"/>
      <c r="AO1443" s="320">
        <f t="shared" si="981"/>
        <v>0</v>
      </c>
      <c r="AP1443" s="193">
        <v>0</v>
      </c>
      <c r="AQ1443" s="318">
        <v>0</v>
      </c>
      <c r="AR1443" s="318">
        <f t="shared" si="982"/>
        <v>202579.30107142875</v>
      </c>
      <c r="AS1443" s="318">
        <f t="shared" si="983"/>
        <v>212708</v>
      </c>
      <c r="AT1443" s="321">
        <v>0</v>
      </c>
      <c r="AU1443" s="193"/>
      <c r="AV1443" s="193"/>
      <c r="AW1443" s="318">
        <f t="shared" si="984"/>
        <v>33130</v>
      </c>
      <c r="AX1443" s="193"/>
      <c r="AY1443" s="318">
        <f t="shared" si="985"/>
        <v>33130</v>
      </c>
      <c r="AZ1443" s="318">
        <f t="shared" si="986"/>
        <v>33130</v>
      </c>
      <c r="BA1443" s="318">
        <f t="shared" si="987"/>
        <v>0</v>
      </c>
      <c r="BB1443" s="318">
        <f t="shared" si="988"/>
        <v>66.260000000000005</v>
      </c>
      <c r="BC1443" s="318">
        <v>0</v>
      </c>
      <c r="BD1443" s="193"/>
      <c r="BE1443" s="138">
        <v>331.3</v>
      </c>
      <c r="BF1443" s="321">
        <f t="shared" si="989"/>
        <v>0.49695</v>
      </c>
      <c r="BG1443" s="321">
        <f t="shared" si="990"/>
        <v>330.80304999999998</v>
      </c>
      <c r="BH1443" s="321">
        <f t="shared" si="991"/>
        <v>331.3</v>
      </c>
      <c r="BI1443" s="322">
        <f t="shared" si="992"/>
        <v>0</v>
      </c>
      <c r="BJ1443" s="322">
        <v>0</v>
      </c>
      <c r="BK1443" s="318">
        <f t="shared" si="993"/>
        <v>0</v>
      </c>
      <c r="BL1443" s="193"/>
      <c r="BM1443" s="449" t="str">
        <f t="shared" si="994"/>
        <v>Unloading no. 1408 Bill No 2026-27/479 ,Deduction For Oil Deduction= 202579.301071429 ,Bardana= 0 ,F.M= 0 Brokerage/Rate Difference  ,Shortage = 0 ,Greenish= 0 ,Moisture= 0</v>
      </c>
      <c r="BN1443" s="193"/>
      <c r="BO1443" s="449" t="str">
        <f t="shared" si="995"/>
        <v xml:space="preserve"> Party Condition 42  ,F.M% 0.68 ,Greenish 4 ,Moisture 5.9 ,Shortage in KG= 0  ,Oil% 38.87</v>
      </c>
      <c r="BP1443" s="318">
        <f t="shared" si="996"/>
        <v>7593.5321428571424</v>
      </c>
      <c r="BQ1443" s="193"/>
      <c r="BR1443" s="193"/>
      <c r="BS1443" s="193"/>
      <c r="BT1443" s="193"/>
      <c r="BU1443" s="193"/>
      <c r="BV1443" s="193"/>
      <c r="BW1443" s="373"/>
      <c r="BX1443" s="27">
        <v>38.619999999999997</v>
      </c>
      <c r="BY1443" s="27">
        <v>38.450000000000003</v>
      </c>
    </row>
    <row r="1444" spans="1:83" ht="14.1" hidden="1" customHeight="1" x14ac:dyDescent="0.3">
      <c r="A1444" s="128" t="s">
        <v>2939</v>
      </c>
      <c r="B1444" s="146">
        <v>46220</v>
      </c>
      <c r="C1444" s="138">
        <v>1409</v>
      </c>
      <c r="D1444" s="138" t="s">
        <v>3086</v>
      </c>
      <c r="E1444" s="129">
        <v>46227</v>
      </c>
      <c r="F1444" s="128" t="s">
        <v>1144</v>
      </c>
      <c r="G1444" s="281" t="s">
        <v>1145</v>
      </c>
      <c r="H1444" s="281" t="s">
        <v>100</v>
      </c>
      <c r="I1444" s="138"/>
      <c r="J1444" s="138" t="s">
        <v>1146</v>
      </c>
      <c r="K1444" s="136"/>
      <c r="L1444" s="146">
        <v>46220</v>
      </c>
      <c r="M1444" s="136"/>
      <c r="N1444" s="128" t="s">
        <v>3113</v>
      </c>
      <c r="O1444" s="146">
        <v>46225</v>
      </c>
      <c r="P1444" s="138">
        <v>0</v>
      </c>
      <c r="Q1444" s="138">
        <v>480</v>
      </c>
      <c r="R1444" s="138">
        <v>20</v>
      </c>
      <c r="S1444" s="138">
        <v>500</v>
      </c>
      <c r="T1444" s="138">
        <v>500</v>
      </c>
      <c r="U1444" s="136"/>
      <c r="V1444" s="136"/>
      <c r="W1444" s="147">
        <v>299.25</v>
      </c>
      <c r="X1444" s="147">
        <v>299.3</v>
      </c>
      <c r="Y1444" s="147">
        <v>2455346.25</v>
      </c>
      <c r="Z1444" s="236">
        <v>38.549999999999997</v>
      </c>
      <c r="AA1444" s="147">
        <v>61383.66</v>
      </c>
      <c r="AB1444" s="147">
        <v>61383.66</v>
      </c>
      <c r="AC1444" s="147">
        <v>2578113.56</v>
      </c>
      <c r="AD1444" s="315">
        <f t="shared" si="965"/>
        <v>2575535.4464400001</v>
      </c>
      <c r="AE1444" s="236">
        <v>38.549999999999997</v>
      </c>
      <c r="AF1444" s="147">
        <v>42</v>
      </c>
      <c r="AG1444" s="236">
        <v>38.549999999999997</v>
      </c>
      <c r="AH1444" s="287">
        <v>6.0000000000000001E-3</v>
      </c>
      <c r="AI1444" s="287">
        <v>3.15E-2</v>
      </c>
      <c r="AJ1444" s="287">
        <v>0.05</v>
      </c>
      <c r="AK1444" s="318">
        <f t="shared" si="980"/>
        <v>201689.15625000017</v>
      </c>
      <c r="AL1444" s="193">
        <v>0</v>
      </c>
      <c r="AM1444" s="319">
        <v>0</v>
      </c>
      <c r="AN1444" s="319"/>
      <c r="AO1444" s="320">
        <f t="shared" si="981"/>
        <v>0</v>
      </c>
      <c r="AP1444" s="193">
        <v>0</v>
      </c>
      <c r="AQ1444" s="318">
        <v>0</v>
      </c>
      <c r="AR1444" s="318">
        <f t="shared" si="982"/>
        <v>201689.15625000017</v>
      </c>
      <c r="AS1444" s="318">
        <f t="shared" si="983"/>
        <v>211774</v>
      </c>
      <c r="AT1444" s="321">
        <v>0</v>
      </c>
      <c r="AU1444" s="193"/>
      <c r="AV1444" s="193"/>
      <c r="AW1444" s="318">
        <f t="shared" si="984"/>
        <v>29925</v>
      </c>
      <c r="AX1444" s="193"/>
      <c r="AY1444" s="318">
        <f t="shared" si="985"/>
        <v>29925</v>
      </c>
      <c r="AZ1444" s="318">
        <f t="shared" si="986"/>
        <v>29930</v>
      </c>
      <c r="BA1444" s="318">
        <f t="shared" si="987"/>
        <v>-5</v>
      </c>
      <c r="BB1444" s="318">
        <f t="shared" si="988"/>
        <v>59.85</v>
      </c>
      <c r="BC1444" s="318">
        <v>0</v>
      </c>
      <c r="BD1444" s="193"/>
      <c r="BE1444" s="138">
        <v>299.25</v>
      </c>
      <c r="BF1444" s="321">
        <f t="shared" si="989"/>
        <v>0.44887499999999997</v>
      </c>
      <c r="BG1444" s="321">
        <f t="shared" si="990"/>
        <v>298.80112500000001</v>
      </c>
      <c r="BH1444" s="321">
        <f t="shared" si="991"/>
        <v>299.3</v>
      </c>
      <c r="BI1444" s="322">
        <f t="shared" si="992"/>
        <v>-5.0000000000011369</v>
      </c>
      <c r="BJ1444" s="322">
        <v>0</v>
      </c>
      <c r="BK1444" s="318">
        <f t="shared" si="993"/>
        <v>-5.0000000000011369</v>
      </c>
      <c r="BL1444" s="193"/>
      <c r="BM1444" s="449" t="str">
        <f t="shared" si="994"/>
        <v>Unloading no. 1409 Bill No 2026-27/480 ,Deduction For Oil Deduction= 201689.15625 ,Bardana= 0 ,F.M= 0 Brokerage/Rate Difference  ,Shortage = 0 ,Greenish= 0 ,Moisture= 0</v>
      </c>
      <c r="BN1444" s="193"/>
      <c r="BO1444" s="449" t="str">
        <f t="shared" si="995"/>
        <v xml:space="preserve"> Party Condition 42  ,F.M% 0.6 ,Greenish 3.15 ,Moisture 5 ,Shortage in KG= 0  ,Oil% 38.55</v>
      </c>
      <c r="BP1444" s="318">
        <f t="shared" si="996"/>
        <v>7529.7597519211495</v>
      </c>
      <c r="BQ1444" s="193"/>
      <c r="BR1444" s="193"/>
      <c r="BS1444" s="193"/>
      <c r="BT1444" s="193"/>
      <c r="BU1444" s="193"/>
      <c r="BV1444" s="193"/>
      <c r="BW1444" s="373"/>
      <c r="BX1444" s="27">
        <v>38.200000000000003</v>
      </c>
      <c r="BY1444" s="27">
        <v>38.130000000000003</v>
      </c>
    </row>
    <row r="1445" spans="1:83" ht="14.1" hidden="1" customHeight="1" x14ac:dyDescent="0.3">
      <c r="A1445" s="128" t="s">
        <v>3066</v>
      </c>
      <c r="B1445" s="146">
        <v>46223</v>
      </c>
      <c r="C1445" s="138">
        <v>1410</v>
      </c>
      <c r="D1445" s="138" t="s">
        <v>3087</v>
      </c>
      <c r="E1445" s="129">
        <v>46227</v>
      </c>
      <c r="F1445" s="128" t="s">
        <v>95</v>
      </c>
      <c r="G1445" s="281" t="s">
        <v>96</v>
      </c>
      <c r="H1445" s="281" t="s">
        <v>97</v>
      </c>
      <c r="I1445" s="347"/>
      <c r="J1445" s="347" t="s">
        <v>1455</v>
      </c>
      <c r="K1445" s="136"/>
      <c r="L1445" s="146">
        <v>46223</v>
      </c>
      <c r="M1445" s="136"/>
      <c r="N1445" s="281">
        <v>231</v>
      </c>
      <c r="O1445" s="146">
        <v>46225</v>
      </c>
      <c r="P1445" s="138">
        <v>0</v>
      </c>
      <c r="Q1445" s="138">
        <v>700</v>
      </c>
      <c r="R1445" s="138">
        <v>112</v>
      </c>
      <c r="S1445" s="138">
        <v>812</v>
      </c>
      <c r="T1445" s="138">
        <v>812</v>
      </c>
      <c r="U1445" s="136"/>
      <c r="V1445" s="136"/>
      <c r="W1445" s="147">
        <v>493.1</v>
      </c>
      <c r="X1445" s="147">
        <v>492.4</v>
      </c>
      <c r="Y1445" s="196">
        <f>4095409.6-2679.6</f>
        <v>4092730</v>
      </c>
      <c r="Z1445" s="169"/>
      <c r="AA1445" s="147">
        <v>102385.24</v>
      </c>
      <c r="AB1445" s="147">
        <v>102385.24</v>
      </c>
      <c r="AC1445" s="147">
        <v>4300180.08</v>
      </c>
      <c r="AD1445" s="315">
        <f t="shared" si="965"/>
        <v>4295879.8999199998</v>
      </c>
      <c r="AE1445" s="147">
        <v>39.869999999999997</v>
      </c>
      <c r="AF1445" s="147">
        <v>42</v>
      </c>
      <c r="AG1445" s="147">
        <v>39.72</v>
      </c>
      <c r="AH1445" s="418">
        <v>3.5000000000000001E-3</v>
      </c>
      <c r="AI1445" s="287">
        <v>3.5999999999999997E-2</v>
      </c>
      <c r="AJ1445" s="397">
        <v>5.2999999999999999E-2</v>
      </c>
      <c r="AK1445" s="318">
        <f t="shared" si="980"/>
        <v>222176.77142857155</v>
      </c>
      <c r="AL1445" s="193">
        <f>700*10+112*15</f>
        <v>8680</v>
      </c>
      <c r="AM1445" s="319">
        <f>Y1445*AH1445</f>
        <v>14324.555</v>
      </c>
      <c r="AN1445" s="319">
        <v>2679.6</v>
      </c>
      <c r="AO1445" s="320">
        <f t="shared" si="981"/>
        <v>5810</v>
      </c>
      <c r="AP1445" s="193">
        <v>0</v>
      </c>
      <c r="AQ1445" s="318">
        <f>Y1445*0.3/100</f>
        <v>12278.19</v>
      </c>
      <c r="AR1445" s="318">
        <f t="shared" si="982"/>
        <v>265949.11642857152</v>
      </c>
      <c r="AS1445" s="318">
        <f t="shared" si="983"/>
        <v>279247</v>
      </c>
      <c r="AT1445" s="321">
        <v>70</v>
      </c>
      <c r="AU1445" s="193"/>
      <c r="AV1445" s="193"/>
      <c r="AW1445" s="318">
        <f t="shared" si="984"/>
        <v>49310</v>
      </c>
      <c r="AX1445" s="193"/>
      <c r="AY1445" s="318">
        <f t="shared" si="985"/>
        <v>49310</v>
      </c>
      <c r="AZ1445" s="318">
        <f t="shared" si="986"/>
        <v>49240</v>
      </c>
      <c r="BA1445" s="318">
        <f t="shared" si="987"/>
        <v>70</v>
      </c>
      <c r="BB1445" s="318">
        <f t="shared" si="988"/>
        <v>98.62</v>
      </c>
      <c r="BC1445" s="318">
        <v>0</v>
      </c>
      <c r="BD1445" s="193"/>
      <c r="BE1445" s="138">
        <v>493.1</v>
      </c>
      <c r="BF1445" s="321">
        <f t="shared" si="989"/>
        <v>0.73965000000000003</v>
      </c>
      <c r="BG1445" s="321">
        <f t="shared" si="990"/>
        <v>492.36035000000004</v>
      </c>
      <c r="BH1445" s="321">
        <f t="shared" si="991"/>
        <v>492.4</v>
      </c>
      <c r="BI1445" s="322">
        <f t="shared" si="992"/>
        <v>70.000000000004547</v>
      </c>
      <c r="BJ1445" s="322">
        <v>0</v>
      </c>
      <c r="BK1445" s="318">
        <f t="shared" si="993"/>
        <v>70.000000000004547</v>
      </c>
      <c r="BL1445" s="193"/>
      <c r="BM1445" s="449" t="str">
        <f t="shared" si="994"/>
        <v>Unloading no. 1410 Bill No 231 ,Deduction For Oil Deduction= 222176.771428572 ,Bardana= 8680 ,F.M= 14324.555 Brokerage/Rate Difference 2679.6 ,Shortage = 5810 ,Greenish= 0 ,Moisture= 12278.19</v>
      </c>
      <c r="BN1445" s="193"/>
      <c r="BO1445" s="449" t="str">
        <f t="shared" si="995"/>
        <v xml:space="preserve"> Party Condition 42  ,F.M% 0.35 ,Greenish 3.6 ,Moisture 5.3 ,Shortage in KG= 70  ,Oil% 39.72</v>
      </c>
      <c r="BP1445" s="318">
        <f t="shared" si="996"/>
        <v>7771.6914776024132</v>
      </c>
      <c r="BQ1445" s="193"/>
      <c r="BR1445" s="193"/>
      <c r="BS1445" s="193"/>
      <c r="BT1445" s="193"/>
      <c r="BU1445" s="193"/>
      <c r="BV1445" s="193"/>
      <c r="BW1445" s="373"/>
      <c r="BX1445" s="27">
        <v>39.869999999999997</v>
      </c>
      <c r="BY1445" s="27">
        <v>39.72</v>
      </c>
      <c r="CA1445" s="56">
        <v>0</v>
      </c>
      <c r="CC1445" s="57">
        <f t="shared" ref="CC1445" si="999">AS1445-CA1445</f>
        <v>279247</v>
      </c>
      <c r="CE1445" s="88">
        <f t="shared" ref="CE1445" si="1000">CC1445/105%</f>
        <v>265949.52380952379</v>
      </c>
    </row>
    <row r="1446" spans="1:83" ht="14.1" hidden="1" customHeight="1" x14ac:dyDescent="0.3">
      <c r="A1446" s="128" t="s">
        <v>2939</v>
      </c>
      <c r="B1446" s="138" t="s">
        <v>3069</v>
      </c>
      <c r="C1446" s="138">
        <v>1411</v>
      </c>
      <c r="D1446" s="138" t="s">
        <v>3088</v>
      </c>
      <c r="E1446" s="129">
        <v>46227</v>
      </c>
      <c r="F1446" s="128" t="s">
        <v>1144</v>
      </c>
      <c r="G1446" s="281" t="s">
        <v>1145</v>
      </c>
      <c r="H1446" s="281" t="s">
        <v>100</v>
      </c>
      <c r="I1446" s="138"/>
      <c r="J1446" s="138" t="s">
        <v>1146</v>
      </c>
      <c r="K1446" s="136"/>
      <c r="L1446" s="138" t="s">
        <v>3069</v>
      </c>
      <c r="M1446" s="136"/>
      <c r="N1446" s="128" t="s">
        <v>3114</v>
      </c>
      <c r="O1446" s="146">
        <v>46223</v>
      </c>
      <c r="P1446" s="138">
        <v>0</v>
      </c>
      <c r="Q1446" s="138">
        <v>400</v>
      </c>
      <c r="R1446" s="138">
        <v>100</v>
      </c>
      <c r="S1446" s="138">
        <v>500</v>
      </c>
      <c r="T1446" s="138">
        <v>500</v>
      </c>
      <c r="U1446" s="136"/>
      <c r="V1446" s="136"/>
      <c r="W1446" s="147">
        <v>301.39999999999998</v>
      </c>
      <c r="X1446" s="147">
        <v>301.39999999999998</v>
      </c>
      <c r="Y1446" s="147">
        <v>2472987</v>
      </c>
      <c r="Z1446" s="236">
        <v>38.19</v>
      </c>
      <c r="AA1446" s="147">
        <v>61824.68</v>
      </c>
      <c r="AB1446" s="147">
        <v>61824.68</v>
      </c>
      <c r="AC1446" s="147">
        <v>2596636.35</v>
      </c>
      <c r="AD1446" s="315">
        <f t="shared" si="965"/>
        <v>2594039.7136500003</v>
      </c>
      <c r="AE1446" s="236">
        <v>38.19</v>
      </c>
      <c r="AF1446" s="147">
        <v>42</v>
      </c>
      <c r="AG1446" s="236">
        <v>38.19</v>
      </c>
      <c r="AH1446" s="287">
        <v>8.3000000000000001E-3</v>
      </c>
      <c r="AI1446" s="287">
        <v>0.03</v>
      </c>
      <c r="AJ1446" s="287">
        <v>5.6000000000000001E-2</v>
      </c>
      <c r="AK1446" s="318">
        <f t="shared" si="980"/>
        <v>224335.24928571444</v>
      </c>
      <c r="AL1446" s="193">
        <v>0</v>
      </c>
      <c r="AM1446" s="319">
        <v>0</v>
      </c>
      <c r="AN1446" s="319"/>
      <c r="AO1446" s="320">
        <f t="shared" si="981"/>
        <v>0</v>
      </c>
      <c r="AP1446" s="193">
        <v>0</v>
      </c>
      <c r="AQ1446" s="318">
        <v>0</v>
      </c>
      <c r="AR1446" s="318">
        <f t="shared" si="982"/>
        <v>224335.24928571444</v>
      </c>
      <c r="AS1446" s="318">
        <f t="shared" si="983"/>
        <v>235552</v>
      </c>
      <c r="AT1446" s="321">
        <v>0</v>
      </c>
      <c r="AU1446" s="193"/>
      <c r="AV1446" s="193"/>
      <c r="AW1446" s="318">
        <f t="shared" si="984"/>
        <v>30139.999999999996</v>
      </c>
      <c r="AX1446" s="193"/>
      <c r="AY1446" s="318">
        <f t="shared" si="985"/>
        <v>30139.999999999996</v>
      </c>
      <c r="AZ1446" s="318">
        <f t="shared" si="986"/>
        <v>30139.999999999996</v>
      </c>
      <c r="BA1446" s="318">
        <f t="shared" si="987"/>
        <v>0</v>
      </c>
      <c r="BB1446" s="318">
        <f t="shared" si="988"/>
        <v>60.279999999999994</v>
      </c>
      <c r="BC1446" s="318">
        <v>0</v>
      </c>
      <c r="BD1446" s="193"/>
      <c r="BE1446" s="138">
        <v>301.39999999999998</v>
      </c>
      <c r="BF1446" s="321">
        <f t="shared" si="989"/>
        <v>0.45209999999999995</v>
      </c>
      <c r="BG1446" s="321">
        <f t="shared" si="990"/>
        <v>300.9479</v>
      </c>
      <c r="BH1446" s="321">
        <f t="shared" si="991"/>
        <v>301.39999999999998</v>
      </c>
      <c r="BI1446" s="322">
        <f t="shared" si="992"/>
        <v>0</v>
      </c>
      <c r="BJ1446" s="322">
        <v>0</v>
      </c>
      <c r="BK1446" s="318">
        <f t="shared" si="993"/>
        <v>0</v>
      </c>
      <c r="BL1446" s="193"/>
      <c r="BM1446" s="449" t="str">
        <f t="shared" si="994"/>
        <v>Unloading no. 1411 Bill No 2026-27/470 ,Deduction For Oil Deduction= 224335.249285714 ,Bardana= 0 ,F.M= 0 Brokerage/Rate Difference  ,Shortage = 0 ,Greenish= 0 ,Moisture= 0</v>
      </c>
      <c r="BN1446" s="193"/>
      <c r="BO1446" s="449" t="str">
        <f t="shared" si="995"/>
        <v xml:space="preserve"> Party Condition 42  ,F.M% 0.83 ,Greenish 3 ,Moisture 5.6 ,Shortage in KG= 0  ,Oil% 38.19</v>
      </c>
      <c r="BP1446" s="318">
        <f t="shared" si="996"/>
        <v>7460.6892857142866</v>
      </c>
      <c r="BQ1446" s="193"/>
      <c r="BR1446" s="193"/>
      <c r="BS1446" s="193"/>
      <c r="BT1446" s="193"/>
      <c r="BU1446" s="193"/>
      <c r="BV1446" s="193"/>
      <c r="BW1446" s="373"/>
      <c r="BX1446" s="27">
        <v>37.5</v>
      </c>
      <c r="BY1446" s="27">
        <v>37.479999999999997</v>
      </c>
    </row>
    <row r="1447" spans="1:83" ht="14.1" hidden="1" customHeight="1" x14ac:dyDescent="0.3">
      <c r="A1447" s="128" t="s">
        <v>2827</v>
      </c>
      <c r="B1447" s="146">
        <v>46216</v>
      </c>
      <c r="C1447" s="138">
        <v>1412</v>
      </c>
      <c r="D1447" s="138" t="s">
        <v>3089</v>
      </c>
      <c r="E1447" s="129">
        <v>46227</v>
      </c>
      <c r="F1447" s="128" t="s">
        <v>2497</v>
      </c>
      <c r="G1447" s="281" t="s">
        <v>2498</v>
      </c>
      <c r="H1447" s="281" t="s">
        <v>100</v>
      </c>
      <c r="I1447" s="138"/>
      <c r="J1447" s="138" t="s">
        <v>1146</v>
      </c>
      <c r="K1447" s="136"/>
      <c r="L1447" s="146">
        <v>46216</v>
      </c>
      <c r="M1447" s="136"/>
      <c r="N1447" s="128" t="s">
        <v>3115</v>
      </c>
      <c r="O1447" s="146">
        <v>46227</v>
      </c>
      <c r="P1447" s="138">
        <v>0</v>
      </c>
      <c r="Q1447" s="138">
        <v>160</v>
      </c>
      <c r="R1447" s="138">
        <v>20</v>
      </c>
      <c r="S1447" s="138">
        <v>180</v>
      </c>
      <c r="T1447" s="138">
        <v>180</v>
      </c>
      <c r="U1447" s="136"/>
      <c r="V1447" s="136"/>
      <c r="W1447" s="147">
        <v>91.7</v>
      </c>
      <c r="X1447" s="147">
        <v>91.8</v>
      </c>
      <c r="Y1447" s="147">
        <v>738185</v>
      </c>
      <c r="Z1447" s="236">
        <v>40.380000000000003</v>
      </c>
      <c r="AA1447" s="147">
        <v>18454.63</v>
      </c>
      <c r="AB1447" s="147">
        <v>18454.63</v>
      </c>
      <c r="AC1447" s="147">
        <v>775094.25</v>
      </c>
      <c r="AD1447" s="315">
        <f t="shared" si="965"/>
        <v>774319.15575000003</v>
      </c>
      <c r="AE1447" s="236">
        <v>40.380000000000003</v>
      </c>
      <c r="AF1447" s="147">
        <v>42</v>
      </c>
      <c r="AG1447" s="236">
        <v>40.380000000000003</v>
      </c>
      <c r="AH1447" s="287">
        <v>2.7000000000000001E-3</v>
      </c>
      <c r="AI1447" s="287">
        <v>3.5000000000000003E-2</v>
      </c>
      <c r="AJ1447" s="287">
        <v>5.8999999999999997E-2</v>
      </c>
      <c r="AK1447" s="318">
        <f t="shared" si="980"/>
        <v>28472.849999999959</v>
      </c>
      <c r="AL1447" s="193">
        <v>0</v>
      </c>
      <c r="AM1447" s="319">
        <v>0</v>
      </c>
      <c r="AN1447" s="319"/>
      <c r="AO1447" s="320">
        <f t="shared" si="981"/>
        <v>0</v>
      </c>
      <c r="AP1447" s="193">
        <v>0</v>
      </c>
      <c r="AQ1447" s="318">
        <v>0</v>
      </c>
      <c r="AR1447" s="318">
        <f t="shared" si="982"/>
        <v>28472.849999999959</v>
      </c>
      <c r="AS1447" s="318">
        <f t="shared" si="983"/>
        <v>29896</v>
      </c>
      <c r="AT1447" s="321">
        <v>0</v>
      </c>
      <c r="AU1447" s="193"/>
      <c r="AV1447" s="193"/>
      <c r="AW1447" s="318">
        <f t="shared" si="984"/>
        <v>9170</v>
      </c>
      <c r="AX1447" s="193"/>
      <c r="AY1447" s="318">
        <f t="shared" si="985"/>
        <v>9170</v>
      </c>
      <c r="AZ1447" s="318">
        <f t="shared" si="986"/>
        <v>9180</v>
      </c>
      <c r="BA1447" s="318">
        <f t="shared" si="987"/>
        <v>-10</v>
      </c>
      <c r="BB1447" s="318">
        <f t="shared" si="988"/>
        <v>18.34</v>
      </c>
      <c r="BC1447" s="318">
        <v>0</v>
      </c>
      <c r="BD1447" s="193"/>
      <c r="BE1447" s="138">
        <v>91.7</v>
      </c>
      <c r="BF1447" s="321">
        <f t="shared" si="989"/>
        <v>0.13755000000000001</v>
      </c>
      <c r="BG1447" s="321">
        <f t="shared" si="990"/>
        <v>91.562449999999998</v>
      </c>
      <c r="BH1447" s="321">
        <f t="shared" si="991"/>
        <v>91.8</v>
      </c>
      <c r="BI1447" s="322">
        <f t="shared" si="992"/>
        <v>-9.9999999999994316</v>
      </c>
      <c r="BJ1447" s="322">
        <v>0</v>
      </c>
      <c r="BK1447" s="318">
        <f t="shared" si="993"/>
        <v>-9.9999999999994316</v>
      </c>
      <c r="BL1447" s="193"/>
      <c r="BM1447" s="449" t="str">
        <f t="shared" si="994"/>
        <v>Unloading no. 1412 Bill No HA/26-27/0498 ,Deduction For Oil Deduction= 28472.85 ,Bardana= 0 ,F.M= 0 Brokerage/Rate Difference  ,Shortage = 0 ,Greenish= 0 ,Moisture= 0</v>
      </c>
      <c r="BN1447" s="193"/>
      <c r="BO1447" s="449" t="str">
        <f t="shared" si="995"/>
        <v xml:space="preserve"> Party Condition 42  ,F.M% 0.27 ,Greenish 3.5 ,Moisture 5.9 ,Shortage in KG= 0  ,Oil% 40.38</v>
      </c>
      <c r="BP1447" s="318">
        <f t="shared" si="996"/>
        <v>7731.0691721132898</v>
      </c>
      <c r="BQ1447" s="193"/>
      <c r="BR1447" s="193"/>
      <c r="BS1447" s="193"/>
      <c r="BT1447" s="193"/>
      <c r="BU1447" s="193"/>
      <c r="BV1447" s="193"/>
      <c r="BW1447" s="373"/>
      <c r="BX1447" s="27">
        <v>40.549999999999997</v>
      </c>
      <c r="BY1447" s="27">
        <v>40.25</v>
      </c>
    </row>
    <row r="1448" spans="1:83" ht="14.1" hidden="1" customHeight="1" x14ac:dyDescent="0.3">
      <c r="A1448" s="128" t="s">
        <v>2827</v>
      </c>
      <c r="B1448" s="146">
        <v>46216</v>
      </c>
      <c r="C1448" s="138">
        <v>1413</v>
      </c>
      <c r="D1448" s="138" t="s">
        <v>3090</v>
      </c>
      <c r="E1448" s="129">
        <v>46227</v>
      </c>
      <c r="F1448" s="128" t="s">
        <v>2497</v>
      </c>
      <c r="G1448" s="281" t="s">
        <v>2498</v>
      </c>
      <c r="H1448" s="281" t="s">
        <v>100</v>
      </c>
      <c r="I1448" s="138"/>
      <c r="J1448" s="138" t="s">
        <v>1146</v>
      </c>
      <c r="K1448" s="136"/>
      <c r="L1448" s="146">
        <v>46216</v>
      </c>
      <c r="M1448" s="136"/>
      <c r="N1448" s="128" t="s">
        <v>3116</v>
      </c>
      <c r="O1448" s="146">
        <v>46227</v>
      </c>
      <c r="P1448" s="138">
        <v>0</v>
      </c>
      <c r="Q1448" s="138">
        <v>150</v>
      </c>
      <c r="R1448" s="138">
        <v>30</v>
      </c>
      <c r="S1448" s="138">
        <v>180</v>
      </c>
      <c r="T1448" s="138">
        <v>180</v>
      </c>
      <c r="U1448" s="136"/>
      <c r="V1448" s="136"/>
      <c r="W1448" s="147">
        <v>91.3</v>
      </c>
      <c r="X1448" s="147">
        <v>91.1</v>
      </c>
      <c r="Y1448" s="147">
        <v>734965</v>
      </c>
      <c r="Z1448" s="236">
        <v>40</v>
      </c>
      <c r="AA1448" s="147">
        <v>18374.13</v>
      </c>
      <c r="AB1448" s="147">
        <v>18374.13</v>
      </c>
      <c r="AC1448" s="147">
        <v>771713.25</v>
      </c>
      <c r="AD1448" s="315">
        <f t="shared" ref="AD1448:AD1511" si="1001">SUM(AC1448-AC1448*0.1%)</f>
        <v>770941.53674999997</v>
      </c>
      <c r="AE1448" s="236">
        <v>40</v>
      </c>
      <c r="AF1448" s="147">
        <v>42</v>
      </c>
      <c r="AG1448" s="236">
        <v>40</v>
      </c>
      <c r="AH1448" s="287">
        <v>2.2000000000000001E-3</v>
      </c>
      <c r="AI1448" s="287">
        <v>3.2500000000000001E-2</v>
      </c>
      <c r="AJ1448" s="287">
        <v>5.8000000000000003E-2</v>
      </c>
      <c r="AK1448" s="318">
        <f t="shared" si="980"/>
        <v>34998.333333333328</v>
      </c>
      <c r="AL1448" s="193">
        <v>0</v>
      </c>
      <c r="AM1448" s="319">
        <v>0</v>
      </c>
      <c r="AN1448" s="319"/>
      <c r="AO1448" s="320">
        <f t="shared" si="981"/>
        <v>0</v>
      </c>
      <c r="AP1448" s="193">
        <v>0</v>
      </c>
      <c r="AQ1448" s="318">
        <v>0</v>
      </c>
      <c r="AR1448" s="318">
        <f t="shared" si="982"/>
        <v>34998.333333333328</v>
      </c>
      <c r="AS1448" s="318">
        <f t="shared" si="983"/>
        <v>36748</v>
      </c>
      <c r="AT1448" s="321">
        <v>0</v>
      </c>
      <c r="AU1448" s="193"/>
      <c r="AV1448" s="193"/>
      <c r="AW1448" s="318">
        <f t="shared" si="984"/>
        <v>9130</v>
      </c>
      <c r="AX1448" s="193"/>
      <c r="AY1448" s="318">
        <f t="shared" si="985"/>
        <v>9130</v>
      </c>
      <c r="AZ1448" s="318">
        <f t="shared" si="986"/>
        <v>9110</v>
      </c>
      <c r="BA1448" s="318">
        <f t="shared" si="987"/>
        <v>20</v>
      </c>
      <c r="BB1448" s="318">
        <f t="shared" si="988"/>
        <v>18.260000000000002</v>
      </c>
      <c r="BC1448" s="318">
        <v>0</v>
      </c>
      <c r="BD1448" s="193"/>
      <c r="BE1448" s="138">
        <v>91.3</v>
      </c>
      <c r="BF1448" s="321">
        <f t="shared" si="989"/>
        <v>0.13694999999999999</v>
      </c>
      <c r="BG1448" s="321">
        <f t="shared" si="990"/>
        <v>91.163049999999998</v>
      </c>
      <c r="BH1448" s="321">
        <f t="shared" si="991"/>
        <v>91.1</v>
      </c>
      <c r="BI1448" s="322">
        <f t="shared" si="992"/>
        <v>20.000000000000284</v>
      </c>
      <c r="BJ1448" s="322">
        <v>0</v>
      </c>
      <c r="BK1448" s="318">
        <f t="shared" si="993"/>
        <v>20.000000000000284</v>
      </c>
      <c r="BL1448" s="193"/>
      <c r="BM1448" s="449" t="str">
        <f t="shared" si="994"/>
        <v>Unloading no. 1413 Bill No HA/26-27/0499 ,Deduction For Oil Deduction= 34998.3333333333 ,Bardana= 0 ,F.M= 0 Brokerage/Rate Difference  ,Shortage = 0 ,Greenish= 0 ,Moisture= 0</v>
      </c>
      <c r="BN1448" s="193"/>
      <c r="BO1448" s="449" t="str">
        <f t="shared" si="995"/>
        <v xml:space="preserve"> Party Condition 42  ,F.M% 0.22 ,Greenish 3.25 ,Moisture 5.8 ,Shortage in KG= 0  ,Oil% 40</v>
      </c>
      <c r="BP1448" s="318">
        <f t="shared" si="996"/>
        <v>7683.4979875594581</v>
      </c>
      <c r="BQ1448" s="193"/>
      <c r="BR1448" s="193"/>
      <c r="BS1448" s="193"/>
      <c r="BT1448" s="193"/>
      <c r="BU1448" s="193"/>
      <c r="BV1448" s="193"/>
      <c r="BW1448" s="373"/>
      <c r="BX1448" s="27">
        <v>39.92</v>
      </c>
      <c r="BY1448" s="27">
        <v>39.869999999999997</v>
      </c>
    </row>
    <row r="1449" spans="1:83" ht="14.1" hidden="1" customHeight="1" x14ac:dyDescent="0.3">
      <c r="A1449" s="128" t="s">
        <v>2827</v>
      </c>
      <c r="B1449" s="146">
        <v>46216</v>
      </c>
      <c r="C1449" s="138">
        <v>1414</v>
      </c>
      <c r="D1449" s="138" t="s">
        <v>3091</v>
      </c>
      <c r="E1449" s="129">
        <v>46227</v>
      </c>
      <c r="F1449" s="128" t="s">
        <v>2497</v>
      </c>
      <c r="G1449" s="281" t="s">
        <v>2498</v>
      </c>
      <c r="H1449" s="281" t="s">
        <v>100</v>
      </c>
      <c r="I1449" s="138"/>
      <c r="J1449" s="138" t="s">
        <v>1146</v>
      </c>
      <c r="K1449" s="136"/>
      <c r="L1449" s="146">
        <v>46216</v>
      </c>
      <c r="M1449" s="136"/>
      <c r="N1449" s="128" t="s">
        <v>3117</v>
      </c>
      <c r="O1449" s="146">
        <v>46227</v>
      </c>
      <c r="P1449" s="138">
        <v>0</v>
      </c>
      <c r="Q1449" s="138">
        <v>140</v>
      </c>
      <c r="R1449" s="138">
        <v>40</v>
      </c>
      <c r="S1449" s="138">
        <v>180</v>
      </c>
      <c r="T1449" s="138">
        <v>180</v>
      </c>
      <c r="U1449" s="136"/>
      <c r="V1449" s="136"/>
      <c r="W1449" s="147">
        <v>92</v>
      </c>
      <c r="X1449" s="147">
        <v>91.9</v>
      </c>
      <c r="Y1449" s="147">
        <v>740600</v>
      </c>
      <c r="Z1449" s="236">
        <v>39.58</v>
      </c>
      <c r="AA1449" s="147">
        <v>18515</v>
      </c>
      <c r="AB1449" s="147">
        <v>18515</v>
      </c>
      <c r="AC1449" s="147">
        <v>777630</v>
      </c>
      <c r="AD1449" s="315">
        <f t="shared" si="1001"/>
        <v>776852.37</v>
      </c>
      <c r="AE1449" s="236">
        <v>39.58</v>
      </c>
      <c r="AF1449" s="147">
        <v>42</v>
      </c>
      <c r="AG1449" s="236">
        <v>39.58</v>
      </c>
      <c r="AH1449" s="287">
        <v>2.5000000000000001E-3</v>
      </c>
      <c r="AI1449" s="287">
        <v>3.4500000000000003E-2</v>
      </c>
      <c r="AJ1449" s="287">
        <v>5.8999999999999997E-2</v>
      </c>
      <c r="AK1449" s="318">
        <f t="shared" si="980"/>
        <v>42672.666666666701</v>
      </c>
      <c r="AL1449" s="193">
        <v>0</v>
      </c>
      <c r="AM1449" s="319">
        <v>0</v>
      </c>
      <c r="AN1449" s="319"/>
      <c r="AO1449" s="320">
        <f t="shared" si="981"/>
        <v>0</v>
      </c>
      <c r="AP1449" s="193">
        <v>0</v>
      </c>
      <c r="AQ1449" s="318">
        <v>0</v>
      </c>
      <c r="AR1449" s="318">
        <f t="shared" si="982"/>
        <v>42672.666666666701</v>
      </c>
      <c r="AS1449" s="318">
        <f t="shared" si="983"/>
        <v>44806</v>
      </c>
      <c r="AT1449" s="321">
        <v>0</v>
      </c>
      <c r="AU1449" s="193"/>
      <c r="AV1449" s="193"/>
      <c r="AW1449" s="318">
        <f t="shared" si="984"/>
        <v>9200</v>
      </c>
      <c r="AX1449" s="193"/>
      <c r="AY1449" s="318">
        <f t="shared" si="985"/>
        <v>9200</v>
      </c>
      <c r="AZ1449" s="318">
        <f t="shared" si="986"/>
        <v>9190</v>
      </c>
      <c r="BA1449" s="318">
        <f t="shared" si="987"/>
        <v>10</v>
      </c>
      <c r="BB1449" s="318">
        <f t="shared" si="988"/>
        <v>18.399999999999999</v>
      </c>
      <c r="BC1449" s="318">
        <v>0</v>
      </c>
      <c r="BD1449" s="193"/>
      <c r="BE1449" s="138">
        <v>92</v>
      </c>
      <c r="BF1449" s="321">
        <f t="shared" si="989"/>
        <v>0.13799999999999998</v>
      </c>
      <c r="BG1449" s="321">
        <f t="shared" si="990"/>
        <v>91.861999999999995</v>
      </c>
      <c r="BH1449" s="321">
        <f t="shared" si="991"/>
        <v>91.9</v>
      </c>
      <c r="BI1449" s="322">
        <f t="shared" si="992"/>
        <v>9.9999999999994316</v>
      </c>
      <c r="BJ1449" s="322">
        <v>0</v>
      </c>
      <c r="BK1449" s="318">
        <f t="shared" si="993"/>
        <v>9.9999999999994316</v>
      </c>
      <c r="BL1449" s="193"/>
      <c r="BM1449" s="449" t="str">
        <f t="shared" si="994"/>
        <v>Unloading no. 1414 Bill No HA/26-27/0500 ,Deduction For Oil Deduction= 42672.6666666667 ,Bardana= 0 ,F.M= 0 Brokerage/Rate Difference  ,Shortage = 0 ,Greenish= 0 ,Moisture= 0</v>
      </c>
      <c r="BN1449" s="193"/>
      <c r="BO1449" s="449" t="str">
        <f t="shared" si="995"/>
        <v xml:space="preserve"> Party Condition 42  ,F.M% 0.25 ,Greenish 3.45 ,Moisture 5.9 ,Shortage in KG= 0  ,Oil% 39.58</v>
      </c>
      <c r="BP1449" s="318">
        <f t="shared" si="996"/>
        <v>7594.4214726151604</v>
      </c>
      <c r="BQ1449" s="193"/>
      <c r="BR1449" s="193"/>
      <c r="BS1449" s="193"/>
      <c r="BT1449" s="193"/>
      <c r="BU1449" s="193"/>
      <c r="BV1449" s="193"/>
      <c r="BW1449" s="373"/>
      <c r="BX1449" s="27">
        <v>39.450000000000003</v>
      </c>
      <c r="BY1449" s="27">
        <v>39.42</v>
      </c>
    </row>
    <row r="1450" spans="1:83" ht="14.1" hidden="1" customHeight="1" x14ac:dyDescent="0.3">
      <c r="A1450" s="128" t="s">
        <v>2827</v>
      </c>
      <c r="B1450" s="146">
        <v>46216</v>
      </c>
      <c r="C1450" s="138">
        <v>1415</v>
      </c>
      <c r="D1450" s="138" t="s">
        <v>3092</v>
      </c>
      <c r="E1450" s="129">
        <v>46227</v>
      </c>
      <c r="F1450" s="128" t="s">
        <v>2497</v>
      </c>
      <c r="G1450" s="281" t="s">
        <v>2498</v>
      </c>
      <c r="H1450" s="281" t="s">
        <v>100</v>
      </c>
      <c r="I1450" s="138"/>
      <c r="J1450" s="138" t="s">
        <v>1146</v>
      </c>
      <c r="K1450" s="136"/>
      <c r="L1450" s="146">
        <v>46216</v>
      </c>
      <c r="M1450" s="136"/>
      <c r="N1450" s="128" t="s">
        <v>3118</v>
      </c>
      <c r="O1450" s="146">
        <v>46227</v>
      </c>
      <c r="P1450" s="138">
        <v>0</v>
      </c>
      <c r="Q1450" s="138">
        <v>140</v>
      </c>
      <c r="R1450" s="138">
        <v>45</v>
      </c>
      <c r="S1450" s="138">
        <v>185</v>
      </c>
      <c r="T1450" s="138">
        <v>185</v>
      </c>
      <c r="U1450" s="136"/>
      <c r="V1450" s="136"/>
      <c r="W1450" s="147">
        <v>93.7</v>
      </c>
      <c r="X1450" s="147">
        <v>93.5</v>
      </c>
      <c r="Y1450" s="147">
        <v>754285</v>
      </c>
      <c r="Z1450" s="236">
        <v>39.869999999999997</v>
      </c>
      <c r="AA1450" s="147">
        <v>18857.13</v>
      </c>
      <c r="AB1450" s="147">
        <v>18857.13</v>
      </c>
      <c r="AC1450" s="147">
        <v>791999.25</v>
      </c>
      <c r="AD1450" s="315">
        <f t="shared" si="1001"/>
        <v>791207.25075000001</v>
      </c>
      <c r="AE1450" s="236">
        <v>39.869999999999997</v>
      </c>
      <c r="AF1450" s="147">
        <v>42</v>
      </c>
      <c r="AG1450" s="236">
        <v>39.869999999999997</v>
      </c>
      <c r="AH1450" s="287">
        <v>3.8E-3</v>
      </c>
      <c r="AI1450" s="287">
        <v>0.03</v>
      </c>
      <c r="AJ1450" s="287">
        <v>5.5E-2</v>
      </c>
      <c r="AK1450" s="318">
        <f t="shared" si="980"/>
        <v>38253.025000000045</v>
      </c>
      <c r="AL1450" s="193">
        <v>0</v>
      </c>
      <c r="AM1450" s="319">
        <v>0</v>
      </c>
      <c r="AN1450" s="319"/>
      <c r="AO1450" s="320">
        <f t="shared" si="981"/>
        <v>0</v>
      </c>
      <c r="AP1450" s="193">
        <v>0</v>
      </c>
      <c r="AQ1450" s="318">
        <v>0</v>
      </c>
      <c r="AR1450" s="318">
        <f t="shared" si="982"/>
        <v>38253.025000000045</v>
      </c>
      <c r="AS1450" s="318">
        <f t="shared" si="983"/>
        <v>40166</v>
      </c>
      <c r="AT1450" s="321">
        <v>0</v>
      </c>
      <c r="AU1450" s="193"/>
      <c r="AV1450" s="193"/>
      <c r="AW1450" s="318">
        <f t="shared" si="984"/>
        <v>9370</v>
      </c>
      <c r="AX1450" s="193"/>
      <c r="AY1450" s="318">
        <f t="shared" si="985"/>
        <v>9370</v>
      </c>
      <c r="AZ1450" s="318">
        <f t="shared" si="986"/>
        <v>9350</v>
      </c>
      <c r="BA1450" s="318">
        <f t="shared" si="987"/>
        <v>20</v>
      </c>
      <c r="BB1450" s="318">
        <f t="shared" si="988"/>
        <v>18.739999999999998</v>
      </c>
      <c r="BC1450" s="318">
        <v>0</v>
      </c>
      <c r="BD1450" s="193"/>
      <c r="BE1450" s="138">
        <v>93.7</v>
      </c>
      <c r="BF1450" s="321">
        <f t="shared" si="989"/>
        <v>0.14055000000000001</v>
      </c>
      <c r="BG1450" s="321">
        <f t="shared" si="990"/>
        <v>93.559449999999998</v>
      </c>
      <c r="BH1450" s="321">
        <f t="shared" si="991"/>
        <v>93.5</v>
      </c>
      <c r="BI1450" s="322">
        <f t="shared" si="992"/>
        <v>20.000000000000284</v>
      </c>
      <c r="BJ1450" s="322">
        <v>0</v>
      </c>
      <c r="BK1450" s="318">
        <f t="shared" si="993"/>
        <v>20.000000000000284</v>
      </c>
      <c r="BL1450" s="193"/>
      <c r="BM1450" s="449" t="str">
        <f t="shared" si="994"/>
        <v>Unloading no. 1415 Bill No HA/26-27/0502 ,Deduction For Oil Deduction= 38253.025 ,Bardana= 0 ,F.M= 0 Brokerage/Rate Difference  ,Shortage = 0 ,Greenish= 0 ,Moisture= 0</v>
      </c>
      <c r="BN1450" s="193"/>
      <c r="BO1450" s="449" t="str">
        <f t="shared" si="995"/>
        <v xml:space="preserve"> Party Condition 42  ,F.M% 0.38 ,Greenish 3 ,Moisture 5.5 ,Shortage in KG= 0  ,Oil% 39.87</v>
      </c>
      <c r="BP1450" s="318">
        <f t="shared" si="996"/>
        <v>7658.095989304813</v>
      </c>
      <c r="BQ1450" s="193"/>
      <c r="BR1450" s="193"/>
      <c r="BS1450" s="193"/>
      <c r="BT1450" s="193"/>
      <c r="BU1450" s="193"/>
      <c r="BV1450" s="193"/>
      <c r="BW1450" s="373"/>
      <c r="BX1450" s="27">
        <v>39.68</v>
      </c>
      <c r="BY1450" s="27">
        <v>39.630000000000003</v>
      </c>
    </row>
    <row r="1451" spans="1:83" ht="14.1" hidden="1" customHeight="1" x14ac:dyDescent="0.3">
      <c r="A1451" s="128" t="s">
        <v>2827</v>
      </c>
      <c r="B1451" s="146">
        <v>46216</v>
      </c>
      <c r="C1451" s="138">
        <v>1416</v>
      </c>
      <c r="D1451" s="138" t="s">
        <v>3093</v>
      </c>
      <c r="E1451" s="129">
        <v>46227</v>
      </c>
      <c r="F1451" s="128" t="s">
        <v>2497</v>
      </c>
      <c r="G1451" s="281" t="s">
        <v>2498</v>
      </c>
      <c r="H1451" s="281" t="s">
        <v>100</v>
      </c>
      <c r="I1451" s="138"/>
      <c r="J1451" s="138" t="s">
        <v>1146</v>
      </c>
      <c r="K1451" s="136"/>
      <c r="L1451" s="146">
        <v>46216</v>
      </c>
      <c r="M1451" s="136"/>
      <c r="N1451" s="128" t="s">
        <v>3119</v>
      </c>
      <c r="O1451" s="146">
        <v>46227</v>
      </c>
      <c r="P1451" s="138">
        <v>0</v>
      </c>
      <c r="Q1451" s="138">
        <v>150</v>
      </c>
      <c r="R1451" s="138">
        <v>30</v>
      </c>
      <c r="S1451" s="138">
        <v>180</v>
      </c>
      <c r="T1451" s="138">
        <v>180</v>
      </c>
      <c r="U1451" s="136"/>
      <c r="V1451" s="136"/>
      <c r="W1451" s="147">
        <v>90.8</v>
      </c>
      <c r="X1451" s="147">
        <v>90.6</v>
      </c>
      <c r="Y1451" s="147">
        <v>730940</v>
      </c>
      <c r="Z1451" s="236">
        <v>40.090000000000003</v>
      </c>
      <c r="AA1451" s="147">
        <v>18273.5</v>
      </c>
      <c r="AB1451" s="147">
        <v>18273.5</v>
      </c>
      <c r="AC1451" s="147">
        <v>767487</v>
      </c>
      <c r="AD1451" s="315">
        <f t="shared" si="1001"/>
        <v>766719.51300000004</v>
      </c>
      <c r="AE1451" s="236">
        <v>40.090000000000003</v>
      </c>
      <c r="AF1451" s="147">
        <v>42</v>
      </c>
      <c r="AG1451" s="236">
        <v>40.090000000000003</v>
      </c>
      <c r="AH1451" s="287">
        <v>4.4999999999999997E-3</v>
      </c>
      <c r="AI1451" s="287">
        <v>0.03</v>
      </c>
      <c r="AJ1451" s="287">
        <v>5.8000000000000003E-2</v>
      </c>
      <c r="AK1451" s="318">
        <f t="shared" si="980"/>
        <v>33240.366666666603</v>
      </c>
      <c r="AL1451" s="193">
        <v>0</v>
      </c>
      <c r="AM1451" s="319">
        <v>0</v>
      </c>
      <c r="AN1451" s="319"/>
      <c r="AO1451" s="320">
        <f t="shared" si="981"/>
        <v>0</v>
      </c>
      <c r="AP1451" s="193">
        <v>0</v>
      </c>
      <c r="AQ1451" s="318">
        <v>0</v>
      </c>
      <c r="AR1451" s="318">
        <f t="shared" si="982"/>
        <v>33240.366666666603</v>
      </c>
      <c r="AS1451" s="318">
        <f t="shared" si="983"/>
        <v>34902</v>
      </c>
      <c r="AT1451" s="321">
        <v>0</v>
      </c>
      <c r="AU1451" s="193"/>
      <c r="AV1451" s="193"/>
      <c r="AW1451" s="318">
        <f t="shared" si="984"/>
        <v>9080</v>
      </c>
      <c r="AX1451" s="193"/>
      <c r="AY1451" s="318">
        <f t="shared" si="985"/>
        <v>9080</v>
      </c>
      <c r="AZ1451" s="318">
        <f t="shared" si="986"/>
        <v>9060</v>
      </c>
      <c r="BA1451" s="318">
        <f t="shared" si="987"/>
        <v>20</v>
      </c>
      <c r="BB1451" s="318">
        <f t="shared" si="988"/>
        <v>18.16</v>
      </c>
      <c r="BC1451" s="318">
        <v>0</v>
      </c>
      <c r="BD1451" s="193"/>
      <c r="BE1451" s="138">
        <v>90.8</v>
      </c>
      <c r="BF1451" s="321">
        <f t="shared" si="989"/>
        <v>0.13619999999999999</v>
      </c>
      <c r="BG1451" s="321">
        <f t="shared" si="990"/>
        <v>90.663799999999995</v>
      </c>
      <c r="BH1451" s="321">
        <f t="shared" si="991"/>
        <v>90.6</v>
      </c>
      <c r="BI1451" s="322">
        <f t="shared" si="992"/>
        <v>20.000000000000284</v>
      </c>
      <c r="BJ1451" s="322">
        <v>0</v>
      </c>
      <c r="BK1451" s="318">
        <f t="shared" si="993"/>
        <v>20.000000000000284</v>
      </c>
      <c r="BL1451" s="193"/>
      <c r="BM1451" s="449" t="str">
        <f t="shared" si="994"/>
        <v>Unloading no. 1416 Bill No HA/26-27/0501 ,Deduction For Oil Deduction= 33240.3666666666 ,Bardana= 0 ,F.M= 0 Brokerage/Rate Difference  ,Shortage = 0 ,Greenish= 0 ,Moisture= 0</v>
      </c>
      <c r="BN1451" s="193"/>
      <c r="BO1451" s="449" t="str">
        <f t="shared" si="995"/>
        <v xml:space="preserve"> Party Condition 42  ,F.M% 0.45 ,Greenish 3 ,Moisture 5.8 ,Shortage in KG= 0  ,Oil% 40.09</v>
      </c>
      <c r="BP1451" s="318">
        <f t="shared" si="996"/>
        <v>7700.8789551140562</v>
      </c>
      <c r="BQ1451" s="193"/>
      <c r="BR1451" s="193"/>
      <c r="BS1451" s="193"/>
      <c r="BT1451" s="193"/>
      <c r="BU1451" s="193"/>
      <c r="BV1451" s="193"/>
      <c r="BW1451" s="373"/>
      <c r="BX1451" s="27">
        <v>39.78</v>
      </c>
      <c r="BY1451" s="27">
        <v>39.72</v>
      </c>
    </row>
    <row r="1452" spans="1:83" ht="14.1" hidden="1" customHeight="1" x14ac:dyDescent="0.3">
      <c r="A1452" s="128" t="s">
        <v>3068</v>
      </c>
      <c r="B1452" s="146">
        <v>46224</v>
      </c>
      <c r="C1452" s="138">
        <v>1417</v>
      </c>
      <c r="D1452" s="138" t="s">
        <v>3094</v>
      </c>
      <c r="E1452" s="129">
        <v>46227</v>
      </c>
      <c r="F1452" s="128" t="s">
        <v>1144</v>
      </c>
      <c r="G1452" s="281" t="s">
        <v>1145</v>
      </c>
      <c r="H1452" s="281" t="s">
        <v>100</v>
      </c>
      <c r="I1452" s="138"/>
      <c r="J1452" s="138" t="s">
        <v>1146</v>
      </c>
      <c r="K1452" s="136"/>
      <c r="L1452" s="146">
        <v>46224</v>
      </c>
      <c r="M1452" s="136"/>
      <c r="N1452" s="128" t="s">
        <v>3120</v>
      </c>
      <c r="O1452" s="146">
        <v>46227</v>
      </c>
      <c r="P1452" s="138">
        <v>0</v>
      </c>
      <c r="Q1452" s="138">
        <v>130</v>
      </c>
      <c r="R1452" s="138">
        <v>33</v>
      </c>
      <c r="S1452" s="138">
        <v>163</v>
      </c>
      <c r="T1452" s="138">
        <v>163</v>
      </c>
      <c r="U1452" s="136"/>
      <c r="V1452" s="136"/>
      <c r="W1452" s="147">
        <v>80</v>
      </c>
      <c r="X1452" s="147">
        <v>80</v>
      </c>
      <c r="Y1452" s="147">
        <v>660080</v>
      </c>
      <c r="Z1452" s="236">
        <v>40.159999999999997</v>
      </c>
      <c r="AA1452" s="147">
        <v>16502</v>
      </c>
      <c r="AB1452" s="147">
        <v>16502</v>
      </c>
      <c r="AC1452" s="147">
        <v>693084</v>
      </c>
      <c r="AD1452" s="315">
        <f t="shared" si="1001"/>
        <v>692390.91599999997</v>
      </c>
      <c r="AE1452" s="236">
        <v>40.159999999999997</v>
      </c>
      <c r="AF1452" s="147">
        <v>42</v>
      </c>
      <c r="AG1452" s="236">
        <v>40.159999999999997</v>
      </c>
      <c r="AH1452" s="287">
        <v>5.0000000000000001E-3</v>
      </c>
      <c r="AI1452" s="287">
        <v>3.4000000000000002E-2</v>
      </c>
      <c r="AJ1452" s="287">
        <v>5.6000000000000001E-2</v>
      </c>
      <c r="AK1452" s="318">
        <f t="shared" si="980"/>
        <v>28917.790476190527</v>
      </c>
      <c r="AL1452" s="193">
        <v>0</v>
      </c>
      <c r="AM1452" s="319">
        <v>0</v>
      </c>
      <c r="AN1452" s="319"/>
      <c r="AO1452" s="320">
        <f t="shared" si="981"/>
        <v>0</v>
      </c>
      <c r="AP1452" s="193">
        <v>0</v>
      </c>
      <c r="AQ1452" s="318">
        <v>0</v>
      </c>
      <c r="AR1452" s="318">
        <f t="shared" si="982"/>
        <v>28917.790476190527</v>
      </c>
      <c r="AS1452" s="318">
        <f t="shared" si="983"/>
        <v>30364</v>
      </c>
      <c r="AT1452" s="321">
        <v>0</v>
      </c>
      <c r="AU1452" s="193"/>
      <c r="AV1452" s="193"/>
      <c r="AW1452" s="318">
        <f t="shared" si="984"/>
        <v>8000</v>
      </c>
      <c r="AX1452" s="193"/>
      <c r="AY1452" s="318">
        <f t="shared" si="985"/>
        <v>8000</v>
      </c>
      <c r="AZ1452" s="318">
        <f t="shared" si="986"/>
        <v>8000</v>
      </c>
      <c r="BA1452" s="318">
        <f t="shared" si="987"/>
        <v>0</v>
      </c>
      <c r="BB1452" s="318">
        <f t="shared" si="988"/>
        <v>16</v>
      </c>
      <c r="BC1452" s="318">
        <v>0</v>
      </c>
      <c r="BD1452" s="193"/>
      <c r="BE1452" s="138">
        <v>80</v>
      </c>
      <c r="BF1452" s="321">
        <f t="shared" si="989"/>
        <v>0.12</v>
      </c>
      <c r="BG1452" s="321">
        <f t="shared" si="990"/>
        <v>79.88</v>
      </c>
      <c r="BH1452" s="321">
        <f t="shared" si="991"/>
        <v>80</v>
      </c>
      <c r="BI1452" s="322">
        <f t="shared" si="992"/>
        <v>0</v>
      </c>
      <c r="BJ1452" s="322">
        <v>0</v>
      </c>
      <c r="BK1452" s="318">
        <f t="shared" si="993"/>
        <v>0</v>
      </c>
      <c r="BL1452" s="193"/>
      <c r="BM1452" s="449" t="str">
        <f t="shared" si="994"/>
        <v>Unloading no. 1417 Bill No 2026-27/481 ,Deduction For Oil Deduction= 28917.7904761905 ,Bardana= 0 ,F.M= 0 Brokerage/Rate Difference  ,Shortage = 0 ,Greenish= 0 ,Moisture= 0</v>
      </c>
      <c r="BN1452" s="193"/>
      <c r="BO1452" s="449" t="str">
        <f t="shared" si="995"/>
        <v xml:space="preserve"> Party Condition 42  ,F.M% 0.5 ,Greenish 3.4 ,Moisture 5.6 ,Shortage in KG= 0  ,Oil% 40.16</v>
      </c>
      <c r="BP1452" s="318">
        <f t="shared" si="996"/>
        <v>7889.5276190476188</v>
      </c>
      <c r="BQ1452" s="193"/>
      <c r="BR1452" s="193"/>
      <c r="BS1452" s="193"/>
      <c r="BT1452" s="193"/>
      <c r="BU1452" s="193"/>
      <c r="BV1452" s="193"/>
      <c r="BW1452" s="373"/>
      <c r="BX1452" s="27">
        <v>39.799999999999997</v>
      </c>
      <c r="BY1452" s="27">
        <v>39.65</v>
      </c>
    </row>
    <row r="1453" spans="1:83" ht="14.1" hidden="1" customHeight="1" x14ac:dyDescent="0.3">
      <c r="A1453" s="128" t="s">
        <v>3068</v>
      </c>
      <c r="B1453" s="146">
        <v>46224</v>
      </c>
      <c r="C1453" s="138">
        <v>1418</v>
      </c>
      <c r="D1453" s="138" t="s">
        <v>3095</v>
      </c>
      <c r="E1453" s="129">
        <v>46227</v>
      </c>
      <c r="F1453" s="128" t="s">
        <v>1144</v>
      </c>
      <c r="G1453" s="281" t="s">
        <v>1145</v>
      </c>
      <c r="H1453" s="281" t="s">
        <v>100</v>
      </c>
      <c r="I1453" s="138"/>
      <c r="J1453" s="138" t="s">
        <v>1146</v>
      </c>
      <c r="K1453" s="136"/>
      <c r="L1453" s="146">
        <v>46224</v>
      </c>
      <c r="M1453" s="136"/>
      <c r="N1453" s="128" t="s">
        <v>3121</v>
      </c>
      <c r="O1453" s="146">
        <v>46227</v>
      </c>
      <c r="P1453" s="138">
        <v>0</v>
      </c>
      <c r="Q1453" s="138">
        <v>140</v>
      </c>
      <c r="R1453" s="138">
        <v>22</v>
      </c>
      <c r="S1453" s="138">
        <v>162</v>
      </c>
      <c r="T1453" s="138">
        <v>162</v>
      </c>
      <c r="U1453" s="136"/>
      <c r="V1453" s="136"/>
      <c r="W1453" s="147">
        <v>81.599999999999994</v>
      </c>
      <c r="X1453" s="147">
        <v>81.8</v>
      </c>
      <c r="Y1453" s="147">
        <v>673281.6</v>
      </c>
      <c r="Z1453" s="236">
        <v>40.369999999999997</v>
      </c>
      <c r="AA1453" s="147">
        <v>16832.04</v>
      </c>
      <c r="AB1453" s="147">
        <v>16832.04</v>
      </c>
      <c r="AC1453" s="147">
        <v>706945.68</v>
      </c>
      <c r="AD1453" s="315">
        <f t="shared" si="1001"/>
        <v>706238.73432000005</v>
      </c>
      <c r="AE1453" s="236">
        <v>40.369999999999997</v>
      </c>
      <c r="AF1453" s="147">
        <v>42</v>
      </c>
      <c r="AG1453" s="236">
        <v>40.369999999999997</v>
      </c>
      <c r="AH1453" s="287">
        <v>3.0000000000000001E-3</v>
      </c>
      <c r="AI1453" s="287">
        <v>5.6500000000000002E-2</v>
      </c>
      <c r="AJ1453" s="287">
        <v>0.06</v>
      </c>
      <c r="AK1453" s="318">
        <f t="shared" si="980"/>
        <v>26129.738285714324</v>
      </c>
      <c r="AL1453" s="193">
        <v>0</v>
      </c>
      <c r="AM1453" s="319">
        <v>0</v>
      </c>
      <c r="AN1453" s="319"/>
      <c r="AO1453" s="320">
        <f t="shared" si="981"/>
        <v>0</v>
      </c>
      <c r="AP1453" s="193">
        <v>0</v>
      </c>
      <c r="AQ1453" s="318">
        <v>0</v>
      </c>
      <c r="AR1453" s="318">
        <f t="shared" si="982"/>
        <v>26129.738285714324</v>
      </c>
      <c r="AS1453" s="318">
        <f t="shared" si="983"/>
        <v>27436</v>
      </c>
      <c r="AT1453" s="321">
        <v>0</v>
      </c>
      <c r="AU1453" s="193"/>
      <c r="AV1453" s="193"/>
      <c r="AW1453" s="318">
        <f t="shared" si="984"/>
        <v>8159.9999999999991</v>
      </c>
      <c r="AX1453" s="193"/>
      <c r="AY1453" s="318">
        <f t="shared" si="985"/>
        <v>8159.9999999999991</v>
      </c>
      <c r="AZ1453" s="318">
        <f t="shared" si="986"/>
        <v>8180</v>
      </c>
      <c r="BA1453" s="318">
        <f t="shared" si="987"/>
        <v>-20.000000000000909</v>
      </c>
      <c r="BB1453" s="318">
        <f t="shared" si="988"/>
        <v>16.319999999999997</v>
      </c>
      <c r="BC1453" s="318">
        <v>0</v>
      </c>
      <c r="BD1453" s="193"/>
      <c r="BE1453" s="138">
        <v>81.599999999999994</v>
      </c>
      <c r="BF1453" s="321">
        <f t="shared" si="989"/>
        <v>0.12239999999999998</v>
      </c>
      <c r="BG1453" s="321">
        <f t="shared" si="990"/>
        <v>81.477599999999995</v>
      </c>
      <c r="BH1453" s="321">
        <f t="shared" si="991"/>
        <v>81.8</v>
      </c>
      <c r="BI1453" s="322">
        <f t="shared" si="992"/>
        <v>-20.000000000000284</v>
      </c>
      <c r="BJ1453" s="322">
        <v>0</v>
      </c>
      <c r="BK1453" s="318">
        <f t="shared" si="993"/>
        <v>-20.000000000000284</v>
      </c>
      <c r="BL1453" s="193"/>
      <c r="BM1453" s="449" t="str">
        <f t="shared" si="994"/>
        <v>Unloading no. 1418 Bill No 2026-27/482 ,Deduction For Oil Deduction= 26129.7382857143 ,Bardana= 0 ,F.M= 0 Brokerage/Rate Difference  ,Shortage = 0 ,Greenish= 0 ,Moisture= 0</v>
      </c>
      <c r="BN1453" s="193"/>
      <c r="BO1453" s="449" t="str">
        <f t="shared" si="995"/>
        <v xml:space="preserve"> Party Condition 42  ,F.M% 0.3 ,Greenish 5.65 ,Moisture 6 ,Shortage in KG= 0  ,Oil% 40.37</v>
      </c>
      <c r="BP1453" s="318">
        <f t="shared" si="996"/>
        <v>7911.3919524973799</v>
      </c>
      <c r="BQ1453" s="193"/>
      <c r="BR1453" s="193"/>
      <c r="BS1453" s="193"/>
      <c r="BT1453" s="193"/>
      <c r="BU1453" s="193"/>
      <c r="BV1453" s="193"/>
      <c r="BW1453" s="373"/>
      <c r="BX1453" s="27">
        <v>39.75</v>
      </c>
      <c r="BY1453" s="27">
        <v>39.729999999999997</v>
      </c>
    </row>
    <row r="1454" spans="1:83" ht="14.1" hidden="1" customHeight="1" x14ac:dyDescent="0.3">
      <c r="A1454" s="128" t="s">
        <v>3068</v>
      </c>
      <c r="B1454" s="146">
        <v>46224</v>
      </c>
      <c r="C1454" s="138">
        <v>1419</v>
      </c>
      <c r="D1454" s="138" t="s">
        <v>3096</v>
      </c>
      <c r="E1454" s="129">
        <v>46227</v>
      </c>
      <c r="F1454" s="128" t="s">
        <v>1144</v>
      </c>
      <c r="G1454" s="281" t="s">
        <v>1145</v>
      </c>
      <c r="H1454" s="281" t="s">
        <v>100</v>
      </c>
      <c r="I1454" s="138"/>
      <c r="J1454" s="138" t="s">
        <v>1146</v>
      </c>
      <c r="K1454" s="136"/>
      <c r="L1454" s="146">
        <v>46224</v>
      </c>
      <c r="M1454" s="136"/>
      <c r="N1454" s="128" t="s">
        <v>3122</v>
      </c>
      <c r="O1454" s="146">
        <v>46227</v>
      </c>
      <c r="P1454" s="138">
        <v>0</v>
      </c>
      <c r="Q1454" s="138">
        <v>100</v>
      </c>
      <c r="R1454" s="138">
        <v>62</v>
      </c>
      <c r="S1454" s="138">
        <v>162</v>
      </c>
      <c r="T1454" s="138">
        <v>162</v>
      </c>
      <c r="U1454" s="136"/>
      <c r="V1454" s="136"/>
      <c r="W1454" s="147">
        <v>82.2</v>
      </c>
      <c r="X1454" s="147">
        <v>82.2</v>
      </c>
      <c r="Y1454" s="147">
        <v>678232.2</v>
      </c>
      <c r="Z1454" s="236">
        <v>40.299999999999997</v>
      </c>
      <c r="AA1454" s="147">
        <v>16955.810000000001</v>
      </c>
      <c r="AB1454" s="147">
        <v>16955.810000000001</v>
      </c>
      <c r="AC1454" s="147">
        <v>712143.81</v>
      </c>
      <c r="AD1454" s="315">
        <f t="shared" si="1001"/>
        <v>711431.66619000002</v>
      </c>
      <c r="AE1454" s="236">
        <v>40.299999999999997</v>
      </c>
      <c r="AF1454" s="147">
        <v>42</v>
      </c>
      <c r="AG1454" s="236">
        <v>40.299999999999997</v>
      </c>
      <c r="AH1454" s="287">
        <v>2.8E-3</v>
      </c>
      <c r="AI1454" s="287">
        <v>5.4600000000000003E-2</v>
      </c>
      <c r="AJ1454" s="287">
        <v>5.2999999999999999E-2</v>
      </c>
      <c r="AK1454" s="318">
        <f t="shared" si="980"/>
        <v>27452.255714285755</v>
      </c>
      <c r="AL1454" s="193">
        <v>0</v>
      </c>
      <c r="AM1454" s="319">
        <v>0</v>
      </c>
      <c r="AN1454" s="319"/>
      <c r="AO1454" s="320">
        <f t="shared" si="981"/>
        <v>0</v>
      </c>
      <c r="AP1454" s="193">
        <v>0</v>
      </c>
      <c r="AQ1454" s="318">
        <v>0</v>
      </c>
      <c r="AR1454" s="318">
        <f t="shared" si="982"/>
        <v>27452.255714285755</v>
      </c>
      <c r="AS1454" s="318">
        <f t="shared" si="983"/>
        <v>28825</v>
      </c>
      <c r="AT1454" s="321">
        <v>0</v>
      </c>
      <c r="AU1454" s="193"/>
      <c r="AV1454" s="193"/>
      <c r="AW1454" s="318">
        <f t="shared" si="984"/>
        <v>8220</v>
      </c>
      <c r="AX1454" s="193"/>
      <c r="AY1454" s="318">
        <f t="shared" si="985"/>
        <v>8220</v>
      </c>
      <c r="AZ1454" s="318">
        <f t="shared" si="986"/>
        <v>8220</v>
      </c>
      <c r="BA1454" s="318">
        <f t="shared" si="987"/>
        <v>0</v>
      </c>
      <c r="BB1454" s="318">
        <f t="shared" si="988"/>
        <v>16.440000000000001</v>
      </c>
      <c r="BC1454" s="318">
        <v>0</v>
      </c>
      <c r="BD1454" s="193"/>
      <c r="BE1454" s="138">
        <v>82.2</v>
      </c>
      <c r="BF1454" s="321">
        <f t="shared" si="989"/>
        <v>0.12330000000000001</v>
      </c>
      <c r="BG1454" s="321">
        <f t="shared" si="990"/>
        <v>82.076700000000002</v>
      </c>
      <c r="BH1454" s="321">
        <f t="shared" si="991"/>
        <v>82.2</v>
      </c>
      <c r="BI1454" s="322">
        <f t="shared" si="992"/>
        <v>0</v>
      </c>
      <c r="BJ1454" s="322">
        <v>0</v>
      </c>
      <c r="BK1454" s="318">
        <f t="shared" si="993"/>
        <v>0</v>
      </c>
      <c r="BL1454" s="193"/>
      <c r="BM1454" s="449" t="str">
        <f t="shared" si="994"/>
        <v>Unloading no. 1419 Bill No 2026-27/483 ,Deduction For Oil Deduction= 27452.2557142858 ,Bardana= 0 ,F.M= 0 Brokerage/Rate Difference  ,Shortage = 0 ,Greenish= 0 ,Moisture= 0</v>
      </c>
      <c r="BN1454" s="193"/>
      <c r="BO1454" s="449" t="str">
        <f t="shared" si="995"/>
        <v xml:space="preserve"> Party Condition 42  ,F.M% 0.28 ,Greenish 5.46 ,Moisture 5.3 ,Shortage in KG= 0  ,Oil% 40.3</v>
      </c>
      <c r="BP1454" s="318">
        <f t="shared" si="996"/>
        <v>7917.030952380951</v>
      </c>
      <c r="BQ1454" s="193"/>
      <c r="BR1454" s="193"/>
      <c r="BS1454" s="193"/>
      <c r="BT1454" s="193"/>
      <c r="BU1454" s="193"/>
      <c r="BV1454" s="193"/>
      <c r="BW1454" s="373"/>
      <c r="BX1454" s="27">
        <v>40.18</v>
      </c>
      <c r="BY1454" s="27">
        <v>40.01</v>
      </c>
    </row>
    <row r="1455" spans="1:83" ht="14.1" hidden="1" customHeight="1" x14ac:dyDescent="0.3">
      <c r="A1455" s="128" t="s">
        <v>3068</v>
      </c>
      <c r="B1455" s="146">
        <v>46224</v>
      </c>
      <c r="C1455" s="138">
        <v>1420</v>
      </c>
      <c r="D1455" s="138" t="s">
        <v>3097</v>
      </c>
      <c r="E1455" s="129">
        <v>46227</v>
      </c>
      <c r="F1455" s="128" t="s">
        <v>1144</v>
      </c>
      <c r="G1455" s="281" t="s">
        <v>1145</v>
      </c>
      <c r="H1455" s="281" t="s">
        <v>100</v>
      </c>
      <c r="I1455" s="138"/>
      <c r="J1455" s="138" t="s">
        <v>1146</v>
      </c>
      <c r="K1455" s="136"/>
      <c r="L1455" s="146">
        <v>46224</v>
      </c>
      <c r="M1455" s="136"/>
      <c r="N1455" s="128" t="s">
        <v>3123</v>
      </c>
      <c r="O1455" s="146">
        <v>46227</v>
      </c>
      <c r="P1455" s="138">
        <v>0</v>
      </c>
      <c r="Q1455" s="138">
        <v>140</v>
      </c>
      <c r="R1455" s="138">
        <v>26</v>
      </c>
      <c r="S1455" s="138">
        <v>166</v>
      </c>
      <c r="T1455" s="138">
        <v>166</v>
      </c>
      <c r="U1455" s="136"/>
      <c r="V1455" s="136"/>
      <c r="W1455" s="147">
        <v>84.9</v>
      </c>
      <c r="X1455" s="147">
        <v>84.9</v>
      </c>
      <c r="Y1455" s="147">
        <v>700509</v>
      </c>
      <c r="Z1455" s="236">
        <v>40.11</v>
      </c>
      <c r="AA1455" s="147">
        <v>17512.73</v>
      </c>
      <c r="AB1455" s="147">
        <v>17512.73</v>
      </c>
      <c r="AC1455" s="147">
        <v>735534.45</v>
      </c>
      <c r="AD1455" s="315">
        <f t="shared" si="1001"/>
        <v>734798.91554999992</v>
      </c>
      <c r="AE1455" s="236">
        <v>40.11</v>
      </c>
      <c r="AF1455" s="147">
        <v>42</v>
      </c>
      <c r="AG1455" s="236">
        <v>40.11</v>
      </c>
      <c r="AH1455" s="287">
        <v>3.0000000000000001E-3</v>
      </c>
      <c r="AI1455" s="287">
        <v>5.5E-2</v>
      </c>
      <c r="AJ1455" s="287">
        <v>5.8000000000000003E-2</v>
      </c>
      <c r="AK1455" s="318">
        <f t="shared" si="980"/>
        <v>31522.90500000001</v>
      </c>
      <c r="AL1455" s="193">
        <v>0</v>
      </c>
      <c r="AM1455" s="319">
        <v>0</v>
      </c>
      <c r="AN1455" s="319"/>
      <c r="AO1455" s="320">
        <f t="shared" si="981"/>
        <v>0</v>
      </c>
      <c r="AP1455" s="193">
        <v>0</v>
      </c>
      <c r="AQ1455" s="318">
        <v>0</v>
      </c>
      <c r="AR1455" s="318">
        <f t="shared" si="982"/>
        <v>31522.90500000001</v>
      </c>
      <c r="AS1455" s="318">
        <f t="shared" si="983"/>
        <v>33099</v>
      </c>
      <c r="AT1455" s="321">
        <v>0</v>
      </c>
      <c r="AU1455" s="193"/>
      <c r="AV1455" s="193"/>
      <c r="AW1455" s="318">
        <f t="shared" si="984"/>
        <v>8490</v>
      </c>
      <c r="AX1455" s="193"/>
      <c r="AY1455" s="318">
        <f t="shared" si="985"/>
        <v>8490</v>
      </c>
      <c r="AZ1455" s="318">
        <f t="shared" si="986"/>
        <v>8490</v>
      </c>
      <c r="BA1455" s="318">
        <f t="shared" si="987"/>
        <v>0</v>
      </c>
      <c r="BB1455" s="318">
        <f t="shared" si="988"/>
        <v>16.98</v>
      </c>
      <c r="BC1455" s="318">
        <v>0</v>
      </c>
      <c r="BD1455" s="193"/>
      <c r="BE1455" s="138">
        <v>84.9</v>
      </c>
      <c r="BF1455" s="321">
        <f t="shared" si="989"/>
        <v>0.12735000000000002</v>
      </c>
      <c r="BG1455" s="321">
        <f t="shared" si="990"/>
        <v>84.772649999999999</v>
      </c>
      <c r="BH1455" s="321">
        <f t="shared" si="991"/>
        <v>84.9</v>
      </c>
      <c r="BI1455" s="322">
        <f t="shared" si="992"/>
        <v>0</v>
      </c>
      <c r="BJ1455" s="322">
        <v>0</v>
      </c>
      <c r="BK1455" s="318">
        <f t="shared" si="993"/>
        <v>0</v>
      </c>
      <c r="BL1455" s="193"/>
      <c r="BM1455" s="449" t="str">
        <f t="shared" si="994"/>
        <v>Unloading no. 1420 Bill No 2026-27/484 ,Deduction For Oil Deduction= 31522.905 ,Bardana= 0 ,F.M= 0 Brokerage/Rate Difference  ,Shortage = 0 ,Greenish= 0 ,Moisture= 0</v>
      </c>
      <c r="BN1455" s="193"/>
      <c r="BO1455" s="449" t="str">
        <f t="shared" si="995"/>
        <v xml:space="preserve"> Party Condition 42  ,F.M% 0.3 ,Greenish 5.5 ,Moisture 5.8 ,Shortage in KG= 0  ,Oil% 40.11</v>
      </c>
      <c r="BP1455" s="318">
        <f t="shared" si="996"/>
        <v>7879.6948763250875</v>
      </c>
      <c r="BQ1455" s="193"/>
      <c r="BR1455" s="193"/>
      <c r="BS1455" s="193"/>
      <c r="BT1455" s="193"/>
      <c r="BU1455" s="193"/>
      <c r="BV1455" s="193"/>
      <c r="BW1455" s="373"/>
      <c r="BX1455" s="459">
        <v>39.6</v>
      </c>
      <c r="BY1455" s="459">
        <v>39.56</v>
      </c>
    </row>
    <row r="1456" spans="1:83" ht="14.1" hidden="1" customHeight="1" x14ac:dyDescent="0.3">
      <c r="A1456" s="128" t="s">
        <v>2827</v>
      </c>
      <c r="B1456" s="146">
        <v>46216</v>
      </c>
      <c r="C1456" s="138">
        <v>1421</v>
      </c>
      <c r="D1456" s="138" t="s">
        <v>3098</v>
      </c>
      <c r="E1456" s="129">
        <v>46227</v>
      </c>
      <c r="F1456" s="128" t="s">
        <v>2497</v>
      </c>
      <c r="G1456" s="281" t="s">
        <v>2498</v>
      </c>
      <c r="H1456" s="281" t="s">
        <v>100</v>
      </c>
      <c r="I1456" s="138"/>
      <c r="J1456" s="138" t="s">
        <v>1146</v>
      </c>
      <c r="K1456" s="136"/>
      <c r="L1456" s="146">
        <v>46216</v>
      </c>
      <c r="M1456" s="136"/>
      <c r="N1456" s="128" t="s">
        <v>3124</v>
      </c>
      <c r="O1456" s="146">
        <v>46227</v>
      </c>
      <c r="P1456" s="138">
        <v>0</v>
      </c>
      <c r="Q1456" s="138">
        <v>105</v>
      </c>
      <c r="R1456" s="138">
        <v>50</v>
      </c>
      <c r="S1456" s="138">
        <v>155</v>
      </c>
      <c r="T1456" s="138">
        <v>155</v>
      </c>
      <c r="U1456" s="136"/>
      <c r="V1456" s="136"/>
      <c r="W1456" s="147">
        <v>93.7</v>
      </c>
      <c r="X1456" s="147">
        <v>93.8</v>
      </c>
      <c r="Y1456" s="147">
        <v>754285</v>
      </c>
      <c r="Z1456" s="236">
        <v>39.22</v>
      </c>
      <c r="AA1456" s="147">
        <v>18857.13</v>
      </c>
      <c r="AB1456" s="147">
        <v>18857.13</v>
      </c>
      <c r="AC1456" s="147">
        <v>791999.25</v>
      </c>
      <c r="AD1456" s="315">
        <f t="shared" si="1001"/>
        <v>791207.25075000001</v>
      </c>
      <c r="AE1456" s="236">
        <v>39.22</v>
      </c>
      <c r="AF1456" s="147">
        <v>42</v>
      </c>
      <c r="AG1456" s="236">
        <v>39.22</v>
      </c>
      <c r="AH1456" s="287">
        <v>2.2000000000000001E-3</v>
      </c>
      <c r="AI1456" s="287">
        <v>0.03</v>
      </c>
      <c r="AJ1456" s="287">
        <v>5.1999999999999998E-2</v>
      </c>
      <c r="AK1456" s="318">
        <f t="shared" si="980"/>
        <v>49926.483333333352</v>
      </c>
      <c r="AL1456" s="193">
        <v>0</v>
      </c>
      <c r="AM1456" s="319">
        <v>0</v>
      </c>
      <c r="AN1456" s="319"/>
      <c r="AO1456" s="320">
        <f t="shared" si="981"/>
        <v>0</v>
      </c>
      <c r="AP1456" s="193">
        <v>0</v>
      </c>
      <c r="AQ1456" s="318">
        <v>0</v>
      </c>
      <c r="AR1456" s="318">
        <f t="shared" si="982"/>
        <v>49926.483333333352</v>
      </c>
      <c r="AS1456" s="318">
        <f t="shared" si="983"/>
        <v>52423</v>
      </c>
      <c r="AT1456" s="321">
        <v>0</v>
      </c>
      <c r="AU1456" s="193"/>
      <c r="AV1456" s="193"/>
      <c r="AW1456" s="318">
        <f t="shared" si="984"/>
        <v>9370</v>
      </c>
      <c r="AX1456" s="193"/>
      <c r="AY1456" s="318">
        <f t="shared" si="985"/>
        <v>9370</v>
      </c>
      <c r="AZ1456" s="318">
        <f t="shared" si="986"/>
        <v>9380</v>
      </c>
      <c r="BA1456" s="318">
        <f t="shared" si="987"/>
        <v>-10</v>
      </c>
      <c r="BB1456" s="318">
        <f t="shared" si="988"/>
        <v>18.739999999999998</v>
      </c>
      <c r="BC1456" s="318">
        <v>0</v>
      </c>
      <c r="BD1456" s="193"/>
      <c r="BE1456" s="138">
        <v>93.7</v>
      </c>
      <c r="BF1456" s="321">
        <f t="shared" si="989"/>
        <v>0.14055000000000001</v>
      </c>
      <c r="BG1456" s="321">
        <f t="shared" si="990"/>
        <v>93.559449999999998</v>
      </c>
      <c r="BH1456" s="321">
        <f t="shared" si="991"/>
        <v>93.8</v>
      </c>
      <c r="BI1456" s="322">
        <f t="shared" si="992"/>
        <v>-9.9999999999994316</v>
      </c>
      <c r="BJ1456" s="322">
        <v>0</v>
      </c>
      <c r="BK1456" s="318">
        <f t="shared" si="993"/>
        <v>-9.9999999999994316</v>
      </c>
      <c r="BL1456" s="193"/>
      <c r="BM1456" s="449" t="str">
        <f t="shared" si="994"/>
        <v>Unloading no. 1421 Bill No HA/26-27/0504 ,Deduction For Oil Deduction= 49926.4833333334 ,Bardana= 0 ,F.M= 0 Brokerage/Rate Difference  ,Shortage = 0 ,Greenish= 0 ,Moisture= 0</v>
      </c>
      <c r="BN1456" s="193"/>
      <c r="BO1456" s="449" t="str">
        <f t="shared" si="995"/>
        <v xml:space="preserve"> Party Condition 42  ,F.M% 0.22 ,Greenish 3 ,Moisture 5.2 ,Shortage in KG= 0  ,Oil% 39.22</v>
      </c>
      <c r="BP1456" s="318">
        <f t="shared" si="996"/>
        <v>7509.1526297085993</v>
      </c>
      <c r="BQ1456" s="193"/>
      <c r="BR1456" s="193"/>
      <c r="BS1456" s="193"/>
      <c r="BT1456" s="193"/>
      <c r="BU1456" s="193"/>
      <c r="BV1456" s="193"/>
      <c r="BW1456" s="373"/>
      <c r="BX1456" s="27">
        <v>38.86</v>
      </c>
      <c r="BY1456" s="27">
        <v>38.89</v>
      </c>
    </row>
    <row r="1457" spans="1:83" ht="14.1" hidden="1" customHeight="1" x14ac:dyDescent="0.3">
      <c r="A1457" s="281" t="s">
        <v>2827</v>
      </c>
      <c r="B1457" s="146">
        <v>46216</v>
      </c>
      <c r="C1457" s="138">
        <v>1422</v>
      </c>
      <c r="D1457" s="138" t="s">
        <v>3130</v>
      </c>
      <c r="E1457" s="129">
        <v>46228</v>
      </c>
      <c r="F1457" s="128" t="s">
        <v>2497</v>
      </c>
      <c r="G1457" s="128" t="s">
        <v>2498</v>
      </c>
      <c r="H1457" s="281" t="s">
        <v>100</v>
      </c>
      <c r="I1457" s="136"/>
      <c r="J1457" s="138" t="s">
        <v>1146</v>
      </c>
      <c r="K1457" s="136"/>
      <c r="L1457" s="146">
        <v>46216</v>
      </c>
      <c r="M1457" s="136"/>
      <c r="N1457" s="281" t="s">
        <v>3155</v>
      </c>
      <c r="O1457" s="146">
        <v>46227</v>
      </c>
      <c r="P1457" s="138">
        <v>0</v>
      </c>
      <c r="Q1457" s="138">
        <v>135</v>
      </c>
      <c r="R1457" s="138">
        <v>51</v>
      </c>
      <c r="S1457" s="138">
        <v>186</v>
      </c>
      <c r="T1457" s="138">
        <v>186</v>
      </c>
      <c r="U1457" s="136"/>
      <c r="V1457" s="136"/>
      <c r="W1457" s="147">
        <v>94.9</v>
      </c>
      <c r="X1457" s="147">
        <v>94.6</v>
      </c>
      <c r="Y1457" s="147">
        <v>763945</v>
      </c>
      <c r="Z1457" s="236">
        <v>39.840000000000003</v>
      </c>
      <c r="AA1457" s="147">
        <v>19098.63</v>
      </c>
      <c r="AB1457" s="147">
        <v>19098.63</v>
      </c>
      <c r="AC1457" s="147">
        <v>802142.25</v>
      </c>
      <c r="AD1457" s="315">
        <f t="shared" si="1001"/>
        <v>801340.10774999997</v>
      </c>
      <c r="AE1457" s="236">
        <v>39.840000000000003</v>
      </c>
      <c r="AF1457" s="147">
        <v>42</v>
      </c>
      <c r="AG1457" s="236">
        <v>39.840000000000003</v>
      </c>
      <c r="AH1457" s="287">
        <v>3.5999999999999999E-3</v>
      </c>
      <c r="AI1457" s="287">
        <v>0.03</v>
      </c>
      <c r="AJ1457" s="287">
        <v>5.5E-2</v>
      </c>
      <c r="AK1457" s="318">
        <f t="shared" ref="AK1457:AK1481" si="1002">+IF(AF1457=42,IF(MIN(AE1457,AG1457)&lt;AF1457,Y1457*((AF1457-MIN(AE1457,AG1457))/AF1457)),IF(MIN(AE1457,AG1457)&lt;AF1457,Y1457*((AF1457-MIN(AE1457,AG1457))/AF1457),0))</f>
        <v>39288.599999999933</v>
      </c>
      <c r="AL1457" s="193">
        <v>0</v>
      </c>
      <c r="AM1457" s="319">
        <v>0</v>
      </c>
      <c r="AN1457" s="319"/>
      <c r="AO1457" s="320">
        <f t="shared" ref="AO1457:AO1481" si="1003">AT1457*Y1457/AW1457</f>
        <v>0</v>
      </c>
      <c r="AP1457" s="193">
        <v>0</v>
      </c>
      <c r="AQ1457" s="318">
        <v>0</v>
      </c>
      <c r="AR1457" s="318">
        <f t="shared" ref="AR1457:AR1481" si="1004">SUM(AK1457:AQ1457)</f>
        <v>39288.599999999933</v>
      </c>
      <c r="AS1457" s="318">
        <f t="shared" ref="AS1457:AS1481" si="1005">ROUND(AR1457*1.05,0)</f>
        <v>41253</v>
      </c>
      <c r="AT1457" s="321">
        <v>0</v>
      </c>
      <c r="AU1457" s="193"/>
      <c r="AV1457" s="193"/>
      <c r="AW1457" s="318">
        <f t="shared" ref="AW1457:AW1481" si="1006">W1457*100</f>
        <v>9490</v>
      </c>
      <c r="AX1457" s="193"/>
      <c r="AY1457" s="318">
        <f t="shared" ref="AY1457:AY1481" si="1007">+AW1457+AX1457</f>
        <v>9490</v>
      </c>
      <c r="AZ1457" s="318">
        <f t="shared" ref="AZ1457:AZ1481" si="1008">X1457*100</f>
        <v>9460</v>
      </c>
      <c r="BA1457" s="318">
        <f t="shared" ref="BA1457:BA1481" si="1009">AY1457-AZ1457</f>
        <v>30</v>
      </c>
      <c r="BB1457" s="318">
        <f t="shared" ref="BB1457:BB1481" si="1010">AW1457*2/1000</f>
        <v>18.98</v>
      </c>
      <c r="BC1457" s="318">
        <v>0</v>
      </c>
      <c r="BD1457" s="193"/>
      <c r="BE1457" s="138">
        <v>94.9</v>
      </c>
      <c r="BF1457" s="321">
        <f t="shared" ref="BF1457:BF1481" si="1011">+BE1457*0.15/100</f>
        <v>0.14235</v>
      </c>
      <c r="BG1457" s="321">
        <f t="shared" ref="BG1457:BG1481" si="1012">BE1457-BF1457</f>
        <v>94.757650000000012</v>
      </c>
      <c r="BH1457" s="321">
        <f t="shared" ref="BH1457:BH1481" si="1013">X1457</f>
        <v>94.6</v>
      </c>
      <c r="BI1457" s="322">
        <f t="shared" ref="BI1457:BI1481" si="1014">(BE1457-BH1457)*100</f>
        <v>30.000000000001137</v>
      </c>
      <c r="BJ1457" s="322">
        <v>0</v>
      </c>
      <c r="BK1457" s="318">
        <f t="shared" ref="BK1457:BK1481" si="1015">BI1457</f>
        <v>30.000000000001137</v>
      </c>
      <c r="BL1457" s="193"/>
      <c r="BM1457" s="449" t="str">
        <f t="shared" ref="BM1457:BM1481" si="1016">+$C$1&amp;" "&amp;C1457 &amp;" "&amp;$N$1&amp;" "&amp;N1457&amp;" "&amp;$BM$1&amp;" "&amp;$AK$1&amp;" "&amp;AK1457&amp;" "&amp;$AL$1&amp;" "&amp;AL1457&amp;" "&amp;$AM$1&amp;" "&amp;AM1457&amp;" "&amp;$AN$1&amp;" "&amp;AN1457&amp;" "&amp;$AO$1&amp;" "&amp;AO1457&amp;" "&amp;$AP$1&amp;" "&amp;AP1457&amp;" "&amp;$AQ$1&amp;" "&amp;AQ1457</f>
        <v>Unloading no. 1422 Bill No HA/26-27/0503 ,Deduction For Oil Deduction= 39288.5999999999 ,Bardana= 0 ,F.M= 0 Brokerage/Rate Difference  ,Shortage = 0 ,Greenish= 0 ,Moisture= 0</v>
      </c>
      <c r="BN1457" s="193"/>
      <c r="BO1457" s="449" t="str">
        <f t="shared" ref="BO1457:BO1481" si="1017">+" "&amp;$AF$1&amp;" "&amp;AF1457&amp;" "&amp;" "&amp;$AH$1&amp;" "&amp;AH1457*100&amp;" "&amp;$AI$1&amp;" "&amp;AI1457*100&amp;" "&amp;$AJ$1&amp;" "&amp;AJ1457*100&amp;" ,"&amp;$AT$1&amp;" "&amp;AT1457&amp;" "&amp;IF(AE1457&gt;AG1457," ,Oil%"&amp;" "&amp;AG1457," ,Oil%"&amp;" "&amp;AE1457)</f>
        <v xml:space="preserve"> Party Condition 42  ,F.M% 0.36 ,Greenish 3 ,Moisture 5.5 ,Shortage in KG= 0  ,Oil% 39.84</v>
      </c>
      <c r="BP1457" s="318">
        <f t="shared" ref="BP1457:BP1481" si="1018">(Y1457-AR1457)/X1457</f>
        <v>7660.2156448202968</v>
      </c>
      <c r="BQ1457" s="193"/>
      <c r="BR1457" s="193"/>
      <c r="BS1457" s="193"/>
      <c r="BT1457" s="193"/>
      <c r="BU1457" s="193"/>
      <c r="BV1457" s="193"/>
      <c r="BW1457" s="373"/>
      <c r="BX1457" s="27">
        <v>39.700000000000003</v>
      </c>
      <c r="BY1457" s="27">
        <v>39.630000000000003</v>
      </c>
    </row>
    <row r="1458" spans="1:83" ht="14.1" hidden="1" customHeight="1" x14ac:dyDescent="0.3">
      <c r="A1458" s="281" t="s">
        <v>3068</v>
      </c>
      <c r="B1458" s="146">
        <v>46224</v>
      </c>
      <c r="C1458" s="138">
        <v>1423</v>
      </c>
      <c r="D1458" s="138" t="s">
        <v>3131</v>
      </c>
      <c r="E1458" s="129">
        <v>46228</v>
      </c>
      <c r="F1458" s="128" t="s">
        <v>1144</v>
      </c>
      <c r="G1458" s="128" t="s">
        <v>1145</v>
      </c>
      <c r="H1458" s="281" t="s">
        <v>100</v>
      </c>
      <c r="I1458" s="136"/>
      <c r="J1458" s="138" t="s">
        <v>1146</v>
      </c>
      <c r="K1458" s="136"/>
      <c r="L1458" s="146">
        <v>46224</v>
      </c>
      <c r="M1458" s="136"/>
      <c r="N1458" s="281" t="s">
        <v>3156</v>
      </c>
      <c r="O1458" s="146">
        <v>46227</v>
      </c>
      <c r="P1458" s="138">
        <v>0</v>
      </c>
      <c r="Q1458" s="138">
        <v>100</v>
      </c>
      <c r="R1458" s="138">
        <v>42</v>
      </c>
      <c r="S1458" s="138">
        <v>142</v>
      </c>
      <c r="T1458" s="138">
        <v>142</v>
      </c>
      <c r="U1458" s="136"/>
      <c r="V1458" s="136"/>
      <c r="W1458" s="147">
        <v>85.1</v>
      </c>
      <c r="X1458" s="147">
        <v>85</v>
      </c>
      <c r="Y1458" s="147">
        <v>702160.1</v>
      </c>
      <c r="Z1458" s="236">
        <v>40.04</v>
      </c>
      <c r="AA1458" s="147">
        <v>17554</v>
      </c>
      <c r="AB1458" s="147">
        <v>17554</v>
      </c>
      <c r="AC1458" s="147">
        <v>737268.11</v>
      </c>
      <c r="AD1458" s="315">
        <f t="shared" si="1001"/>
        <v>736530.84189000004</v>
      </c>
      <c r="AE1458" s="236">
        <v>40.04</v>
      </c>
      <c r="AF1458" s="147">
        <v>42</v>
      </c>
      <c r="AG1458" s="236">
        <v>40.04</v>
      </c>
      <c r="AH1458" s="287">
        <v>4.5999999999999999E-3</v>
      </c>
      <c r="AI1458" s="287">
        <v>3.6600000000000001E-2</v>
      </c>
      <c r="AJ1458" s="287">
        <v>5.7000000000000002E-2</v>
      </c>
      <c r="AK1458" s="318">
        <f t="shared" si="1002"/>
        <v>32767.471333333349</v>
      </c>
      <c r="AL1458" s="193">
        <v>0</v>
      </c>
      <c r="AM1458" s="319">
        <v>0</v>
      </c>
      <c r="AN1458" s="319"/>
      <c r="AO1458" s="320">
        <f t="shared" si="1003"/>
        <v>0</v>
      </c>
      <c r="AP1458" s="193">
        <v>0</v>
      </c>
      <c r="AQ1458" s="318">
        <v>0</v>
      </c>
      <c r="AR1458" s="318">
        <f t="shared" si="1004"/>
        <v>32767.471333333349</v>
      </c>
      <c r="AS1458" s="318">
        <f t="shared" si="1005"/>
        <v>34406</v>
      </c>
      <c r="AT1458" s="321">
        <v>0</v>
      </c>
      <c r="AU1458" s="193"/>
      <c r="AV1458" s="193"/>
      <c r="AW1458" s="318">
        <f t="shared" si="1006"/>
        <v>8510</v>
      </c>
      <c r="AX1458" s="193"/>
      <c r="AY1458" s="318">
        <f t="shared" si="1007"/>
        <v>8510</v>
      </c>
      <c r="AZ1458" s="318">
        <f t="shared" si="1008"/>
        <v>8500</v>
      </c>
      <c r="BA1458" s="318">
        <f t="shared" si="1009"/>
        <v>10</v>
      </c>
      <c r="BB1458" s="318">
        <f t="shared" si="1010"/>
        <v>17.02</v>
      </c>
      <c r="BC1458" s="318">
        <v>0</v>
      </c>
      <c r="BD1458" s="193"/>
      <c r="BE1458" s="138">
        <v>85.1</v>
      </c>
      <c r="BF1458" s="321">
        <f t="shared" si="1011"/>
        <v>0.12764999999999999</v>
      </c>
      <c r="BG1458" s="321">
        <f t="shared" si="1012"/>
        <v>84.972349999999992</v>
      </c>
      <c r="BH1458" s="321">
        <f t="shared" si="1013"/>
        <v>85</v>
      </c>
      <c r="BI1458" s="322">
        <f t="shared" si="1014"/>
        <v>9.9999999999994316</v>
      </c>
      <c r="BJ1458" s="322">
        <v>0</v>
      </c>
      <c r="BK1458" s="318">
        <f t="shared" si="1015"/>
        <v>9.9999999999994316</v>
      </c>
      <c r="BL1458" s="193"/>
      <c r="BM1458" s="449" t="str">
        <f t="shared" si="1016"/>
        <v>Unloading no. 1423 Bill No 2026-27/486 ,Deduction For Oil Deduction= 32767.4713333333 ,Bardana= 0 ,F.M= 0 Brokerage/Rate Difference  ,Shortage = 0 ,Greenish= 0 ,Moisture= 0</v>
      </c>
      <c r="BN1458" s="193"/>
      <c r="BO1458" s="449" t="str">
        <f t="shared" si="1017"/>
        <v xml:space="preserve"> Party Condition 42  ,F.M% 0.46 ,Greenish 3.66 ,Moisture 5.7 ,Shortage in KG= 0  ,Oil% 40.04</v>
      </c>
      <c r="BP1458" s="318">
        <f t="shared" si="1018"/>
        <v>7875.2073960784301</v>
      </c>
      <c r="BQ1458" s="193"/>
      <c r="BR1458" s="193"/>
      <c r="BS1458" s="193"/>
      <c r="BT1458" s="193"/>
      <c r="BU1458" s="193"/>
      <c r="BV1458" s="193"/>
      <c r="BW1458" s="373"/>
      <c r="BX1458" s="27">
        <v>39.9</v>
      </c>
      <c r="BY1458" s="27">
        <v>39.79</v>
      </c>
    </row>
    <row r="1459" spans="1:83" ht="14.1" hidden="1" customHeight="1" x14ac:dyDescent="0.3">
      <c r="A1459" s="281" t="s">
        <v>3068</v>
      </c>
      <c r="B1459" s="146">
        <v>46224</v>
      </c>
      <c r="C1459" s="138">
        <v>1424</v>
      </c>
      <c r="D1459" s="138" t="s">
        <v>3132</v>
      </c>
      <c r="E1459" s="129">
        <v>46228</v>
      </c>
      <c r="F1459" s="128" t="s">
        <v>1144</v>
      </c>
      <c r="G1459" s="128" t="s">
        <v>1145</v>
      </c>
      <c r="H1459" s="281" t="s">
        <v>100</v>
      </c>
      <c r="I1459" s="136"/>
      <c r="J1459" s="138" t="s">
        <v>1146</v>
      </c>
      <c r="K1459" s="136"/>
      <c r="L1459" s="146">
        <v>46224</v>
      </c>
      <c r="M1459" s="136"/>
      <c r="N1459" s="281" t="s">
        <v>3157</v>
      </c>
      <c r="O1459" s="146">
        <v>46227</v>
      </c>
      <c r="P1459" s="138">
        <v>0</v>
      </c>
      <c r="Q1459" s="138">
        <v>100</v>
      </c>
      <c r="R1459" s="138">
        <v>50</v>
      </c>
      <c r="S1459" s="138">
        <v>150</v>
      </c>
      <c r="T1459" s="138">
        <v>150</v>
      </c>
      <c r="U1459" s="136"/>
      <c r="V1459" s="136"/>
      <c r="W1459" s="147">
        <v>88.4</v>
      </c>
      <c r="X1459" s="147">
        <v>88.4</v>
      </c>
      <c r="Y1459" s="147">
        <v>729388.4</v>
      </c>
      <c r="Z1459" s="236">
        <v>40.799999999999997</v>
      </c>
      <c r="AA1459" s="147">
        <v>18234.71</v>
      </c>
      <c r="AB1459" s="147">
        <v>18234.71</v>
      </c>
      <c r="AC1459" s="147">
        <v>765857.82</v>
      </c>
      <c r="AD1459" s="315">
        <f t="shared" si="1001"/>
        <v>765091.96217999991</v>
      </c>
      <c r="AE1459" s="236">
        <v>40.799999999999997</v>
      </c>
      <c r="AF1459" s="147">
        <v>42</v>
      </c>
      <c r="AG1459" s="236">
        <v>40.799999999999997</v>
      </c>
      <c r="AH1459" s="287">
        <v>4.8999999999999998E-3</v>
      </c>
      <c r="AI1459" s="287">
        <v>0.05</v>
      </c>
      <c r="AJ1459" s="287">
        <v>5.6000000000000001E-2</v>
      </c>
      <c r="AK1459" s="318">
        <f t="shared" si="1002"/>
        <v>20839.668571428621</v>
      </c>
      <c r="AL1459" s="193">
        <v>0</v>
      </c>
      <c r="AM1459" s="319">
        <v>0</v>
      </c>
      <c r="AN1459" s="319"/>
      <c r="AO1459" s="320">
        <f t="shared" si="1003"/>
        <v>0</v>
      </c>
      <c r="AP1459" s="193">
        <v>0</v>
      </c>
      <c r="AQ1459" s="318">
        <v>0</v>
      </c>
      <c r="AR1459" s="318">
        <f t="shared" si="1004"/>
        <v>20839.668571428621</v>
      </c>
      <c r="AS1459" s="318">
        <f t="shared" si="1005"/>
        <v>21882</v>
      </c>
      <c r="AT1459" s="321">
        <v>0</v>
      </c>
      <c r="AU1459" s="193"/>
      <c r="AV1459" s="193"/>
      <c r="AW1459" s="318">
        <f t="shared" si="1006"/>
        <v>8840</v>
      </c>
      <c r="AX1459" s="193"/>
      <c r="AY1459" s="318">
        <f t="shared" si="1007"/>
        <v>8840</v>
      </c>
      <c r="AZ1459" s="318">
        <f t="shared" si="1008"/>
        <v>8840</v>
      </c>
      <c r="BA1459" s="318">
        <f t="shared" si="1009"/>
        <v>0</v>
      </c>
      <c r="BB1459" s="318">
        <f t="shared" si="1010"/>
        <v>17.68</v>
      </c>
      <c r="BC1459" s="318">
        <v>0</v>
      </c>
      <c r="BD1459" s="193"/>
      <c r="BE1459" s="138">
        <v>88.4</v>
      </c>
      <c r="BF1459" s="321">
        <f t="shared" si="1011"/>
        <v>0.1326</v>
      </c>
      <c r="BG1459" s="321">
        <f t="shared" si="1012"/>
        <v>88.267400000000009</v>
      </c>
      <c r="BH1459" s="321">
        <f t="shared" si="1013"/>
        <v>88.4</v>
      </c>
      <c r="BI1459" s="322">
        <f t="shared" si="1014"/>
        <v>0</v>
      </c>
      <c r="BJ1459" s="322">
        <v>0</v>
      </c>
      <c r="BK1459" s="318">
        <f t="shared" si="1015"/>
        <v>0</v>
      </c>
      <c r="BL1459" s="193"/>
      <c r="BM1459" s="449" t="str">
        <f t="shared" si="1016"/>
        <v>Unloading no. 1424 Bill No 2026-27/485 ,Deduction For Oil Deduction= 20839.6685714286 ,Bardana= 0 ,F.M= 0 Brokerage/Rate Difference  ,Shortage = 0 ,Greenish= 0 ,Moisture= 0</v>
      </c>
      <c r="BN1459" s="193"/>
      <c r="BO1459" s="449" t="str">
        <f t="shared" si="1017"/>
        <v xml:space="preserve"> Party Condition 42  ,F.M% 0.49 ,Greenish 5 ,Moisture 5.6 ,Shortage in KG= 0  ,Oil% 40.8</v>
      </c>
      <c r="BP1459" s="318">
        <f t="shared" si="1018"/>
        <v>8015.2571428571418</v>
      </c>
      <c r="BQ1459" s="193"/>
      <c r="BR1459" s="193"/>
      <c r="BS1459" s="193"/>
      <c r="BT1459" s="193"/>
      <c r="BU1459" s="193"/>
      <c r="BV1459" s="193"/>
      <c r="BW1459" s="373"/>
      <c r="BX1459" s="27">
        <v>40.549999999999997</v>
      </c>
      <c r="BY1459" s="27">
        <v>40.39</v>
      </c>
    </row>
    <row r="1460" spans="1:83" ht="14.1" hidden="1" customHeight="1" x14ac:dyDescent="0.3">
      <c r="A1460" s="281" t="s">
        <v>2827</v>
      </c>
      <c r="B1460" s="146">
        <v>46216</v>
      </c>
      <c r="C1460" s="138">
        <v>1425</v>
      </c>
      <c r="D1460" s="138" t="s">
        <v>3133</v>
      </c>
      <c r="E1460" s="129">
        <v>46228</v>
      </c>
      <c r="F1460" s="128" t="s">
        <v>2497</v>
      </c>
      <c r="G1460" s="128" t="s">
        <v>2498</v>
      </c>
      <c r="H1460" s="281" t="s">
        <v>100</v>
      </c>
      <c r="I1460" s="136"/>
      <c r="J1460" s="138" t="s">
        <v>1146</v>
      </c>
      <c r="K1460" s="136"/>
      <c r="L1460" s="146">
        <v>46216</v>
      </c>
      <c r="M1460" s="136"/>
      <c r="N1460" s="281" t="s">
        <v>3158</v>
      </c>
      <c r="O1460" s="146">
        <v>46227</v>
      </c>
      <c r="P1460" s="138">
        <v>0</v>
      </c>
      <c r="Q1460" s="138">
        <v>110</v>
      </c>
      <c r="R1460" s="138">
        <v>50</v>
      </c>
      <c r="S1460" s="138">
        <v>160</v>
      </c>
      <c r="T1460" s="138">
        <v>160</v>
      </c>
      <c r="U1460" s="136"/>
      <c r="V1460" s="136"/>
      <c r="W1460" s="147">
        <v>96.1</v>
      </c>
      <c r="X1460" s="147">
        <v>95.9</v>
      </c>
      <c r="Y1460" s="147">
        <v>773605</v>
      </c>
      <c r="Z1460" s="236">
        <v>39.119999999999997</v>
      </c>
      <c r="AA1460" s="147">
        <v>19340.13</v>
      </c>
      <c r="AB1460" s="147">
        <v>19340.13</v>
      </c>
      <c r="AC1460" s="147">
        <v>812285.25</v>
      </c>
      <c r="AD1460" s="315">
        <f t="shared" si="1001"/>
        <v>811472.96475000004</v>
      </c>
      <c r="AE1460" s="236">
        <v>39.119999999999997</v>
      </c>
      <c r="AF1460" s="147">
        <v>42</v>
      </c>
      <c r="AG1460" s="236">
        <v>39.119999999999997</v>
      </c>
      <c r="AH1460" s="287">
        <v>3.5000000000000001E-3</v>
      </c>
      <c r="AI1460" s="287">
        <v>4.3400000000000001E-2</v>
      </c>
      <c r="AJ1460" s="287">
        <v>5.6000000000000001E-2</v>
      </c>
      <c r="AK1460" s="318">
        <f t="shared" si="1002"/>
        <v>53047.200000000048</v>
      </c>
      <c r="AL1460" s="193">
        <v>0</v>
      </c>
      <c r="AM1460" s="319">
        <v>0</v>
      </c>
      <c r="AN1460" s="319"/>
      <c r="AO1460" s="320">
        <f t="shared" si="1003"/>
        <v>0</v>
      </c>
      <c r="AP1460" s="193">
        <v>0</v>
      </c>
      <c r="AQ1460" s="318">
        <v>0</v>
      </c>
      <c r="AR1460" s="318">
        <f t="shared" si="1004"/>
        <v>53047.200000000048</v>
      </c>
      <c r="AS1460" s="318">
        <f t="shared" si="1005"/>
        <v>55700</v>
      </c>
      <c r="AT1460" s="321">
        <v>0</v>
      </c>
      <c r="AU1460" s="193"/>
      <c r="AV1460" s="193"/>
      <c r="AW1460" s="318">
        <f t="shared" si="1006"/>
        <v>9610</v>
      </c>
      <c r="AX1460" s="193"/>
      <c r="AY1460" s="318">
        <f t="shared" si="1007"/>
        <v>9610</v>
      </c>
      <c r="AZ1460" s="318">
        <f t="shared" si="1008"/>
        <v>9590</v>
      </c>
      <c r="BA1460" s="318">
        <f t="shared" si="1009"/>
        <v>20</v>
      </c>
      <c r="BB1460" s="318">
        <f t="shared" si="1010"/>
        <v>19.22</v>
      </c>
      <c r="BC1460" s="318">
        <v>0</v>
      </c>
      <c r="BD1460" s="193"/>
      <c r="BE1460" s="138">
        <v>96.1</v>
      </c>
      <c r="BF1460" s="321">
        <f t="shared" si="1011"/>
        <v>0.14415</v>
      </c>
      <c r="BG1460" s="321">
        <f t="shared" si="1012"/>
        <v>95.955849999999998</v>
      </c>
      <c r="BH1460" s="321">
        <f t="shared" si="1013"/>
        <v>95.9</v>
      </c>
      <c r="BI1460" s="322">
        <f t="shared" si="1014"/>
        <v>19.999999999998863</v>
      </c>
      <c r="BJ1460" s="322">
        <v>0</v>
      </c>
      <c r="BK1460" s="318">
        <f t="shared" si="1015"/>
        <v>19.999999999998863</v>
      </c>
      <c r="BL1460" s="193"/>
      <c r="BM1460" s="449" t="str">
        <f t="shared" si="1016"/>
        <v>Unloading no. 1425 Bill No HA/26-27/0505 ,Deduction For Oil Deduction= 53047.2 ,Bardana= 0 ,F.M= 0 Brokerage/Rate Difference  ,Shortage = 0 ,Greenish= 0 ,Moisture= 0</v>
      </c>
      <c r="BN1460" s="193"/>
      <c r="BO1460" s="449" t="str">
        <f t="shared" si="1017"/>
        <v xml:space="preserve"> Party Condition 42  ,F.M% 0.35 ,Greenish 4.34 ,Moisture 5.6 ,Shortage in KG= 0  ,Oil% 39.12</v>
      </c>
      <c r="BP1460" s="318">
        <f t="shared" si="1018"/>
        <v>7513.6371220020847</v>
      </c>
      <c r="BQ1460" s="193"/>
      <c r="BR1460" s="193"/>
      <c r="BS1460" s="193"/>
      <c r="BT1460" s="193"/>
      <c r="BU1460" s="193"/>
      <c r="BV1460" s="193"/>
      <c r="BW1460" s="373"/>
      <c r="BX1460" s="27">
        <v>39.11</v>
      </c>
      <c r="BY1460" s="27">
        <v>39.07</v>
      </c>
    </row>
    <row r="1461" spans="1:83" ht="14.1" hidden="1" customHeight="1" x14ac:dyDescent="0.3">
      <c r="A1461" s="281" t="s">
        <v>3125</v>
      </c>
      <c r="B1461" s="146">
        <v>46225</v>
      </c>
      <c r="C1461" s="138">
        <v>1426</v>
      </c>
      <c r="D1461" s="138" t="s">
        <v>3134</v>
      </c>
      <c r="E1461" s="129">
        <v>46228</v>
      </c>
      <c r="F1461" s="128" t="s">
        <v>1144</v>
      </c>
      <c r="G1461" s="128" t="s">
        <v>1145</v>
      </c>
      <c r="H1461" s="281" t="s">
        <v>100</v>
      </c>
      <c r="I1461" s="136"/>
      <c r="J1461" s="138" t="s">
        <v>1146</v>
      </c>
      <c r="K1461" s="136"/>
      <c r="L1461" s="146">
        <v>46225</v>
      </c>
      <c r="M1461" s="136"/>
      <c r="N1461" s="281" t="s">
        <v>3159</v>
      </c>
      <c r="O1461" s="146">
        <v>46227</v>
      </c>
      <c r="P1461" s="138">
        <v>0</v>
      </c>
      <c r="Q1461" s="138">
        <v>130</v>
      </c>
      <c r="R1461" s="138">
        <v>20</v>
      </c>
      <c r="S1461" s="138">
        <v>150</v>
      </c>
      <c r="T1461" s="138">
        <v>150</v>
      </c>
      <c r="U1461" s="136"/>
      <c r="V1461" s="136"/>
      <c r="W1461" s="147">
        <v>89.5</v>
      </c>
      <c r="X1461" s="147">
        <v>89.6</v>
      </c>
      <c r="Y1461" s="147">
        <v>742850</v>
      </c>
      <c r="Z1461" s="236">
        <v>39.67</v>
      </c>
      <c r="AA1461" s="147">
        <v>18571.25</v>
      </c>
      <c r="AB1461" s="147">
        <v>18571.25</v>
      </c>
      <c r="AC1461" s="147">
        <v>779992.5</v>
      </c>
      <c r="AD1461" s="315">
        <f t="shared" si="1001"/>
        <v>779212.50749999995</v>
      </c>
      <c r="AE1461" s="236">
        <v>39.67</v>
      </c>
      <c r="AF1461" s="147">
        <v>42</v>
      </c>
      <c r="AG1461" s="236">
        <v>39.67</v>
      </c>
      <c r="AH1461" s="287">
        <v>3.0000000000000001E-3</v>
      </c>
      <c r="AI1461" s="287">
        <v>3.85E-2</v>
      </c>
      <c r="AJ1461" s="287">
        <v>5.5E-2</v>
      </c>
      <c r="AK1461" s="318">
        <f t="shared" si="1002"/>
        <v>41210.488095238063</v>
      </c>
      <c r="AL1461" s="193">
        <v>0</v>
      </c>
      <c r="AM1461" s="319">
        <v>0</v>
      </c>
      <c r="AN1461" s="319"/>
      <c r="AO1461" s="320">
        <f t="shared" si="1003"/>
        <v>0</v>
      </c>
      <c r="AP1461" s="193">
        <v>0</v>
      </c>
      <c r="AQ1461" s="318">
        <v>0</v>
      </c>
      <c r="AR1461" s="318">
        <f t="shared" si="1004"/>
        <v>41210.488095238063</v>
      </c>
      <c r="AS1461" s="318">
        <f t="shared" si="1005"/>
        <v>43271</v>
      </c>
      <c r="AT1461" s="321">
        <v>0</v>
      </c>
      <c r="AU1461" s="193"/>
      <c r="AV1461" s="193"/>
      <c r="AW1461" s="318">
        <f t="shared" si="1006"/>
        <v>8950</v>
      </c>
      <c r="AX1461" s="193"/>
      <c r="AY1461" s="318">
        <f t="shared" si="1007"/>
        <v>8950</v>
      </c>
      <c r="AZ1461" s="318">
        <f t="shared" si="1008"/>
        <v>8960</v>
      </c>
      <c r="BA1461" s="318">
        <f t="shared" si="1009"/>
        <v>-10</v>
      </c>
      <c r="BB1461" s="318">
        <f t="shared" si="1010"/>
        <v>17.899999999999999</v>
      </c>
      <c r="BC1461" s="318">
        <v>0</v>
      </c>
      <c r="BD1461" s="193"/>
      <c r="BE1461" s="138">
        <v>89.5</v>
      </c>
      <c r="BF1461" s="321">
        <f t="shared" si="1011"/>
        <v>0.13424999999999998</v>
      </c>
      <c r="BG1461" s="321">
        <f t="shared" si="1012"/>
        <v>89.365750000000006</v>
      </c>
      <c r="BH1461" s="321">
        <f t="shared" si="1013"/>
        <v>89.6</v>
      </c>
      <c r="BI1461" s="322">
        <f t="shared" si="1014"/>
        <v>-9.9999999999994316</v>
      </c>
      <c r="BJ1461" s="322">
        <v>0</v>
      </c>
      <c r="BK1461" s="318">
        <f t="shared" si="1015"/>
        <v>-9.9999999999994316</v>
      </c>
      <c r="BL1461" s="193"/>
      <c r="BM1461" s="449" t="str">
        <f t="shared" si="1016"/>
        <v>Unloading no. 1426 Bill No 2026/27/487 ,Deduction For Oil Deduction= 41210.4880952381 ,Bardana= 0 ,F.M= 0 Brokerage/Rate Difference  ,Shortage = 0 ,Greenish= 0 ,Moisture= 0</v>
      </c>
      <c r="BN1461" s="193"/>
      <c r="BO1461" s="449" t="str">
        <f t="shared" si="1017"/>
        <v xml:space="preserve"> Party Condition 42  ,F.M% 0.3 ,Greenish 3.85 ,Moisture 5.5 ,Shortage in KG= 0  ,Oil% 39.67</v>
      </c>
      <c r="BP1461" s="318">
        <f t="shared" si="1018"/>
        <v>7830.7981239370756</v>
      </c>
      <c r="BQ1461" s="193"/>
      <c r="BR1461" s="193"/>
      <c r="BS1461" s="193"/>
      <c r="BT1461" s="193"/>
      <c r="BU1461" s="193"/>
      <c r="BV1461" s="193"/>
      <c r="BW1461" s="373"/>
      <c r="BX1461" s="27">
        <v>39.369999999999997</v>
      </c>
      <c r="BY1461" s="27">
        <v>39.35</v>
      </c>
    </row>
    <row r="1462" spans="1:83" ht="14.1" hidden="1" customHeight="1" x14ac:dyDescent="0.3">
      <c r="A1462" s="281" t="s">
        <v>2827</v>
      </c>
      <c r="B1462" s="146">
        <v>46216</v>
      </c>
      <c r="C1462" s="138">
        <v>1427</v>
      </c>
      <c r="D1462" s="138" t="s">
        <v>3135</v>
      </c>
      <c r="E1462" s="129">
        <v>46228</v>
      </c>
      <c r="F1462" s="128" t="s">
        <v>2497</v>
      </c>
      <c r="G1462" s="128" t="s">
        <v>2498</v>
      </c>
      <c r="H1462" s="281" t="s">
        <v>100</v>
      </c>
      <c r="I1462" s="136"/>
      <c r="J1462" s="138" t="s">
        <v>1146</v>
      </c>
      <c r="K1462" s="136"/>
      <c r="L1462" s="146">
        <v>46216</v>
      </c>
      <c r="M1462" s="136"/>
      <c r="N1462" s="281" t="s">
        <v>3160</v>
      </c>
      <c r="O1462" s="146">
        <v>46227</v>
      </c>
      <c r="P1462" s="138">
        <v>0</v>
      </c>
      <c r="Q1462" s="138">
        <v>130</v>
      </c>
      <c r="R1462" s="138">
        <v>30</v>
      </c>
      <c r="S1462" s="138">
        <v>160</v>
      </c>
      <c r="T1462" s="138">
        <v>160</v>
      </c>
      <c r="U1462" s="136"/>
      <c r="V1462" s="136"/>
      <c r="W1462" s="147">
        <v>97</v>
      </c>
      <c r="X1462" s="147">
        <v>96.9</v>
      </c>
      <c r="Y1462" s="147">
        <v>780850</v>
      </c>
      <c r="Z1462" s="236">
        <v>39.729999999999997</v>
      </c>
      <c r="AA1462" s="147">
        <v>19521.25</v>
      </c>
      <c r="AB1462" s="147">
        <v>19521.25</v>
      </c>
      <c r="AC1462" s="147">
        <v>819892.5</v>
      </c>
      <c r="AD1462" s="315">
        <f t="shared" si="1001"/>
        <v>819072.60750000004</v>
      </c>
      <c r="AE1462" s="236">
        <v>39.729999999999997</v>
      </c>
      <c r="AF1462" s="147">
        <v>42</v>
      </c>
      <c r="AG1462" s="236">
        <v>39.729999999999997</v>
      </c>
      <c r="AH1462" s="287">
        <v>4.4000000000000003E-3</v>
      </c>
      <c r="AI1462" s="287">
        <v>0.04</v>
      </c>
      <c r="AJ1462" s="287">
        <v>5.3999999999999999E-2</v>
      </c>
      <c r="AK1462" s="318">
        <f t="shared" si="1002"/>
        <v>42203.083333333394</v>
      </c>
      <c r="AL1462" s="193">
        <v>0</v>
      </c>
      <c r="AM1462" s="319">
        <v>0</v>
      </c>
      <c r="AN1462" s="319"/>
      <c r="AO1462" s="320">
        <f t="shared" si="1003"/>
        <v>0</v>
      </c>
      <c r="AP1462" s="193">
        <v>0</v>
      </c>
      <c r="AQ1462" s="318">
        <v>0</v>
      </c>
      <c r="AR1462" s="318">
        <f t="shared" si="1004"/>
        <v>42203.083333333394</v>
      </c>
      <c r="AS1462" s="318">
        <f t="shared" si="1005"/>
        <v>44313</v>
      </c>
      <c r="AT1462" s="321">
        <v>0</v>
      </c>
      <c r="AU1462" s="193"/>
      <c r="AV1462" s="193"/>
      <c r="AW1462" s="318">
        <f t="shared" si="1006"/>
        <v>9700</v>
      </c>
      <c r="AX1462" s="193"/>
      <c r="AY1462" s="318">
        <f t="shared" si="1007"/>
        <v>9700</v>
      </c>
      <c r="AZ1462" s="318">
        <f t="shared" si="1008"/>
        <v>9690</v>
      </c>
      <c r="BA1462" s="318">
        <f t="shared" si="1009"/>
        <v>10</v>
      </c>
      <c r="BB1462" s="318">
        <f t="shared" si="1010"/>
        <v>19.399999999999999</v>
      </c>
      <c r="BC1462" s="318">
        <v>0</v>
      </c>
      <c r="BD1462" s="193"/>
      <c r="BE1462" s="138">
        <v>97</v>
      </c>
      <c r="BF1462" s="321">
        <f t="shared" si="1011"/>
        <v>0.14549999999999999</v>
      </c>
      <c r="BG1462" s="321">
        <f t="shared" si="1012"/>
        <v>96.854500000000002</v>
      </c>
      <c r="BH1462" s="321">
        <f t="shared" si="1013"/>
        <v>96.9</v>
      </c>
      <c r="BI1462" s="322">
        <f t="shared" si="1014"/>
        <v>9.9999999999994316</v>
      </c>
      <c r="BJ1462" s="322">
        <v>0</v>
      </c>
      <c r="BK1462" s="318">
        <f t="shared" si="1015"/>
        <v>9.9999999999994316</v>
      </c>
      <c r="BL1462" s="193"/>
      <c r="BM1462" s="449" t="str">
        <f t="shared" si="1016"/>
        <v>Unloading no. 1427 Bill No HA/26-27/0506 ,Deduction For Oil Deduction= 42203.0833333334 ,Bardana= 0 ,F.M= 0 Brokerage/Rate Difference  ,Shortage = 0 ,Greenish= 0 ,Moisture= 0</v>
      </c>
      <c r="BN1462" s="193"/>
      <c r="BO1462" s="449" t="str">
        <f t="shared" si="1017"/>
        <v xml:space="preserve"> Party Condition 42  ,F.M% 0.44 ,Greenish 4 ,Moisture 5.4 ,Shortage in KG= 0  ,Oil% 39.73</v>
      </c>
      <c r="BP1462" s="318">
        <f t="shared" si="1018"/>
        <v>7622.7751977984171</v>
      </c>
      <c r="BQ1462" s="193"/>
      <c r="BR1462" s="193"/>
      <c r="BS1462" s="193"/>
      <c r="BT1462" s="193"/>
      <c r="BU1462" s="193"/>
      <c r="BV1462" s="193"/>
      <c r="BW1462" s="373"/>
      <c r="BX1462" s="27">
        <v>39.58</v>
      </c>
      <c r="BY1462" s="27">
        <v>39.520000000000003</v>
      </c>
    </row>
    <row r="1463" spans="1:83" ht="14.1" hidden="1" customHeight="1" x14ac:dyDescent="0.3">
      <c r="A1463" s="281" t="s">
        <v>3126</v>
      </c>
      <c r="B1463" s="146">
        <v>46224</v>
      </c>
      <c r="C1463" s="138">
        <v>1428</v>
      </c>
      <c r="D1463" s="138" t="s">
        <v>3136</v>
      </c>
      <c r="E1463" s="129">
        <v>46228</v>
      </c>
      <c r="F1463" s="159" t="s">
        <v>1382</v>
      </c>
      <c r="G1463" s="128" t="s">
        <v>1383</v>
      </c>
      <c r="H1463" s="281" t="s">
        <v>1384</v>
      </c>
      <c r="I1463" s="136"/>
      <c r="J1463" s="138" t="s">
        <v>2499</v>
      </c>
      <c r="K1463" s="136"/>
      <c r="L1463" s="146">
        <v>46224</v>
      </c>
      <c r="M1463" s="136"/>
      <c r="N1463" s="281">
        <v>36</v>
      </c>
      <c r="O1463" s="146">
        <v>46226</v>
      </c>
      <c r="P1463" s="138">
        <v>0</v>
      </c>
      <c r="Q1463" s="138">
        <v>0</v>
      </c>
      <c r="R1463" s="138">
        <v>501</v>
      </c>
      <c r="S1463" s="138">
        <v>501</v>
      </c>
      <c r="T1463" s="138">
        <v>501</v>
      </c>
      <c r="U1463" s="136"/>
      <c r="V1463" s="136"/>
      <c r="W1463" s="147">
        <v>306.2</v>
      </c>
      <c r="X1463" s="147">
        <v>305.7</v>
      </c>
      <c r="Y1463" s="147">
        <v>2544522</v>
      </c>
      <c r="Z1463" s="169"/>
      <c r="AA1463" s="147">
        <v>63613.05</v>
      </c>
      <c r="AB1463" s="147">
        <v>63613.05</v>
      </c>
      <c r="AC1463" s="147">
        <v>2671748.1</v>
      </c>
      <c r="AD1463" s="315">
        <f t="shared" si="1001"/>
        <v>2669076.3519000001</v>
      </c>
      <c r="AE1463" s="147">
        <v>40.090000000000003</v>
      </c>
      <c r="AF1463" s="147">
        <v>42</v>
      </c>
      <c r="AG1463" s="147">
        <v>40.020000000000003</v>
      </c>
      <c r="AH1463" s="287">
        <v>3.0000000000000001E-3</v>
      </c>
      <c r="AI1463" s="287">
        <v>3.2000000000000001E-2</v>
      </c>
      <c r="AJ1463" s="397">
        <v>5.8999999999999997E-2</v>
      </c>
      <c r="AK1463" s="318">
        <f t="shared" si="1002"/>
        <v>119956.03714285696</v>
      </c>
      <c r="AL1463" s="193">
        <f>501*15</f>
        <v>7515</v>
      </c>
      <c r="AM1463" s="319">
        <f>Y1463*AH1463</f>
        <v>7633.5659999999998</v>
      </c>
      <c r="AN1463" s="319"/>
      <c r="AO1463" s="320">
        <f t="shared" si="1003"/>
        <v>4155</v>
      </c>
      <c r="AP1463" s="193">
        <v>0</v>
      </c>
      <c r="AQ1463" s="318">
        <f>Y1463*0.9/100</f>
        <v>22900.698000000004</v>
      </c>
      <c r="AR1463" s="318">
        <f t="shared" si="1004"/>
        <v>162160.30114285697</v>
      </c>
      <c r="AS1463" s="318">
        <f t="shared" si="1005"/>
        <v>170268</v>
      </c>
      <c r="AT1463" s="321">
        <v>50</v>
      </c>
      <c r="AU1463" s="193"/>
      <c r="AV1463" s="193"/>
      <c r="AW1463" s="318">
        <f t="shared" si="1006"/>
        <v>30620</v>
      </c>
      <c r="AX1463" s="193"/>
      <c r="AY1463" s="318">
        <f t="shared" si="1007"/>
        <v>30620</v>
      </c>
      <c r="AZ1463" s="318">
        <f t="shared" si="1008"/>
        <v>30570</v>
      </c>
      <c r="BA1463" s="318">
        <f t="shared" si="1009"/>
        <v>50</v>
      </c>
      <c r="BB1463" s="318">
        <f t="shared" si="1010"/>
        <v>61.24</v>
      </c>
      <c r="BC1463" s="318">
        <v>0</v>
      </c>
      <c r="BD1463" s="193"/>
      <c r="BE1463" s="138">
        <v>306.2</v>
      </c>
      <c r="BF1463" s="321">
        <f t="shared" si="1011"/>
        <v>0.45929999999999999</v>
      </c>
      <c r="BG1463" s="321">
        <f t="shared" si="1012"/>
        <v>305.7407</v>
      </c>
      <c r="BH1463" s="321">
        <f t="shared" si="1013"/>
        <v>305.7</v>
      </c>
      <c r="BI1463" s="322">
        <f t="shared" si="1014"/>
        <v>50</v>
      </c>
      <c r="BJ1463" s="322">
        <v>0</v>
      </c>
      <c r="BK1463" s="318">
        <f t="shared" si="1015"/>
        <v>50</v>
      </c>
      <c r="BL1463" s="193"/>
      <c r="BM1463" s="449" t="str">
        <f t="shared" si="1016"/>
        <v>Unloading no. 1428 Bill No 36 ,Deduction For Oil Deduction= 119956.037142857 ,Bardana= 7515 ,F.M= 7633.566 Brokerage/Rate Difference  ,Shortage = 4155 ,Greenish= 0 ,Moisture= 22900.698</v>
      </c>
      <c r="BN1463" s="193"/>
      <c r="BO1463" s="449" t="str">
        <f t="shared" si="1017"/>
        <v xml:space="preserve"> Party Condition 42  ,F.M% 0.3 ,Greenish 3.2 ,Moisture 5.9 ,Shortage in KG= 50  ,Oil% 40.02</v>
      </c>
      <c r="BP1463" s="318">
        <f t="shared" si="1018"/>
        <v>7793.1360773867946</v>
      </c>
      <c r="BQ1463" s="193"/>
      <c r="BR1463" s="193"/>
      <c r="BS1463" s="193"/>
      <c r="BT1463" s="193"/>
      <c r="BU1463" s="193"/>
      <c r="BV1463" s="193"/>
      <c r="BW1463" s="373"/>
      <c r="BX1463" s="27">
        <v>40.090000000000003</v>
      </c>
      <c r="BY1463" s="27">
        <v>40.020000000000003</v>
      </c>
      <c r="CA1463" s="56">
        <v>157978.31</v>
      </c>
      <c r="CC1463" s="57">
        <f t="shared" ref="CC1463" si="1019">AS1463-CA1463</f>
        <v>12289.690000000002</v>
      </c>
      <c r="CE1463" s="88">
        <f t="shared" ref="CE1463" si="1020">CC1463/105%</f>
        <v>11704.466666666669</v>
      </c>
    </row>
    <row r="1464" spans="1:83" ht="14.1" hidden="1" customHeight="1" x14ac:dyDescent="0.3">
      <c r="A1464" s="281" t="s">
        <v>3125</v>
      </c>
      <c r="B1464" s="146">
        <v>46225</v>
      </c>
      <c r="C1464" s="138">
        <v>1429</v>
      </c>
      <c r="D1464" s="138" t="s">
        <v>3137</v>
      </c>
      <c r="E1464" s="129">
        <v>46228</v>
      </c>
      <c r="F1464" s="128" t="s">
        <v>1144</v>
      </c>
      <c r="G1464" s="128" t="s">
        <v>1145</v>
      </c>
      <c r="H1464" s="281" t="s">
        <v>100</v>
      </c>
      <c r="I1464" s="136"/>
      <c r="J1464" s="138" t="s">
        <v>1146</v>
      </c>
      <c r="K1464" s="136"/>
      <c r="L1464" s="146">
        <v>46225</v>
      </c>
      <c r="M1464" s="136"/>
      <c r="N1464" s="281" t="s">
        <v>3161</v>
      </c>
      <c r="O1464" s="146">
        <v>46227</v>
      </c>
      <c r="P1464" s="138">
        <v>0</v>
      </c>
      <c r="Q1464" s="138">
        <v>100</v>
      </c>
      <c r="R1464" s="138">
        <v>50</v>
      </c>
      <c r="S1464" s="138">
        <v>150</v>
      </c>
      <c r="T1464" s="138">
        <v>150</v>
      </c>
      <c r="U1464" s="136"/>
      <c r="V1464" s="136"/>
      <c r="W1464" s="147">
        <v>89.6</v>
      </c>
      <c r="X1464" s="147">
        <v>89.6</v>
      </c>
      <c r="Y1464" s="147">
        <v>743680</v>
      </c>
      <c r="Z1464" s="236">
        <v>39.5</v>
      </c>
      <c r="AA1464" s="147">
        <v>18592</v>
      </c>
      <c r="AB1464" s="147">
        <v>18592</v>
      </c>
      <c r="AC1464" s="147">
        <v>780864</v>
      </c>
      <c r="AD1464" s="315">
        <f t="shared" si="1001"/>
        <v>780083.13600000006</v>
      </c>
      <c r="AE1464" s="236">
        <v>39.5</v>
      </c>
      <c r="AF1464" s="147">
        <v>42</v>
      </c>
      <c r="AG1464" s="236">
        <v>39.5</v>
      </c>
      <c r="AH1464" s="287">
        <v>3.3999999999999998E-3</v>
      </c>
      <c r="AI1464" s="287">
        <v>4.2999999999999997E-2</v>
      </c>
      <c r="AJ1464" s="287">
        <v>5.8999999999999997E-2</v>
      </c>
      <c r="AK1464" s="318">
        <f t="shared" si="1002"/>
        <v>44266.666666666664</v>
      </c>
      <c r="AL1464" s="193">
        <v>0</v>
      </c>
      <c r="AM1464" s="319">
        <v>0</v>
      </c>
      <c r="AN1464" s="319"/>
      <c r="AO1464" s="320">
        <f t="shared" si="1003"/>
        <v>0</v>
      </c>
      <c r="AP1464" s="193">
        <v>0</v>
      </c>
      <c r="AQ1464" s="318">
        <v>0</v>
      </c>
      <c r="AR1464" s="318">
        <f t="shared" si="1004"/>
        <v>44266.666666666664</v>
      </c>
      <c r="AS1464" s="318">
        <f t="shared" si="1005"/>
        <v>46480</v>
      </c>
      <c r="AT1464" s="321">
        <v>0</v>
      </c>
      <c r="AU1464" s="193"/>
      <c r="AV1464" s="193"/>
      <c r="AW1464" s="318">
        <f t="shared" si="1006"/>
        <v>8960</v>
      </c>
      <c r="AX1464" s="193"/>
      <c r="AY1464" s="318">
        <f t="shared" si="1007"/>
        <v>8960</v>
      </c>
      <c r="AZ1464" s="318">
        <f t="shared" si="1008"/>
        <v>8960</v>
      </c>
      <c r="BA1464" s="318">
        <f t="shared" si="1009"/>
        <v>0</v>
      </c>
      <c r="BB1464" s="318">
        <f t="shared" si="1010"/>
        <v>17.920000000000002</v>
      </c>
      <c r="BC1464" s="318">
        <v>0</v>
      </c>
      <c r="BD1464" s="193"/>
      <c r="BE1464" s="138">
        <v>89.6</v>
      </c>
      <c r="BF1464" s="321">
        <f t="shared" si="1011"/>
        <v>0.13439999999999999</v>
      </c>
      <c r="BG1464" s="321">
        <f t="shared" si="1012"/>
        <v>89.465599999999995</v>
      </c>
      <c r="BH1464" s="321">
        <f t="shared" si="1013"/>
        <v>89.6</v>
      </c>
      <c r="BI1464" s="322">
        <f t="shared" si="1014"/>
        <v>0</v>
      </c>
      <c r="BJ1464" s="322">
        <v>0</v>
      </c>
      <c r="BK1464" s="318">
        <f t="shared" si="1015"/>
        <v>0</v>
      </c>
      <c r="BL1464" s="193"/>
      <c r="BM1464" s="449" t="str">
        <f t="shared" si="1016"/>
        <v>Unloading no. 1429 Bill No 2026-27/488 ,Deduction For Oil Deduction= 44266.6666666667 ,Bardana= 0 ,F.M= 0 Brokerage/Rate Difference  ,Shortage = 0 ,Greenish= 0 ,Moisture= 0</v>
      </c>
      <c r="BN1464" s="193"/>
      <c r="BO1464" s="449" t="str">
        <f t="shared" si="1017"/>
        <v xml:space="preserve"> Party Condition 42  ,F.M% 0.34 ,Greenish 4.3 ,Moisture 5.9 ,Shortage in KG= 0  ,Oil% 39.5</v>
      </c>
      <c r="BP1464" s="318">
        <f t="shared" si="1018"/>
        <v>7805.9523809523816</v>
      </c>
      <c r="BQ1464" s="193"/>
      <c r="BR1464" s="193"/>
      <c r="BS1464" s="193"/>
      <c r="BT1464" s="193"/>
      <c r="BU1464" s="193"/>
      <c r="BV1464" s="193"/>
      <c r="BW1464" s="373"/>
      <c r="BX1464" s="27">
        <v>39.4</v>
      </c>
      <c r="BY1464" s="27">
        <v>39.25</v>
      </c>
    </row>
    <row r="1465" spans="1:83" ht="14.1" hidden="1" customHeight="1" x14ac:dyDescent="0.3">
      <c r="A1465" s="281" t="s">
        <v>3127</v>
      </c>
      <c r="B1465" s="146">
        <v>46224</v>
      </c>
      <c r="C1465" s="138">
        <v>1430</v>
      </c>
      <c r="D1465" s="138" t="s">
        <v>3138</v>
      </c>
      <c r="E1465" s="129">
        <v>46228</v>
      </c>
      <c r="F1465" s="159" t="s">
        <v>98</v>
      </c>
      <c r="G1465" s="128" t="s">
        <v>99</v>
      </c>
      <c r="H1465" s="281" t="s">
        <v>199</v>
      </c>
      <c r="I1465" s="136"/>
      <c r="J1465" s="347" t="s">
        <v>1455</v>
      </c>
      <c r="K1465" s="136"/>
      <c r="L1465" s="146">
        <v>46224</v>
      </c>
      <c r="M1465" s="136"/>
      <c r="N1465" s="281">
        <v>149</v>
      </c>
      <c r="O1465" s="146">
        <v>46226</v>
      </c>
      <c r="P1465" s="138">
        <v>0</v>
      </c>
      <c r="Q1465" s="138">
        <v>0</v>
      </c>
      <c r="R1465" s="138">
        <v>384</v>
      </c>
      <c r="S1465" s="138">
        <v>384</v>
      </c>
      <c r="T1465" s="138">
        <v>384</v>
      </c>
      <c r="U1465" s="136"/>
      <c r="V1465" s="136"/>
      <c r="W1465" s="147">
        <v>234.15</v>
      </c>
      <c r="X1465" s="147">
        <v>234.4</v>
      </c>
      <c r="Y1465" s="147">
        <v>1937591.25</v>
      </c>
      <c r="Z1465" s="128"/>
      <c r="AA1465" s="147">
        <v>48439.78</v>
      </c>
      <c r="AB1465" s="147">
        <v>48439.78</v>
      </c>
      <c r="AC1465" s="147">
        <v>2034470.81</v>
      </c>
      <c r="AD1465" s="315">
        <f t="shared" si="1001"/>
        <v>2032436.33919</v>
      </c>
      <c r="AE1465" s="147">
        <v>40.229999999999997</v>
      </c>
      <c r="AF1465" s="147">
        <v>42</v>
      </c>
      <c r="AG1465" s="147">
        <v>40.17</v>
      </c>
      <c r="AH1465" s="287">
        <v>2.8E-3</v>
      </c>
      <c r="AI1465" s="287">
        <v>0.03</v>
      </c>
      <c r="AJ1465" s="397">
        <v>5.8000000000000003E-2</v>
      </c>
      <c r="AK1465" s="318">
        <f t="shared" si="1002"/>
        <v>84423.618749999921</v>
      </c>
      <c r="AL1465" s="193">
        <f>384*15</f>
        <v>5760</v>
      </c>
      <c r="AM1465" s="319">
        <f>Y1465*AH1465</f>
        <v>5425.2555000000002</v>
      </c>
      <c r="AN1465" s="319"/>
      <c r="AO1465" s="320">
        <f t="shared" si="1003"/>
        <v>0</v>
      </c>
      <c r="AP1465" s="193">
        <v>0</v>
      </c>
      <c r="AQ1465" s="318">
        <f>Y1465*0.8/100</f>
        <v>15500.73</v>
      </c>
      <c r="AR1465" s="318">
        <f t="shared" si="1004"/>
        <v>111109.60424999992</v>
      </c>
      <c r="AS1465" s="318">
        <f t="shared" si="1005"/>
        <v>116665</v>
      </c>
      <c r="AT1465" s="321">
        <v>0</v>
      </c>
      <c r="AU1465" s="193" t="s">
        <v>3178</v>
      </c>
      <c r="AV1465" s="193"/>
      <c r="AW1465" s="318">
        <f t="shared" si="1006"/>
        <v>23415</v>
      </c>
      <c r="AX1465" s="193"/>
      <c r="AY1465" s="318">
        <f t="shared" si="1007"/>
        <v>23415</v>
      </c>
      <c r="AZ1465" s="318">
        <f t="shared" si="1008"/>
        <v>23440</v>
      </c>
      <c r="BA1465" s="318">
        <f t="shared" si="1009"/>
        <v>-25</v>
      </c>
      <c r="BB1465" s="318">
        <f t="shared" si="1010"/>
        <v>46.83</v>
      </c>
      <c r="BC1465" s="318">
        <v>0</v>
      </c>
      <c r="BD1465" s="193"/>
      <c r="BE1465" s="138">
        <v>234.15</v>
      </c>
      <c r="BF1465" s="321">
        <f t="shared" si="1011"/>
        <v>0.35122500000000001</v>
      </c>
      <c r="BG1465" s="321">
        <f t="shared" si="1012"/>
        <v>233.79877500000001</v>
      </c>
      <c r="BH1465" s="321">
        <f t="shared" si="1013"/>
        <v>234.4</v>
      </c>
      <c r="BI1465" s="322">
        <f t="shared" si="1014"/>
        <v>-25</v>
      </c>
      <c r="BJ1465" s="322">
        <v>0</v>
      </c>
      <c r="BK1465" s="318">
        <f t="shared" si="1015"/>
        <v>-25</v>
      </c>
      <c r="BL1465" s="193"/>
      <c r="BM1465" s="449" t="str">
        <f t="shared" si="1016"/>
        <v>Unloading no. 1430 Bill No 149 ,Deduction For Oil Deduction= 84423.6187499999 ,Bardana= 5760 ,F.M= 5425.2555 Brokerage/Rate Difference  ,Shortage = 0 ,Greenish= 0 ,Moisture= 15500.73</v>
      </c>
      <c r="BN1465" s="193"/>
      <c r="BO1465" s="449" t="str">
        <f t="shared" si="1017"/>
        <v xml:space="preserve"> Party Condition 42  ,F.M% 0.28 ,Greenish 3 ,Moisture 5.8 ,Shortage in KG= 0  ,Oil% 40.17</v>
      </c>
      <c r="BP1465" s="318">
        <f t="shared" si="1018"/>
        <v>7792.1571917662122</v>
      </c>
      <c r="BQ1465" s="193"/>
      <c r="BR1465" s="193"/>
      <c r="BS1465" s="193"/>
      <c r="BT1465" s="193"/>
      <c r="BU1465" s="193"/>
      <c r="BV1465" s="193"/>
      <c r="BW1465" s="373"/>
      <c r="BX1465" s="27">
        <v>40.229999999999997</v>
      </c>
      <c r="BY1465" s="27">
        <v>40.17</v>
      </c>
      <c r="CA1465" s="56">
        <v>109137.54</v>
      </c>
      <c r="CC1465" s="57">
        <f t="shared" ref="CC1465" si="1021">AS1465-CA1465</f>
        <v>7527.4600000000064</v>
      </c>
      <c r="CE1465" s="88">
        <f t="shared" ref="CE1465" si="1022">CC1465/105%</f>
        <v>7169.00952380953</v>
      </c>
    </row>
    <row r="1466" spans="1:83" ht="14.1" hidden="1" customHeight="1" x14ac:dyDescent="0.3">
      <c r="A1466" s="281" t="s">
        <v>3125</v>
      </c>
      <c r="B1466" s="146">
        <v>46225</v>
      </c>
      <c r="C1466" s="138">
        <v>1431</v>
      </c>
      <c r="D1466" s="138" t="s">
        <v>3139</v>
      </c>
      <c r="E1466" s="129">
        <v>46228</v>
      </c>
      <c r="F1466" s="128" t="s">
        <v>1144</v>
      </c>
      <c r="G1466" s="128" t="s">
        <v>1145</v>
      </c>
      <c r="H1466" s="281" t="s">
        <v>100</v>
      </c>
      <c r="I1466" s="136"/>
      <c r="J1466" s="138" t="s">
        <v>1146</v>
      </c>
      <c r="K1466" s="136"/>
      <c r="L1466" s="146">
        <v>46225</v>
      </c>
      <c r="M1466" s="136"/>
      <c r="N1466" s="281" t="s">
        <v>3162</v>
      </c>
      <c r="O1466" s="146">
        <v>46228</v>
      </c>
      <c r="P1466" s="138">
        <v>0</v>
      </c>
      <c r="Q1466" s="138">
        <v>120</v>
      </c>
      <c r="R1466" s="138">
        <v>32</v>
      </c>
      <c r="S1466" s="138">
        <v>152</v>
      </c>
      <c r="T1466" s="138">
        <v>152</v>
      </c>
      <c r="U1466" s="136"/>
      <c r="V1466" s="136"/>
      <c r="W1466" s="147">
        <v>90.5</v>
      </c>
      <c r="X1466" s="147">
        <v>90.4</v>
      </c>
      <c r="Y1466" s="147">
        <v>751150</v>
      </c>
      <c r="Z1466" s="276">
        <v>39.71</v>
      </c>
      <c r="AA1466" s="147">
        <v>18778.75</v>
      </c>
      <c r="AB1466" s="147">
        <v>18778.75</v>
      </c>
      <c r="AC1466" s="147">
        <v>788707.5</v>
      </c>
      <c r="AD1466" s="315">
        <f t="shared" si="1001"/>
        <v>787918.79249999998</v>
      </c>
      <c r="AE1466" s="276">
        <v>39.71</v>
      </c>
      <c r="AF1466" s="147">
        <v>42</v>
      </c>
      <c r="AG1466" s="276">
        <v>39.71</v>
      </c>
      <c r="AH1466" s="287">
        <v>2.5999999999999999E-3</v>
      </c>
      <c r="AI1466" s="287">
        <v>0.04</v>
      </c>
      <c r="AJ1466" s="287">
        <v>5.6000000000000001E-2</v>
      </c>
      <c r="AK1466" s="318">
        <f t="shared" si="1002"/>
        <v>40955.559523809505</v>
      </c>
      <c r="AL1466" s="193">
        <v>0</v>
      </c>
      <c r="AM1466" s="319">
        <v>0</v>
      </c>
      <c r="AN1466" s="319"/>
      <c r="AO1466" s="320">
        <f t="shared" si="1003"/>
        <v>0</v>
      </c>
      <c r="AP1466" s="193">
        <v>0</v>
      </c>
      <c r="AQ1466" s="318">
        <v>0</v>
      </c>
      <c r="AR1466" s="318">
        <f t="shared" si="1004"/>
        <v>40955.559523809505</v>
      </c>
      <c r="AS1466" s="318">
        <f t="shared" si="1005"/>
        <v>43003</v>
      </c>
      <c r="AT1466" s="321">
        <v>0</v>
      </c>
      <c r="AU1466" s="193"/>
      <c r="AV1466" s="193"/>
      <c r="AW1466" s="318">
        <f t="shared" si="1006"/>
        <v>9050</v>
      </c>
      <c r="AX1466" s="193"/>
      <c r="AY1466" s="318">
        <f t="shared" si="1007"/>
        <v>9050</v>
      </c>
      <c r="AZ1466" s="318">
        <f t="shared" si="1008"/>
        <v>9040</v>
      </c>
      <c r="BA1466" s="318">
        <f t="shared" si="1009"/>
        <v>10</v>
      </c>
      <c r="BB1466" s="318">
        <f t="shared" si="1010"/>
        <v>18.100000000000001</v>
      </c>
      <c r="BC1466" s="318">
        <v>0</v>
      </c>
      <c r="BD1466" s="193"/>
      <c r="BE1466" s="138">
        <v>90.5</v>
      </c>
      <c r="BF1466" s="321">
        <f t="shared" si="1011"/>
        <v>0.13574999999999998</v>
      </c>
      <c r="BG1466" s="321">
        <f t="shared" si="1012"/>
        <v>90.364249999999998</v>
      </c>
      <c r="BH1466" s="321">
        <f t="shared" si="1013"/>
        <v>90.4</v>
      </c>
      <c r="BI1466" s="322">
        <f t="shared" si="1014"/>
        <v>9.9999999999994316</v>
      </c>
      <c r="BJ1466" s="322">
        <v>0</v>
      </c>
      <c r="BK1466" s="318">
        <f t="shared" si="1015"/>
        <v>9.9999999999994316</v>
      </c>
      <c r="BL1466" s="193"/>
      <c r="BM1466" s="449" t="str">
        <f t="shared" si="1016"/>
        <v>Unloading no. 1431 Bill No 2026-27/489 ,Deduction For Oil Deduction= 40955.5595238095 ,Bardana= 0 ,F.M= 0 Brokerage/Rate Difference  ,Shortage = 0 ,Greenish= 0 ,Moisture= 0</v>
      </c>
      <c r="BN1466" s="193"/>
      <c r="BO1466" s="449" t="str">
        <f t="shared" si="1017"/>
        <v xml:space="preserve"> Party Condition 42  ,F.M% 0.26 ,Greenish 4 ,Moisture 5.6 ,Shortage in KG= 0  ,Oil% 39.71</v>
      </c>
      <c r="BP1466" s="318">
        <f t="shared" si="1018"/>
        <v>7856.1331911083016</v>
      </c>
      <c r="BQ1466" s="193"/>
      <c r="BR1466" s="193"/>
      <c r="BS1466" s="193"/>
      <c r="BT1466" s="193"/>
      <c r="BU1466" s="193"/>
      <c r="BV1466" s="193"/>
      <c r="BW1466" s="373"/>
      <c r="BX1466" s="27">
        <v>39.340000000000003</v>
      </c>
      <c r="BY1466" s="27">
        <v>39.340000000000003</v>
      </c>
    </row>
    <row r="1467" spans="1:83" ht="14.1" hidden="1" customHeight="1" x14ac:dyDescent="0.3">
      <c r="A1467" s="281" t="s">
        <v>3125</v>
      </c>
      <c r="B1467" s="146">
        <v>46225</v>
      </c>
      <c r="C1467" s="138">
        <v>1432</v>
      </c>
      <c r="D1467" s="138" t="s">
        <v>3140</v>
      </c>
      <c r="E1467" s="129">
        <v>46228</v>
      </c>
      <c r="F1467" s="128" t="s">
        <v>1144</v>
      </c>
      <c r="G1467" s="128" t="s">
        <v>1145</v>
      </c>
      <c r="H1467" s="281" t="s">
        <v>100</v>
      </c>
      <c r="I1467" s="136"/>
      <c r="J1467" s="138" t="s">
        <v>1146</v>
      </c>
      <c r="K1467" s="136"/>
      <c r="L1467" s="146">
        <v>46225</v>
      </c>
      <c r="M1467" s="136"/>
      <c r="N1467" s="281" t="s">
        <v>3163</v>
      </c>
      <c r="O1467" s="146">
        <v>46228</v>
      </c>
      <c r="P1467" s="138">
        <v>0</v>
      </c>
      <c r="Q1467" s="138">
        <v>132</v>
      </c>
      <c r="R1467" s="138">
        <v>20</v>
      </c>
      <c r="S1467" s="138">
        <v>152</v>
      </c>
      <c r="T1467" s="138">
        <v>152</v>
      </c>
      <c r="U1467" s="136"/>
      <c r="V1467" s="136"/>
      <c r="W1467" s="147">
        <v>90.9</v>
      </c>
      <c r="X1467" s="147">
        <v>90.9</v>
      </c>
      <c r="Y1467" s="147">
        <v>754470</v>
      </c>
      <c r="Z1467" s="276">
        <v>39.78</v>
      </c>
      <c r="AA1467" s="147">
        <v>18861.75</v>
      </c>
      <c r="AB1467" s="147">
        <v>18861.75</v>
      </c>
      <c r="AC1467" s="147">
        <v>792193.5</v>
      </c>
      <c r="AD1467" s="315">
        <f t="shared" si="1001"/>
        <v>791401.30649999995</v>
      </c>
      <c r="AE1467" s="276">
        <v>39.78</v>
      </c>
      <c r="AF1467" s="147">
        <v>42</v>
      </c>
      <c r="AG1467" s="276">
        <v>39.78</v>
      </c>
      <c r="AH1467" s="287">
        <v>2.2000000000000001E-3</v>
      </c>
      <c r="AI1467" s="287">
        <v>3.4500000000000003E-2</v>
      </c>
      <c r="AJ1467" s="287">
        <v>5.3999999999999999E-2</v>
      </c>
      <c r="AK1467" s="318">
        <f t="shared" si="1002"/>
        <v>39879.128571428555</v>
      </c>
      <c r="AL1467" s="193">
        <v>0</v>
      </c>
      <c r="AM1467" s="319">
        <v>0</v>
      </c>
      <c r="AN1467" s="319"/>
      <c r="AO1467" s="320">
        <f t="shared" si="1003"/>
        <v>0</v>
      </c>
      <c r="AP1467" s="193">
        <v>0</v>
      </c>
      <c r="AQ1467" s="318">
        <v>0</v>
      </c>
      <c r="AR1467" s="318">
        <f t="shared" si="1004"/>
        <v>39879.128571428555</v>
      </c>
      <c r="AS1467" s="318">
        <f t="shared" si="1005"/>
        <v>41873</v>
      </c>
      <c r="AT1467" s="321">
        <v>0</v>
      </c>
      <c r="AU1467" s="193"/>
      <c r="AV1467" s="193"/>
      <c r="AW1467" s="318">
        <f t="shared" si="1006"/>
        <v>9090</v>
      </c>
      <c r="AX1467" s="193"/>
      <c r="AY1467" s="318">
        <f t="shared" si="1007"/>
        <v>9090</v>
      </c>
      <c r="AZ1467" s="318">
        <f t="shared" si="1008"/>
        <v>9090</v>
      </c>
      <c r="BA1467" s="318">
        <f t="shared" si="1009"/>
        <v>0</v>
      </c>
      <c r="BB1467" s="318">
        <f t="shared" si="1010"/>
        <v>18.18</v>
      </c>
      <c r="BC1467" s="318">
        <v>0</v>
      </c>
      <c r="BD1467" s="193"/>
      <c r="BE1467" s="138">
        <v>90.9</v>
      </c>
      <c r="BF1467" s="321">
        <f t="shared" si="1011"/>
        <v>0.13635</v>
      </c>
      <c r="BG1467" s="321">
        <f t="shared" si="1012"/>
        <v>90.763650000000013</v>
      </c>
      <c r="BH1467" s="321">
        <f t="shared" si="1013"/>
        <v>90.9</v>
      </c>
      <c r="BI1467" s="322">
        <f t="shared" si="1014"/>
        <v>0</v>
      </c>
      <c r="BJ1467" s="322">
        <v>0</v>
      </c>
      <c r="BK1467" s="318">
        <f t="shared" si="1015"/>
        <v>0</v>
      </c>
      <c r="BL1467" s="193"/>
      <c r="BM1467" s="449" t="str">
        <f t="shared" si="1016"/>
        <v>Unloading no. 1432 Bill No 2026-27/490 ,Deduction For Oil Deduction= 39879.1285714286 ,Bardana= 0 ,F.M= 0 Brokerage/Rate Difference  ,Shortage = 0 ,Greenish= 0 ,Moisture= 0</v>
      </c>
      <c r="BN1467" s="193"/>
      <c r="BO1467" s="449" t="str">
        <f t="shared" si="1017"/>
        <v xml:space="preserve"> Party Condition 42  ,F.M% 0.22 ,Greenish 3.45 ,Moisture 5.4 ,Shortage in KG= 0  ,Oil% 39.78</v>
      </c>
      <c r="BP1467" s="318">
        <f t="shared" si="1018"/>
        <v>7861.2857142857138</v>
      </c>
      <c r="BQ1467" s="193"/>
      <c r="BR1467" s="193"/>
      <c r="BS1467" s="193"/>
      <c r="BT1467" s="193"/>
      <c r="BU1467" s="193"/>
      <c r="BV1467" s="193"/>
      <c r="BW1467" s="373"/>
      <c r="BX1467" s="27">
        <v>39.08</v>
      </c>
      <c r="BY1467" s="27">
        <v>39.1</v>
      </c>
    </row>
    <row r="1468" spans="1:83" ht="14.1" hidden="1" customHeight="1" x14ac:dyDescent="0.3">
      <c r="A1468" s="281" t="s">
        <v>3125</v>
      </c>
      <c r="B1468" s="146">
        <v>46225</v>
      </c>
      <c r="C1468" s="138">
        <v>1433</v>
      </c>
      <c r="D1468" s="138" t="s">
        <v>3141</v>
      </c>
      <c r="E1468" s="129">
        <v>46228</v>
      </c>
      <c r="F1468" s="128" t="s">
        <v>1144</v>
      </c>
      <c r="G1468" s="128" t="s">
        <v>1145</v>
      </c>
      <c r="H1468" s="281" t="s">
        <v>100</v>
      </c>
      <c r="I1468" s="136"/>
      <c r="J1468" s="138" t="s">
        <v>1146</v>
      </c>
      <c r="K1468" s="136"/>
      <c r="L1468" s="146">
        <v>46225</v>
      </c>
      <c r="M1468" s="136"/>
      <c r="N1468" s="281" t="s">
        <v>3164</v>
      </c>
      <c r="O1468" s="146">
        <v>46228</v>
      </c>
      <c r="P1468" s="138">
        <v>0</v>
      </c>
      <c r="Q1468" s="138">
        <v>120</v>
      </c>
      <c r="R1468" s="138">
        <v>32</v>
      </c>
      <c r="S1468" s="138">
        <v>152</v>
      </c>
      <c r="T1468" s="138">
        <v>152</v>
      </c>
      <c r="U1468" s="136"/>
      <c r="V1468" s="136"/>
      <c r="W1468" s="147">
        <v>90.8</v>
      </c>
      <c r="X1468" s="147">
        <v>90.7</v>
      </c>
      <c r="Y1468" s="147">
        <v>753640</v>
      </c>
      <c r="Z1468" s="276">
        <v>40.06</v>
      </c>
      <c r="AA1468" s="147">
        <v>18841</v>
      </c>
      <c r="AB1468" s="147">
        <v>18841</v>
      </c>
      <c r="AC1468" s="147">
        <v>791322</v>
      </c>
      <c r="AD1468" s="315">
        <f t="shared" si="1001"/>
        <v>790530.67799999996</v>
      </c>
      <c r="AE1468" s="276">
        <v>40.06</v>
      </c>
      <c r="AF1468" s="147">
        <v>42</v>
      </c>
      <c r="AG1468" s="276">
        <v>40.06</v>
      </c>
      <c r="AH1468" s="287">
        <v>2.5999999999999999E-3</v>
      </c>
      <c r="AI1468" s="287">
        <v>3.3799999999999997E-2</v>
      </c>
      <c r="AJ1468" s="287">
        <v>0.05</v>
      </c>
      <c r="AK1468" s="318">
        <f t="shared" si="1002"/>
        <v>34810.990476190433</v>
      </c>
      <c r="AL1468" s="193">
        <v>0</v>
      </c>
      <c r="AM1468" s="319">
        <v>0</v>
      </c>
      <c r="AN1468" s="319"/>
      <c r="AO1468" s="320">
        <f t="shared" si="1003"/>
        <v>0</v>
      </c>
      <c r="AP1468" s="193">
        <v>0</v>
      </c>
      <c r="AQ1468" s="318">
        <v>0</v>
      </c>
      <c r="AR1468" s="318">
        <f t="shared" si="1004"/>
        <v>34810.990476190433</v>
      </c>
      <c r="AS1468" s="318">
        <f t="shared" si="1005"/>
        <v>36552</v>
      </c>
      <c r="AT1468" s="321">
        <v>0</v>
      </c>
      <c r="AU1468" s="193"/>
      <c r="AV1468" s="193"/>
      <c r="AW1468" s="318">
        <f t="shared" si="1006"/>
        <v>9080</v>
      </c>
      <c r="AX1468" s="193"/>
      <c r="AY1468" s="318">
        <f t="shared" si="1007"/>
        <v>9080</v>
      </c>
      <c r="AZ1468" s="318">
        <f t="shared" si="1008"/>
        <v>9070</v>
      </c>
      <c r="BA1468" s="318">
        <f t="shared" si="1009"/>
        <v>10</v>
      </c>
      <c r="BB1468" s="318">
        <f t="shared" si="1010"/>
        <v>18.16</v>
      </c>
      <c r="BC1468" s="318">
        <v>0</v>
      </c>
      <c r="BD1468" s="193"/>
      <c r="BE1468" s="138">
        <v>90.8</v>
      </c>
      <c r="BF1468" s="321">
        <f t="shared" si="1011"/>
        <v>0.13619999999999999</v>
      </c>
      <c r="BG1468" s="321">
        <f t="shared" si="1012"/>
        <v>90.663799999999995</v>
      </c>
      <c r="BH1468" s="321">
        <f t="shared" si="1013"/>
        <v>90.7</v>
      </c>
      <c r="BI1468" s="322">
        <f t="shared" si="1014"/>
        <v>9.9999999999994316</v>
      </c>
      <c r="BJ1468" s="322">
        <v>0</v>
      </c>
      <c r="BK1468" s="318">
        <f t="shared" si="1015"/>
        <v>9.9999999999994316</v>
      </c>
      <c r="BL1468" s="193"/>
      <c r="BM1468" s="449" t="str">
        <f t="shared" si="1016"/>
        <v>Unloading no. 1433 Bill No 2026-27/491 ,Deduction For Oil Deduction= 34810.9904761904 ,Bardana= 0 ,F.M= 0 Brokerage/Rate Difference  ,Shortage = 0 ,Greenish= 0 ,Moisture= 0</v>
      </c>
      <c r="BN1468" s="193"/>
      <c r="BO1468" s="449" t="str">
        <f t="shared" si="1017"/>
        <v xml:space="preserve"> Party Condition 42  ,F.M% 0.26 ,Greenish 3.38 ,Moisture 5 ,Shortage in KG= 0  ,Oil% 40.06</v>
      </c>
      <c r="BP1468" s="318">
        <f t="shared" si="1018"/>
        <v>7925.3474037906235</v>
      </c>
      <c r="BQ1468" s="193"/>
      <c r="BR1468" s="193"/>
      <c r="BS1468" s="193"/>
      <c r="BT1468" s="193"/>
      <c r="BU1468" s="193"/>
      <c r="BV1468" s="193"/>
      <c r="BW1468" s="373"/>
      <c r="BX1468" s="27">
        <v>39.86</v>
      </c>
      <c r="BY1468" s="27">
        <v>39.85</v>
      </c>
    </row>
    <row r="1469" spans="1:83" ht="14.1" hidden="1" customHeight="1" x14ac:dyDescent="0.3">
      <c r="A1469" s="281" t="s">
        <v>3125</v>
      </c>
      <c r="B1469" s="146">
        <v>46225</v>
      </c>
      <c r="C1469" s="138">
        <v>1434</v>
      </c>
      <c r="D1469" s="138" t="s">
        <v>3142</v>
      </c>
      <c r="E1469" s="129">
        <v>46228</v>
      </c>
      <c r="F1469" s="128" t="s">
        <v>1144</v>
      </c>
      <c r="G1469" s="128" t="s">
        <v>1145</v>
      </c>
      <c r="H1469" s="281" t="s">
        <v>100</v>
      </c>
      <c r="I1469" s="136"/>
      <c r="J1469" s="138" t="s">
        <v>1146</v>
      </c>
      <c r="K1469" s="136"/>
      <c r="L1469" s="146">
        <v>46225</v>
      </c>
      <c r="M1469" s="136"/>
      <c r="N1469" s="281" t="s">
        <v>3165</v>
      </c>
      <c r="O1469" s="146">
        <v>46228</v>
      </c>
      <c r="P1469" s="138">
        <v>0</v>
      </c>
      <c r="Q1469" s="138">
        <v>130</v>
      </c>
      <c r="R1469" s="138">
        <v>22</v>
      </c>
      <c r="S1469" s="138">
        <v>152</v>
      </c>
      <c r="T1469" s="138">
        <v>152</v>
      </c>
      <c r="U1469" s="136"/>
      <c r="V1469" s="136"/>
      <c r="W1469" s="147">
        <v>90.3</v>
      </c>
      <c r="X1469" s="147">
        <v>90.3</v>
      </c>
      <c r="Y1469" s="147">
        <v>749490</v>
      </c>
      <c r="Z1469" s="276">
        <v>39.57</v>
      </c>
      <c r="AA1469" s="147">
        <v>18737.25</v>
      </c>
      <c r="AB1469" s="147">
        <v>18737.25</v>
      </c>
      <c r="AC1469" s="147">
        <v>786964.5</v>
      </c>
      <c r="AD1469" s="315">
        <f t="shared" si="1001"/>
        <v>786177.5355</v>
      </c>
      <c r="AE1469" s="276">
        <v>39.57</v>
      </c>
      <c r="AF1469" s="147">
        <v>42</v>
      </c>
      <c r="AG1469" s="276">
        <v>39.57</v>
      </c>
      <c r="AH1469" s="287">
        <v>1.6000000000000001E-3</v>
      </c>
      <c r="AI1469" s="287">
        <v>3.5499999999999997E-2</v>
      </c>
      <c r="AJ1469" s="287">
        <v>4.9000000000000002E-2</v>
      </c>
      <c r="AK1469" s="318">
        <f t="shared" si="1002"/>
        <v>43363.349999999991</v>
      </c>
      <c r="AL1469" s="193">
        <v>0</v>
      </c>
      <c r="AM1469" s="319">
        <v>0</v>
      </c>
      <c r="AN1469" s="319"/>
      <c r="AO1469" s="320">
        <f t="shared" si="1003"/>
        <v>0</v>
      </c>
      <c r="AP1469" s="193">
        <v>0</v>
      </c>
      <c r="AQ1469" s="318">
        <v>0</v>
      </c>
      <c r="AR1469" s="318">
        <f t="shared" si="1004"/>
        <v>43363.349999999991</v>
      </c>
      <c r="AS1469" s="318">
        <f t="shared" si="1005"/>
        <v>45532</v>
      </c>
      <c r="AT1469" s="321">
        <v>0</v>
      </c>
      <c r="AU1469" s="193"/>
      <c r="AV1469" s="193"/>
      <c r="AW1469" s="318">
        <f t="shared" si="1006"/>
        <v>9030</v>
      </c>
      <c r="AX1469" s="193"/>
      <c r="AY1469" s="318">
        <f t="shared" si="1007"/>
        <v>9030</v>
      </c>
      <c r="AZ1469" s="318">
        <f t="shared" si="1008"/>
        <v>9030</v>
      </c>
      <c r="BA1469" s="318">
        <f t="shared" si="1009"/>
        <v>0</v>
      </c>
      <c r="BB1469" s="318">
        <f t="shared" si="1010"/>
        <v>18.059999999999999</v>
      </c>
      <c r="BC1469" s="318">
        <v>0</v>
      </c>
      <c r="BD1469" s="193"/>
      <c r="BE1469" s="138">
        <v>90.3</v>
      </c>
      <c r="BF1469" s="321">
        <f t="shared" si="1011"/>
        <v>0.13544999999999999</v>
      </c>
      <c r="BG1469" s="321">
        <f t="shared" si="1012"/>
        <v>90.164549999999991</v>
      </c>
      <c r="BH1469" s="321">
        <f t="shared" si="1013"/>
        <v>90.3</v>
      </c>
      <c r="BI1469" s="322">
        <f t="shared" si="1014"/>
        <v>0</v>
      </c>
      <c r="BJ1469" s="322">
        <v>0</v>
      </c>
      <c r="BK1469" s="318">
        <f t="shared" si="1015"/>
        <v>0</v>
      </c>
      <c r="BL1469" s="193"/>
      <c r="BM1469" s="449" t="str">
        <f t="shared" si="1016"/>
        <v>Unloading no. 1434 Bill No 2026-27/492 ,Deduction For Oil Deduction= 43363.35 ,Bardana= 0 ,F.M= 0 Brokerage/Rate Difference  ,Shortage = 0 ,Greenish= 0 ,Moisture= 0</v>
      </c>
      <c r="BN1469" s="193"/>
      <c r="BO1469" s="449" t="str">
        <f t="shared" si="1017"/>
        <v xml:space="preserve"> Party Condition 42  ,F.M% 0.16 ,Greenish 3.55 ,Moisture 4.9 ,Shortage in KG= 0  ,Oil% 39.57</v>
      </c>
      <c r="BP1469" s="318">
        <f t="shared" si="1018"/>
        <v>7819.7857142857147</v>
      </c>
      <c r="BQ1469" s="193"/>
      <c r="BR1469" s="193"/>
      <c r="BS1469" s="193"/>
      <c r="BT1469" s="193"/>
      <c r="BU1469" s="193"/>
      <c r="BV1469" s="193"/>
      <c r="BW1469" s="373"/>
      <c r="BX1469" s="27">
        <v>39.46</v>
      </c>
      <c r="BY1469" s="27">
        <v>39.43</v>
      </c>
    </row>
    <row r="1470" spans="1:83" ht="14.1" hidden="1" customHeight="1" x14ac:dyDescent="0.3">
      <c r="A1470" s="281" t="s">
        <v>3125</v>
      </c>
      <c r="B1470" s="146">
        <v>46225</v>
      </c>
      <c r="C1470" s="138">
        <v>1435</v>
      </c>
      <c r="D1470" s="138" t="s">
        <v>3143</v>
      </c>
      <c r="E1470" s="129">
        <v>46228</v>
      </c>
      <c r="F1470" s="128" t="s">
        <v>1144</v>
      </c>
      <c r="G1470" s="128" t="s">
        <v>1145</v>
      </c>
      <c r="H1470" s="281" t="s">
        <v>100</v>
      </c>
      <c r="I1470" s="136"/>
      <c r="J1470" s="138" t="s">
        <v>1146</v>
      </c>
      <c r="K1470" s="136"/>
      <c r="L1470" s="146">
        <v>46225</v>
      </c>
      <c r="M1470" s="136"/>
      <c r="N1470" s="281" t="s">
        <v>3166</v>
      </c>
      <c r="O1470" s="146">
        <v>46228</v>
      </c>
      <c r="P1470" s="138">
        <v>0</v>
      </c>
      <c r="Q1470" s="138">
        <v>110</v>
      </c>
      <c r="R1470" s="138">
        <v>42</v>
      </c>
      <c r="S1470" s="138">
        <v>152</v>
      </c>
      <c r="T1470" s="138">
        <v>152</v>
      </c>
      <c r="U1470" s="136"/>
      <c r="V1470" s="136"/>
      <c r="W1470" s="147">
        <v>91.4</v>
      </c>
      <c r="X1470" s="147">
        <v>91.3</v>
      </c>
      <c r="Y1470" s="147">
        <v>758620</v>
      </c>
      <c r="Z1470" s="276">
        <v>39.869999999999997</v>
      </c>
      <c r="AA1470" s="147">
        <v>18965.5</v>
      </c>
      <c r="AB1470" s="147">
        <v>18965.5</v>
      </c>
      <c r="AC1470" s="147">
        <v>796551</v>
      </c>
      <c r="AD1470" s="315">
        <f t="shared" si="1001"/>
        <v>795754.44900000002</v>
      </c>
      <c r="AE1470" s="276">
        <v>39.869999999999997</v>
      </c>
      <c r="AF1470" s="147">
        <v>42</v>
      </c>
      <c r="AG1470" s="276">
        <v>39.869999999999997</v>
      </c>
      <c r="AH1470" s="287">
        <v>2.3999999999999998E-3</v>
      </c>
      <c r="AI1470" s="287">
        <v>3.5000000000000003E-2</v>
      </c>
      <c r="AJ1470" s="287">
        <v>5.1999999999999998E-2</v>
      </c>
      <c r="AK1470" s="318">
        <f t="shared" si="1002"/>
        <v>38472.871428571474</v>
      </c>
      <c r="AL1470" s="193">
        <v>0</v>
      </c>
      <c r="AM1470" s="319">
        <v>0</v>
      </c>
      <c r="AN1470" s="319"/>
      <c r="AO1470" s="320">
        <f t="shared" si="1003"/>
        <v>0</v>
      </c>
      <c r="AP1470" s="193">
        <v>0</v>
      </c>
      <c r="AQ1470" s="318">
        <v>0</v>
      </c>
      <c r="AR1470" s="318">
        <f t="shared" si="1004"/>
        <v>38472.871428571474</v>
      </c>
      <c r="AS1470" s="318">
        <f t="shared" si="1005"/>
        <v>40397</v>
      </c>
      <c r="AT1470" s="321">
        <v>0</v>
      </c>
      <c r="AU1470" s="193"/>
      <c r="AV1470" s="193"/>
      <c r="AW1470" s="318">
        <f t="shared" si="1006"/>
        <v>9140</v>
      </c>
      <c r="AX1470" s="193"/>
      <c r="AY1470" s="318">
        <f t="shared" si="1007"/>
        <v>9140</v>
      </c>
      <c r="AZ1470" s="318">
        <f t="shared" si="1008"/>
        <v>9130</v>
      </c>
      <c r="BA1470" s="318">
        <f t="shared" si="1009"/>
        <v>10</v>
      </c>
      <c r="BB1470" s="318">
        <f t="shared" si="1010"/>
        <v>18.28</v>
      </c>
      <c r="BC1470" s="318">
        <v>0</v>
      </c>
      <c r="BD1470" s="193"/>
      <c r="BE1470" s="138">
        <v>91.4</v>
      </c>
      <c r="BF1470" s="321">
        <f t="shared" si="1011"/>
        <v>0.1371</v>
      </c>
      <c r="BG1470" s="321">
        <f t="shared" si="1012"/>
        <v>91.262900000000002</v>
      </c>
      <c r="BH1470" s="321">
        <f t="shared" si="1013"/>
        <v>91.3</v>
      </c>
      <c r="BI1470" s="322">
        <f t="shared" si="1014"/>
        <v>10.000000000000853</v>
      </c>
      <c r="BJ1470" s="322">
        <v>0</v>
      </c>
      <c r="BK1470" s="318">
        <f t="shared" si="1015"/>
        <v>10.000000000000853</v>
      </c>
      <c r="BL1470" s="193"/>
      <c r="BM1470" s="449" t="str">
        <f t="shared" si="1016"/>
        <v>Unloading no. 1435 Bill No 2026-27/493 ,Deduction For Oil Deduction= 38472.8714285715 ,Bardana= 0 ,F.M= 0 Brokerage/Rate Difference  ,Shortage = 0 ,Greenish= 0 ,Moisture= 0</v>
      </c>
      <c r="BN1470" s="193"/>
      <c r="BO1470" s="449" t="str">
        <f t="shared" si="1017"/>
        <v xml:space="preserve"> Party Condition 42  ,F.M% 0.24 ,Greenish 3.5 ,Moisture 5.2 ,Shortage in KG= 0  ,Oil% 39.87</v>
      </c>
      <c r="BP1470" s="318">
        <f t="shared" si="1018"/>
        <v>7887.7012987012977</v>
      </c>
      <c r="BQ1470" s="193"/>
      <c r="BR1470" s="193"/>
      <c r="BS1470" s="193"/>
      <c r="BT1470" s="193"/>
      <c r="BU1470" s="193"/>
      <c r="BV1470" s="193"/>
      <c r="BW1470" s="373"/>
      <c r="BX1470" s="27">
        <v>39.880000000000003</v>
      </c>
      <c r="BY1470" s="27">
        <v>39.799999999999997</v>
      </c>
    </row>
    <row r="1471" spans="1:83" ht="14.1" hidden="1" customHeight="1" x14ac:dyDescent="0.3">
      <c r="A1471" s="281" t="s">
        <v>3125</v>
      </c>
      <c r="B1471" s="146">
        <v>46225</v>
      </c>
      <c r="C1471" s="138">
        <v>1436</v>
      </c>
      <c r="D1471" s="138" t="s">
        <v>3144</v>
      </c>
      <c r="E1471" s="129">
        <v>46228</v>
      </c>
      <c r="F1471" s="128" t="s">
        <v>1144</v>
      </c>
      <c r="G1471" s="128" t="s">
        <v>1145</v>
      </c>
      <c r="H1471" s="281" t="s">
        <v>100</v>
      </c>
      <c r="I1471" s="136"/>
      <c r="J1471" s="138" t="s">
        <v>1146</v>
      </c>
      <c r="K1471" s="136"/>
      <c r="L1471" s="146">
        <v>46225</v>
      </c>
      <c r="M1471" s="136"/>
      <c r="N1471" s="281" t="s">
        <v>3167</v>
      </c>
      <c r="O1471" s="146">
        <v>46228</v>
      </c>
      <c r="P1471" s="138">
        <v>0</v>
      </c>
      <c r="Q1471" s="138">
        <v>112</v>
      </c>
      <c r="R1471" s="138">
        <v>40</v>
      </c>
      <c r="S1471" s="138">
        <v>152</v>
      </c>
      <c r="T1471" s="138">
        <v>152</v>
      </c>
      <c r="U1471" s="136"/>
      <c r="V1471" s="136"/>
      <c r="W1471" s="147">
        <v>90.3</v>
      </c>
      <c r="X1471" s="147">
        <v>90.3</v>
      </c>
      <c r="Y1471" s="147">
        <v>749490</v>
      </c>
      <c r="Z1471" s="276">
        <v>40.26</v>
      </c>
      <c r="AA1471" s="147">
        <v>18737.25</v>
      </c>
      <c r="AB1471" s="147">
        <v>18737.25</v>
      </c>
      <c r="AC1471" s="147">
        <v>786964.5</v>
      </c>
      <c r="AD1471" s="315">
        <f t="shared" si="1001"/>
        <v>786177.5355</v>
      </c>
      <c r="AE1471" s="276">
        <v>40.26</v>
      </c>
      <c r="AF1471" s="147">
        <v>42</v>
      </c>
      <c r="AG1471" s="276">
        <v>40.26</v>
      </c>
      <c r="AH1471" s="287">
        <v>3.5000000000000001E-3</v>
      </c>
      <c r="AI1471" s="287">
        <v>3.44E-2</v>
      </c>
      <c r="AJ1471" s="287">
        <v>5.5E-2</v>
      </c>
      <c r="AK1471" s="318">
        <f t="shared" si="1002"/>
        <v>31050.300000000036</v>
      </c>
      <c r="AL1471" s="193">
        <v>0</v>
      </c>
      <c r="AM1471" s="319">
        <v>0</v>
      </c>
      <c r="AN1471" s="319"/>
      <c r="AO1471" s="320">
        <f t="shared" si="1003"/>
        <v>0</v>
      </c>
      <c r="AP1471" s="193">
        <v>0</v>
      </c>
      <c r="AQ1471" s="318">
        <v>0</v>
      </c>
      <c r="AR1471" s="318">
        <f t="shared" si="1004"/>
        <v>31050.300000000036</v>
      </c>
      <c r="AS1471" s="318">
        <f t="shared" si="1005"/>
        <v>32603</v>
      </c>
      <c r="AT1471" s="321">
        <v>0</v>
      </c>
      <c r="AU1471" s="193"/>
      <c r="AV1471" s="193"/>
      <c r="AW1471" s="318">
        <f t="shared" si="1006"/>
        <v>9030</v>
      </c>
      <c r="AX1471" s="193"/>
      <c r="AY1471" s="318">
        <f t="shared" si="1007"/>
        <v>9030</v>
      </c>
      <c r="AZ1471" s="318">
        <f t="shared" si="1008"/>
        <v>9030</v>
      </c>
      <c r="BA1471" s="318">
        <f t="shared" si="1009"/>
        <v>0</v>
      </c>
      <c r="BB1471" s="318">
        <f t="shared" si="1010"/>
        <v>18.059999999999999</v>
      </c>
      <c r="BC1471" s="318">
        <v>0</v>
      </c>
      <c r="BD1471" s="193"/>
      <c r="BE1471" s="138">
        <v>90.3</v>
      </c>
      <c r="BF1471" s="321">
        <f t="shared" si="1011"/>
        <v>0.13544999999999999</v>
      </c>
      <c r="BG1471" s="321">
        <f t="shared" si="1012"/>
        <v>90.164549999999991</v>
      </c>
      <c r="BH1471" s="321">
        <f t="shared" si="1013"/>
        <v>90.3</v>
      </c>
      <c r="BI1471" s="322">
        <f t="shared" si="1014"/>
        <v>0</v>
      </c>
      <c r="BJ1471" s="322">
        <v>0</v>
      </c>
      <c r="BK1471" s="318">
        <f t="shared" si="1015"/>
        <v>0</v>
      </c>
      <c r="BL1471" s="193"/>
      <c r="BM1471" s="449" t="str">
        <f t="shared" si="1016"/>
        <v>Unloading no. 1436 Bill No 2026-27/494 ,Deduction For Oil Deduction= 31050.3 ,Bardana= 0 ,F.M= 0 Brokerage/Rate Difference  ,Shortage = 0 ,Greenish= 0 ,Moisture= 0</v>
      </c>
      <c r="BN1471" s="193"/>
      <c r="BO1471" s="449" t="str">
        <f t="shared" si="1017"/>
        <v xml:space="preserve"> Party Condition 42  ,F.M% 0.35 ,Greenish 3.44 ,Moisture 5.5 ,Shortage in KG= 0  ,Oil% 40.26</v>
      </c>
      <c r="BP1471" s="318">
        <f t="shared" si="1018"/>
        <v>7956.1428571428569</v>
      </c>
      <c r="BQ1471" s="193"/>
      <c r="BR1471" s="193"/>
      <c r="BS1471" s="193"/>
      <c r="BT1471" s="193"/>
      <c r="BU1471" s="193"/>
      <c r="BV1471" s="193"/>
      <c r="BW1471" s="373"/>
      <c r="BX1471" s="27">
        <v>40.14</v>
      </c>
      <c r="BY1471" s="27">
        <v>39.92</v>
      </c>
    </row>
    <row r="1472" spans="1:83" ht="14.1" hidden="1" customHeight="1" x14ac:dyDescent="0.3">
      <c r="A1472" s="281" t="s">
        <v>3125</v>
      </c>
      <c r="B1472" s="146">
        <v>46225</v>
      </c>
      <c r="C1472" s="138">
        <v>1437</v>
      </c>
      <c r="D1472" s="138" t="s">
        <v>3145</v>
      </c>
      <c r="E1472" s="129">
        <v>46228</v>
      </c>
      <c r="F1472" s="128" t="s">
        <v>1144</v>
      </c>
      <c r="G1472" s="128" t="s">
        <v>1145</v>
      </c>
      <c r="H1472" s="281" t="s">
        <v>100</v>
      </c>
      <c r="I1472" s="136"/>
      <c r="J1472" s="138" t="s">
        <v>1146</v>
      </c>
      <c r="K1472" s="136"/>
      <c r="L1472" s="146">
        <v>46225</v>
      </c>
      <c r="M1472" s="136"/>
      <c r="N1472" s="281" t="s">
        <v>3168</v>
      </c>
      <c r="O1472" s="146">
        <v>46228</v>
      </c>
      <c r="P1472" s="138">
        <v>0</v>
      </c>
      <c r="Q1472" s="138">
        <v>122</v>
      </c>
      <c r="R1472" s="138">
        <v>30</v>
      </c>
      <c r="S1472" s="138">
        <v>152</v>
      </c>
      <c r="T1472" s="138">
        <v>152</v>
      </c>
      <c r="U1472" s="136"/>
      <c r="V1472" s="136"/>
      <c r="W1472" s="147">
        <v>90.8</v>
      </c>
      <c r="X1472" s="147">
        <v>90.8</v>
      </c>
      <c r="Y1472" s="147">
        <v>753640</v>
      </c>
      <c r="Z1472" s="276">
        <v>40.24</v>
      </c>
      <c r="AA1472" s="147">
        <v>18841</v>
      </c>
      <c r="AB1472" s="147">
        <v>18841</v>
      </c>
      <c r="AC1472" s="147">
        <v>791322</v>
      </c>
      <c r="AD1472" s="315">
        <f t="shared" si="1001"/>
        <v>790530.67799999996</v>
      </c>
      <c r="AE1472" s="276">
        <v>40.24</v>
      </c>
      <c r="AF1472" s="147">
        <v>42</v>
      </c>
      <c r="AG1472" s="276">
        <v>40.24</v>
      </c>
      <c r="AH1472" s="287">
        <v>4.7999999999999996E-3</v>
      </c>
      <c r="AI1472" s="287">
        <v>3.7199999999999997E-2</v>
      </c>
      <c r="AJ1472" s="287">
        <v>5.3999999999999999E-2</v>
      </c>
      <c r="AK1472" s="318">
        <f t="shared" si="1002"/>
        <v>31581.104761904724</v>
      </c>
      <c r="AL1472" s="193">
        <v>0</v>
      </c>
      <c r="AM1472" s="319">
        <v>0</v>
      </c>
      <c r="AN1472" s="319"/>
      <c r="AO1472" s="320">
        <f t="shared" si="1003"/>
        <v>0</v>
      </c>
      <c r="AP1472" s="193">
        <v>0</v>
      </c>
      <c r="AQ1472" s="318">
        <v>0</v>
      </c>
      <c r="AR1472" s="318">
        <f t="shared" si="1004"/>
        <v>31581.104761904724</v>
      </c>
      <c r="AS1472" s="318">
        <f t="shared" si="1005"/>
        <v>33160</v>
      </c>
      <c r="AT1472" s="321">
        <v>0</v>
      </c>
      <c r="AU1472" s="193"/>
      <c r="AV1472" s="193"/>
      <c r="AW1472" s="318">
        <f t="shared" si="1006"/>
        <v>9080</v>
      </c>
      <c r="AX1472" s="193"/>
      <c r="AY1472" s="318">
        <f t="shared" si="1007"/>
        <v>9080</v>
      </c>
      <c r="AZ1472" s="318">
        <f t="shared" si="1008"/>
        <v>9080</v>
      </c>
      <c r="BA1472" s="318">
        <f t="shared" si="1009"/>
        <v>0</v>
      </c>
      <c r="BB1472" s="318">
        <f t="shared" si="1010"/>
        <v>18.16</v>
      </c>
      <c r="BC1472" s="318">
        <v>0</v>
      </c>
      <c r="BD1472" s="193"/>
      <c r="BE1472" s="138">
        <v>90.8</v>
      </c>
      <c r="BF1472" s="321">
        <f t="shared" si="1011"/>
        <v>0.13619999999999999</v>
      </c>
      <c r="BG1472" s="321">
        <f t="shared" si="1012"/>
        <v>90.663799999999995</v>
      </c>
      <c r="BH1472" s="321">
        <f t="shared" si="1013"/>
        <v>90.8</v>
      </c>
      <c r="BI1472" s="322">
        <f t="shared" si="1014"/>
        <v>0</v>
      </c>
      <c r="BJ1472" s="322">
        <v>0</v>
      </c>
      <c r="BK1472" s="318">
        <f t="shared" si="1015"/>
        <v>0</v>
      </c>
      <c r="BL1472" s="193"/>
      <c r="BM1472" s="449" t="str">
        <f t="shared" si="1016"/>
        <v>Unloading no. 1437 Bill No 2026-27/495 ,Deduction For Oil Deduction= 31581.1047619047 ,Bardana= 0 ,F.M= 0 Brokerage/Rate Difference  ,Shortage = 0 ,Greenish= 0 ,Moisture= 0</v>
      </c>
      <c r="BN1472" s="193"/>
      <c r="BO1472" s="449" t="str">
        <f t="shared" si="1017"/>
        <v xml:space="preserve"> Party Condition 42  ,F.M% 0.48 ,Greenish 3.72 ,Moisture 5.4 ,Shortage in KG= 0  ,Oil% 40.24</v>
      </c>
      <c r="BP1472" s="318">
        <f t="shared" si="1018"/>
        <v>7952.1904761904771</v>
      </c>
      <c r="BQ1472" s="193"/>
      <c r="BR1472" s="193"/>
      <c r="BS1472" s="193"/>
      <c r="BT1472" s="193"/>
      <c r="BU1472" s="193"/>
      <c r="BV1472" s="193"/>
      <c r="BW1472" s="373"/>
      <c r="BX1472" s="27">
        <v>40.22</v>
      </c>
      <c r="BY1472" s="27">
        <v>40.01</v>
      </c>
    </row>
    <row r="1473" spans="1:87" ht="14.1" hidden="1" customHeight="1" x14ac:dyDescent="0.3">
      <c r="A1473" s="281" t="s">
        <v>3125</v>
      </c>
      <c r="B1473" s="146">
        <v>46225</v>
      </c>
      <c r="C1473" s="138">
        <v>1438</v>
      </c>
      <c r="D1473" s="138" t="s">
        <v>3146</v>
      </c>
      <c r="E1473" s="129">
        <v>46228</v>
      </c>
      <c r="F1473" s="128" t="s">
        <v>1144</v>
      </c>
      <c r="G1473" s="128" t="s">
        <v>1145</v>
      </c>
      <c r="H1473" s="281" t="s">
        <v>100</v>
      </c>
      <c r="I1473" s="136"/>
      <c r="J1473" s="138" t="s">
        <v>1146</v>
      </c>
      <c r="K1473" s="136"/>
      <c r="L1473" s="146">
        <v>46225</v>
      </c>
      <c r="M1473" s="136"/>
      <c r="N1473" s="281" t="s">
        <v>3169</v>
      </c>
      <c r="O1473" s="146">
        <v>46228</v>
      </c>
      <c r="P1473" s="138">
        <v>0</v>
      </c>
      <c r="Q1473" s="138">
        <v>99</v>
      </c>
      <c r="R1473" s="138">
        <v>53</v>
      </c>
      <c r="S1473" s="138">
        <v>152</v>
      </c>
      <c r="T1473" s="138">
        <v>152</v>
      </c>
      <c r="U1473" s="136"/>
      <c r="V1473" s="136"/>
      <c r="W1473" s="147">
        <v>90.1</v>
      </c>
      <c r="X1473" s="147">
        <v>90.1</v>
      </c>
      <c r="Y1473" s="147">
        <v>747830</v>
      </c>
      <c r="Z1473" s="276">
        <v>39.72</v>
      </c>
      <c r="AA1473" s="147">
        <v>18695.75</v>
      </c>
      <c r="AB1473" s="147">
        <v>18695.75</v>
      </c>
      <c r="AC1473" s="147">
        <v>785221.5</v>
      </c>
      <c r="AD1473" s="315">
        <f t="shared" si="1001"/>
        <v>784436.27850000001</v>
      </c>
      <c r="AE1473" s="276">
        <v>39.72</v>
      </c>
      <c r="AF1473" s="147">
        <v>42</v>
      </c>
      <c r="AG1473" s="276">
        <v>39.72</v>
      </c>
      <c r="AH1473" s="287">
        <v>4.0000000000000001E-3</v>
      </c>
      <c r="AI1473" s="287">
        <v>3.6999999999999998E-2</v>
      </c>
      <c r="AJ1473" s="287">
        <v>0.05</v>
      </c>
      <c r="AK1473" s="318">
        <f t="shared" si="1002"/>
        <v>40596.485714285736</v>
      </c>
      <c r="AL1473" s="193">
        <v>0</v>
      </c>
      <c r="AM1473" s="319">
        <v>0</v>
      </c>
      <c r="AN1473" s="319"/>
      <c r="AO1473" s="320">
        <f t="shared" si="1003"/>
        <v>0</v>
      </c>
      <c r="AP1473" s="193">
        <v>0</v>
      </c>
      <c r="AQ1473" s="318">
        <v>0</v>
      </c>
      <c r="AR1473" s="318">
        <f t="shared" si="1004"/>
        <v>40596.485714285736</v>
      </c>
      <c r="AS1473" s="318">
        <f t="shared" si="1005"/>
        <v>42626</v>
      </c>
      <c r="AT1473" s="321">
        <v>0</v>
      </c>
      <c r="AU1473" s="193"/>
      <c r="AV1473" s="193"/>
      <c r="AW1473" s="318">
        <f t="shared" si="1006"/>
        <v>9010</v>
      </c>
      <c r="AX1473" s="193"/>
      <c r="AY1473" s="318">
        <f t="shared" si="1007"/>
        <v>9010</v>
      </c>
      <c r="AZ1473" s="318">
        <f t="shared" si="1008"/>
        <v>9010</v>
      </c>
      <c r="BA1473" s="318">
        <f t="shared" si="1009"/>
        <v>0</v>
      </c>
      <c r="BB1473" s="318">
        <f t="shared" si="1010"/>
        <v>18.02</v>
      </c>
      <c r="BC1473" s="318">
        <v>0</v>
      </c>
      <c r="BD1473" s="193"/>
      <c r="BE1473" s="138">
        <v>90.1</v>
      </c>
      <c r="BF1473" s="321">
        <f t="shared" si="1011"/>
        <v>0.13514999999999999</v>
      </c>
      <c r="BG1473" s="321">
        <f t="shared" si="1012"/>
        <v>89.964849999999998</v>
      </c>
      <c r="BH1473" s="321">
        <f t="shared" si="1013"/>
        <v>90.1</v>
      </c>
      <c r="BI1473" s="322">
        <f t="shared" si="1014"/>
        <v>0</v>
      </c>
      <c r="BJ1473" s="322">
        <v>0</v>
      </c>
      <c r="BK1473" s="318">
        <f t="shared" si="1015"/>
        <v>0</v>
      </c>
      <c r="BL1473" s="193"/>
      <c r="BM1473" s="449" t="str">
        <f t="shared" si="1016"/>
        <v>Unloading no. 1438 Bill No 2026-27/496 ,Deduction For Oil Deduction= 40596.4857142857 ,Bardana= 0 ,F.M= 0 Brokerage/Rate Difference  ,Shortage = 0 ,Greenish= 0 ,Moisture= 0</v>
      </c>
      <c r="BN1473" s="193"/>
      <c r="BO1473" s="449" t="str">
        <f t="shared" si="1017"/>
        <v xml:space="preserve"> Party Condition 42  ,F.M% 0.4 ,Greenish 3.7 ,Moisture 5 ,Shortage in KG= 0  ,Oil% 39.72</v>
      </c>
      <c r="BP1473" s="318">
        <f t="shared" si="1018"/>
        <v>7849.4285714285716</v>
      </c>
      <c r="BQ1473" s="193"/>
      <c r="BR1473" s="193"/>
      <c r="BS1473" s="193"/>
      <c r="BT1473" s="193"/>
      <c r="BU1473" s="193"/>
      <c r="BV1473" s="193"/>
      <c r="BW1473" s="373"/>
      <c r="BX1473" s="27">
        <v>39.954999999999998</v>
      </c>
      <c r="BY1473" s="27">
        <v>39.700000000000003</v>
      </c>
    </row>
    <row r="1474" spans="1:87" ht="14.1" hidden="1" customHeight="1" x14ac:dyDescent="0.3">
      <c r="A1474" s="281" t="s">
        <v>3125</v>
      </c>
      <c r="B1474" s="146">
        <v>46225</v>
      </c>
      <c r="C1474" s="138">
        <v>1439</v>
      </c>
      <c r="D1474" s="138" t="s">
        <v>3147</v>
      </c>
      <c r="E1474" s="129">
        <v>46228</v>
      </c>
      <c r="F1474" s="128" t="s">
        <v>1144</v>
      </c>
      <c r="G1474" s="128" t="s">
        <v>1145</v>
      </c>
      <c r="H1474" s="281" t="s">
        <v>100</v>
      </c>
      <c r="I1474" s="136"/>
      <c r="J1474" s="138" t="s">
        <v>1146</v>
      </c>
      <c r="K1474" s="136"/>
      <c r="L1474" s="146">
        <v>46225</v>
      </c>
      <c r="M1474" s="136"/>
      <c r="N1474" s="281" t="s">
        <v>3170</v>
      </c>
      <c r="O1474" s="146">
        <v>46228</v>
      </c>
      <c r="P1474" s="138">
        <v>0</v>
      </c>
      <c r="Q1474" s="138">
        <v>110</v>
      </c>
      <c r="R1474" s="138">
        <v>42</v>
      </c>
      <c r="S1474" s="138">
        <v>152</v>
      </c>
      <c r="T1474" s="138">
        <v>152</v>
      </c>
      <c r="U1474" s="136"/>
      <c r="V1474" s="136"/>
      <c r="W1474" s="147">
        <v>90.2</v>
      </c>
      <c r="X1474" s="147">
        <v>90.2</v>
      </c>
      <c r="Y1474" s="147">
        <v>748660</v>
      </c>
      <c r="Z1474" s="276">
        <v>40.35</v>
      </c>
      <c r="AA1474" s="147">
        <v>18716.5</v>
      </c>
      <c r="AB1474" s="147">
        <v>18716.5</v>
      </c>
      <c r="AC1474" s="147">
        <v>786093</v>
      </c>
      <c r="AD1474" s="315">
        <f t="shared" si="1001"/>
        <v>785306.90700000001</v>
      </c>
      <c r="AE1474" s="276">
        <v>40.35</v>
      </c>
      <c r="AF1474" s="147">
        <v>42</v>
      </c>
      <c r="AG1474" s="276">
        <v>40.35</v>
      </c>
      <c r="AH1474" s="287">
        <v>4.7999999999999996E-3</v>
      </c>
      <c r="AI1474" s="287">
        <v>0.04</v>
      </c>
      <c r="AJ1474" s="287">
        <v>5.0999999999999997E-2</v>
      </c>
      <c r="AK1474" s="318">
        <f t="shared" si="1002"/>
        <v>29411.64285714283</v>
      </c>
      <c r="AL1474" s="193">
        <v>0</v>
      </c>
      <c r="AM1474" s="319">
        <v>0</v>
      </c>
      <c r="AN1474" s="319"/>
      <c r="AO1474" s="320">
        <f t="shared" si="1003"/>
        <v>0</v>
      </c>
      <c r="AP1474" s="193">
        <v>0</v>
      </c>
      <c r="AQ1474" s="318">
        <v>0</v>
      </c>
      <c r="AR1474" s="318">
        <f t="shared" si="1004"/>
        <v>29411.64285714283</v>
      </c>
      <c r="AS1474" s="318">
        <f t="shared" si="1005"/>
        <v>30882</v>
      </c>
      <c r="AT1474" s="321">
        <v>0</v>
      </c>
      <c r="AU1474" s="193"/>
      <c r="AV1474" s="193"/>
      <c r="AW1474" s="318">
        <f t="shared" si="1006"/>
        <v>9020</v>
      </c>
      <c r="AX1474" s="193"/>
      <c r="AY1474" s="318">
        <f t="shared" si="1007"/>
        <v>9020</v>
      </c>
      <c r="AZ1474" s="318">
        <f t="shared" si="1008"/>
        <v>9020</v>
      </c>
      <c r="BA1474" s="318">
        <f t="shared" si="1009"/>
        <v>0</v>
      </c>
      <c r="BB1474" s="318">
        <f t="shared" si="1010"/>
        <v>18.04</v>
      </c>
      <c r="BC1474" s="318">
        <v>0</v>
      </c>
      <c r="BD1474" s="193"/>
      <c r="BE1474" s="138">
        <v>90.2</v>
      </c>
      <c r="BF1474" s="321">
        <f t="shared" si="1011"/>
        <v>0.1353</v>
      </c>
      <c r="BG1474" s="321">
        <f t="shared" si="1012"/>
        <v>90.064700000000002</v>
      </c>
      <c r="BH1474" s="321">
        <f t="shared" si="1013"/>
        <v>90.2</v>
      </c>
      <c r="BI1474" s="322">
        <f t="shared" si="1014"/>
        <v>0</v>
      </c>
      <c r="BJ1474" s="322">
        <v>0</v>
      </c>
      <c r="BK1474" s="318">
        <f t="shared" si="1015"/>
        <v>0</v>
      </c>
      <c r="BL1474" s="193"/>
      <c r="BM1474" s="449" t="str">
        <f t="shared" si="1016"/>
        <v>Unloading no. 1439 Bill No 2026-27/497 ,Deduction For Oil Deduction= 29411.6428571428 ,Bardana= 0 ,F.M= 0 Brokerage/Rate Difference  ,Shortage = 0 ,Greenish= 0 ,Moisture= 0</v>
      </c>
      <c r="BN1474" s="193"/>
      <c r="BO1474" s="449" t="str">
        <f t="shared" si="1017"/>
        <v xml:space="preserve"> Party Condition 42  ,F.M% 0.48 ,Greenish 4 ,Moisture 5.1 ,Shortage in KG= 0  ,Oil% 40.35</v>
      </c>
      <c r="BP1474" s="318">
        <f t="shared" si="1018"/>
        <v>7973.9285714285716</v>
      </c>
      <c r="BQ1474" s="193"/>
      <c r="BR1474" s="193"/>
      <c r="BS1474" s="193"/>
      <c r="BT1474" s="193"/>
      <c r="BU1474" s="193"/>
      <c r="BV1474" s="193"/>
      <c r="BW1474" s="373"/>
      <c r="BX1474" s="27">
        <v>40.31</v>
      </c>
      <c r="BY1474" s="27">
        <v>40.119999999999997</v>
      </c>
    </row>
    <row r="1475" spans="1:87" ht="14.1" hidden="1" customHeight="1" x14ac:dyDescent="0.3">
      <c r="A1475" s="281" t="s">
        <v>3128</v>
      </c>
      <c r="B1475" s="146">
        <v>46227</v>
      </c>
      <c r="C1475" s="138">
        <v>1440</v>
      </c>
      <c r="D1475" s="138" t="s">
        <v>3148</v>
      </c>
      <c r="E1475" s="129">
        <v>46228</v>
      </c>
      <c r="F1475" s="128" t="s">
        <v>1144</v>
      </c>
      <c r="G1475" s="128" t="s">
        <v>1145</v>
      </c>
      <c r="H1475" s="281" t="s">
        <v>100</v>
      </c>
      <c r="I1475" s="136"/>
      <c r="J1475" s="138" t="s">
        <v>1146</v>
      </c>
      <c r="K1475" s="136"/>
      <c r="L1475" s="146">
        <v>46227</v>
      </c>
      <c r="M1475" s="136"/>
      <c r="N1475" s="281" t="s">
        <v>3171</v>
      </c>
      <c r="O1475" s="146">
        <v>46228</v>
      </c>
      <c r="P1475" s="138">
        <v>0</v>
      </c>
      <c r="Q1475" s="138">
        <v>115</v>
      </c>
      <c r="R1475" s="138">
        <v>40</v>
      </c>
      <c r="S1475" s="138">
        <v>155</v>
      </c>
      <c r="T1475" s="138">
        <v>155</v>
      </c>
      <c r="U1475" s="136"/>
      <c r="V1475" s="136"/>
      <c r="W1475" s="147">
        <v>93.5</v>
      </c>
      <c r="X1475" s="147">
        <v>93.3</v>
      </c>
      <c r="Y1475" s="147">
        <v>778948.5</v>
      </c>
      <c r="Z1475" s="276">
        <v>39.82</v>
      </c>
      <c r="AA1475" s="147">
        <v>19473.71</v>
      </c>
      <c r="AB1475" s="147">
        <v>19473.71</v>
      </c>
      <c r="AC1475" s="147">
        <v>817895.93</v>
      </c>
      <c r="AD1475" s="315">
        <f t="shared" si="1001"/>
        <v>817078.03407000005</v>
      </c>
      <c r="AE1475" s="276">
        <v>39.82</v>
      </c>
      <c r="AF1475" s="147">
        <v>42</v>
      </c>
      <c r="AG1475" s="276">
        <v>39.82</v>
      </c>
      <c r="AH1475" s="287">
        <v>2E-3</v>
      </c>
      <c r="AI1475" s="287">
        <v>0.03</v>
      </c>
      <c r="AJ1475" s="287">
        <v>0.05</v>
      </c>
      <c r="AK1475" s="318">
        <f t="shared" si="1002"/>
        <v>40431.136428571423</v>
      </c>
      <c r="AL1475" s="193">
        <v>0</v>
      </c>
      <c r="AM1475" s="319">
        <v>0</v>
      </c>
      <c r="AN1475" s="319"/>
      <c r="AO1475" s="320">
        <f t="shared" si="1003"/>
        <v>83.31</v>
      </c>
      <c r="AP1475" s="193">
        <v>0</v>
      </c>
      <c r="AQ1475" s="318">
        <v>0</v>
      </c>
      <c r="AR1475" s="318">
        <f t="shared" si="1004"/>
        <v>40514.44642857142</v>
      </c>
      <c r="AS1475" s="318">
        <f t="shared" si="1005"/>
        <v>42540</v>
      </c>
      <c r="AT1475" s="321">
        <v>1</v>
      </c>
      <c r="AU1475" s="193"/>
      <c r="AV1475" s="193"/>
      <c r="AW1475" s="318">
        <f t="shared" si="1006"/>
        <v>9350</v>
      </c>
      <c r="AX1475" s="193"/>
      <c r="AY1475" s="318">
        <f t="shared" si="1007"/>
        <v>9350</v>
      </c>
      <c r="AZ1475" s="318">
        <f t="shared" si="1008"/>
        <v>9330</v>
      </c>
      <c r="BA1475" s="318">
        <f t="shared" si="1009"/>
        <v>20</v>
      </c>
      <c r="BB1475" s="318">
        <f t="shared" si="1010"/>
        <v>18.7</v>
      </c>
      <c r="BC1475" s="318">
        <v>0</v>
      </c>
      <c r="BD1475" s="193"/>
      <c r="BE1475" s="138">
        <v>93.5</v>
      </c>
      <c r="BF1475" s="321">
        <f t="shared" si="1011"/>
        <v>0.14025000000000001</v>
      </c>
      <c r="BG1475" s="321">
        <f t="shared" si="1012"/>
        <v>93.359750000000005</v>
      </c>
      <c r="BH1475" s="321">
        <f t="shared" si="1013"/>
        <v>93.3</v>
      </c>
      <c r="BI1475" s="322">
        <f t="shared" si="1014"/>
        <v>20.000000000000284</v>
      </c>
      <c r="BJ1475" s="322">
        <v>0</v>
      </c>
      <c r="BK1475" s="318">
        <f t="shared" si="1015"/>
        <v>20.000000000000284</v>
      </c>
      <c r="BL1475" s="193"/>
      <c r="BM1475" s="449" t="str">
        <f t="shared" si="1016"/>
        <v>Unloading no. 1440 Bill No 2026-27/498 ,Deduction For Oil Deduction= 40431.1364285714 ,Bardana= 0 ,F.M= 0 Brokerage/Rate Difference  ,Shortage = 83.31 ,Greenish= 0 ,Moisture= 0</v>
      </c>
      <c r="BN1475" s="193"/>
      <c r="BO1475" s="449" t="str">
        <f t="shared" si="1017"/>
        <v xml:space="preserve"> Party Condition 42  ,F.M% 0.2 ,Greenish 3 ,Moisture 5 ,Shortage in KG= 1  ,Oil% 39.82</v>
      </c>
      <c r="BP1475" s="318">
        <f t="shared" si="1018"/>
        <v>7914.6200811514327</v>
      </c>
      <c r="BQ1475" s="193"/>
      <c r="BR1475" s="193"/>
      <c r="BS1475" s="193"/>
      <c r="BT1475" s="193"/>
      <c r="BU1475" s="193"/>
      <c r="BV1475" s="193"/>
      <c r="BW1475" s="373"/>
      <c r="BX1475" s="27">
        <v>39.65</v>
      </c>
      <c r="BY1475" s="27">
        <v>39.54</v>
      </c>
    </row>
    <row r="1476" spans="1:87" ht="14.1" hidden="1" customHeight="1" x14ac:dyDescent="0.3">
      <c r="A1476" s="281" t="s">
        <v>3128</v>
      </c>
      <c r="B1476" s="146">
        <v>46227</v>
      </c>
      <c r="C1476" s="138">
        <v>1441</v>
      </c>
      <c r="D1476" s="138" t="s">
        <v>3149</v>
      </c>
      <c r="E1476" s="129">
        <v>46228</v>
      </c>
      <c r="F1476" s="128" t="s">
        <v>1144</v>
      </c>
      <c r="G1476" s="128" t="s">
        <v>1145</v>
      </c>
      <c r="H1476" s="281" t="s">
        <v>100</v>
      </c>
      <c r="I1476" s="136"/>
      <c r="J1476" s="138" t="s">
        <v>1146</v>
      </c>
      <c r="K1476" s="136"/>
      <c r="L1476" s="146">
        <v>46227</v>
      </c>
      <c r="M1476" s="136"/>
      <c r="N1476" s="281" t="s">
        <v>3172</v>
      </c>
      <c r="O1476" s="146">
        <v>46228</v>
      </c>
      <c r="P1476" s="138">
        <v>0</v>
      </c>
      <c r="Q1476" s="138">
        <v>130</v>
      </c>
      <c r="R1476" s="138">
        <v>25</v>
      </c>
      <c r="S1476" s="138">
        <v>155</v>
      </c>
      <c r="T1476" s="138">
        <v>155</v>
      </c>
      <c r="U1476" s="136"/>
      <c r="V1476" s="136"/>
      <c r="W1476" s="147">
        <v>93.4</v>
      </c>
      <c r="X1476" s="147">
        <v>93.4</v>
      </c>
      <c r="Y1476" s="147">
        <v>778115.4</v>
      </c>
      <c r="Z1476" s="276">
        <v>39.78</v>
      </c>
      <c r="AA1476" s="147">
        <v>19452.89</v>
      </c>
      <c r="AB1476" s="147">
        <v>19452.89</v>
      </c>
      <c r="AC1476" s="147">
        <v>817021.17</v>
      </c>
      <c r="AD1476" s="315">
        <f t="shared" si="1001"/>
        <v>816204.14883000008</v>
      </c>
      <c r="AE1476" s="276">
        <v>39.78</v>
      </c>
      <c r="AF1476" s="147">
        <v>42</v>
      </c>
      <c r="AG1476" s="276">
        <v>39.78</v>
      </c>
      <c r="AH1476" s="287">
        <v>2.5000000000000001E-3</v>
      </c>
      <c r="AI1476" s="287">
        <v>2.9000000000000001E-2</v>
      </c>
      <c r="AJ1476" s="287">
        <v>5.3999999999999999E-2</v>
      </c>
      <c r="AK1476" s="318">
        <f t="shared" si="1002"/>
        <v>41128.956857142839</v>
      </c>
      <c r="AL1476" s="193">
        <v>0</v>
      </c>
      <c r="AM1476" s="319">
        <v>0</v>
      </c>
      <c r="AN1476" s="319"/>
      <c r="AO1476" s="320">
        <f t="shared" si="1003"/>
        <v>0</v>
      </c>
      <c r="AP1476" s="193">
        <v>0</v>
      </c>
      <c r="AQ1476" s="318">
        <v>0</v>
      </c>
      <c r="AR1476" s="318">
        <f t="shared" si="1004"/>
        <v>41128.956857142839</v>
      </c>
      <c r="AS1476" s="318">
        <f t="shared" si="1005"/>
        <v>43185</v>
      </c>
      <c r="AT1476" s="321">
        <v>0</v>
      </c>
      <c r="AU1476" s="193"/>
      <c r="AV1476" s="193"/>
      <c r="AW1476" s="318">
        <f t="shared" si="1006"/>
        <v>9340</v>
      </c>
      <c r="AX1476" s="193"/>
      <c r="AY1476" s="318">
        <f t="shared" si="1007"/>
        <v>9340</v>
      </c>
      <c r="AZ1476" s="318">
        <f t="shared" si="1008"/>
        <v>9340</v>
      </c>
      <c r="BA1476" s="318">
        <f t="shared" si="1009"/>
        <v>0</v>
      </c>
      <c r="BB1476" s="318">
        <f t="shared" si="1010"/>
        <v>18.68</v>
      </c>
      <c r="BC1476" s="318">
        <v>0</v>
      </c>
      <c r="BD1476" s="193"/>
      <c r="BE1476" s="138">
        <v>93.4</v>
      </c>
      <c r="BF1476" s="321">
        <f t="shared" si="1011"/>
        <v>0.1401</v>
      </c>
      <c r="BG1476" s="321">
        <f t="shared" si="1012"/>
        <v>93.259900000000002</v>
      </c>
      <c r="BH1476" s="321">
        <f t="shared" si="1013"/>
        <v>93.4</v>
      </c>
      <c r="BI1476" s="322">
        <f t="shared" si="1014"/>
        <v>0</v>
      </c>
      <c r="BJ1476" s="322">
        <v>0</v>
      </c>
      <c r="BK1476" s="318">
        <f t="shared" si="1015"/>
        <v>0</v>
      </c>
      <c r="BL1476" s="193"/>
      <c r="BM1476" s="449" t="str">
        <f t="shared" si="1016"/>
        <v>Unloading no. 1441 Bill No 2026-27/499 ,Deduction For Oil Deduction= 41128.9568571428 ,Bardana= 0 ,F.M= 0 Brokerage/Rate Difference  ,Shortage = 0 ,Greenish= 0 ,Moisture= 0</v>
      </c>
      <c r="BN1476" s="193"/>
      <c r="BO1476" s="449" t="str">
        <f t="shared" si="1017"/>
        <v xml:space="preserve"> Party Condition 42  ,F.M% 0.25 ,Greenish 2.9 ,Moisture 5.4 ,Shortage in KG= 0  ,Oil% 39.78</v>
      </c>
      <c r="BP1476" s="318">
        <f t="shared" si="1018"/>
        <v>7890.6471428571431</v>
      </c>
      <c r="BQ1476" s="193"/>
      <c r="BR1476" s="193"/>
      <c r="BS1476" s="193"/>
      <c r="BT1476" s="193"/>
      <c r="BU1476" s="193"/>
      <c r="BV1476" s="193"/>
      <c r="BW1476" s="373"/>
      <c r="BX1476" s="27">
        <v>39.79</v>
      </c>
      <c r="BY1476" s="27">
        <v>39.71</v>
      </c>
    </row>
    <row r="1477" spans="1:87" ht="14.1" hidden="1" customHeight="1" x14ac:dyDescent="0.3">
      <c r="A1477" s="281" t="s">
        <v>3128</v>
      </c>
      <c r="B1477" s="146">
        <v>46227</v>
      </c>
      <c r="C1477" s="138">
        <v>1442</v>
      </c>
      <c r="D1477" s="138" t="s">
        <v>3150</v>
      </c>
      <c r="E1477" s="129">
        <v>46228</v>
      </c>
      <c r="F1477" s="128" t="s">
        <v>1144</v>
      </c>
      <c r="G1477" s="128" t="s">
        <v>1145</v>
      </c>
      <c r="H1477" s="281" t="s">
        <v>100</v>
      </c>
      <c r="I1477" s="136"/>
      <c r="J1477" s="138" t="s">
        <v>1146</v>
      </c>
      <c r="K1477" s="136"/>
      <c r="L1477" s="146">
        <v>46227</v>
      </c>
      <c r="M1477" s="136"/>
      <c r="N1477" s="281" t="s">
        <v>3173</v>
      </c>
      <c r="O1477" s="146">
        <v>46228</v>
      </c>
      <c r="P1477" s="138">
        <v>0</v>
      </c>
      <c r="Q1477" s="138">
        <v>115</v>
      </c>
      <c r="R1477" s="138">
        <v>40</v>
      </c>
      <c r="S1477" s="138">
        <v>155</v>
      </c>
      <c r="T1477" s="138">
        <v>155</v>
      </c>
      <c r="U1477" s="136"/>
      <c r="V1477" s="136"/>
      <c r="W1477" s="147">
        <v>93.5</v>
      </c>
      <c r="X1477" s="147">
        <v>93.5</v>
      </c>
      <c r="Y1477" s="147">
        <v>778948.5</v>
      </c>
      <c r="Z1477" s="276">
        <v>39.950000000000003</v>
      </c>
      <c r="AA1477" s="147">
        <v>19473.71</v>
      </c>
      <c r="AB1477" s="147">
        <v>19473.71</v>
      </c>
      <c r="AC1477" s="147">
        <v>817895.93</v>
      </c>
      <c r="AD1477" s="315">
        <f t="shared" si="1001"/>
        <v>817078.03407000005</v>
      </c>
      <c r="AE1477" s="276">
        <v>39.950000000000003</v>
      </c>
      <c r="AF1477" s="147">
        <v>42</v>
      </c>
      <c r="AG1477" s="276">
        <v>39.950000000000003</v>
      </c>
      <c r="AH1477" s="287">
        <v>2.3E-3</v>
      </c>
      <c r="AI1477" s="287">
        <v>2.5999999999999999E-2</v>
      </c>
      <c r="AJ1477" s="287">
        <v>5.6000000000000001E-2</v>
      </c>
      <c r="AK1477" s="318">
        <f t="shared" si="1002"/>
        <v>38020.105357142806</v>
      </c>
      <c r="AL1477" s="193">
        <v>0</v>
      </c>
      <c r="AM1477" s="319">
        <v>0</v>
      </c>
      <c r="AN1477" s="319"/>
      <c r="AO1477" s="320">
        <f t="shared" si="1003"/>
        <v>0</v>
      </c>
      <c r="AP1477" s="193">
        <v>0</v>
      </c>
      <c r="AQ1477" s="318">
        <v>0</v>
      </c>
      <c r="AR1477" s="318">
        <f t="shared" si="1004"/>
        <v>38020.105357142806</v>
      </c>
      <c r="AS1477" s="318">
        <f t="shared" si="1005"/>
        <v>39921</v>
      </c>
      <c r="AT1477" s="321">
        <v>0</v>
      </c>
      <c r="AU1477" s="193"/>
      <c r="AV1477" s="193"/>
      <c r="AW1477" s="318">
        <f t="shared" si="1006"/>
        <v>9350</v>
      </c>
      <c r="AX1477" s="193"/>
      <c r="AY1477" s="318">
        <f t="shared" si="1007"/>
        <v>9350</v>
      </c>
      <c r="AZ1477" s="318">
        <f t="shared" si="1008"/>
        <v>9350</v>
      </c>
      <c r="BA1477" s="318">
        <f t="shared" si="1009"/>
        <v>0</v>
      </c>
      <c r="BB1477" s="318">
        <f t="shared" si="1010"/>
        <v>18.7</v>
      </c>
      <c r="BC1477" s="318">
        <v>0</v>
      </c>
      <c r="BD1477" s="193"/>
      <c r="BE1477" s="147">
        <v>93.5</v>
      </c>
      <c r="BF1477" s="321">
        <f t="shared" si="1011"/>
        <v>0.14025000000000001</v>
      </c>
      <c r="BG1477" s="321">
        <f t="shared" si="1012"/>
        <v>93.359750000000005</v>
      </c>
      <c r="BH1477" s="321">
        <f t="shared" si="1013"/>
        <v>93.5</v>
      </c>
      <c r="BI1477" s="322">
        <f t="shared" si="1014"/>
        <v>0</v>
      </c>
      <c r="BJ1477" s="322">
        <v>0</v>
      </c>
      <c r="BK1477" s="318">
        <f t="shared" si="1015"/>
        <v>0</v>
      </c>
      <c r="BL1477" s="193"/>
      <c r="BM1477" s="449" t="str">
        <f t="shared" si="1016"/>
        <v>Unloading no. 1442 Bill No 2026-27/500 ,Deduction For Oil Deduction= 38020.1053571428 ,Bardana= 0 ,F.M= 0 Brokerage/Rate Difference  ,Shortage = 0 ,Greenish= 0 ,Moisture= 0</v>
      </c>
      <c r="BN1477" s="193"/>
      <c r="BO1477" s="449" t="str">
        <f t="shared" si="1017"/>
        <v xml:space="preserve"> Party Condition 42  ,F.M% 0.23 ,Greenish 2.6 ,Moisture 5.6 ,Shortage in KG= 0  ,Oil% 39.95</v>
      </c>
      <c r="BP1477" s="318">
        <f t="shared" si="1018"/>
        <v>7924.3678571428572</v>
      </c>
      <c r="BQ1477" s="193"/>
      <c r="BR1477" s="193"/>
      <c r="BS1477" s="193"/>
      <c r="BT1477" s="193"/>
      <c r="BU1477" s="193"/>
      <c r="BV1477" s="193"/>
      <c r="BW1477" s="373"/>
      <c r="BX1477" s="27">
        <v>39.799999999999997</v>
      </c>
      <c r="BY1477" s="27">
        <v>39.67</v>
      </c>
    </row>
    <row r="1478" spans="1:87" ht="14.1" hidden="1" customHeight="1" x14ac:dyDescent="0.3">
      <c r="A1478" s="281" t="s">
        <v>3128</v>
      </c>
      <c r="B1478" s="146">
        <v>46227</v>
      </c>
      <c r="C1478" s="138">
        <v>1443</v>
      </c>
      <c r="D1478" s="138" t="s">
        <v>3151</v>
      </c>
      <c r="E1478" s="129">
        <v>46228</v>
      </c>
      <c r="F1478" s="128" t="s">
        <v>1144</v>
      </c>
      <c r="G1478" s="128" t="s">
        <v>1145</v>
      </c>
      <c r="H1478" s="281" t="s">
        <v>100</v>
      </c>
      <c r="I1478" s="136"/>
      <c r="J1478" s="138" t="s">
        <v>1146</v>
      </c>
      <c r="K1478" s="136"/>
      <c r="L1478" s="146">
        <v>46227</v>
      </c>
      <c r="M1478" s="136"/>
      <c r="N1478" s="281" t="s">
        <v>3174</v>
      </c>
      <c r="O1478" s="146">
        <v>46228</v>
      </c>
      <c r="P1478" s="138">
        <v>0</v>
      </c>
      <c r="Q1478" s="138">
        <v>135</v>
      </c>
      <c r="R1478" s="138">
        <v>20</v>
      </c>
      <c r="S1478" s="138">
        <v>155</v>
      </c>
      <c r="T1478" s="138">
        <v>155</v>
      </c>
      <c r="U1478" s="136"/>
      <c r="V1478" s="136"/>
      <c r="W1478" s="147">
        <v>93.4</v>
      </c>
      <c r="X1478" s="147">
        <v>93.4</v>
      </c>
      <c r="Y1478" s="147">
        <v>778115.4</v>
      </c>
      <c r="Z1478" s="276">
        <v>39.729999999999997</v>
      </c>
      <c r="AA1478" s="147">
        <v>19452.89</v>
      </c>
      <c r="AB1478" s="147">
        <v>19452.89</v>
      </c>
      <c r="AC1478" s="147">
        <v>817021.17</v>
      </c>
      <c r="AD1478" s="315">
        <f t="shared" si="1001"/>
        <v>816204.14883000008</v>
      </c>
      <c r="AE1478" s="276">
        <v>39.729999999999997</v>
      </c>
      <c r="AF1478" s="147">
        <v>42</v>
      </c>
      <c r="AG1478" s="276">
        <v>39.729999999999997</v>
      </c>
      <c r="AH1478" s="287">
        <v>2E-3</v>
      </c>
      <c r="AI1478" s="287">
        <v>2.1000000000000001E-2</v>
      </c>
      <c r="AJ1478" s="287">
        <v>5.6000000000000001E-2</v>
      </c>
      <c r="AK1478" s="318">
        <f t="shared" si="1002"/>
        <v>42055.284714285772</v>
      </c>
      <c r="AL1478" s="193">
        <v>0</v>
      </c>
      <c r="AM1478" s="319">
        <v>0</v>
      </c>
      <c r="AN1478" s="319"/>
      <c r="AO1478" s="320">
        <f t="shared" si="1003"/>
        <v>0</v>
      </c>
      <c r="AP1478" s="193">
        <v>0</v>
      </c>
      <c r="AQ1478" s="318">
        <v>0</v>
      </c>
      <c r="AR1478" s="318">
        <f t="shared" si="1004"/>
        <v>42055.284714285772</v>
      </c>
      <c r="AS1478" s="318">
        <f t="shared" si="1005"/>
        <v>44158</v>
      </c>
      <c r="AT1478" s="321">
        <v>0</v>
      </c>
      <c r="AU1478" s="193"/>
      <c r="AV1478" s="193"/>
      <c r="AW1478" s="318">
        <f t="shared" si="1006"/>
        <v>9340</v>
      </c>
      <c r="AX1478" s="193"/>
      <c r="AY1478" s="318">
        <f t="shared" si="1007"/>
        <v>9340</v>
      </c>
      <c r="AZ1478" s="318">
        <f t="shared" si="1008"/>
        <v>9340</v>
      </c>
      <c r="BA1478" s="318">
        <f t="shared" si="1009"/>
        <v>0</v>
      </c>
      <c r="BB1478" s="318">
        <f t="shared" si="1010"/>
        <v>18.68</v>
      </c>
      <c r="BC1478" s="318">
        <v>0</v>
      </c>
      <c r="BD1478" s="193"/>
      <c r="BE1478" s="147">
        <v>93.4</v>
      </c>
      <c r="BF1478" s="321">
        <f t="shared" si="1011"/>
        <v>0.1401</v>
      </c>
      <c r="BG1478" s="321">
        <f t="shared" si="1012"/>
        <v>93.259900000000002</v>
      </c>
      <c r="BH1478" s="321">
        <f t="shared" si="1013"/>
        <v>93.4</v>
      </c>
      <c r="BI1478" s="322">
        <f t="shared" si="1014"/>
        <v>0</v>
      </c>
      <c r="BJ1478" s="322">
        <v>0</v>
      </c>
      <c r="BK1478" s="318">
        <f t="shared" si="1015"/>
        <v>0</v>
      </c>
      <c r="BL1478" s="193"/>
      <c r="BM1478" s="449" t="str">
        <f t="shared" si="1016"/>
        <v>Unloading no. 1443 Bill No 2026-27/501 ,Deduction For Oil Deduction= 42055.2847142858 ,Bardana= 0 ,F.M= 0 Brokerage/Rate Difference  ,Shortage = 0 ,Greenish= 0 ,Moisture= 0</v>
      </c>
      <c r="BN1478" s="193"/>
      <c r="BO1478" s="449" t="str">
        <f t="shared" si="1017"/>
        <v xml:space="preserve"> Party Condition 42  ,F.M% 0.2 ,Greenish 2.1 ,Moisture 5.6 ,Shortage in KG= 0  ,Oil% 39.73</v>
      </c>
      <c r="BP1478" s="318">
        <f t="shared" si="1018"/>
        <v>7880.7292857142847</v>
      </c>
      <c r="BQ1478" s="193"/>
      <c r="BR1478" s="193"/>
      <c r="BS1478" s="193"/>
      <c r="BT1478" s="193"/>
      <c r="BU1478" s="193"/>
      <c r="BV1478" s="193"/>
      <c r="BW1478" s="373"/>
      <c r="BX1478" s="27">
        <v>39.69</v>
      </c>
      <c r="BY1478" s="27">
        <v>39.51</v>
      </c>
    </row>
    <row r="1479" spans="1:87" ht="14.1" hidden="1" customHeight="1" x14ac:dyDescent="0.3">
      <c r="A1479" s="281" t="s">
        <v>3128</v>
      </c>
      <c r="B1479" s="146">
        <v>46227</v>
      </c>
      <c r="C1479" s="138">
        <v>1444</v>
      </c>
      <c r="D1479" s="138" t="s">
        <v>3152</v>
      </c>
      <c r="E1479" s="129">
        <v>46228</v>
      </c>
      <c r="F1479" s="128" t="s">
        <v>1144</v>
      </c>
      <c r="G1479" s="128" t="s">
        <v>1145</v>
      </c>
      <c r="H1479" s="281" t="s">
        <v>100</v>
      </c>
      <c r="I1479" s="136"/>
      <c r="J1479" s="138" t="s">
        <v>1146</v>
      </c>
      <c r="K1479" s="136"/>
      <c r="L1479" s="146">
        <v>46227</v>
      </c>
      <c r="M1479" s="136"/>
      <c r="N1479" s="281" t="s">
        <v>3175</v>
      </c>
      <c r="O1479" s="146">
        <v>46228</v>
      </c>
      <c r="P1479" s="138">
        <v>0</v>
      </c>
      <c r="Q1479" s="138">
        <v>110</v>
      </c>
      <c r="R1479" s="138">
        <v>50</v>
      </c>
      <c r="S1479" s="138">
        <v>160</v>
      </c>
      <c r="T1479" s="138">
        <v>160</v>
      </c>
      <c r="U1479" s="136"/>
      <c r="V1479" s="136"/>
      <c r="W1479" s="147">
        <v>96</v>
      </c>
      <c r="X1479" s="147">
        <v>96</v>
      </c>
      <c r="Y1479" s="147">
        <v>799776</v>
      </c>
      <c r="Z1479" s="276">
        <v>39.69</v>
      </c>
      <c r="AA1479" s="147">
        <v>19994.400000000001</v>
      </c>
      <c r="AB1479" s="147">
        <v>19994.400000000001</v>
      </c>
      <c r="AC1479" s="147">
        <v>839764.8</v>
      </c>
      <c r="AD1479" s="315">
        <f t="shared" si="1001"/>
        <v>838925.03520000004</v>
      </c>
      <c r="AE1479" s="276">
        <v>39.69</v>
      </c>
      <c r="AF1479" s="147">
        <v>42</v>
      </c>
      <c r="AG1479" s="276">
        <v>39.69</v>
      </c>
      <c r="AH1479" s="287">
        <v>2.3999999999999998E-3</v>
      </c>
      <c r="AI1479" s="287">
        <v>0.03</v>
      </c>
      <c r="AJ1479" s="287">
        <v>0.05</v>
      </c>
      <c r="AK1479" s="318">
        <f t="shared" si="1002"/>
        <v>43987.680000000044</v>
      </c>
      <c r="AL1479" s="193">
        <v>0</v>
      </c>
      <c r="AM1479" s="319">
        <v>0</v>
      </c>
      <c r="AN1479" s="319"/>
      <c r="AO1479" s="320">
        <f t="shared" si="1003"/>
        <v>0</v>
      </c>
      <c r="AP1479" s="193">
        <v>0</v>
      </c>
      <c r="AQ1479" s="318">
        <v>0</v>
      </c>
      <c r="AR1479" s="318">
        <f t="shared" si="1004"/>
        <v>43987.680000000044</v>
      </c>
      <c r="AS1479" s="318">
        <f t="shared" si="1005"/>
        <v>46187</v>
      </c>
      <c r="AT1479" s="321">
        <v>0</v>
      </c>
      <c r="AU1479" s="193"/>
      <c r="AV1479" s="193"/>
      <c r="AW1479" s="318">
        <f t="shared" si="1006"/>
        <v>9600</v>
      </c>
      <c r="AX1479" s="193"/>
      <c r="AY1479" s="318">
        <f t="shared" si="1007"/>
        <v>9600</v>
      </c>
      <c r="AZ1479" s="318">
        <f t="shared" si="1008"/>
        <v>9600</v>
      </c>
      <c r="BA1479" s="318">
        <f t="shared" si="1009"/>
        <v>0</v>
      </c>
      <c r="BB1479" s="318">
        <f t="shared" si="1010"/>
        <v>19.2</v>
      </c>
      <c r="BC1479" s="318">
        <v>0</v>
      </c>
      <c r="BD1479" s="193"/>
      <c r="BE1479" s="147">
        <v>96</v>
      </c>
      <c r="BF1479" s="321">
        <f t="shared" si="1011"/>
        <v>0.14399999999999999</v>
      </c>
      <c r="BG1479" s="321">
        <f t="shared" si="1012"/>
        <v>95.855999999999995</v>
      </c>
      <c r="BH1479" s="321">
        <f t="shared" si="1013"/>
        <v>96</v>
      </c>
      <c r="BI1479" s="322">
        <f t="shared" si="1014"/>
        <v>0</v>
      </c>
      <c r="BJ1479" s="322">
        <v>0</v>
      </c>
      <c r="BK1479" s="318">
        <f t="shared" si="1015"/>
        <v>0</v>
      </c>
      <c r="BL1479" s="193"/>
      <c r="BM1479" s="449" t="str">
        <f t="shared" si="1016"/>
        <v>Unloading no. 1444 Bill No 2026-27/502 ,Deduction For Oil Deduction= 43987.68 ,Bardana= 0 ,F.M= 0 Brokerage/Rate Difference  ,Shortage = 0 ,Greenish= 0 ,Moisture= 0</v>
      </c>
      <c r="BN1479" s="193"/>
      <c r="BO1479" s="449" t="str">
        <f t="shared" si="1017"/>
        <v xml:space="preserve"> Party Condition 42  ,F.M% 0.24 ,Greenish 3 ,Moisture 5 ,Shortage in KG= 0  ,Oil% 39.69</v>
      </c>
      <c r="BP1479" s="318">
        <f t="shared" si="1018"/>
        <v>7872.7949999999992</v>
      </c>
      <c r="BQ1479" s="193"/>
      <c r="BR1479" s="193"/>
      <c r="BS1479" s="193"/>
      <c r="BT1479" s="193"/>
      <c r="BU1479" s="193"/>
      <c r="BV1479" s="193"/>
      <c r="BW1479" s="373"/>
      <c r="BX1479" s="27">
        <v>39.549999999999997</v>
      </c>
      <c r="BY1479" s="27">
        <v>39.409999999999997</v>
      </c>
    </row>
    <row r="1480" spans="1:87" ht="14.1" hidden="1" customHeight="1" x14ac:dyDescent="0.3">
      <c r="A1480" s="281" t="s">
        <v>3128</v>
      </c>
      <c r="B1480" s="146">
        <v>46227</v>
      </c>
      <c r="C1480" s="138">
        <v>1445</v>
      </c>
      <c r="D1480" s="138" t="s">
        <v>3153</v>
      </c>
      <c r="E1480" s="129">
        <v>46228</v>
      </c>
      <c r="F1480" s="128" t="s">
        <v>1144</v>
      </c>
      <c r="G1480" s="128" t="s">
        <v>1145</v>
      </c>
      <c r="H1480" s="281" t="s">
        <v>100</v>
      </c>
      <c r="I1480" s="136"/>
      <c r="J1480" s="138" t="s">
        <v>1146</v>
      </c>
      <c r="K1480" s="136"/>
      <c r="L1480" s="146">
        <v>46227</v>
      </c>
      <c r="M1480" s="136"/>
      <c r="N1480" s="281" t="s">
        <v>3176</v>
      </c>
      <c r="O1480" s="146">
        <v>46228</v>
      </c>
      <c r="P1480" s="138">
        <v>0</v>
      </c>
      <c r="Q1480" s="138">
        <v>115</v>
      </c>
      <c r="R1480" s="138">
        <v>45</v>
      </c>
      <c r="S1480" s="138">
        <v>160</v>
      </c>
      <c r="T1480" s="138">
        <v>160</v>
      </c>
      <c r="U1480" s="136"/>
      <c r="V1480" s="136"/>
      <c r="W1480" s="147">
        <v>96.8</v>
      </c>
      <c r="X1480" s="147">
        <v>96.8</v>
      </c>
      <c r="Y1480" s="147">
        <v>806440.8</v>
      </c>
      <c r="Z1480" s="276">
        <v>39.729999999999997</v>
      </c>
      <c r="AA1480" s="147">
        <v>20161.02</v>
      </c>
      <c r="AB1480" s="147">
        <v>20161.02</v>
      </c>
      <c r="AC1480" s="147">
        <v>846762.84</v>
      </c>
      <c r="AD1480" s="315">
        <f t="shared" si="1001"/>
        <v>845916.07715999999</v>
      </c>
      <c r="AE1480" s="276">
        <v>39.729999999999997</v>
      </c>
      <c r="AF1480" s="147">
        <v>42</v>
      </c>
      <c r="AG1480" s="276">
        <v>39.729999999999997</v>
      </c>
      <c r="AH1480" s="287">
        <v>2.5999999999999999E-3</v>
      </c>
      <c r="AI1480" s="287">
        <v>3.27E-2</v>
      </c>
      <c r="AJ1480" s="287">
        <v>5.2999999999999999E-2</v>
      </c>
      <c r="AK1480" s="318">
        <f t="shared" si="1002"/>
        <v>43586.205142857209</v>
      </c>
      <c r="AL1480" s="193">
        <v>0</v>
      </c>
      <c r="AM1480" s="319">
        <v>0</v>
      </c>
      <c r="AN1480" s="319"/>
      <c r="AO1480" s="320">
        <f t="shared" si="1003"/>
        <v>0</v>
      </c>
      <c r="AP1480" s="193">
        <v>0</v>
      </c>
      <c r="AQ1480" s="318">
        <v>0</v>
      </c>
      <c r="AR1480" s="318">
        <f t="shared" si="1004"/>
        <v>43586.205142857209</v>
      </c>
      <c r="AS1480" s="318">
        <f t="shared" si="1005"/>
        <v>45766</v>
      </c>
      <c r="AT1480" s="321">
        <v>0</v>
      </c>
      <c r="AU1480" s="193"/>
      <c r="AV1480" s="193"/>
      <c r="AW1480" s="318">
        <f t="shared" si="1006"/>
        <v>9680</v>
      </c>
      <c r="AX1480" s="193"/>
      <c r="AY1480" s="318">
        <f t="shared" si="1007"/>
        <v>9680</v>
      </c>
      <c r="AZ1480" s="318">
        <f t="shared" si="1008"/>
        <v>9680</v>
      </c>
      <c r="BA1480" s="318">
        <f t="shared" si="1009"/>
        <v>0</v>
      </c>
      <c r="BB1480" s="318">
        <f t="shared" si="1010"/>
        <v>19.36</v>
      </c>
      <c r="BC1480" s="318">
        <v>0</v>
      </c>
      <c r="BD1480" s="193"/>
      <c r="BE1480" s="147">
        <v>96.8</v>
      </c>
      <c r="BF1480" s="321">
        <f t="shared" si="1011"/>
        <v>0.1452</v>
      </c>
      <c r="BG1480" s="321">
        <f t="shared" si="1012"/>
        <v>96.654799999999994</v>
      </c>
      <c r="BH1480" s="321">
        <f t="shared" si="1013"/>
        <v>96.8</v>
      </c>
      <c r="BI1480" s="322">
        <f t="shared" si="1014"/>
        <v>0</v>
      </c>
      <c r="BJ1480" s="322">
        <v>0</v>
      </c>
      <c r="BK1480" s="318">
        <f t="shared" si="1015"/>
        <v>0</v>
      </c>
      <c r="BL1480" s="193"/>
      <c r="BM1480" s="449" t="str">
        <f t="shared" si="1016"/>
        <v>Unloading no. 1445 Bill No 2026-27/503 ,Deduction For Oil Deduction= 43586.2051428572 ,Bardana= 0 ,F.M= 0 Brokerage/Rate Difference  ,Shortage = 0 ,Greenish= 0 ,Moisture= 0</v>
      </c>
      <c r="BN1480" s="193"/>
      <c r="BO1480" s="449" t="str">
        <f t="shared" si="1017"/>
        <v xml:space="preserve"> Party Condition 42  ,F.M% 0.26 ,Greenish 3.27 ,Moisture 5.3 ,Shortage in KG= 0  ,Oil% 39.73</v>
      </c>
      <c r="BP1480" s="318">
        <f t="shared" si="1018"/>
        <v>7880.7292857142866</v>
      </c>
      <c r="BQ1480" s="193"/>
      <c r="BR1480" s="193"/>
      <c r="BS1480" s="193"/>
      <c r="BT1480" s="193"/>
      <c r="BU1480" s="193"/>
      <c r="BV1480" s="193"/>
      <c r="BW1480" s="373"/>
      <c r="BX1480" s="27">
        <v>39.659999999999997</v>
      </c>
      <c r="BY1480" s="27">
        <v>39.43</v>
      </c>
    </row>
    <row r="1481" spans="1:87" ht="14.1" hidden="1" customHeight="1" x14ac:dyDescent="0.3">
      <c r="A1481" s="281" t="s">
        <v>3129</v>
      </c>
      <c r="B1481" s="146">
        <v>46224</v>
      </c>
      <c r="C1481" s="138">
        <v>1446</v>
      </c>
      <c r="D1481" s="138" t="s">
        <v>3154</v>
      </c>
      <c r="E1481" s="129">
        <v>46228</v>
      </c>
      <c r="F1481" s="159" t="s">
        <v>104</v>
      </c>
      <c r="G1481" s="128" t="s">
        <v>105</v>
      </c>
      <c r="H1481" s="281" t="s">
        <v>106</v>
      </c>
      <c r="I1481" s="136"/>
      <c r="J1481" s="138" t="s">
        <v>1146</v>
      </c>
      <c r="K1481" s="136"/>
      <c r="L1481" s="146">
        <v>46224</v>
      </c>
      <c r="M1481" s="136"/>
      <c r="N1481" s="281" t="s">
        <v>3177</v>
      </c>
      <c r="O1481" s="146">
        <v>46227</v>
      </c>
      <c r="P1481" s="138">
        <v>0</v>
      </c>
      <c r="Q1481" s="138">
        <v>500</v>
      </c>
      <c r="R1481" s="138">
        <v>90</v>
      </c>
      <c r="S1481" s="138">
        <v>590</v>
      </c>
      <c r="T1481" s="138">
        <v>590</v>
      </c>
      <c r="U1481" s="136"/>
      <c r="V1481" s="136"/>
      <c r="W1481" s="147">
        <v>346.45</v>
      </c>
      <c r="X1481" s="147">
        <v>346.5</v>
      </c>
      <c r="Y1481" s="147">
        <v>2871114.3</v>
      </c>
      <c r="Z1481" s="147">
        <v>39.65</v>
      </c>
      <c r="AA1481" s="147">
        <v>71777.86</v>
      </c>
      <c r="AB1481" s="147">
        <v>71777.86</v>
      </c>
      <c r="AC1481" s="147">
        <v>3014670.01</v>
      </c>
      <c r="AD1481" s="315">
        <f t="shared" si="1001"/>
        <v>3011655.3399899998</v>
      </c>
      <c r="AE1481" s="147">
        <v>40.29</v>
      </c>
      <c r="AF1481" s="147">
        <v>39.65</v>
      </c>
      <c r="AG1481" s="147">
        <v>40.04</v>
      </c>
      <c r="AH1481" s="287">
        <v>3.0000000000000001E-3</v>
      </c>
      <c r="AI1481" s="287">
        <v>3.2500000000000001E-2</v>
      </c>
      <c r="AJ1481" s="287">
        <v>5.3999999999999999E-2</v>
      </c>
      <c r="AK1481" s="318">
        <f t="shared" si="1002"/>
        <v>0</v>
      </c>
      <c r="AL1481" s="193">
        <v>0</v>
      </c>
      <c r="AM1481" s="319">
        <v>0</v>
      </c>
      <c r="AN1481" s="319">
        <f>W1481*11.31</f>
        <v>3918.3495000000003</v>
      </c>
      <c r="AO1481" s="320">
        <f t="shared" si="1003"/>
        <v>0</v>
      </c>
      <c r="AP1481" s="193">
        <v>0</v>
      </c>
      <c r="AQ1481" s="318">
        <v>0</v>
      </c>
      <c r="AR1481" s="318">
        <f t="shared" si="1004"/>
        <v>3918.3495000000003</v>
      </c>
      <c r="AS1481" s="318">
        <f t="shared" si="1005"/>
        <v>4114</v>
      </c>
      <c r="AT1481" s="321">
        <v>0</v>
      </c>
      <c r="AU1481" s="193"/>
      <c r="AV1481" s="193"/>
      <c r="AW1481" s="318">
        <f t="shared" si="1006"/>
        <v>34645</v>
      </c>
      <c r="AX1481" s="193"/>
      <c r="AY1481" s="318">
        <f t="shared" si="1007"/>
        <v>34645</v>
      </c>
      <c r="AZ1481" s="318">
        <f t="shared" si="1008"/>
        <v>34650</v>
      </c>
      <c r="BA1481" s="318">
        <f t="shared" si="1009"/>
        <v>-5</v>
      </c>
      <c r="BB1481" s="318">
        <f t="shared" si="1010"/>
        <v>69.290000000000006</v>
      </c>
      <c r="BC1481" s="318">
        <v>0</v>
      </c>
      <c r="BD1481" s="193"/>
      <c r="BE1481" s="147">
        <v>346.45</v>
      </c>
      <c r="BF1481" s="321">
        <f t="shared" si="1011"/>
        <v>0.51967499999999989</v>
      </c>
      <c r="BG1481" s="321">
        <f t="shared" si="1012"/>
        <v>345.93032499999998</v>
      </c>
      <c r="BH1481" s="321">
        <f t="shared" si="1013"/>
        <v>346.5</v>
      </c>
      <c r="BI1481" s="322">
        <f t="shared" si="1014"/>
        <v>-5.0000000000011369</v>
      </c>
      <c r="BJ1481" s="322">
        <v>0</v>
      </c>
      <c r="BK1481" s="318">
        <f t="shared" si="1015"/>
        <v>-5.0000000000011369</v>
      </c>
      <c r="BL1481" s="193"/>
      <c r="BM1481" s="449" t="str">
        <f t="shared" si="1016"/>
        <v>Unloading no. 1446 Bill No MTC/2026-27/0287 ,Deduction For Oil Deduction= 0 ,Bardana= 0 ,F.M= 0 Brokerage/Rate Difference 3918.3495 ,Shortage = 0 ,Greenish= 0 ,Moisture= 0</v>
      </c>
      <c r="BN1481" s="193"/>
      <c r="BO1481" s="449" t="str">
        <f t="shared" si="1017"/>
        <v xml:space="preserve"> Party Condition 39.65  ,F.M% 0.3 ,Greenish 3.25 ,Moisture 5.4 ,Shortage in KG= 0  ,Oil% 40.04</v>
      </c>
      <c r="BP1481" s="318">
        <f t="shared" si="1018"/>
        <v>8274.735787878788</v>
      </c>
      <c r="BQ1481" s="193"/>
      <c r="BR1481" s="193"/>
      <c r="BS1481" s="193"/>
      <c r="BT1481" s="193"/>
      <c r="BU1481" s="193"/>
      <c r="BV1481" s="193"/>
      <c r="BW1481" s="373"/>
      <c r="BX1481" s="30">
        <v>40.29</v>
      </c>
      <c r="BY1481" s="30">
        <v>40.04</v>
      </c>
      <c r="CA1481" s="56">
        <v>0</v>
      </c>
      <c r="CC1481" s="57">
        <f t="shared" ref="CC1481:CC1482" si="1023">AS1481-CA1481</f>
        <v>4114</v>
      </c>
      <c r="CE1481" s="88">
        <f t="shared" ref="CE1481:CE1482" si="1024">CC1481/105%</f>
        <v>3918.0952380952381</v>
      </c>
    </row>
    <row r="1482" spans="1:87" ht="14.1" hidden="1" customHeight="1" x14ac:dyDescent="0.3">
      <c r="A1482" s="281" t="s">
        <v>3179</v>
      </c>
      <c r="B1482" s="146">
        <v>46227</v>
      </c>
      <c r="C1482" s="138">
        <v>1447</v>
      </c>
      <c r="D1482" s="128" t="s">
        <v>3184</v>
      </c>
      <c r="E1482" s="129">
        <v>46229</v>
      </c>
      <c r="F1482" s="128" t="s">
        <v>2296</v>
      </c>
      <c r="G1482" s="128" t="s">
        <v>2297</v>
      </c>
      <c r="H1482" s="128" t="s">
        <v>1511</v>
      </c>
      <c r="I1482" s="347" t="s">
        <v>1455</v>
      </c>
      <c r="J1482" s="347" t="s">
        <v>1455</v>
      </c>
      <c r="K1482" s="136"/>
      <c r="L1482" s="146">
        <v>46227</v>
      </c>
      <c r="M1482" s="136"/>
      <c r="N1482" s="128" t="s">
        <v>3215</v>
      </c>
      <c r="O1482" s="146">
        <v>46228</v>
      </c>
      <c r="P1482" s="138">
        <v>0</v>
      </c>
      <c r="Q1482" s="138">
        <v>280</v>
      </c>
      <c r="R1482" s="138">
        <v>90</v>
      </c>
      <c r="S1482" s="138">
        <v>370</v>
      </c>
      <c r="T1482" s="138">
        <v>370</v>
      </c>
      <c r="U1482" s="136"/>
      <c r="V1482" s="136"/>
      <c r="W1482" s="147">
        <v>223.8</v>
      </c>
      <c r="X1482" s="147">
        <v>223.8</v>
      </c>
      <c r="Y1482" s="147">
        <v>1874325</v>
      </c>
      <c r="Z1482" s="169"/>
      <c r="AA1482" s="147">
        <v>46858.13</v>
      </c>
      <c r="AB1482" s="147">
        <v>46858.13</v>
      </c>
      <c r="AC1482" s="147">
        <v>1968041.25</v>
      </c>
      <c r="AD1482" s="315">
        <f t="shared" si="1001"/>
        <v>1966073.20875</v>
      </c>
      <c r="AE1482" s="147">
        <v>39.08</v>
      </c>
      <c r="AF1482" s="147">
        <v>42</v>
      </c>
      <c r="AG1482" s="147">
        <v>39.19</v>
      </c>
      <c r="AH1482" s="287">
        <v>1.6000000000000001E-3</v>
      </c>
      <c r="AI1482" s="287">
        <v>3.5000000000000003E-2</v>
      </c>
      <c r="AJ1482" s="397">
        <v>5.8000000000000003E-2</v>
      </c>
      <c r="AK1482" s="318">
        <f t="shared" ref="AK1482" si="1025">+IF(AF1482=42,IF(MIN(AE1482,AG1482)&lt;AF1482,Y1482*((AF1482-MIN(AE1482,AG1482))/AF1482)),IF(MIN(AE1482,AG1482)&lt;AF1482,Y1482*((AF1482-MIN(AE1482,AG1482))/AF1482),0))</f>
        <v>130310.21428571438</v>
      </c>
      <c r="AL1482" s="193">
        <f>280*10+90*15</f>
        <v>4150</v>
      </c>
      <c r="AM1482" s="319">
        <f>Y1482*AH1482</f>
        <v>2998.92</v>
      </c>
      <c r="AN1482" s="319">
        <v>0</v>
      </c>
      <c r="AO1482" s="320">
        <f t="shared" ref="AO1482" si="1026">AT1482*Y1482/AW1482</f>
        <v>0</v>
      </c>
      <c r="AP1482" s="193">
        <v>0</v>
      </c>
      <c r="AQ1482" s="318">
        <f>Y1482*0.8/100</f>
        <v>14994.6</v>
      </c>
      <c r="AR1482" s="318">
        <f t="shared" ref="AR1482" si="1027">SUM(AK1482:AQ1482)</f>
        <v>152453.7342857144</v>
      </c>
      <c r="AS1482" s="318">
        <f t="shared" ref="AS1482" si="1028">ROUND(AR1482*1.05,0)</f>
        <v>160076</v>
      </c>
      <c r="AT1482" s="321">
        <v>0</v>
      </c>
      <c r="AU1482" s="193" t="s">
        <v>2208</v>
      </c>
      <c r="AV1482" s="193"/>
      <c r="AW1482" s="318">
        <f t="shared" ref="AW1482:AW1512" si="1029">W1482*100</f>
        <v>22380</v>
      </c>
      <c r="AX1482" s="193"/>
      <c r="AY1482" s="318">
        <f t="shared" ref="AY1482:AY1512" si="1030">+AW1482+AX1482</f>
        <v>22380</v>
      </c>
      <c r="AZ1482" s="318">
        <f t="shared" ref="AZ1482:AZ1512" si="1031">X1482*100</f>
        <v>22380</v>
      </c>
      <c r="BA1482" s="318">
        <f t="shared" ref="BA1482:BA1512" si="1032">AY1482-AZ1482</f>
        <v>0</v>
      </c>
      <c r="BB1482" s="318">
        <f t="shared" ref="BB1482:BB1512" si="1033">AW1482*2/1000</f>
        <v>44.76</v>
      </c>
      <c r="BC1482" s="318">
        <v>0</v>
      </c>
      <c r="BD1482" s="373"/>
      <c r="BE1482" s="147">
        <v>223.8</v>
      </c>
      <c r="BF1482" s="375">
        <f t="shared" ref="BF1482:BF1512" si="1034">+BE1482*0.15/100</f>
        <v>0.3357</v>
      </c>
      <c r="BG1482" s="321">
        <f t="shared" ref="BG1482:BG1512" si="1035">BE1482-BF1482</f>
        <v>223.46430000000001</v>
      </c>
      <c r="BH1482" s="321">
        <f t="shared" ref="BH1482:BH1512" si="1036">X1482</f>
        <v>223.8</v>
      </c>
      <c r="BI1482" s="322">
        <f t="shared" ref="BI1482:BI1512" si="1037">(BE1482-BH1482)*100</f>
        <v>0</v>
      </c>
      <c r="BJ1482" s="322">
        <v>0</v>
      </c>
      <c r="BK1482" s="318">
        <f t="shared" ref="BK1482:BK1512" si="1038">BI1482</f>
        <v>0</v>
      </c>
      <c r="BL1482" s="193"/>
      <c r="BM1482" s="449" t="str">
        <f t="shared" ref="BM1482:BM1512" si="1039">+$C$1&amp;" "&amp;C1482 &amp;" "&amp;$N$1&amp;" "&amp;N1482&amp;" "&amp;$BM$1&amp;" "&amp;$AK$1&amp;" "&amp;AK1482&amp;" "&amp;$AL$1&amp;" "&amp;AL1482&amp;" "&amp;$AM$1&amp;" "&amp;AM1482&amp;" "&amp;$AN$1&amp;" "&amp;AN1482&amp;" "&amp;$AO$1&amp;" "&amp;AO1482&amp;" "&amp;$AP$1&amp;" "&amp;AP1482&amp;" "&amp;$AQ$1&amp;" "&amp;AQ1482</f>
        <v>Unloading no. 1447 Bill No STTC/2026-27/23 ,Deduction For Oil Deduction= 130310.214285714 ,Bardana= 4150 ,F.M= 2998.92 Brokerage/Rate Difference 0 ,Shortage = 0 ,Greenish= 0 ,Moisture= 14994.6</v>
      </c>
      <c r="BN1482" s="193"/>
      <c r="BO1482" s="449" t="str">
        <f t="shared" ref="BO1482:BO1512" si="1040">+" "&amp;$AF$1&amp;" "&amp;AF1482&amp;" "&amp;" "&amp;$AH$1&amp;" "&amp;AH1482*100&amp;" "&amp;$AI$1&amp;" "&amp;AI1482*100&amp;" "&amp;$AJ$1&amp;" "&amp;AJ1482*100&amp;" ,"&amp;$AT$1&amp;" "&amp;AT1482&amp;" "&amp;IF(AE1482&gt;AG1482," ,Oil%"&amp;" "&amp;AG1482," ,Oil%"&amp;" "&amp;AE1482)</f>
        <v xml:space="preserve"> Party Condition 42  ,F.M% 0.16 ,Greenish 3.5 ,Moisture 5.8 ,Shortage in KG= 0  ,Oil% 39.08</v>
      </c>
      <c r="BP1482" s="318">
        <f t="shared" ref="BP1482:BP1512" si="1041">(Y1482-AR1482)/X1482</f>
        <v>7693.7947529682106</v>
      </c>
      <c r="BQ1482" s="193"/>
      <c r="BR1482" s="193"/>
      <c r="BS1482" s="193"/>
      <c r="BT1482" s="193"/>
      <c r="BU1482" s="193"/>
      <c r="BV1482" s="193"/>
      <c r="BW1482" s="373"/>
      <c r="BX1482" s="27">
        <v>39.08</v>
      </c>
      <c r="BY1482" s="27">
        <v>39.19</v>
      </c>
      <c r="CA1482" s="56">
        <v>151969.96</v>
      </c>
      <c r="CC1482" s="57">
        <f t="shared" si="1023"/>
        <v>8106.0400000000081</v>
      </c>
      <c r="CE1482" s="88">
        <f t="shared" si="1024"/>
        <v>7720.0380952381029</v>
      </c>
      <c r="CG1482" s="56">
        <v>125401.27</v>
      </c>
      <c r="CI1482" s="90">
        <f>AK1482-CG1482</f>
        <v>4908.9442857143731</v>
      </c>
    </row>
    <row r="1483" spans="1:87" ht="14.1" hidden="1" customHeight="1" x14ac:dyDescent="0.3">
      <c r="A1483" s="281" t="s">
        <v>3129</v>
      </c>
      <c r="B1483" s="146">
        <v>46224</v>
      </c>
      <c r="C1483" s="138">
        <v>1448</v>
      </c>
      <c r="D1483" s="128" t="s">
        <v>3185</v>
      </c>
      <c r="E1483" s="129">
        <v>46229</v>
      </c>
      <c r="F1483" s="128" t="s">
        <v>104</v>
      </c>
      <c r="G1483" s="128" t="s">
        <v>105</v>
      </c>
      <c r="H1483" s="128" t="s">
        <v>106</v>
      </c>
      <c r="I1483" s="138" t="s">
        <v>1146</v>
      </c>
      <c r="J1483" s="138" t="s">
        <v>1146</v>
      </c>
      <c r="K1483" s="136"/>
      <c r="L1483" s="146">
        <v>46224</v>
      </c>
      <c r="M1483" s="136"/>
      <c r="N1483" s="128" t="s">
        <v>3216</v>
      </c>
      <c r="O1483" s="146">
        <v>46227</v>
      </c>
      <c r="P1483" s="138">
        <v>0</v>
      </c>
      <c r="Q1483" s="138">
        <v>410</v>
      </c>
      <c r="R1483" s="138">
        <v>100</v>
      </c>
      <c r="S1483" s="138">
        <v>510</v>
      </c>
      <c r="T1483" s="138">
        <v>510</v>
      </c>
      <c r="U1483" s="136"/>
      <c r="V1483" s="136"/>
      <c r="W1483" s="147">
        <v>298.25</v>
      </c>
      <c r="X1483" s="147">
        <v>298.60000000000002</v>
      </c>
      <c r="Y1483" s="147">
        <v>2293634.96</v>
      </c>
      <c r="Z1483" s="169"/>
      <c r="AA1483" s="147">
        <v>57340.87</v>
      </c>
      <c r="AB1483" s="147">
        <v>57340.87</v>
      </c>
      <c r="AC1483" s="147">
        <v>2408316.71</v>
      </c>
      <c r="AD1483" s="315">
        <f t="shared" si="1001"/>
        <v>2405908.39329</v>
      </c>
      <c r="AE1483" s="147">
        <v>39.03</v>
      </c>
      <c r="AF1483" s="147">
        <v>38.92</v>
      </c>
      <c r="AG1483" s="147">
        <v>38.93</v>
      </c>
      <c r="AH1483" s="287">
        <v>4.7999999999999996E-3</v>
      </c>
      <c r="AI1483" s="287">
        <v>3.5499999999999997E-2</v>
      </c>
      <c r="AJ1483" s="291">
        <v>5.8999999999999997E-2</v>
      </c>
      <c r="AK1483" s="318">
        <f t="shared" ref="AK1483:AK1512" si="1042">+IF(AF1483=42,IF(MIN(AE1483,AG1483)&lt;AF1483,Y1483*((AF1483-MIN(AE1483,AG1483))/AF1483)),IF(MIN(AE1483,AG1483)&lt;AF1483,Y1483*((AF1483-MIN(AE1483,AG1483))/AF1483),0))</f>
        <v>0</v>
      </c>
      <c r="AL1483" s="193">
        <v>0</v>
      </c>
      <c r="AM1483" s="319">
        <v>0</v>
      </c>
      <c r="AN1483" s="319">
        <f>W1483*11.31</f>
        <v>3373.2075</v>
      </c>
      <c r="AO1483" s="320">
        <f t="shared" ref="AO1483:AO1512" si="1043">AT1483*Y1483/AW1483</f>
        <v>0</v>
      </c>
      <c r="AP1483" s="193">
        <v>0</v>
      </c>
      <c r="AQ1483" s="318">
        <v>0</v>
      </c>
      <c r="AR1483" s="318">
        <f t="shared" ref="AR1483:AR1512" si="1044">SUM(AK1483:AQ1483)</f>
        <v>3373.2075</v>
      </c>
      <c r="AS1483" s="318">
        <f t="shared" ref="AS1483:AS1512" si="1045">ROUND(AR1483*1.05,0)</f>
        <v>3542</v>
      </c>
      <c r="AT1483" s="321">
        <v>0</v>
      </c>
      <c r="AU1483" s="193"/>
      <c r="AV1483" s="193"/>
      <c r="AW1483" s="318">
        <f t="shared" si="1029"/>
        <v>29825</v>
      </c>
      <c r="AX1483" s="193"/>
      <c r="AY1483" s="318">
        <f t="shared" si="1030"/>
        <v>29825</v>
      </c>
      <c r="AZ1483" s="318">
        <f t="shared" si="1031"/>
        <v>29860.000000000004</v>
      </c>
      <c r="BA1483" s="318">
        <f t="shared" si="1032"/>
        <v>-35.000000000003638</v>
      </c>
      <c r="BB1483" s="318">
        <f t="shared" si="1033"/>
        <v>59.65</v>
      </c>
      <c r="BC1483" s="318">
        <v>0</v>
      </c>
      <c r="BD1483" s="373"/>
      <c r="BE1483" s="147">
        <v>298.25</v>
      </c>
      <c r="BF1483" s="375">
        <f t="shared" si="1034"/>
        <v>0.44737499999999997</v>
      </c>
      <c r="BG1483" s="321">
        <f t="shared" si="1035"/>
        <v>297.80262499999998</v>
      </c>
      <c r="BH1483" s="321">
        <f t="shared" si="1036"/>
        <v>298.60000000000002</v>
      </c>
      <c r="BI1483" s="322">
        <f t="shared" si="1037"/>
        <v>-35.000000000002274</v>
      </c>
      <c r="BJ1483" s="322">
        <v>0</v>
      </c>
      <c r="BK1483" s="318">
        <f t="shared" si="1038"/>
        <v>-35.000000000002274</v>
      </c>
      <c r="BL1483" s="193"/>
      <c r="BM1483" s="449" t="str">
        <f t="shared" si="1039"/>
        <v>Unloading no. 1448 Bill No MTC/2026-27/0269 ,Deduction For Oil Deduction= 0 ,Bardana= 0 ,F.M= 0 Brokerage/Rate Difference 3373.2075 ,Shortage = 0 ,Greenish= 0 ,Moisture= 0</v>
      </c>
      <c r="BN1483" s="193"/>
      <c r="BO1483" s="449" t="str">
        <f t="shared" si="1040"/>
        <v xml:space="preserve"> Party Condition 38.92  ,F.M% 0.48 ,Greenish 3.55 ,Moisture 5.9 ,Shortage in KG= 0  ,Oil% 38.93</v>
      </c>
      <c r="BP1483" s="318">
        <f t="shared" si="1041"/>
        <v>7669.9991711319481</v>
      </c>
      <c r="BQ1483" s="193"/>
      <c r="BR1483" s="193"/>
      <c r="BS1483" s="193"/>
      <c r="BT1483" s="193"/>
      <c r="BU1483" s="193"/>
      <c r="BV1483" s="193"/>
      <c r="BW1483" s="373"/>
      <c r="BX1483" s="27">
        <v>39.03</v>
      </c>
      <c r="BY1483" s="27">
        <v>38.93</v>
      </c>
    </row>
    <row r="1484" spans="1:87" ht="14.1" hidden="1" customHeight="1" x14ac:dyDescent="0.3">
      <c r="A1484" s="281" t="s">
        <v>3129</v>
      </c>
      <c r="B1484" s="146">
        <v>46224</v>
      </c>
      <c r="C1484" s="138">
        <v>1449</v>
      </c>
      <c r="D1484" s="128" t="s">
        <v>3186</v>
      </c>
      <c r="E1484" s="129">
        <v>46229</v>
      </c>
      <c r="F1484" s="128" t="s">
        <v>104</v>
      </c>
      <c r="G1484" s="128" t="s">
        <v>105</v>
      </c>
      <c r="H1484" s="128" t="s">
        <v>106</v>
      </c>
      <c r="I1484" s="138" t="s">
        <v>1146</v>
      </c>
      <c r="J1484" s="138" t="s">
        <v>1146</v>
      </c>
      <c r="K1484" s="136"/>
      <c r="L1484" s="146">
        <v>46224</v>
      </c>
      <c r="M1484" s="136"/>
      <c r="N1484" s="128" t="s">
        <v>3217</v>
      </c>
      <c r="O1484" s="146">
        <v>46227</v>
      </c>
      <c r="P1484" s="138">
        <v>0</v>
      </c>
      <c r="Q1484" s="138">
        <v>460</v>
      </c>
      <c r="R1484" s="138">
        <v>135</v>
      </c>
      <c r="S1484" s="138">
        <v>595</v>
      </c>
      <c r="T1484" s="138">
        <v>595</v>
      </c>
      <c r="U1484" s="136"/>
      <c r="V1484" s="136"/>
      <c r="W1484" s="147">
        <v>350.2</v>
      </c>
      <c r="X1484" s="147">
        <v>350.5</v>
      </c>
      <c r="Y1484" s="147">
        <v>2691749.26</v>
      </c>
      <c r="Z1484" s="169"/>
      <c r="AA1484" s="147">
        <v>67293.73</v>
      </c>
      <c r="AB1484" s="147">
        <v>67293.73</v>
      </c>
      <c r="AC1484" s="147">
        <v>2826336.72</v>
      </c>
      <c r="AD1484" s="315">
        <f t="shared" si="1001"/>
        <v>2823510.3832800002</v>
      </c>
      <c r="AE1484" s="147">
        <v>39.19</v>
      </c>
      <c r="AF1484" s="147">
        <v>38.9</v>
      </c>
      <c r="AG1484" s="147">
        <v>39.159999999999997</v>
      </c>
      <c r="AH1484" s="287">
        <v>3.0000000000000001E-3</v>
      </c>
      <c r="AI1484" s="287">
        <v>3.4000000000000002E-2</v>
      </c>
      <c r="AJ1484" s="287">
        <v>5.6000000000000001E-2</v>
      </c>
      <c r="AK1484" s="318">
        <f t="shared" si="1042"/>
        <v>0</v>
      </c>
      <c r="AL1484" s="193">
        <v>0</v>
      </c>
      <c r="AM1484" s="319">
        <v>0</v>
      </c>
      <c r="AN1484" s="319">
        <v>3767.18</v>
      </c>
      <c r="AO1484" s="320">
        <f t="shared" si="1043"/>
        <v>0</v>
      </c>
      <c r="AP1484" s="193">
        <v>0</v>
      </c>
      <c r="AQ1484" s="318">
        <v>0</v>
      </c>
      <c r="AR1484" s="318">
        <f t="shared" si="1044"/>
        <v>3767.18</v>
      </c>
      <c r="AS1484" s="318">
        <f t="shared" si="1045"/>
        <v>3956</v>
      </c>
      <c r="AT1484" s="321">
        <v>0</v>
      </c>
      <c r="AU1484" s="193"/>
      <c r="AV1484" s="193"/>
      <c r="AW1484" s="318">
        <f t="shared" si="1029"/>
        <v>35020</v>
      </c>
      <c r="AX1484" s="193"/>
      <c r="AY1484" s="318">
        <f t="shared" si="1030"/>
        <v>35020</v>
      </c>
      <c r="AZ1484" s="318">
        <f t="shared" si="1031"/>
        <v>35050</v>
      </c>
      <c r="BA1484" s="318">
        <f t="shared" si="1032"/>
        <v>-30</v>
      </c>
      <c r="BB1484" s="318">
        <f t="shared" si="1033"/>
        <v>70.040000000000006</v>
      </c>
      <c r="BC1484" s="318">
        <v>0</v>
      </c>
      <c r="BD1484" s="373"/>
      <c r="BE1484" s="147">
        <v>350.2</v>
      </c>
      <c r="BF1484" s="375">
        <f t="shared" si="1034"/>
        <v>0.52529999999999999</v>
      </c>
      <c r="BG1484" s="321">
        <f t="shared" si="1035"/>
        <v>349.67469999999997</v>
      </c>
      <c r="BH1484" s="321">
        <f t="shared" si="1036"/>
        <v>350.5</v>
      </c>
      <c r="BI1484" s="322">
        <f t="shared" si="1037"/>
        <v>-30.000000000001137</v>
      </c>
      <c r="BJ1484" s="322">
        <v>0</v>
      </c>
      <c r="BK1484" s="318">
        <f t="shared" si="1038"/>
        <v>-30.000000000001137</v>
      </c>
      <c r="BL1484" s="193"/>
      <c r="BM1484" s="449" t="str">
        <f t="shared" si="1039"/>
        <v>Unloading no. 1449 Bill No MTC/2026-27/0268 ,Deduction For Oil Deduction= 0 ,Bardana= 0 ,F.M= 0 Brokerage/Rate Difference 3767.18 ,Shortage = 0 ,Greenish= 0 ,Moisture= 0</v>
      </c>
      <c r="BN1484" s="193"/>
      <c r="BO1484" s="449" t="str">
        <f t="shared" si="1040"/>
        <v xml:space="preserve"> Party Condition 38.9  ,F.M% 0.3 ,Greenish 3.4 ,Moisture 5.6 ,Shortage in KG= 0  ,Oil% 39.16</v>
      </c>
      <c r="BP1484" s="318">
        <f t="shared" si="1041"/>
        <v>7668.9930955777454</v>
      </c>
      <c r="BQ1484" s="193"/>
      <c r="BR1484" s="193"/>
      <c r="BS1484" s="193"/>
      <c r="BT1484" s="193"/>
      <c r="BU1484" s="193"/>
      <c r="BV1484" s="193"/>
      <c r="BW1484" s="373"/>
      <c r="BX1484" s="27">
        <v>39.19</v>
      </c>
      <c r="BY1484" s="27">
        <v>39.159999999999997</v>
      </c>
    </row>
    <row r="1485" spans="1:87" ht="14.1" hidden="1" customHeight="1" x14ac:dyDescent="0.3">
      <c r="A1485" s="281" t="s">
        <v>3180</v>
      </c>
      <c r="B1485" s="146">
        <v>46225</v>
      </c>
      <c r="C1485" s="138">
        <v>1450</v>
      </c>
      <c r="D1485" s="128" t="s">
        <v>3187</v>
      </c>
      <c r="E1485" s="129">
        <v>46229</v>
      </c>
      <c r="F1485" s="128" t="s">
        <v>3018</v>
      </c>
      <c r="G1485" s="128" t="s">
        <v>3019</v>
      </c>
      <c r="H1485" s="128" t="s">
        <v>1508</v>
      </c>
      <c r="I1485" s="138" t="s">
        <v>1146</v>
      </c>
      <c r="J1485" s="138" t="s">
        <v>1146</v>
      </c>
      <c r="K1485" s="136"/>
      <c r="L1485" s="146">
        <v>46225</v>
      </c>
      <c r="M1485" s="136"/>
      <c r="N1485" s="128" t="s">
        <v>3218</v>
      </c>
      <c r="O1485" s="146">
        <v>46228</v>
      </c>
      <c r="P1485" s="138">
        <v>0</v>
      </c>
      <c r="Q1485" s="138">
        <v>270</v>
      </c>
      <c r="R1485" s="138">
        <v>359</v>
      </c>
      <c r="S1485" s="138">
        <v>629</v>
      </c>
      <c r="T1485" s="138">
        <v>629</v>
      </c>
      <c r="U1485" s="136"/>
      <c r="V1485" s="136"/>
      <c r="W1485" s="147">
        <v>356.2</v>
      </c>
      <c r="X1485" s="147">
        <v>356.6</v>
      </c>
      <c r="Y1485" s="147">
        <v>2944287.6</v>
      </c>
      <c r="Z1485" s="147">
        <v>38.950000000000003</v>
      </c>
      <c r="AA1485" s="147">
        <v>73607.19</v>
      </c>
      <c r="AB1485" s="147">
        <v>73607.19</v>
      </c>
      <c r="AC1485" s="147">
        <v>3091501.98</v>
      </c>
      <c r="AD1485" s="315">
        <f t="shared" si="1001"/>
        <v>3088410.4780199998</v>
      </c>
      <c r="AE1485" s="147">
        <v>38.950000000000003</v>
      </c>
      <c r="AF1485" s="147">
        <v>42</v>
      </c>
      <c r="AG1485" s="147">
        <v>38.950000000000003</v>
      </c>
      <c r="AH1485" s="287">
        <v>6.0000000000000001E-3</v>
      </c>
      <c r="AI1485" s="287">
        <v>3.3000000000000002E-2</v>
      </c>
      <c r="AJ1485" s="287">
        <v>4.9000000000000002E-2</v>
      </c>
      <c r="AK1485" s="318">
        <f t="shared" si="1042"/>
        <v>213811.36142857125</v>
      </c>
      <c r="AL1485" s="193">
        <v>0</v>
      </c>
      <c r="AM1485" s="319">
        <v>0</v>
      </c>
      <c r="AN1485" s="319">
        <v>0</v>
      </c>
      <c r="AO1485" s="320">
        <f t="shared" si="1043"/>
        <v>0</v>
      </c>
      <c r="AP1485" s="193">
        <v>0</v>
      </c>
      <c r="AQ1485" s="318">
        <v>0</v>
      </c>
      <c r="AR1485" s="318">
        <f t="shared" si="1044"/>
        <v>213811.36142857125</v>
      </c>
      <c r="AS1485" s="318">
        <f t="shared" si="1045"/>
        <v>224502</v>
      </c>
      <c r="AT1485" s="321">
        <v>0</v>
      </c>
      <c r="AU1485" s="193"/>
      <c r="AV1485" s="193"/>
      <c r="AW1485" s="318">
        <f t="shared" si="1029"/>
        <v>35620</v>
      </c>
      <c r="AX1485" s="193"/>
      <c r="AY1485" s="318">
        <f t="shared" si="1030"/>
        <v>35620</v>
      </c>
      <c r="AZ1485" s="318">
        <f t="shared" si="1031"/>
        <v>35660</v>
      </c>
      <c r="BA1485" s="318">
        <f t="shared" si="1032"/>
        <v>-40</v>
      </c>
      <c r="BB1485" s="318">
        <f t="shared" si="1033"/>
        <v>71.239999999999995</v>
      </c>
      <c r="BC1485" s="318">
        <v>0</v>
      </c>
      <c r="BD1485" s="373"/>
      <c r="BE1485" s="147">
        <v>356.2</v>
      </c>
      <c r="BF1485" s="375">
        <f t="shared" si="1034"/>
        <v>0.5343</v>
      </c>
      <c r="BG1485" s="321">
        <f t="shared" si="1035"/>
        <v>355.66570000000002</v>
      </c>
      <c r="BH1485" s="321">
        <f t="shared" si="1036"/>
        <v>356.6</v>
      </c>
      <c r="BI1485" s="322">
        <f t="shared" si="1037"/>
        <v>-40.000000000003411</v>
      </c>
      <c r="BJ1485" s="322">
        <v>0</v>
      </c>
      <c r="BK1485" s="318">
        <f t="shared" si="1038"/>
        <v>-40.000000000003411</v>
      </c>
      <c r="BL1485" s="193"/>
      <c r="BM1485" s="449" t="str">
        <f t="shared" si="1039"/>
        <v>Unloading no. 1450 Bill No BTC-8/26-27 ,Deduction For Oil Deduction= 213811.361428571 ,Bardana= 0 ,F.M= 0 Brokerage/Rate Difference 0 ,Shortage = 0 ,Greenish= 0 ,Moisture= 0</v>
      </c>
      <c r="BN1485" s="193"/>
      <c r="BO1485" s="449" t="str">
        <f t="shared" si="1040"/>
        <v xml:space="preserve"> Party Condition 42  ,F.M% 0.6 ,Greenish 3.3 ,Moisture 4.9 ,Shortage in KG= 0  ,Oil% 38.95</v>
      </c>
      <c r="BP1485" s="318">
        <f t="shared" si="1041"/>
        <v>7656.9720655396204</v>
      </c>
      <c r="BQ1485" s="193"/>
      <c r="BR1485" s="193"/>
      <c r="BS1485" s="193"/>
      <c r="BT1485" s="193"/>
      <c r="BU1485" s="193"/>
      <c r="BV1485" s="193"/>
      <c r="BW1485" s="373"/>
      <c r="BX1485" s="27">
        <v>39.26</v>
      </c>
      <c r="BY1485" s="27">
        <v>39.33</v>
      </c>
    </row>
    <row r="1486" spans="1:87" ht="14.1" hidden="1" customHeight="1" x14ac:dyDescent="0.3">
      <c r="A1486" s="281" t="s">
        <v>3128</v>
      </c>
      <c r="B1486" s="146">
        <v>46227</v>
      </c>
      <c r="C1486" s="138">
        <v>1451</v>
      </c>
      <c r="D1486" s="128" t="s">
        <v>3188</v>
      </c>
      <c r="E1486" s="129">
        <v>46229</v>
      </c>
      <c r="F1486" s="128" t="s">
        <v>1144</v>
      </c>
      <c r="G1486" s="128" t="s">
        <v>1145</v>
      </c>
      <c r="H1486" s="128" t="s">
        <v>100</v>
      </c>
      <c r="I1486" s="138" t="s">
        <v>1146</v>
      </c>
      <c r="J1486" s="138" t="s">
        <v>1146</v>
      </c>
      <c r="K1486" s="136"/>
      <c r="L1486" s="146">
        <v>46227</v>
      </c>
      <c r="M1486" s="136"/>
      <c r="N1486" s="128" t="s">
        <v>3219</v>
      </c>
      <c r="O1486" s="146">
        <v>46229</v>
      </c>
      <c r="P1486" s="138">
        <v>0</v>
      </c>
      <c r="Q1486" s="138">
        <v>130</v>
      </c>
      <c r="R1486" s="138">
        <v>24</v>
      </c>
      <c r="S1486" s="138">
        <v>154</v>
      </c>
      <c r="T1486" s="138">
        <v>154</v>
      </c>
      <c r="U1486" s="136"/>
      <c r="V1486" s="136"/>
      <c r="W1486" s="147">
        <v>92.5</v>
      </c>
      <c r="X1486" s="147">
        <v>92.4</v>
      </c>
      <c r="Y1486" s="147">
        <v>770617.5</v>
      </c>
      <c r="Z1486" s="236">
        <v>40.159999999999997</v>
      </c>
      <c r="AA1486" s="147">
        <v>19265.439999999999</v>
      </c>
      <c r="AB1486" s="147">
        <v>19265.439999999999</v>
      </c>
      <c r="AC1486" s="147">
        <v>809148.38</v>
      </c>
      <c r="AD1486" s="315">
        <f t="shared" si="1001"/>
        <v>808339.23161999998</v>
      </c>
      <c r="AE1486" s="236">
        <v>40.159999999999997</v>
      </c>
      <c r="AF1486" s="147">
        <v>42</v>
      </c>
      <c r="AG1486" s="236">
        <v>40.159999999999997</v>
      </c>
      <c r="AH1486" s="287">
        <v>2.5999999999999999E-3</v>
      </c>
      <c r="AI1486" s="287">
        <v>3.5000000000000003E-2</v>
      </c>
      <c r="AJ1486" s="287">
        <v>5.3999999999999999E-2</v>
      </c>
      <c r="AK1486" s="318">
        <f t="shared" si="1042"/>
        <v>33760.385714285774</v>
      </c>
      <c r="AL1486" s="193">
        <v>0</v>
      </c>
      <c r="AM1486" s="319">
        <v>0</v>
      </c>
      <c r="AN1486" s="319">
        <v>0</v>
      </c>
      <c r="AO1486" s="320">
        <f t="shared" si="1043"/>
        <v>0</v>
      </c>
      <c r="AP1486" s="193">
        <v>0</v>
      </c>
      <c r="AQ1486" s="318">
        <v>0</v>
      </c>
      <c r="AR1486" s="318">
        <f t="shared" si="1044"/>
        <v>33760.385714285774</v>
      </c>
      <c r="AS1486" s="318">
        <f t="shared" si="1045"/>
        <v>35448</v>
      </c>
      <c r="AT1486" s="321">
        <v>0</v>
      </c>
      <c r="AU1486" s="193"/>
      <c r="AV1486" s="193"/>
      <c r="AW1486" s="318">
        <f t="shared" si="1029"/>
        <v>9250</v>
      </c>
      <c r="AX1486" s="193"/>
      <c r="AY1486" s="318">
        <f t="shared" si="1030"/>
        <v>9250</v>
      </c>
      <c r="AZ1486" s="318">
        <f t="shared" si="1031"/>
        <v>9240</v>
      </c>
      <c r="BA1486" s="318">
        <f t="shared" si="1032"/>
        <v>10</v>
      </c>
      <c r="BB1486" s="318">
        <f t="shared" si="1033"/>
        <v>18.5</v>
      </c>
      <c r="BC1486" s="318">
        <v>0</v>
      </c>
      <c r="BD1486" s="373"/>
      <c r="BE1486" s="147">
        <v>92.5</v>
      </c>
      <c r="BF1486" s="375">
        <f t="shared" si="1034"/>
        <v>0.13875000000000001</v>
      </c>
      <c r="BG1486" s="321">
        <f t="shared" si="1035"/>
        <v>92.361249999999998</v>
      </c>
      <c r="BH1486" s="321">
        <f t="shared" si="1036"/>
        <v>92.4</v>
      </c>
      <c r="BI1486" s="322">
        <f t="shared" si="1037"/>
        <v>9.9999999999994316</v>
      </c>
      <c r="BJ1486" s="322">
        <v>0</v>
      </c>
      <c r="BK1486" s="318">
        <f t="shared" si="1038"/>
        <v>9.9999999999994316</v>
      </c>
      <c r="BL1486" s="193"/>
      <c r="BM1486" s="449" t="str">
        <f t="shared" si="1039"/>
        <v>Unloading no. 1451 Bill No 2026-27/506 ,Deduction For Oil Deduction= 33760.3857142857 ,Bardana= 0 ,F.M= 0 Brokerage/Rate Difference 0 ,Shortage = 0 ,Greenish= 0 ,Moisture= 0</v>
      </c>
      <c r="BN1486" s="193"/>
      <c r="BO1486" s="449" t="str">
        <f t="shared" si="1040"/>
        <v xml:space="preserve"> Party Condition 42  ,F.M% 0.26 ,Greenish 3.5 ,Moisture 5.4 ,Shortage in KG= 0  ,Oil% 40.16</v>
      </c>
      <c r="BP1486" s="318">
        <f t="shared" si="1041"/>
        <v>7974.6440940012353</v>
      </c>
      <c r="BQ1486" s="193"/>
      <c r="BR1486" s="193"/>
      <c r="BS1486" s="193"/>
      <c r="BT1486" s="193"/>
      <c r="BU1486" s="193"/>
      <c r="BV1486" s="193"/>
      <c r="BW1486" s="373"/>
      <c r="BX1486" s="27">
        <v>39.96</v>
      </c>
      <c r="BY1486" s="27">
        <v>39.729999999999997</v>
      </c>
    </row>
    <row r="1487" spans="1:87" ht="14.1" hidden="1" customHeight="1" x14ac:dyDescent="0.3">
      <c r="A1487" s="281" t="s">
        <v>3128</v>
      </c>
      <c r="B1487" s="146">
        <v>46227</v>
      </c>
      <c r="C1487" s="138">
        <v>1452</v>
      </c>
      <c r="D1487" s="128" t="s">
        <v>3189</v>
      </c>
      <c r="E1487" s="129">
        <v>46229</v>
      </c>
      <c r="F1487" s="128" t="s">
        <v>1144</v>
      </c>
      <c r="G1487" s="128" t="s">
        <v>1145</v>
      </c>
      <c r="H1487" s="128" t="s">
        <v>100</v>
      </c>
      <c r="I1487" s="138" t="s">
        <v>1146</v>
      </c>
      <c r="J1487" s="138" t="s">
        <v>1146</v>
      </c>
      <c r="K1487" s="136"/>
      <c r="L1487" s="146">
        <v>46227</v>
      </c>
      <c r="M1487" s="136"/>
      <c r="N1487" s="128" t="s">
        <v>3220</v>
      </c>
      <c r="O1487" s="146">
        <v>46229</v>
      </c>
      <c r="P1487" s="138">
        <v>0</v>
      </c>
      <c r="Q1487" s="138">
        <v>124</v>
      </c>
      <c r="R1487" s="138">
        <v>30</v>
      </c>
      <c r="S1487" s="138">
        <v>154</v>
      </c>
      <c r="T1487" s="138">
        <v>154</v>
      </c>
      <c r="U1487" s="136"/>
      <c r="V1487" s="136"/>
      <c r="W1487" s="147">
        <v>92.6</v>
      </c>
      <c r="X1487" s="147">
        <v>92.6</v>
      </c>
      <c r="Y1487" s="147">
        <v>771450.6</v>
      </c>
      <c r="Z1487" s="236">
        <v>39.31</v>
      </c>
      <c r="AA1487" s="147">
        <v>19286.27</v>
      </c>
      <c r="AB1487" s="147">
        <v>19286.27</v>
      </c>
      <c r="AC1487" s="147">
        <v>810023.13</v>
      </c>
      <c r="AD1487" s="315">
        <f t="shared" si="1001"/>
        <v>809213.10687000002</v>
      </c>
      <c r="AE1487" s="236">
        <v>39.31</v>
      </c>
      <c r="AF1487" s="147">
        <v>42</v>
      </c>
      <c r="AG1487" s="236">
        <v>39.31</v>
      </c>
      <c r="AH1487" s="287">
        <v>1.5E-3</v>
      </c>
      <c r="AI1487" s="287">
        <v>0.03</v>
      </c>
      <c r="AJ1487" s="287">
        <v>5.0999999999999997E-2</v>
      </c>
      <c r="AK1487" s="318">
        <f t="shared" si="1042"/>
        <v>49409.574142857098</v>
      </c>
      <c r="AL1487" s="193">
        <v>0</v>
      </c>
      <c r="AM1487" s="319">
        <v>0</v>
      </c>
      <c r="AN1487" s="319">
        <v>0</v>
      </c>
      <c r="AO1487" s="320">
        <f t="shared" si="1043"/>
        <v>0</v>
      </c>
      <c r="AP1487" s="193">
        <v>0</v>
      </c>
      <c r="AQ1487" s="318">
        <v>0</v>
      </c>
      <c r="AR1487" s="318">
        <f t="shared" si="1044"/>
        <v>49409.574142857098</v>
      </c>
      <c r="AS1487" s="318">
        <f t="shared" si="1045"/>
        <v>51880</v>
      </c>
      <c r="AT1487" s="321">
        <v>0</v>
      </c>
      <c r="AU1487" s="193"/>
      <c r="AV1487" s="193"/>
      <c r="AW1487" s="318">
        <f t="shared" si="1029"/>
        <v>9260</v>
      </c>
      <c r="AX1487" s="193"/>
      <c r="AY1487" s="318">
        <f t="shared" si="1030"/>
        <v>9260</v>
      </c>
      <c r="AZ1487" s="318">
        <f t="shared" si="1031"/>
        <v>9260</v>
      </c>
      <c r="BA1487" s="318">
        <f t="shared" si="1032"/>
        <v>0</v>
      </c>
      <c r="BB1487" s="318">
        <f t="shared" si="1033"/>
        <v>18.52</v>
      </c>
      <c r="BC1487" s="318">
        <v>0</v>
      </c>
      <c r="BD1487" s="373"/>
      <c r="BE1487" s="147">
        <v>92.6</v>
      </c>
      <c r="BF1487" s="375">
        <f t="shared" si="1034"/>
        <v>0.1389</v>
      </c>
      <c r="BG1487" s="321">
        <f t="shared" si="1035"/>
        <v>92.461099999999988</v>
      </c>
      <c r="BH1487" s="321">
        <f t="shared" si="1036"/>
        <v>92.6</v>
      </c>
      <c r="BI1487" s="322">
        <f t="shared" si="1037"/>
        <v>0</v>
      </c>
      <c r="BJ1487" s="322">
        <v>0</v>
      </c>
      <c r="BK1487" s="318">
        <f t="shared" si="1038"/>
        <v>0</v>
      </c>
      <c r="BL1487" s="193"/>
      <c r="BM1487" s="449" t="str">
        <f t="shared" si="1039"/>
        <v>Unloading no. 1452 Bill No 2026-27/504 ,Deduction For Oil Deduction= 49409.5741428571 ,Bardana= 0 ,F.M= 0 Brokerage/Rate Difference 0 ,Shortage = 0 ,Greenish= 0 ,Moisture= 0</v>
      </c>
      <c r="BN1487" s="193"/>
      <c r="BO1487" s="449" t="str">
        <f t="shared" si="1040"/>
        <v xml:space="preserve"> Party Condition 42  ,F.M% 0.15 ,Greenish 3 ,Moisture 5.1 ,Shortage in KG= 0  ,Oil% 39.31</v>
      </c>
      <c r="BP1487" s="318">
        <f t="shared" si="1041"/>
        <v>7797.4192857142862</v>
      </c>
      <c r="BQ1487" s="193"/>
      <c r="BR1487" s="193"/>
      <c r="BS1487" s="193"/>
      <c r="BT1487" s="193"/>
      <c r="BU1487" s="193"/>
      <c r="BV1487" s="193"/>
      <c r="BW1487" s="373"/>
      <c r="BX1487" s="27">
        <v>39.06</v>
      </c>
      <c r="BY1487" s="27">
        <v>38.840000000000003</v>
      </c>
    </row>
    <row r="1488" spans="1:87" ht="14.1" hidden="1" customHeight="1" x14ac:dyDescent="0.3">
      <c r="A1488" s="281" t="s">
        <v>3128</v>
      </c>
      <c r="B1488" s="146">
        <v>46227</v>
      </c>
      <c r="C1488" s="138">
        <v>1453</v>
      </c>
      <c r="D1488" s="128" t="s">
        <v>3190</v>
      </c>
      <c r="E1488" s="129">
        <v>46229</v>
      </c>
      <c r="F1488" s="128" t="s">
        <v>1144</v>
      </c>
      <c r="G1488" s="128" t="s">
        <v>1145</v>
      </c>
      <c r="H1488" s="128" t="s">
        <v>100</v>
      </c>
      <c r="I1488" s="138" t="s">
        <v>1146</v>
      </c>
      <c r="J1488" s="138" t="s">
        <v>1146</v>
      </c>
      <c r="K1488" s="136"/>
      <c r="L1488" s="146">
        <v>46227</v>
      </c>
      <c r="M1488" s="136"/>
      <c r="N1488" s="128" t="s">
        <v>3221</v>
      </c>
      <c r="O1488" s="146">
        <v>46229</v>
      </c>
      <c r="P1488" s="138">
        <v>0</v>
      </c>
      <c r="Q1488" s="138">
        <v>120</v>
      </c>
      <c r="R1488" s="138">
        <v>34</v>
      </c>
      <c r="S1488" s="138">
        <v>154</v>
      </c>
      <c r="T1488" s="138">
        <v>154</v>
      </c>
      <c r="U1488" s="136"/>
      <c r="V1488" s="136"/>
      <c r="W1488" s="147">
        <v>93.4</v>
      </c>
      <c r="X1488" s="147">
        <v>93.4</v>
      </c>
      <c r="Y1488" s="147">
        <v>778115.4</v>
      </c>
      <c r="Z1488" s="236">
        <v>40.729999999999997</v>
      </c>
      <c r="AA1488" s="147">
        <v>19452.89</v>
      </c>
      <c r="AB1488" s="147">
        <v>19452.89</v>
      </c>
      <c r="AC1488" s="147">
        <v>817021.17</v>
      </c>
      <c r="AD1488" s="315">
        <f t="shared" si="1001"/>
        <v>816204.14883000008</v>
      </c>
      <c r="AE1488" s="236">
        <v>40.729999999999997</v>
      </c>
      <c r="AF1488" s="147">
        <v>42</v>
      </c>
      <c r="AG1488" s="236">
        <v>40.729999999999997</v>
      </c>
      <c r="AH1488" s="287">
        <v>2E-3</v>
      </c>
      <c r="AI1488" s="287">
        <v>3.2000000000000001E-2</v>
      </c>
      <c r="AJ1488" s="287">
        <v>5.5E-2</v>
      </c>
      <c r="AK1488" s="318">
        <f t="shared" si="1042"/>
        <v>23528.72757142863</v>
      </c>
      <c r="AL1488" s="193">
        <v>0</v>
      </c>
      <c r="AM1488" s="319">
        <v>0</v>
      </c>
      <c r="AN1488" s="319">
        <v>0</v>
      </c>
      <c r="AO1488" s="320">
        <f t="shared" si="1043"/>
        <v>0</v>
      </c>
      <c r="AP1488" s="193">
        <v>0</v>
      </c>
      <c r="AQ1488" s="318">
        <v>0</v>
      </c>
      <c r="AR1488" s="454">
        <f t="shared" si="1044"/>
        <v>23528.72757142863</v>
      </c>
      <c r="AS1488" s="318">
        <f t="shared" si="1045"/>
        <v>24705</v>
      </c>
      <c r="AT1488" s="321">
        <v>0</v>
      </c>
      <c r="AU1488" s="193"/>
      <c r="AV1488" s="193"/>
      <c r="AW1488" s="318">
        <f t="shared" si="1029"/>
        <v>9340</v>
      </c>
      <c r="AX1488" s="193"/>
      <c r="AY1488" s="318">
        <f t="shared" si="1030"/>
        <v>9340</v>
      </c>
      <c r="AZ1488" s="318">
        <f t="shared" si="1031"/>
        <v>9340</v>
      </c>
      <c r="BA1488" s="318">
        <f t="shared" si="1032"/>
        <v>0</v>
      </c>
      <c r="BB1488" s="318">
        <f t="shared" si="1033"/>
        <v>18.68</v>
      </c>
      <c r="BC1488" s="318">
        <v>0</v>
      </c>
      <c r="BD1488" s="373"/>
      <c r="BE1488" s="147">
        <v>93.4</v>
      </c>
      <c r="BF1488" s="375">
        <f t="shared" si="1034"/>
        <v>0.1401</v>
      </c>
      <c r="BG1488" s="321">
        <f t="shared" si="1035"/>
        <v>93.259900000000002</v>
      </c>
      <c r="BH1488" s="321">
        <f t="shared" si="1036"/>
        <v>93.4</v>
      </c>
      <c r="BI1488" s="322">
        <f t="shared" si="1037"/>
        <v>0</v>
      </c>
      <c r="BJ1488" s="322">
        <v>0</v>
      </c>
      <c r="BK1488" s="318">
        <f t="shared" si="1038"/>
        <v>0</v>
      </c>
      <c r="BL1488" s="193"/>
      <c r="BM1488" s="449" t="str">
        <f t="shared" si="1039"/>
        <v>Unloading no. 1453 Bill No 2026-27/505 ,Deduction For Oil Deduction= 23528.7275714286 ,Bardana= 0 ,F.M= 0 Brokerage/Rate Difference 0 ,Shortage = 0 ,Greenish= 0 ,Moisture= 0</v>
      </c>
      <c r="BN1488" s="193"/>
      <c r="BO1488" s="449" t="str">
        <f t="shared" si="1040"/>
        <v xml:space="preserve"> Party Condition 42  ,F.M% 0.2 ,Greenish 3.2 ,Moisture 5.5 ,Shortage in KG= 0  ,Oil% 40.73</v>
      </c>
      <c r="BP1488" s="318">
        <f t="shared" si="1041"/>
        <v>8079.0864285714279</v>
      </c>
      <c r="BQ1488" s="193"/>
      <c r="BR1488" s="193"/>
      <c r="BS1488" s="193"/>
      <c r="BT1488" s="193"/>
      <c r="BU1488" s="193"/>
      <c r="BV1488" s="193"/>
      <c r="BW1488" s="373"/>
      <c r="BX1488" s="27">
        <v>40.340000000000003</v>
      </c>
      <c r="BY1488" s="27">
        <v>40.04</v>
      </c>
    </row>
    <row r="1489" spans="1:87" ht="14.1" hidden="1" customHeight="1" x14ac:dyDescent="0.3">
      <c r="A1489" s="281" t="s">
        <v>3128</v>
      </c>
      <c r="B1489" s="146">
        <v>46227</v>
      </c>
      <c r="C1489" s="138">
        <v>1454</v>
      </c>
      <c r="D1489" s="128" t="s">
        <v>3191</v>
      </c>
      <c r="E1489" s="129">
        <v>46229</v>
      </c>
      <c r="F1489" s="128" t="s">
        <v>1144</v>
      </c>
      <c r="G1489" s="128" t="s">
        <v>1145</v>
      </c>
      <c r="H1489" s="128" t="s">
        <v>100</v>
      </c>
      <c r="I1489" s="138" t="s">
        <v>1146</v>
      </c>
      <c r="J1489" s="138" t="s">
        <v>1146</v>
      </c>
      <c r="K1489" s="136"/>
      <c r="L1489" s="146">
        <v>46227</v>
      </c>
      <c r="M1489" s="136"/>
      <c r="N1489" s="128" t="s">
        <v>3222</v>
      </c>
      <c r="O1489" s="146">
        <v>46229</v>
      </c>
      <c r="P1489" s="138">
        <v>0</v>
      </c>
      <c r="Q1489" s="138">
        <v>124</v>
      </c>
      <c r="R1489" s="138">
        <v>30</v>
      </c>
      <c r="S1489" s="138">
        <v>154</v>
      </c>
      <c r="T1489" s="138">
        <v>154</v>
      </c>
      <c r="U1489" s="136"/>
      <c r="V1489" s="136"/>
      <c r="W1489" s="147">
        <v>92.7</v>
      </c>
      <c r="X1489" s="147">
        <v>92.6</v>
      </c>
      <c r="Y1489" s="147">
        <v>772283.7</v>
      </c>
      <c r="Z1489" s="236">
        <v>39.520000000000003</v>
      </c>
      <c r="AA1489" s="147">
        <v>19307.09</v>
      </c>
      <c r="AB1489" s="147">
        <v>19307.09</v>
      </c>
      <c r="AC1489" s="147">
        <v>810897.89</v>
      </c>
      <c r="AD1489" s="315">
        <f t="shared" si="1001"/>
        <v>810086.99210999999</v>
      </c>
      <c r="AE1489" s="236">
        <v>39.520000000000003</v>
      </c>
      <c r="AF1489" s="147">
        <v>42</v>
      </c>
      <c r="AG1489" s="236">
        <v>39.520000000000003</v>
      </c>
      <c r="AH1489" s="287">
        <v>1.9E-3</v>
      </c>
      <c r="AI1489" s="287">
        <v>3.7999999999999999E-2</v>
      </c>
      <c r="AJ1489" s="287">
        <v>4.9000000000000002E-2</v>
      </c>
      <c r="AK1489" s="318">
        <f t="shared" si="1042"/>
        <v>45601.513714285655</v>
      </c>
      <c r="AL1489" s="193">
        <v>0</v>
      </c>
      <c r="AM1489" s="319">
        <v>0</v>
      </c>
      <c r="AN1489" s="319">
        <v>0</v>
      </c>
      <c r="AO1489" s="320">
        <f t="shared" si="1043"/>
        <v>0</v>
      </c>
      <c r="AP1489" s="193">
        <v>0</v>
      </c>
      <c r="AQ1489" s="318">
        <v>0</v>
      </c>
      <c r="AR1489" s="318">
        <f t="shared" si="1044"/>
        <v>45601.513714285655</v>
      </c>
      <c r="AS1489" s="318">
        <f t="shared" si="1045"/>
        <v>47882</v>
      </c>
      <c r="AT1489" s="321">
        <v>0</v>
      </c>
      <c r="AU1489" s="193"/>
      <c r="AV1489" s="193"/>
      <c r="AW1489" s="318">
        <f t="shared" si="1029"/>
        <v>9270</v>
      </c>
      <c r="AX1489" s="193"/>
      <c r="AY1489" s="318">
        <f t="shared" si="1030"/>
        <v>9270</v>
      </c>
      <c r="AZ1489" s="318">
        <f t="shared" si="1031"/>
        <v>9260</v>
      </c>
      <c r="BA1489" s="318">
        <f t="shared" si="1032"/>
        <v>10</v>
      </c>
      <c r="BB1489" s="318">
        <f t="shared" si="1033"/>
        <v>18.54</v>
      </c>
      <c r="BC1489" s="318">
        <v>0</v>
      </c>
      <c r="BD1489" s="373"/>
      <c r="BE1489" s="147">
        <v>92.7</v>
      </c>
      <c r="BF1489" s="375">
        <f t="shared" si="1034"/>
        <v>0.13905000000000001</v>
      </c>
      <c r="BG1489" s="321">
        <f t="shared" si="1035"/>
        <v>92.560950000000005</v>
      </c>
      <c r="BH1489" s="321">
        <f t="shared" si="1036"/>
        <v>92.6</v>
      </c>
      <c r="BI1489" s="322">
        <f t="shared" si="1037"/>
        <v>10.000000000000853</v>
      </c>
      <c r="BJ1489" s="322">
        <v>0</v>
      </c>
      <c r="BK1489" s="318">
        <f t="shared" si="1038"/>
        <v>10.000000000000853</v>
      </c>
      <c r="BL1489" s="193"/>
      <c r="BM1489" s="449" t="str">
        <f t="shared" si="1039"/>
        <v>Unloading no. 1454 Bill No 2026-27/507 ,Deduction For Oil Deduction= 45601.5137142857 ,Bardana= 0 ,F.M= 0 Brokerage/Rate Difference 0 ,Shortage = 0 ,Greenish= 0 ,Moisture= 0</v>
      </c>
      <c r="BN1489" s="193"/>
      <c r="BO1489" s="449" t="str">
        <f t="shared" si="1040"/>
        <v xml:space="preserve"> Party Condition 42  ,F.M% 0.19 ,Greenish 3.8 ,Moisture 4.9 ,Shortage in KG= 0  ,Oil% 39.52</v>
      </c>
      <c r="BP1489" s="318">
        <f t="shared" si="1041"/>
        <v>7847.539808701019</v>
      </c>
      <c r="BQ1489" s="193"/>
      <c r="BR1489" s="193"/>
      <c r="BS1489" s="193"/>
      <c r="BT1489" s="193"/>
      <c r="BU1489" s="193"/>
      <c r="BV1489" s="193"/>
      <c r="BW1489" s="373"/>
      <c r="BX1489" s="27">
        <v>39.43</v>
      </c>
      <c r="BY1489" s="27">
        <v>39.39</v>
      </c>
    </row>
    <row r="1490" spans="1:87" ht="14.1" hidden="1" customHeight="1" x14ac:dyDescent="0.3">
      <c r="A1490" s="281" t="s">
        <v>3128</v>
      </c>
      <c r="B1490" s="146">
        <v>46227</v>
      </c>
      <c r="C1490" s="138">
        <v>1455</v>
      </c>
      <c r="D1490" s="128" t="s">
        <v>3192</v>
      </c>
      <c r="E1490" s="129">
        <v>46229</v>
      </c>
      <c r="F1490" s="128" t="s">
        <v>1144</v>
      </c>
      <c r="G1490" s="128" t="s">
        <v>1145</v>
      </c>
      <c r="H1490" s="128" t="s">
        <v>100</v>
      </c>
      <c r="I1490" s="138" t="s">
        <v>1146</v>
      </c>
      <c r="J1490" s="138" t="s">
        <v>1146</v>
      </c>
      <c r="K1490" s="136"/>
      <c r="L1490" s="146">
        <v>46227</v>
      </c>
      <c r="M1490" s="136"/>
      <c r="N1490" s="128" t="s">
        <v>3223</v>
      </c>
      <c r="O1490" s="146">
        <v>46229</v>
      </c>
      <c r="P1490" s="138">
        <v>0</v>
      </c>
      <c r="Q1490" s="138">
        <v>114</v>
      </c>
      <c r="R1490" s="138">
        <v>40</v>
      </c>
      <c r="S1490" s="138">
        <v>154</v>
      </c>
      <c r="T1490" s="138">
        <v>154</v>
      </c>
      <c r="U1490" s="136"/>
      <c r="V1490" s="136"/>
      <c r="W1490" s="147">
        <v>91.7</v>
      </c>
      <c r="X1490" s="147">
        <v>91.6</v>
      </c>
      <c r="Y1490" s="147">
        <v>763952.7</v>
      </c>
      <c r="Z1490" s="236">
        <v>39.61</v>
      </c>
      <c r="AA1490" s="147">
        <v>19098.82</v>
      </c>
      <c r="AB1490" s="147">
        <v>19098.82</v>
      </c>
      <c r="AC1490" s="147">
        <v>802150.34</v>
      </c>
      <c r="AD1490" s="315">
        <f t="shared" si="1001"/>
        <v>801348.18965999992</v>
      </c>
      <c r="AE1490" s="236">
        <v>39.61</v>
      </c>
      <c r="AF1490" s="147">
        <v>42</v>
      </c>
      <c r="AG1490" s="236">
        <v>39.61</v>
      </c>
      <c r="AH1490" s="287">
        <v>2.2000000000000001E-3</v>
      </c>
      <c r="AI1490" s="287">
        <v>4.1000000000000002E-2</v>
      </c>
      <c r="AJ1490" s="287">
        <v>5.1999999999999998E-2</v>
      </c>
      <c r="AK1490" s="318">
        <f t="shared" si="1042"/>
        <v>43472.546500000004</v>
      </c>
      <c r="AL1490" s="193">
        <v>0</v>
      </c>
      <c r="AM1490" s="319">
        <v>0</v>
      </c>
      <c r="AN1490" s="319">
        <v>0</v>
      </c>
      <c r="AO1490" s="320">
        <f t="shared" si="1043"/>
        <v>0</v>
      </c>
      <c r="AP1490" s="193">
        <v>0</v>
      </c>
      <c r="AQ1490" s="318">
        <v>0</v>
      </c>
      <c r="AR1490" s="318">
        <f t="shared" si="1044"/>
        <v>43472.546500000004</v>
      </c>
      <c r="AS1490" s="318">
        <f t="shared" si="1045"/>
        <v>45646</v>
      </c>
      <c r="AT1490" s="321">
        <v>0</v>
      </c>
      <c r="AU1490" s="193"/>
      <c r="AV1490" s="193"/>
      <c r="AW1490" s="318">
        <f t="shared" si="1029"/>
        <v>9170</v>
      </c>
      <c r="AX1490" s="193"/>
      <c r="AY1490" s="318">
        <f t="shared" si="1030"/>
        <v>9170</v>
      </c>
      <c r="AZ1490" s="318">
        <f t="shared" si="1031"/>
        <v>9160</v>
      </c>
      <c r="BA1490" s="318">
        <f t="shared" si="1032"/>
        <v>10</v>
      </c>
      <c r="BB1490" s="318">
        <f t="shared" si="1033"/>
        <v>18.34</v>
      </c>
      <c r="BC1490" s="318">
        <v>0</v>
      </c>
      <c r="BD1490" s="373"/>
      <c r="BE1490" s="147">
        <v>91.7</v>
      </c>
      <c r="BF1490" s="375">
        <f t="shared" si="1034"/>
        <v>0.13755000000000001</v>
      </c>
      <c r="BG1490" s="321">
        <f t="shared" si="1035"/>
        <v>91.562449999999998</v>
      </c>
      <c r="BH1490" s="321">
        <f t="shared" si="1036"/>
        <v>91.6</v>
      </c>
      <c r="BI1490" s="322">
        <f t="shared" si="1037"/>
        <v>10.000000000000853</v>
      </c>
      <c r="BJ1490" s="322">
        <v>0</v>
      </c>
      <c r="BK1490" s="318">
        <f t="shared" si="1038"/>
        <v>10.000000000000853</v>
      </c>
      <c r="BL1490" s="193"/>
      <c r="BM1490" s="449" t="str">
        <f t="shared" si="1039"/>
        <v>Unloading no. 1455 Bill No 2026-27/508 ,Deduction For Oil Deduction= 43472.5465 ,Bardana= 0 ,F.M= 0 Brokerage/Rate Difference 0 ,Shortage = 0 ,Greenish= 0 ,Moisture= 0</v>
      </c>
      <c r="BN1490" s="193"/>
      <c r="BO1490" s="449" t="str">
        <f t="shared" si="1040"/>
        <v xml:space="preserve"> Party Condition 42  ,F.M% 0.22 ,Greenish 4.1 ,Moisture 5.2 ,Shortage in KG= 0  ,Oil% 39.61</v>
      </c>
      <c r="BP1490" s="318">
        <f t="shared" si="1041"/>
        <v>7865.5038591703051</v>
      </c>
      <c r="BQ1490" s="193"/>
      <c r="BR1490" s="193"/>
      <c r="BS1490" s="193"/>
      <c r="BT1490" s="193"/>
      <c r="BU1490" s="193"/>
      <c r="BV1490" s="193"/>
      <c r="BW1490" s="373"/>
      <c r="BX1490" s="27">
        <v>39.35</v>
      </c>
      <c r="BY1490" s="27">
        <v>39.299999999999997</v>
      </c>
    </row>
    <row r="1491" spans="1:87" ht="14.1" hidden="1" customHeight="1" x14ac:dyDescent="0.3">
      <c r="A1491" s="281" t="s">
        <v>3128</v>
      </c>
      <c r="B1491" s="146">
        <v>46227</v>
      </c>
      <c r="C1491" s="138">
        <v>1456</v>
      </c>
      <c r="D1491" s="128" t="s">
        <v>3193</v>
      </c>
      <c r="E1491" s="129">
        <v>46229</v>
      </c>
      <c r="F1491" s="128" t="s">
        <v>1144</v>
      </c>
      <c r="G1491" s="128" t="s">
        <v>1145</v>
      </c>
      <c r="H1491" s="128" t="s">
        <v>100</v>
      </c>
      <c r="I1491" s="138" t="s">
        <v>1146</v>
      </c>
      <c r="J1491" s="138" t="s">
        <v>1146</v>
      </c>
      <c r="K1491" s="136"/>
      <c r="L1491" s="146">
        <v>46227</v>
      </c>
      <c r="M1491" s="136"/>
      <c r="N1491" s="128" t="s">
        <v>3224</v>
      </c>
      <c r="O1491" s="146">
        <v>46229</v>
      </c>
      <c r="P1491" s="138">
        <v>0</v>
      </c>
      <c r="Q1491" s="138">
        <v>124</v>
      </c>
      <c r="R1491" s="138">
        <v>30</v>
      </c>
      <c r="S1491" s="138">
        <v>154</v>
      </c>
      <c r="T1491" s="138">
        <v>154</v>
      </c>
      <c r="U1491" s="136"/>
      <c r="V1491" s="136"/>
      <c r="W1491" s="147">
        <v>90.5</v>
      </c>
      <c r="X1491" s="147">
        <v>90.4</v>
      </c>
      <c r="Y1491" s="147">
        <v>753955.5</v>
      </c>
      <c r="Z1491" s="236">
        <v>40.03</v>
      </c>
      <c r="AA1491" s="147">
        <v>18848.89</v>
      </c>
      <c r="AB1491" s="147">
        <v>18848.89</v>
      </c>
      <c r="AC1491" s="147">
        <v>791653.28</v>
      </c>
      <c r="AD1491" s="315">
        <f t="shared" si="1001"/>
        <v>790861.62672000006</v>
      </c>
      <c r="AE1491" s="236">
        <v>40.03</v>
      </c>
      <c r="AF1491" s="147">
        <v>42</v>
      </c>
      <c r="AG1491" s="236">
        <v>40.03</v>
      </c>
      <c r="AH1491" s="287">
        <v>2.0999999999999999E-3</v>
      </c>
      <c r="AI1491" s="287">
        <v>3.9E-2</v>
      </c>
      <c r="AJ1491" s="287">
        <v>5.0999999999999997E-2</v>
      </c>
      <c r="AK1491" s="318">
        <f t="shared" si="1042"/>
        <v>35364.103214285693</v>
      </c>
      <c r="AL1491" s="193">
        <v>0</v>
      </c>
      <c r="AM1491" s="319">
        <v>0</v>
      </c>
      <c r="AN1491" s="319">
        <v>0</v>
      </c>
      <c r="AO1491" s="320">
        <f t="shared" si="1043"/>
        <v>0</v>
      </c>
      <c r="AP1491" s="193">
        <v>0</v>
      </c>
      <c r="AQ1491" s="318">
        <v>0</v>
      </c>
      <c r="AR1491" s="318">
        <f t="shared" si="1044"/>
        <v>35364.103214285693</v>
      </c>
      <c r="AS1491" s="318">
        <f t="shared" si="1045"/>
        <v>37132</v>
      </c>
      <c r="AT1491" s="321">
        <v>0</v>
      </c>
      <c r="AU1491" s="193"/>
      <c r="AV1491" s="193"/>
      <c r="AW1491" s="318">
        <f t="shared" si="1029"/>
        <v>9050</v>
      </c>
      <c r="AX1491" s="193"/>
      <c r="AY1491" s="318">
        <f t="shared" si="1030"/>
        <v>9050</v>
      </c>
      <c r="AZ1491" s="318">
        <f t="shared" si="1031"/>
        <v>9040</v>
      </c>
      <c r="BA1491" s="318">
        <f t="shared" si="1032"/>
        <v>10</v>
      </c>
      <c r="BB1491" s="318">
        <f t="shared" si="1033"/>
        <v>18.100000000000001</v>
      </c>
      <c r="BC1491" s="318">
        <v>0</v>
      </c>
      <c r="BD1491" s="373"/>
      <c r="BE1491" s="147">
        <v>90.5</v>
      </c>
      <c r="BF1491" s="375">
        <f t="shared" si="1034"/>
        <v>0.13574999999999998</v>
      </c>
      <c r="BG1491" s="321">
        <f t="shared" si="1035"/>
        <v>90.364249999999998</v>
      </c>
      <c r="BH1491" s="321">
        <f t="shared" si="1036"/>
        <v>90.4</v>
      </c>
      <c r="BI1491" s="322">
        <f t="shared" si="1037"/>
        <v>9.9999999999994316</v>
      </c>
      <c r="BJ1491" s="322">
        <v>0</v>
      </c>
      <c r="BK1491" s="318">
        <f t="shared" si="1038"/>
        <v>9.9999999999994316</v>
      </c>
      <c r="BL1491" s="193"/>
      <c r="BM1491" s="449" t="str">
        <f t="shared" si="1039"/>
        <v>Unloading no. 1456 Bill No 2026-27/510 ,Deduction For Oil Deduction= 35364.1032142857 ,Bardana= 0 ,F.M= 0 Brokerage/Rate Difference 0 ,Shortage = 0 ,Greenish= 0 ,Moisture= 0</v>
      </c>
      <c r="BN1491" s="193"/>
      <c r="BO1491" s="449" t="str">
        <f t="shared" si="1040"/>
        <v xml:space="preserve"> Party Condition 42  ,F.M% 0.21 ,Greenish 3.9 ,Moisture 5.1 ,Shortage in KG= 0  ,Oil% 40.03</v>
      </c>
      <c r="BP1491" s="318">
        <f t="shared" si="1041"/>
        <v>7949.0198759481664</v>
      </c>
      <c r="BQ1491" s="193"/>
      <c r="BR1491" s="193"/>
      <c r="BS1491" s="193"/>
      <c r="BT1491" s="193"/>
      <c r="BU1491" s="193"/>
      <c r="BV1491" s="193"/>
      <c r="BW1491" s="373"/>
      <c r="BX1491" s="27">
        <v>39.92</v>
      </c>
      <c r="BY1491" s="27">
        <v>39.85</v>
      </c>
    </row>
    <row r="1492" spans="1:87" ht="14.1" hidden="1" customHeight="1" x14ac:dyDescent="0.3">
      <c r="A1492" s="281" t="s">
        <v>3128</v>
      </c>
      <c r="B1492" s="146">
        <v>46227</v>
      </c>
      <c r="C1492" s="138">
        <v>1457</v>
      </c>
      <c r="D1492" s="128" t="s">
        <v>3194</v>
      </c>
      <c r="E1492" s="129">
        <v>46229</v>
      </c>
      <c r="F1492" s="128" t="s">
        <v>1144</v>
      </c>
      <c r="G1492" s="128" t="s">
        <v>1145</v>
      </c>
      <c r="H1492" s="128" t="s">
        <v>100</v>
      </c>
      <c r="I1492" s="138" t="s">
        <v>1146</v>
      </c>
      <c r="J1492" s="138" t="s">
        <v>1146</v>
      </c>
      <c r="K1492" s="136"/>
      <c r="L1492" s="146">
        <v>46227</v>
      </c>
      <c r="M1492" s="136"/>
      <c r="N1492" s="128" t="s">
        <v>3225</v>
      </c>
      <c r="O1492" s="146">
        <v>46229</v>
      </c>
      <c r="P1492" s="138">
        <v>0</v>
      </c>
      <c r="Q1492" s="138">
        <v>135</v>
      </c>
      <c r="R1492" s="138">
        <v>19</v>
      </c>
      <c r="S1492" s="138">
        <v>154</v>
      </c>
      <c r="T1492" s="138">
        <v>154</v>
      </c>
      <c r="U1492" s="136"/>
      <c r="V1492" s="136"/>
      <c r="W1492" s="147">
        <v>91.2</v>
      </c>
      <c r="X1492" s="147">
        <v>91.2</v>
      </c>
      <c r="Y1492" s="147">
        <v>759787.2</v>
      </c>
      <c r="Z1492" s="236">
        <v>39.630000000000003</v>
      </c>
      <c r="AA1492" s="147">
        <v>18994.68</v>
      </c>
      <c r="AB1492" s="147">
        <v>18994.68</v>
      </c>
      <c r="AC1492" s="147">
        <v>797776.56</v>
      </c>
      <c r="AD1492" s="315">
        <f t="shared" si="1001"/>
        <v>796978.78344000003</v>
      </c>
      <c r="AE1492" s="236">
        <v>39.630000000000003</v>
      </c>
      <c r="AF1492" s="147">
        <v>42</v>
      </c>
      <c r="AG1492" s="236">
        <v>39.630000000000003</v>
      </c>
      <c r="AH1492" s="287">
        <v>2.0999999999999999E-3</v>
      </c>
      <c r="AI1492" s="287">
        <v>3.9E-2</v>
      </c>
      <c r="AJ1492" s="287">
        <v>5.0999999999999997E-2</v>
      </c>
      <c r="AK1492" s="318">
        <f t="shared" si="1042"/>
        <v>42873.706285714237</v>
      </c>
      <c r="AL1492" s="193">
        <v>0</v>
      </c>
      <c r="AM1492" s="319">
        <v>0</v>
      </c>
      <c r="AN1492" s="319">
        <v>0</v>
      </c>
      <c r="AO1492" s="320">
        <f t="shared" si="1043"/>
        <v>0</v>
      </c>
      <c r="AP1492" s="193">
        <v>0</v>
      </c>
      <c r="AQ1492" s="318">
        <v>0</v>
      </c>
      <c r="AR1492" s="318">
        <f t="shared" si="1044"/>
        <v>42873.706285714237</v>
      </c>
      <c r="AS1492" s="318">
        <f t="shared" si="1045"/>
        <v>45017</v>
      </c>
      <c r="AT1492" s="321">
        <v>0</v>
      </c>
      <c r="AU1492" s="193"/>
      <c r="AV1492" s="193"/>
      <c r="AW1492" s="318">
        <f t="shared" si="1029"/>
        <v>9120</v>
      </c>
      <c r="AX1492" s="193"/>
      <c r="AY1492" s="318">
        <f t="shared" si="1030"/>
        <v>9120</v>
      </c>
      <c r="AZ1492" s="318">
        <f t="shared" si="1031"/>
        <v>9120</v>
      </c>
      <c r="BA1492" s="318">
        <f t="shared" si="1032"/>
        <v>0</v>
      </c>
      <c r="BB1492" s="318">
        <f t="shared" si="1033"/>
        <v>18.239999999999998</v>
      </c>
      <c r="BC1492" s="318">
        <v>0</v>
      </c>
      <c r="BD1492" s="373"/>
      <c r="BE1492" s="147">
        <v>91.2</v>
      </c>
      <c r="BF1492" s="375">
        <f t="shared" si="1034"/>
        <v>0.1368</v>
      </c>
      <c r="BG1492" s="321">
        <f t="shared" si="1035"/>
        <v>91.063200000000009</v>
      </c>
      <c r="BH1492" s="321">
        <f t="shared" si="1036"/>
        <v>91.2</v>
      </c>
      <c r="BI1492" s="322">
        <f t="shared" si="1037"/>
        <v>0</v>
      </c>
      <c r="BJ1492" s="322">
        <v>0</v>
      </c>
      <c r="BK1492" s="318">
        <f t="shared" si="1038"/>
        <v>0</v>
      </c>
      <c r="BL1492" s="193"/>
      <c r="BM1492" s="449" t="str">
        <f t="shared" si="1039"/>
        <v>Unloading no. 1457 Bill No 2026-27/509 ,Deduction For Oil Deduction= 42873.7062857142 ,Bardana= 0 ,F.M= 0 Brokerage/Rate Difference 0 ,Shortage = 0 ,Greenish= 0 ,Moisture= 0</v>
      </c>
      <c r="BN1492" s="193"/>
      <c r="BO1492" s="449" t="str">
        <f t="shared" si="1040"/>
        <v xml:space="preserve"> Party Condition 42  ,F.M% 0.21 ,Greenish 3.9 ,Moisture 5.1 ,Shortage in KG= 0  ,Oil% 39.63</v>
      </c>
      <c r="BP1492" s="318">
        <f t="shared" si="1041"/>
        <v>7860.8935714285708</v>
      </c>
      <c r="BQ1492" s="193"/>
      <c r="BR1492" s="193"/>
      <c r="BS1492" s="193"/>
      <c r="BT1492" s="193"/>
      <c r="BU1492" s="193"/>
      <c r="BV1492" s="193"/>
      <c r="BW1492" s="373"/>
      <c r="BX1492" s="27">
        <v>39.42</v>
      </c>
      <c r="BY1492" s="27">
        <v>39.42</v>
      </c>
    </row>
    <row r="1493" spans="1:87" ht="14.1" hidden="1" customHeight="1" x14ac:dyDescent="0.3">
      <c r="A1493" s="281" t="s">
        <v>3128</v>
      </c>
      <c r="B1493" s="146">
        <v>46227</v>
      </c>
      <c r="C1493" s="138">
        <v>1458</v>
      </c>
      <c r="D1493" s="128" t="s">
        <v>3195</v>
      </c>
      <c r="E1493" s="129">
        <v>46229</v>
      </c>
      <c r="F1493" s="128" t="s">
        <v>1144</v>
      </c>
      <c r="G1493" s="128" t="s">
        <v>1145</v>
      </c>
      <c r="H1493" s="128" t="s">
        <v>100</v>
      </c>
      <c r="I1493" s="138" t="s">
        <v>1146</v>
      </c>
      <c r="J1493" s="138" t="s">
        <v>1146</v>
      </c>
      <c r="K1493" s="136"/>
      <c r="L1493" s="146">
        <v>46227</v>
      </c>
      <c r="M1493" s="136"/>
      <c r="N1493" s="128" t="s">
        <v>3226</v>
      </c>
      <c r="O1493" s="146">
        <v>46229</v>
      </c>
      <c r="P1493" s="138">
        <v>0</v>
      </c>
      <c r="Q1493" s="138">
        <v>134</v>
      </c>
      <c r="R1493" s="138">
        <v>20</v>
      </c>
      <c r="S1493" s="138">
        <v>154</v>
      </c>
      <c r="T1493" s="138">
        <v>154</v>
      </c>
      <c r="U1493" s="136"/>
      <c r="V1493" s="136"/>
      <c r="W1493" s="147">
        <v>92.3</v>
      </c>
      <c r="X1493" s="147">
        <v>92.3</v>
      </c>
      <c r="Y1493" s="147">
        <v>768951.3</v>
      </c>
      <c r="Z1493" s="236">
        <v>39.54</v>
      </c>
      <c r="AA1493" s="147">
        <v>19223.78</v>
      </c>
      <c r="AB1493" s="147">
        <v>19223.78</v>
      </c>
      <c r="AC1493" s="147">
        <v>807398.87</v>
      </c>
      <c r="AD1493" s="315">
        <f t="shared" si="1001"/>
        <v>806591.47112999996</v>
      </c>
      <c r="AE1493" s="236">
        <v>39.54</v>
      </c>
      <c r="AF1493" s="147">
        <v>42</v>
      </c>
      <c r="AG1493" s="236">
        <v>39.54</v>
      </c>
      <c r="AH1493" s="287">
        <v>2.5000000000000001E-3</v>
      </c>
      <c r="AI1493" s="287">
        <v>3.5000000000000003E-2</v>
      </c>
      <c r="AJ1493" s="287">
        <v>5.2999999999999999E-2</v>
      </c>
      <c r="AK1493" s="318">
        <f t="shared" si="1042"/>
        <v>45038.576142857164</v>
      </c>
      <c r="AL1493" s="193">
        <v>0</v>
      </c>
      <c r="AM1493" s="319">
        <v>0</v>
      </c>
      <c r="AN1493" s="319">
        <v>0</v>
      </c>
      <c r="AO1493" s="320">
        <f t="shared" si="1043"/>
        <v>0</v>
      </c>
      <c r="AP1493" s="193">
        <v>0</v>
      </c>
      <c r="AQ1493" s="318">
        <v>0</v>
      </c>
      <c r="AR1493" s="318">
        <f t="shared" si="1044"/>
        <v>45038.576142857164</v>
      </c>
      <c r="AS1493" s="318">
        <f t="shared" si="1045"/>
        <v>47291</v>
      </c>
      <c r="AT1493" s="321">
        <v>0</v>
      </c>
      <c r="AU1493" s="193"/>
      <c r="AV1493" s="193"/>
      <c r="AW1493" s="318">
        <f t="shared" si="1029"/>
        <v>9230</v>
      </c>
      <c r="AX1493" s="193"/>
      <c r="AY1493" s="318">
        <f t="shared" si="1030"/>
        <v>9230</v>
      </c>
      <c r="AZ1493" s="318">
        <f t="shared" si="1031"/>
        <v>9230</v>
      </c>
      <c r="BA1493" s="318">
        <f t="shared" si="1032"/>
        <v>0</v>
      </c>
      <c r="BB1493" s="318">
        <f t="shared" si="1033"/>
        <v>18.46</v>
      </c>
      <c r="BC1493" s="318">
        <v>0</v>
      </c>
      <c r="BD1493" s="373"/>
      <c r="BE1493" s="147">
        <v>92.3</v>
      </c>
      <c r="BF1493" s="375">
        <f t="shared" si="1034"/>
        <v>0.13844999999999999</v>
      </c>
      <c r="BG1493" s="321">
        <f t="shared" si="1035"/>
        <v>92.161549999999991</v>
      </c>
      <c r="BH1493" s="321">
        <f t="shared" si="1036"/>
        <v>92.3</v>
      </c>
      <c r="BI1493" s="322">
        <f t="shared" si="1037"/>
        <v>0</v>
      </c>
      <c r="BJ1493" s="322">
        <v>0</v>
      </c>
      <c r="BK1493" s="318">
        <f t="shared" si="1038"/>
        <v>0</v>
      </c>
      <c r="BL1493" s="193"/>
      <c r="BM1493" s="449" t="str">
        <f t="shared" si="1039"/>
        <v>Unloading no. 1458 Bill No 2026-27/511 ,Deduction For Oil Deduction= 45038.5761428572 ,Bardana= 0 ,F.M= 0 Brokerage/Rate Difference 0 ,Shortage = 0 ,Greenish= 0 ,Moisture= 0</v>
      </c>
      <c r="BN1493" s="193"/>
      <c r="BO1493" s="449" t="str">
        <f t="shared" si="1040"/>
        <v xml:space="preserve"> Party Condition 42  ,F.M% 0.25 ,Greenish 3.5 ,Moisture 5.3 ,Shortage in KG= 0  ,Oil% 39.54</v>
      </c>
      <c r="BP1493" s="318">
        <f t="shared" si="1041"/>
        <v>7843.0414285714287</v>
      </c>
      <c r="BQ1493" s="193"/>
      <c r="BR1493" s="193"/>
      <c r="BS1493" s="193"/>
      <c r="BT1493" s="193"/>
      <c r="BU1493" s="193"/>
      <c r="BV1493" s="193"/>
      <c r="BW1493" s="373"/>
      <c r="BX1493" s="27">
        <v>39.4</v>
      </c>
      <c r="BY1493" s="27">
        <v>39.49</v>
      </c>
    </row>
    <row r="1494" spans="1:87" ht="14.1" hidden="1" customHeight="1" x14ac:dyDescent="0.3">
      <c r="A1494" s="281" t="s">
        <v>3128</v>
      </c>
      <c r="B1494" s="146">
        <v>46227</v>
      </c>
      <c r="C1494" s="138">
        <v>1459</v>
      </c>
      <c r="D1494" s="128" t="s">
        <v>3196</v>
      </c>
      <c r="E1494" s="129">
        <v>46229</v>
      </c>
      <c r="F1494" s="128" t="s">
        <v>1144</v>
      </c>
      <c r="G1494" s="128" t="s">
        <v>1145</v>
      </c>
      <c r="H1494" s="128" t="s">
        <v>100</v>
      </c>
      <c r="I1494" s="138" t="s">
        <v>1146</v>
      </c>
      <c r="J1494" s="138" t="s">
        <v>1146</v>
      </c>
      <c r="K1494" s="136"/>
      <c r="L1494" s="146">
        <v>46227</v>
      </c>
      <c r="M1494" s="136"/>
      <c r="N1494" s="128" t="s">
        <v>3227</v>
      </c>
      <c r="O1494" s="146">
        <v>46229</v>
      </c>
      <c r="P1494" s="138">
        <v>0</v>
      </c>
      <c r="Q1494" s="138">
        <v>125</v>
      </c>
      <c r="R1494" s="138">
        <v>35</v>
      </c>
      <c r="S1494" s="138">
        <v>160</v>
      </c>
      <c r="T1494" s="138">
        <v>160</v>
      </c>
      <c r="U1494" s="136"/>
      <c r="V1494" s="136"/>
      <c r="W1494" s="147">
        <v>92.2</v>
      </c>
      <c r="X1494" s="147">
        <v>92.2</v>
      </c>
      <c r="Y1494" s="147">
        <v>768118.2</v>
      </c>
      <c r="Z1494" s="236">
        <v>39.840000000000003</v>
      </c>
      <c r="AA1494" s="147">
        <v>19202.96</v>
      </c>
      <c r="AB1494" s="147">
        <v>19202.96</v>
      </c>
      <c r="AC1494" s="147">
        <v>806524.11</v>
      </c>
      <c r="AD1494" s="315">
        <f t="shared" si="1001"/>
        <v>805717.58588999999</v>
      </c>
      <c r="AE1494" s="236">
        <v>39.840000000000003</v>
      </c>
      <c r="AF1494" s="147">
        <v>42</v>
      </c>
      <c r="AG1494" s="236">
        <v>39.840000000000003</v>
      </c>
      <c r="AH1494" s="287">
        <v>2E-3</v>
      </c>
      <c r="AI1494" s="287">
        <v>3.4500000000000003E-2</v>
      </c>
      <c r="AJ1494" s="287">
        <v>6.3E-2</v>
      </c>
      <c r="AK1494" s="318">
        <f t="shared" si="1042"/>
        <v>39503.221714285646</v>
      </c>
      <c r="AL1494" s="193">
        <v>0</v>
      </c>
      <c r="AM1494" s="319">
        <v>0</v>
      </c>
      <c r="AN1494" s="319">
        <v>0</v>
      </c>
      <c r="AO1494" s="320">
        <f t="shared" si="1043"/>
        <v>0</v>
      </c>
      <c r="AP1494" s="193">
        <v>0</v>
      </c>
      <c r="AQ1494" s="318">
        <v>0</v>
      </c>
      <c r="AR1494" s="318">
        <f t="shared" si="1044"/>
        <v>39503.221714285646</v>
      </c>
      <c r="AS1494" s="318">
        <f t="shared" si="1045"/>
        <v>41478</v>
      </c>
      <c r="AT1494" s="321">
        <v>0</v>
      </c>
      <c r="AU1494" s="193"/>
      <c r="AV1494" s="193"/>
      <c r="AW1494" s="318">
        <f t="shared" si="1029"/>
        <v>9220</v>
      </c>
      <c r="AX1494" s="193"/>
      <c r="AY1494" s="318">
        <f t="shared" si="1030"/>
        <v>9220</v>
      </c>
      <c r="AZ1494" s="318">
        <f t="shared" si="1031"/>
        <v>9220</v>
      </c>
      <c r="BA1494" s="318">
        <f t="shared" si="1032"/>
        <v>0</v>
      </c>
      <c r="BB1494" s="318">
        <f t="shared" si="1033"/>
        <v>18.440000000000001</v>
      </c>
      <c r="BC1494" s="318">
        <v>0</v>
      </c>
      <c r="BD1494" s="373"/>
      <c r="BE1494" s="147">
        <v>92.2</v>
      </c>
      <c r="BF1494" s="375">
        <f t="shared" si="1034"/>
        <v>0.13830000000000001</v>
      </c>
      <c r="BG1494" s="321">
        <f t="shared" si="1035"/>
        <v>92.061700000000002</v>
      </c>
      <c r="BH1494" s="321">
        <f t="shared" si="1036"/>
        <v>92.2</v>
      </c>
      <c r="BI1494" s="322">
        <f t="shared" si="1037"/>
        <v>0</v>
      </c>
      <c r="BJ1494" s="322">
        <v>0</v>
      </c>
      <c r="BK1494" s="318">
        <f t="shared" si="1038"/>
        <v>0</v>
      </c>
      <c r="BL1494" s="193"/>
      <c r="BM1494" s="449" t="str">
        <f t="shared" si="1039"/>
        <v>Unloading no. 1459 Bill No 2026-27/512 ,Deduction For Oil Deduction= 39503.2217142856 ,Bardana= 0 ,F.M= 0 Brokerage/Rate Difference 0 ,Shortage = 0 ,Greenish= 0 ,Moisture= 0</v>
      </c>
      <c r="BN1494" s="193"/>
      <c r="BO1494" s="449" t="str">
        <f t="shared" si="1040"/>
        <v xml:space="preserve"> Party Condition 42  ,F.M% 0.2 ,Greenish 3.45 ,Moisture 6.3 ,Shortage in KG= 0  ,Oil% 39.84</v>
      </c>
      <c r="BP1494" s="318">
        <f t="shared" si="1041"/>
        <v>7902.5485714285714</v>
      </c>
      <c r="BQ1494" s="193"/>
      <c r="BR1494" s="193"/>
      <c r="BS1494" s="193"/>
      <c r="BT1494" s="193"/>
      <c r="BU1494" s="193"/>
      <c r="BV1494" s="193"/>
      <c r="BW1494" s="373"/>
      <c r="BX1494" s="27">
        <v>39.76</v>
      </c>
      <c r="BY1494" s="27">
        <v>39.549999999999997</v>
      </c>
    </row>
    <row r="1495" spans="1:87" ht="14.1" hidden="1" customHeight="1" x14ac:dyDescent="0.3">
      <c r="A1495" s="281" t="s">
        <v>3128</v>
      </c>
      <c r="B1495" s="146">
        <v>46227</v>
      </c>
      <c r="C1495" s="138">
        <v>1460</v>
      </c>
      <c r="D1495" s="128" t="s">
        <v>3197</v>
      </c>
      <c r="E1495" s="129">
        <v>46229</v>
      </c>
      <c r="F1495" s="128" t="s">
        <v>1144</v>
      </c>
      <c r="G1495" s="128" t="s">
        <v>1145</v>
      </c>
      <c r="H1495" s="128" t="s">
        <v>100</v>
      </c>
      <c r="I1495" s="138" t="s">
        <v>1146</v>
      </c>
      <c r="J1495" s="138" t="s">
        <v>1146</v>
      </c>
      <c r="K1495" s="136"/>
      <c r="L1495" s="146">
        <v>46227</v>
      </c>
      <c r="M1495" s="136"/>
      <c r="N1495" s="128" t="s">
        <v>3228</v>
      </c>
      <c r="O1495" s="146">
        <v>46229</v>
      </c>
      <c r="P1495" s="138">
        <v>0</v>
      </c>
      <c r="Q1495" s="138">
        <v>139</v>
      </c>
      <c r="R1495" s="138">
        <v>40</v>
      </c>
      <c r="S1495" s="138">
        <v>179</v>
      </c>
      <c r="T1495" s="138">
        <v>179</v>
      </c>
      <c r="U1495" s="136"/>
      <c r="V1495" s="136"/>
      <c r="W1495" s="147">
        <v>106.3</v>
      </c>
      <c r="X1495" s="147">
        <v>106.3</v>
      </c>
      <c r="Y1495" s="147">
        <v>885585.3</v>
      </c>
      <c r="Z1495" s="236">
        <v>40.04</v>
      </c>
      <c r="AA1495" s="147">
        <v>22139.63</v>
      </c>
      <c r="AB1495" s="147">
        <v>22139.63</v>
      </c>
      <c r="AC1495" s="147">
        <v>929864.57</v>
      </c>
      <c r="AD1495" s="315">
        <f t="shared" si="1001"/>
        <v>928934.70542999997</v>
      </c>
      <c r="AE1495" s="236">
        <v>40.04</v>
      </c>
      <c r="AF1495" s="147">
        <v>42</v>
      </c>
      <c r="AG1495" s="236">
        <v>40.04</v>
      </c>
      <c r="AH1495" s="287">
        <v>1.9E-3</v>
      </c>
      <c r="AI1495" s="287">
        <v>3.9E-2</v>
      </c>
      <c r="AJ1495" s="287">
        <v>5.8000000000000003E-2</v>
      </c>
      <c r="AK1495" s="318">
        <f t="shared" si="1042"/>
        <v>41327.31400000002</v>
      </c>
      <c r="AL1495" s="193">
        <v>0</v>
      </c>
      <c r="AM1495" s="319">
        <v>0</v>
      </c>
      <c r="AN1495" s="319">
        <v>0</v>
      </c>
      <c r="AO1495" s="320">
        <f t="shared" si="1043"/>
        <v>0</v>
      </c>
      <c r="AP1495" s="193">
        <v>0</v>
      </c>
      <c r="AQ1495" s="318">
        <v>0</v>
      </c>
      <c r="AR1495" s="318">
        <f t="shared" si="1044"/>
        <v>41327.31400000002</v>
      </c>
      <c r="AS1495" s="318">
        <f t="shared" si="1045"/>
        <v>43394</v>
      </c>
      <c r="AT1495" s="321">
        <v>0</v>
      </c>
      <c r="AU1495" s="193"/>
      <c r="AV1495" s="193"/>
      <c r="AW1495" s="318">
        <f t="shared" si="1029"/>
        <v>10630</v>
      </c>
      <c r="AX1495" s="193"/>
      <c r="AY1495" s="318">
        <f t="shared" si="1030"/>
        <v>10630</v>
      </c>
      <c r="AZ1495" s="318">
        <f t="shared" si="1031"/>
        <v>10630</v>
      </c>
      <c r="BA1495" s="318">
        <f t="shared" si="1032"/>
        <v>0</v>
      </c>
      <c r="BB1495" s="318">
        <f t="shared" si="1033"/>
        <v>21.26</v>
      </c>
      <c r="BC1495" s="318">
        <v>0</v>
      </c>
      <c r="BD1495" s="373"/>
      <c r="BE1495" s="147">
        <v>106.3</v>
      </c>
      <c r="BF1495" s="375">
        <f t="shared" si="1034"/>
        <v>0.15944999999999998</v>
      </c>
      <c r="BG1495" s="321">
        <f t="shared" si="1035"/>
        <v>106.14054999999999</v>
      </c>
      <c r="BH1495" s="321">
        <f t="shared" si="1036"/>
        <v>106.3</v>
      </c>
      <c r="BI1495" s="322">
        <f t="shared" si="1037"/>
        <v>0</v>
      </c>
      <c r="BJ1495" s="322">
        <v>0</v>
      </c>
      <c r="BK1495" s="318">
        <f t="shared" si="1038"/>
        <v>0</v>
      </c>
      <c r="BL1495" s="193"/>
      <c r="BM1495" s="449" t="str">
        <f t="shared" si="1039"/>
        <v>Unloading no. 1460 Bill No 2026-27/513 ,Deduction For Oil Deduction= 41327.314 ,Bardana= 0 ,F.M= 0 Brokerage/Rate Difference 0 ,Shortage = 0 ,Greenish= 0 ,Moisture= 0</v>
      </c>
      <c r="BN1495" s="193"/>
      <c r="BO1495" s="449" t="str">
        <f t="shared" si="1040"/>
        <v xml:space="preserve"> Party Condition 42  ,F.M% 0.19 ,Greenish 3.9 ,Moisture 5.8 ,Shortage in KG= 0  ,Oil% 40.04</v>
      </c>
      <c r="BP1495" s="318">
        <f t="shared" si="1041"/>
        <v>7942.22</v>
      </c>
      <c r="BQ1495" s="193"/>
      <c r="BR1495" s="193"/>
      <c r="BS1495" s="193"/>
      <c r="BT1495" s="193"/>
      <c r="BU1495" s="193"/>
      <c r="BV1495" s="193"/>
      <c r="BW1495" s="373"/>
      <c r="BX1495" s="27">
        <v>39.700000000000003</v>
      </c>
      <c r="BY1495" s="27">
        <v>39.56</v>
      </c>
    </row>
    <row r="1496" spans="1:87" ht="14.1" hidden="1" customHeight="1" x14ac:dyDescent="0.3">
      <c r="A1496" s="128" t="s">
        <v>3181</v>
      </c>
      <c r="B1496" s="146">
        <v>46227</v>
      </c>
      <c r="C1496" s="281">
        <v>1461</v>
      </c>
      <c r="D1496" s="128" t="s">
        <v>3198</v>
      </c>
      <c r="E1496" s="129">
        <v>46230</v>
      </c>
      <c r="F1496" s="128" t="s">
        <v>1382</v>
      </c>
      <c r="G1496" s="128" t="s">
        <v>1383</v>
      </c>
      <c r="H1496" s="128" t="s">
        <v>1384</v>
      </c>
      <c r="I1496" s="347"/>
      <c r="J1496" s="347" t="s">
        <v>1455</v>
      </c>
      <c r="K1496" s="136"/>
      <c r="L1496" s="146">
        <v>46227</v>
      </c>
      <c r="M1496" s="136"/>
      <c r="N1496" s="281">
        <v>37</v>
      </c>
      <c r="O1496" s="146">
        <v>46229</v>
      </c>
      <c r="P1496" s="138">
        <v>0</v>
      </c>
      <c r="Q1496" s="138">
        <v>110</v>
      </c>
      <c r="R1496" s="138">
        <v>372</v>
      </c>
      <c r="S1496" s="138">
        <v>482</v>
      </c>
      <c r="T1496" s="138">
        <v>482</v>
      </c>
      <c r="U1496" s="136"/>
      <c r="V1496" s="136"/>
      <c r="W1496" s="147">
        <v>293.89999999999998</v>
      </c>
      <c r="X1496" s="147">
        <v>294</v>
      </c>
      <c r="Y1496" s="147">
        <v>2461412.5</v>
      </c>
      <c r="Z1496" s="169"/>
      <c r="AA1496" s="147">
        <v>61535.31</v>
      </c>
      <c r="AB1496" s="147">
        <v>61535.31</v>
      </c>
      <c r="AC1496" s="147">
        <v>2584483.13</v>
      </c>
      <c r="AD1496" s="315">
        <f t="shared" si="1001"/>
        <v>2581898.6468699998</v>
      </c>
      <c r="AE1496" s="147">
        <v>39.72</v>
      </c>
      <c r="AF1496" s="147">
        <v>42</v>
      </c>
      <c r="AG1496" s="147">
        <v>39.6</v>
      </c>
      <c r="AH1496" s="418">
        <v>3.8E-3</v>
      </c>
      <c r="AI1496" s="287">
        <v>3.2000000000000001E-2</v>
      </c>
      <c r="AJ1496" s="397">
        <v>5.96E-2</v>
      </c>
      <c r="AK1496" s="318">
        <f t="shared" si="1042"/>
        <v>140652.14285714275</v>
      </c>
      <c r="AL1496" s="193">
        <f>110*10+372*15</f>
        <v>6680</v>
      </c>
      <c r="AM1496" s="319">
        <f>Y1496*AH1496</f>
        <v>9353.3675000000003</v>
      </c>
      <c r="AN1496" s="319">
        <v>0</v>
      </c>
      <c r="AO1496" s="320">
        <f t="shared" si="1043"/>
        <v>0</v>
      </c>
      <c r="AP1496" s="193">
        <v>0</v>
      </c>
      <c r="AQ1496" s="318">
        <f>Y1496*0.96/100</f>
        <v>23629.56</v>
      </c>
      <c r="AR1496" s="318">
        <f t="shared" si="1044"/>
        <v>180315.07035714274</v>
      </c>
      <c r="AS1496" s="325">
        <f t="shared" si="1045"/>
        <v>189331</v>
      </c>
      <c r="AT1496" s="321">
        <v>0</v>
      </c>
      <c r="AU1496" s="193" t="s">
        <v>2208</v>
      </c>
      <c r="AV1496" s="193"/>
      <c r="AW1496" s="318">
        <f t="shared" si="1029"/>
        <v>29389.999999999996</v>
      </c>
      <c r="AX1496" s="193"/>
      <c r="AY1496" s="318">
        <f t="shared" si="1030"/>
        <v>29389.999999999996</v>
      </c>
      <c r="AZ1496" s="318">
        <f t="shared" si="1031"/>
        <v>29400</v>
      </c>
      <c r="BA1496" s="318">
        <f t="shared" si="1032"/>
        <v>-10.000000000003638</v>
      </c>
      <c r="BB1496" s="318">
        <f t="shared" si="1033"/>
        <v>58.779999999999994</v>
      </c>
      <c r="BC1496" s="318">
        <v>0</v>
      </c>
      <c r="BD1496" s="373"/>
      <c r="BE1496" s="147">
        <v>293.89999999999998</v>
      </c>
      <c r="BF1496" s="375">
        <f t="shared" si="1034"/>
        <v>0.44084999999999996</v>
      </c>
      <c r="BG1496" s="321">
        <f t="shared" si="1035"/>
        <v>293.45914999999997</v>
      </c>
      <c r="BH1496" s="321">
        <f t="shared" si="1036"/>
        <v>294</v>
      </c>
      <c r="BI1496" s="322">
        <f t="shared" si="1037"/>
        <v>-10.000000000002274</v>
      </c>
      <c r="BJ1496" s="322">
        <v>0</v>
      </c>
      <c r="BK1496" s="318">
        <f t="shared" si="1038"/>
        <v>-10.000000000002274</v>
      </c>
      <c r="BL1496" s="193"/>
      <c r="BM1496" s="449" t="str">
        <f t="shared" si="1039"/>
        <v>Unloading no. 1461 Bill No 37 ,Deduction For Oil Deduction= 140652.142857143 ,Bardana= 6680 ,F.M= 9353.3675 Brokerage/Rate Difference 0 ,Shortage = 0 ,Greenish= 0 ,Moisture= 23629.56</v>
      </c>
      <c r="BN1496" s="193"/>
      <c r="BO1496" s="449" t="str">
        <f t="shared" si="1040"/>
        <v xml:space="preserve"> Party Condition 42  ,F.M% 0.38 ,Greenish 3.2 ,Moisture 5.96 ,Shortage in KG= 0  ,Oil% 39.6</v>
      </c>
      <c r="BP1496" s="318">
        <f t="shared" si="1041"/>
        <v>7758.8347947035954</v>
      </c>
      <c r="BQ1496" s="193"/>
      <c r="BR1496" s="193"/>
      <c r="BS1496" s="193"/>
      <c r="BT1496" s="193"/>
      <c r="BU1496" s="193"/>
      <c r="BV1496" s="193"/>
      <c r="BW1496" s="373"/>
      <c r="BX1496" s="27">
        <v>39.72</v>
      </c>
      <c r="BY1496" s="27">
        <v>39.6</v>
      </c>
      <c r="CA1496" s="56">
        <v>189330.81</v>
      </c>
      <c r="CC1496" s="57">
        <f t="shared" ref="CC1496" si="1046">AS1496-CA1496</f>
        <v>0.19000000000232831</v>
      </c>
      <c r="CE1496" s="88">
        <f t="shared" ref="CE1496" si="1047">CC1496/105%</f>
        <v>0.18095238095459837</v>
      </c>
    </row>
    <row r="1497" spans="1:87" ht="14.1" hidden="1" customHeight="1" x14ac:dyDescent="0.3">
      <c r="A1497" s="128" t="s">
        <v>3182</v>
      </c>
      <c r="B1497" s="146">
        <v>46223</v>
      </c>
      <c r="C1497" s="281">
        <v>1462</v>
      </c>
      <c r="D1497" s="128" t="s">
        <v>3199</v>
      </c>
      <c r="E1497" s="129">
        <v>46230</v>
      </c>
      <c r="F1497" s="128" t="s">
        <v>1689</v>
      </c>
      <c r="G1497" s="128" t="s">
        <v>1690</v>
      </c>
      <c r="H1497" s="128" t="s">
        <v>1511</v>
      </c>
      <c r="I1497" s="347"/>
      <c r="J1497" s="347" t="s">
        <v>1455</v>
      </c>
      <c r="K1497" s="136"/>
      <c r="L1497" s="146">
        <v>46223</v>
      </c>
      <c r="M1497" s="136"/>
      <c r="N1497" s="281" t="s">
        <v>3229</v>
      </c>
      <c r="O1497" s="146">
        <v>46229</v>
      </c>
      <c r="P1497" s="138">
        <v>0</v>
      </c>
      <c r="Q1497" s="138">
        <v>200</v>
      </c>
      <c r="R1497" s="138">
        <v>178</v>
      </c>
      <c r="S1497" s="138">
        <v>378</v>
      </c>
      <c r="T1497" s="138">
        <v>378</v>
      </c>
      <c r="U1497" s="136"/>
      <c r="V1497" s="136"/>
      <c r="W1497" s="147">
        <v>199.85</v>
      </c>
      <c r="X1497" s="147">
        <v>199.8</v>
      </c>
      <c r="Y1497" s="147">
        <v>1658755</v>
      </c>
      <c r="Z1497" s="169"/>
      <c r="AA1497" s="147">
        <v>41468.879999999997</v>
      </c>
      <c r="AB1497" s="147">
        <v>41468.879999999997</v>
      </c>
      <c r="AC1497" s="147">
        <v>1741692.75</v>
      </c>
      <c r="AD1497" s="315">
        <f t="shared" si="1001"/>
        <v>1739951.0572500001</v>
      </c>
      <c r="AE1497" s="147">
        <v>39.68</v>
      </c>
      <c r="AF1497" s="147">
        <v>42</v>
      </c>
      <c r="AG1497" s="147">
        <v>39.729999999999997</v>
      </c>
      <c r="AH1497" s="418">
        <v>5.0000000000000001E-3</v>
      </c>
      <c r="AI1497" s="287">
        <v>3.9E-2</v>
      </c>
      <c r="AJ1497" s="397">
        <v>5.5599999999999997E-2</v>
      </c>
      <c r="AK1497" s="318">
        <f t="shared" si="1042"/>
        <v>91626.466666666674</v>
      </c>
      <c r="AL1497" s="193">
        <f>200*10+178*15</f>
        <v>4670</v>
      </c>
      <c r="AM1497" s="319">
        <f>Y1497*AH1497</f>
        <v>8293.7749999999996</v>
      </c>
      <c r="AN1497" s="319">
        <v>0</v>
      </c>
      <c r="AO1497" s="320">
        <f t="shared" si="1043"/>
        <v>415</v>
      </c>
      <c r="AP1497" s="193">
        <v>0</v>
      </c>
      <c r="AQ1497" s="318">
        <f>Y1497*0.56/100</f>
        <v>9289.0280000000002</v>
      </c>
      <c r="AR1497" s="318">
        <f t="shared" si="1044"/>
        <v>114294.26966666667</v>
      </c>
      <c r="AS1497" s="325">
        <f t="shared" si="1045"/>
        <v>120009</v>
      </c>
      <c r="AT1497" s="321">
        <v>5</v>
      </c>
      <c r="AU1497" s="193"/>
      <c r="AV1497" s="193"/>
      <c r="AW1497" s="318">
        <f t="shared" si="1029"/>
        <v>19985</v>
      </c>
      <c r="AX1497" s="193"/>
      <c r="AY1497" s="318">
        <f t="shared" si="1030"/>
        <v>19985</v>
      </c>
      <c r="AZ1497" s="318">
        <f t="shared" si="1031"/>
        <v>19980</v>
      </c>
      <c r="BA1497" s="318">
        <f t="shared" si="1032"/>
        <v>5</v>
      </c>
      <c r="BB1497" s="318">
        <f t="shared" si="1033"/>
        <v>39.97</v>
      </c>
      <c r="BC1497" s="318">
        <v>0</v>
      </c>
      <c r="BD1497" s="373"/>
      <c r="BE1497" s="147">
        <v>199.85</v>
      </c>
      <c r="BF1497" s="375">
        <f t="shared" si="1034"/>
        <v>0.29977500000000001</v>
      </c>
      <c r="BG1497" s="321">
        <f t="shared" si="1035"/>
        <v>199.55022499999998</v>
      </c>
      <c r="BH1497" s="321">
        <f t="shared" si="1036"/>
        <v>199.8</v>
      </c>
      <c r="BI1497" s="322">
        <f t="shared" si="1037"/>
        <v>4.9999999999982947</v>
      </c>
      <c r="BJ1497" s="322">
        <v>0</v>
      </c>
      <c r="BK1497" s="318">
        <f t="shared" si="1038"/>
        <v>4.9999999999982947</v>
      </c>
      <c r="BL1497" s="193"/>
      <c r="BM1497" s="449" t="str">
        <f t="shared" si="1039"/>
        <v>Unloading no. 1462 Bill No GST50 ,Deduction For Oil Deduction= 91626.4666666667 ,Bardana= 4670 ,F.M= 8293.775 Brokerage/Rate Difference 0 ,Shortage = 415 ,Greenish= 0 ,Moisture= 9289.028</v>
      </c>
      <c r="BN1497" s="193"/>
      <c r="BO1497" s="449" t="str">
        <f t="shared" si="1040"/>
        <v xml:space="preserve"> Party Condition 42  ,F.M% 0.5 ,Greenish 3.9 ,Moisture 5.56 ,Shortage in KG= 5  ,Oil% 39.68</v>
      </c>
      <c r="BP1497" s="318">
        <f t="shared" si="1041"/>
        <v>7730.0336853520184</v>
      </c>
      <c r="BQ1497" s="193"/>
      <c r="BR1497" s="193"/>
      <c r="BS1497" s="193"/>
      <c r="BT1497" s="193"/>
      <c r="BU1497" s="193"/>
      <c r="BV1497" s="193"/>
      <c r="BW1497" s="373"/>
      <c r="BX1497" s="27">
        <v>39.68</v>
      </c>
      <c r="BY1497" s="27">
        <v>39.729999999999997</v>
      </c>
      <c r="CA1497" s="56">
        <v>117935.54</v>
      </c>
      <c r="CC1497" s="57">
        <f t="shared" ref="CC1497" si="1048">AS1497-CA1497</f>
        <v>2073.4600000000064</v>
      </c>
      <c r="CE1497" s="88">
        <f t="shared" ref="CE1497" si="1049">CC1497/105%</f>
        <v>1974.7238095238156</v>
      </c>
      <c r="CG1497" s="56">
        <v>89651.76</v>
      </c>
      <c r="CI1497" s="90">
        <f>AK1497-CG1497</f>
        <v>1974.7066666666797</v>
      </c>
    </row>
    <row r="1498" spans="1:87" ht="14.1" hidden="1" customHeight="1" x14ac:dyDescent="0.3">
      <c r="A1498" s="128" t="s">
        <v>2827</v>
      </c>
      <c r="B1498" s="146">
        <v>46216</v>
      </c>
      <c r="C1498" s="281">
        <v>1463</v>
      </c>
      <c r="D1498" s="128" t="s">
        <v>3200</v>
      </c>
      <c r="E1498" s="129">
        <v>46230</v>
      </c>
      <c r="F1498" s="128" t="s">
        <v>2497</v>
      </c>
      <c r="G1498" s="128" t="s">
        <v>2498</v>
      </c>
      <c r="H1498" s="128" t="s">
        <v>100</v>
      </c>
      <c r="I1498" s="138"/>
      <c r="J1498" s="138" t="s">
        <v>1146</v>
      </c>
      <c r="K1498" s="136"/>
      <c r="L1498" s="146">
        <v>46216</v>
      </c>
      <c r="M1498" s="136"/>
      <c r="N1498" s="281" t="s">
        <v>3230</v>
      </c>
      <c r="O1498" s="146">
        <v>46230</v>
      </c>
      <c r="P1498" s="138">
        <v>0</v>
      </c>
      <c r="Q1498" s="138">
        <v>60</v>
      </c>
      <c r="R1498" s="138">
        <v>90</v>
      </c>
      <c r="S1498" s="138">
        <v>150</v>
      </c>
      <c r="T1498" s="138">
        <v>150</v>
      </c>
      <c r="U1498" s="136"/>
      <c r="V1498" s="136"/>
      <c r="W1498" s="147">
        <v>90.2</v>
      </c>
      <c r="X1498" s="147">
        <v>90.1</v>
      </c>
      <c r="Y1498" s="147">
        <v>726110</v>
      </c>
      <c r="Z1498" s="236">
        <v>40.4</v>
      </c>
      <c r="AA1498" s="147">
        <v>18152.75</v>
      </c>
      <c r="AB1498" s="147">
        <v>18152.75</v>
      </c>
      <c r="AC1498" s="147">
        <v>762415.5</v>
      </c>
      <c r="AD1498" s="315">
        <f t="shared" si="1001"/>
        <v>761653.0845</v>
      </c>
      <c r="AE1498" s="236">
        <v>40.4</v>
      </c>
      <c r="AF1498" s="147">
        <v>42</v>
      </c>
      <c r="AG1498" s="236">
        <v>40.4</v>
      </c>
      <c r="AH1498" s="287">
        <v>2.5999999999999999E-3</v>
      </c>
      <c r="AI1498" s="287">
        <v>0.03</v>
      </c>
      <c r="AJ1498" s="287">
        <v>5.1999999999999998E-2</v>
      </c>
      <c r="AK1498" s="318">
        <f t="shared" si="1042"/>
        <v>27661.333333333358</v>
      </c>
      <c r="AL1498" s="193">
        <v>0</v>
      </c>
      <c r="AM1498" s="319">
        <v>0</v>
      </c>
      <c r="AN1498" s="319">
        <v>0</v>
      </c>
      <c r="AO1498" s="320">
        <f t="shared" si="1043"/>
        <v>0</v>
      </c>
      <c r="AP1498" s="193">
        <v>0</v>
      </c>
      <c r="AQ1498" s="318">
        <v>0</v>
      </c>
      <c r="AR1498" s="318">
        <f t="shared" si="1044"/>
        <v>27661.333333333358</v>
      </c>
      <c r="AS1498" s="325">
        <f t="shared" si="1045"/>
        <v>29044</v>
      </c>
      <c r="AT1498" s="321">
        <v>0</v>
      </c>
      <c r="AU1498" s="193"/>
      <c r="AV1498" s="193"/>
      <c r="AW1498" s="318">
        <f t="shared" si="1029"/>
        <v>9020</v>
      </c>
      <c r="AX1498" s="193"/>
      <c r="AY1498" s="318">
        <f t="shared" si="1030"/>
        <v>9020</v>
      </c>
      <c r="AZ1498" s="318">
        <f t="shared" si="1031"/>
        <v>9010</v>
      </c>
      <c r="BA1498" s="318">
        <f t="shared" si="1032"/>
        <v>10</v>
      </c>
      <c r="BB1498" s="318">
        <f t="shared" si="1033"/>
        <v>18.04</v>
      </c>
      <c r="BC1498" s="318">
        <v>0</v>
      </c>
      <c r="BD1498" s="373"/>
      <c r="BE1498" s="147">
        <v>90.2</v>
      </c>
      <c r="BF1498" s="375">
        <f t="shared" si="1034"/>
        <v>0.1353</v>
      </c>
      <c r="BG1498" s="321">
        <f t="shared" si="1035"/>
        <v>90.064700000000002</v>
      </c>
      <c r="BH1498" s="321">
        <f t="shared" si="1036"/>
        <v>90.1</v>
      </c>
      <c r="BI1498" s="322">
        <f t="shared" si="1037"/>
        <v>10.000000000000853</v>
      </c>
      <c r="BJ1498" s="322">
        <v>0</v>
      </c>
      <c r="BK1498" s="318">
        <f t="shared" si="1038"/>
        <v>10.000000000000853</v>
      </c>
      <c r="BL1498" s="193"/>
      <c r="BM1498" s="449" t="str">
        <f t="shared" si="1039"/>
        <v>Unloading no. 1463 Bill No HA/26-27/0511 ,Deduction For Oil Deduction= 27661.3333333334 ,Bardana= 0 ,F.M= 0 Brokerage/Rate Difference 0 ,Shortage = 0 ,Greenish= 0 ,Moisture= 0</v>
      </c>
      <c r="BN1498" s="193"/>
      <c r="BO1498" s="449" t="str">
        <f t="shared" si="1040"/>
        <v xml:space="preserve"> Party Condition 42  ,F.M% 0.26 ,Greenish 3 ,Moisture 5.2 ,Shortage in KG= 0  ,Oil% 40.4</v>
      </c>
      <c r="BP1498" s="318">
        <f t="shared" si="1041"/>
        <v>7751.9274879763225</v>
      </c>
      <c r="BQ1498" s="193"/>
      <c r="BR1498" s="193"/>
      <c r="BS1498" s="193"/>
      <c r="BT1498" s="193"/>
      <c r="BU1498" s="193"/>
      <c r="BV1498" s="193"/>
      <c r="BW1498" s="373"/>
      <c r="BX1498" s="27">
        <v>40.25</v>
      </c>
      <c r="BY1498" s="27">
        <v>40.19</v>
      </c>
    </row>
    <row r="1499" spans="1:87" ht="14.1" hidden="1" customHeight="1" x14ac:dyDescent="0.3">
      <c r="A1499" s="128" t="s">
        <v>2827</v>
      </c>
      <c r="B1499" s="146">
        <v>46216</v>
      </c>
      <c r="C1499" s="281">
        <v>1464</v>
      </c>
      <c r="D1499" s="128" t="s">
        <v>3201</v>
      </c>
      <c r="E1499" s="129">
        <v>46230</v>
      </c>
      <c r="F1499" s="128" t="s">
        <v>2497</v>
      </c>
      <c r="G1499" s="128" t="s">
        <v>2498</v>
      </c>
      <c r="H1499" s="128" t="s">
        <v>100</v>
      </c>
      <c r="I1499" s="138"/>
      <c r="J1499" s="138" t="s">
        <v>1146</v>
      </c>
      <c r="K1499" s="136"/>
      <c r="L1499" s="146">
        <v>46216</v>
      </c>
      <c r="M1499" s="136"/>
      <c r="N1499" s="281" t="s">
        <v>3231</v>
      </c>
      <c r="O1499" s="146">
        <v>46230</v>
      </c>
      <c r="P1499" s="138">
        <v>0</v>
      </c>
      <c r="Q1499" s="138">
        <v>70</v>
      </c>
      <c r="R1499" s="138">
        <v>80</v>
      </c>
      <c r="S1499" s="138">
        <v>150</v>
      </c>
      <c r="T1499" s="138">
        <v>150</v>
      </c>
      <c r="U1499" s="136"/>
      <c r="V1499" s="136"/>
      <c r="W1499" s="147">
        <v>90.1</v>
      </c>
      <c r="X1499" s="147">
        <v>90.1</v>
      </c>
      <c r="Y1499" s="147">
        <v>725305</v>
      </c>
      <c r="Z1499" s="236">
        <v>40.24</v>
      </c>
      <c r="AA1499" s="147">
        <v>18132.63</v>
      </c>
      <c r="AB1499" s="147">
        <v>18132.63</v>
      </c>
      <c r="AC1499" s="147">
        <v>761570.25</v>
      </c>
      <c r="AD1499" s="315">
        <f t="shared" si="1001"/>
        <v>760808.67975000001</v>
      </c>
      <c r="AE1499" s="236">
        <v>40.24</v>
      </c>
      <c r="AF1499" s="147">
        <v>42</v>
      </c>
      <c r="AG1499" s="236">
        <v>40.24</v>
      </c>
      <c r="AH1499" s="287">
        <v>2E-3</v>
      </c>
      <c r="AI1499" s="287">
        <v>3.2500000000000001E-2</v>
      </c>
      <c r="AJ1499" s="287">
        <v>5.3999999999999999E-2</v>
      </c>
      <c r="AK1499" s="318">
        <f t="shared" si="1042"/>
        <v>30393.733333333297</v>
      </c>
      <c r="AL1499" s="193">
        <v>0</v>
      </c>
      <c r="AM1499" s="319">
        <v>0</v>
      </c>
      <c r="AN1499" s="319">
        <v>0</v>
      </c>
      <c r="AO1499" s="320">
        <f t="shared" si="1043"/>
        <v>0</v>
      </c>
      <c r="AP1499" s="193">
        <v>0</v>
      </c>
      <c r="AQ1499" s="318">
        <v>0</v>
      </c>
      <c r="AR1499" s="318">
        <f t="shared" si="1044"/>
        <v>30393.733333333297</v>
      </c>
      <c r="AS1499" s="325">
        <f t="shared" si="1045"/>
        <v>31913</v>
      </c>
      <c r="AT1499" s="321">
        <v>0</v>
      </c>
      <c r="AU1499" s="193"/>
      <c r="AV1499" s="193"/>
      <c r="AW1499" s="318">
        <f t="shared" si="1029"/>
        <v>9010</v>
      </c>
      <c r="AX1499" s="193"/>
      <c r="AY1499" s="318">
        <f t="shared" si="1030"/>
        <v>9010</v>
      </c>
      <c r="AZ1499" s="318">
        <f t="shared" si="1031"/>
        <v>9010</v>
      </c>
      <c r="BA1499" s="318">
        <f t="shared" si="1032"/>
        <v>0</v>
      </c>
      <c r="BB1499" s="318">
        <f t="shared" si="1033"/>
        <v>18.02</v>
      </c>
      <c r="BC1499" s="318">
        <v>0</v>
      </c>
      <c r="BD1499" s="373"/>
      <c r="BE1499" s="147">
        <v>90.1</v>
      </c>
      <c r="BF1499" s="375">
        <f t="shared" si="1034"/>
        <v>0.13514999999999999</v>
      </c>
      <c r="BG1499" s="321">
        <f t="shared" si="1035"/>
        <v>89.964849999999998</v>
      </c>
      <c r="BH1499" s="321">
        <f t="shared" si="1036"/>
        <v>90.1</v>
      </c>
      <c r="BI1499" s="322">
        <f t="shared" si="1037"/>
        <v>0</v>
      </c>
      <c r="BJ1499" s="322">
        <v>0</v>
      </c>
      <c r="BK1499" s="318">
        <f t="shared" si="1038"/>
        <v>0</v>
      </c>
      <c r="BL1499" s="193"/>
      <c r="BM1499" s="449" t="str">
        <f t="shared" si="1039"/>
        <v>Unloading no. 1464 Bill No HA/26-27/0512 ,Deduction For Oil Deduction= 30393.7333333333 ,Bardana= 0 ,F.M= 0 Brokerage/Rate Difference 0 ,Shortage = 0 ,Greenish= 0 ,Moisture= 0</v>
      </c>
      <c r="BN1499" s="193"/>
      <c r="BO1499" s="449" t="str">
        <f t="shared" si="1040"/>
        <v xml:space="preserve"> Party Condition 42  ,F.M% 0.2 ,Greenish 3.25 ,Moisture 5.4 ,Shortage in KG= 0  ,Oil% 40.24</v>
      </c>
      <c r="BP1499" s="318">
        <f t="shared" si="1041"/>
        <v>7712.6666666666679</v>
      </c>
      <c r="BQ1499" s="193"/>
      <c r="BR1499" s="193"/>
      <c r="BS1499" s="193"/>
      <c r="BT1499" s="193"/>
      <c r="BU1499" s="193"/>
      <c r="BV1499" s="193"/>
      <c r="BW1499" s="373"/>
      <c r="BX1499" s="27">
        <v>40.28</v>
      </c>
      <c r="BY1499" s="27">
        <v>40.229999999999997</v>
      </c>
    </row>
    <row r="1500" spans="1:87" ht="14.1" hidden="1" customHeight="1" x14ac:dyDescent="0.3">
      <c r="A1500" s="128" t="s">
        <v>2827</v>
      </c>
      <c r="B1500" s="146">
        <v>46216</v>
      </c>
      <c r="C1500" s="281">
        <v>1465</v>
      </c>
      <c r="D1500" s="128" t="s">
        <v>3202</v>
      </c>
      <c r="E1500" s="129">
        <v>46230</v>
      </c>
      <c r="F1500" s="128" t="s">
        <v>2497</v>
      </c>
      <c r="G1500" s="128" t="s">
        <v>2498</v>
      </c>
      <c r="H1500" s="128" t="s">
        <v>100</v>
      </c>
      <c r="I1500" s="138"/>
      <c r="J1500" s="138" t="s">
        <v>1146</v>
      </c>
      <c r="K1500" s="136"/>
      <c r="L1500" s="146">
        <v>46216</v>
      </c>
      <c r="M1500" s="136"/>
      <c r="N1500" s="281" t="s">
        <v>3232</v>
      </c>
      <c r="O1500" s="146">
        <v>46230</v>
      </c>
      <c r="P1500" s="138">
        <v>0</v>
      </c>
      <c r="Q1500" s="138">
        <v>40</v>
      </c>
      <c r="R1500" s="138">
        <v>110</v>
      </c>
      <c r="S1500" s="138">
        <v>150</v>
      </c>
      <c r="T1500" s="138">
        <v>150</v>
      </c>
      <c r="U1500" s="136"/>
      <c r="V1500" s="136"/>
      <c r="W1500" s="147">
        <v>89.5</v>
      </c>
      <c r="X1500" s="147">
        <v>89.4</v>
      </c>
      <c r="Y1500" s="147">
        <v>720475</v>
      </c>
      <c r="Z1500" s="236">
        <v>40.03</v>
      </c>
      <c r="AA1500" s="147">
        <v>18011.88</v>
      </c>
      <c r="AB1500" s="147">
        <v>18011.88</v>
      </c>
      <c r="AC1500" s="147">
        <v>756498.75</v>
      </c>
      <c r="AD1500" s="315">
        <f t="shared" si="1001"/>
        <v>755742.25124999997</v>
      </c>
      <c r="AE1500" s="236">
        <v>40.03</v>
      </c>
      <c r="AF1500" s="147">
        <v>42</v>
      </c>
      <c r="AG1500" s="236">
        <v>40.03</v>
      </c>
      <c r="AH1500" s="287">
        <v>2.0999999999999999E-3</v>
      </c>
      <c r="AI1500" s="287">
        <v>3.5000000000000003E-2</v>
      </c>
      <c r="AJ1500" s="287">
        <v>5.2999999999999999E-2</v>
      </c>
      <c r="AK1500" s="318">
        <f t="shared" si="1042"/>
        <v>33793.708333333314</v>
      </c>
      <c r="AL1500" s="193">
        <v>0</v>
      </c>
      <c r="AM1500" s="319">
        <v>0</v>
      </c>
      <c r="AN1500" s="319">
        <v>0</v>
      </c>
      <c r="AO1500" s="320">
        <f t="shared" si="1043"/>
        <v>0</v>
      </c>
      <c r="AP1500" s="193">
        <v>0</v>
      </c>
      <c r="AQ1500" s="318">
        <v>0</v>
      </c>
      <c r="AR1500" s="318">
        <f t="shared" si="1044"/>
        <v>33793.708333333314</v>
      </c>
      <c r="AS1500" s="325">
        <f t="shared" si="1045"/>
        <v>35483</v>
      </c>
      <c r="AT1500" s="321">
        <v>0</v>
      </c>
      <c r="AU1500" s="193"/>
      <c r="AV1500" s="193"/>
      <c r="AW1500" s="318">
        <f t="shared" si="1029"/>
        <v>8950</v>
      </c>
      <c r="AX1500" s="193"/>
      <c r="AY1500" s="318">
        <f t="shared" si="1030"/>
        <v>8950</v>
      </c>
      <c r="AZ1500" s="318">
        <f t="shared" si="1031"/>
        <v>8940</v>
      </c>
      <c r="BA1500" s="318">
        <f t="shared" si="1032"/>
        <v>10</v>
      </c>
      <c r="BB1500" s="318">
        <f t="shared" si="1033"/>
        <v>17.899999999999999</v>
      </c>
      <c r="BC1500" s="318">
        <v>0</v>
      </c>
      <c r="BD1500" s="373"/>
      <c r="BE1500" s="147">
        <v>89.5</v>
      </c>
      <c r="BF1500" s="375">
        <f t="shared" si="1034"/>
        <v>0.13424999999999998</v>
      </c>
      <c r="BG1500" s="321">
        <f t="shared" si="1035"/>
        <v>89.365750000000006</v>
      </c>
      <c r="BH1500" s="321">
        <f t="shared" si="1036"/>
        <v>89.4</v>
      </c>
      <c r="BI1500" s="322">
        <f t="shared" si="1037"/>
        <v>9.9999999999994316</v>
      </c>
      <c r="BJ1500" s="322">
        <v>0</v>
      </c>
      <c r="BK1500" s="318">
        <f t="shared" si="1038"/>
        <v>9.9999999999994316</v>
      </c>
      <c r="BL1500" s="193"/>
      <c r="BM1500" s="449" t="str">
        <f t="shared" si="1039"/>
        <v>Unloading no. 1465 Bill No HA/26-27/0513 ,Deduction For Oil Deduction= 33793.7083333333 ,Bardana= 0 ,F.M= 0 Brokerage/Rate Difference 0 ,Shortage = 0 ,Greenish= 0 ,Moisture= 0</v>
      </c>
      <c r="BN1500" s="193"/>
      <c r="BO1500" s="449" t="str">
        <f t="shared" si="1040"/>
        <v xml:space="preserve"> Party Condition 42  ,F.M% 0.21 ,Greenish 3.5 ,Moisture 5.3 ,Shortage in KG= 0  ,Oil% 40.03</v>
      </c>
      <c r="BP1500" s="318">
        <f t="shared" si="1041"/>
        <v>7680.9987882177484</v>
      </c>
      <c r="BQ1500" s="193"/>
      <c r="BR1500" s="193"/>
      <c r="BS1500" s="193"/>
      <c r="BT1500" s="193"/>
      <c r="BU1500" s="193"/>
      <c r="BV1500" s="193"/>
      <c r="BW1500" s="373"/>
      <c r="BX1500" s="27">
        <v>39.78</v>
      </c>
      <c r="BY1500" s="27">
        <v>39.89</v>
      </c>
    </row>
    <row r="1501" spans="1:87" ht="14.1" hidden="1" customHeight="1" x14ac:dyDescent="0.3">
      <c r="A1501" s="128" t="s">
        <v>2827</v>
      </c>
      <c r="B1501" s="146">
        <v>46216</v>
      </c>
      <c r="C1501" s="281">
        <v>1466</v>
      </c>
      <c r="D1501" s="128" t="s">
        <v>3203</v>
      </c>
      <c r="E1501" s="129">
        <v>46230</v>
      </c>
      <c r="F1501" s="128" t="s">
        <v>2497</v>
      </c>
      <c r="G1501" s="128" t="s">
        <v>2498</v>
      </c>
      <c r="H1501" s="128" t="s">
        <v>100</v>
      </c>
      <c r="I1501" s="138"/>
      <c r="J1501" s="138" t="s">
        <v>1146</v>
      </c>
      <c r="K1501" s="136"/>
      <c r="L1501" s="146">
        <v>46216</v>
      </c>
      <c r="M1501" s="136"/>
      <c r="N1501" s="281" t="s">
        <v>3233</v>
      </c>
      <c r="O1501" s="146">
        <v>46230</v>
      </c>
      <c r="P1501" s="138">
        <v>0</v>
      </c>
      <c r="Q1501" s="138">
        <v>90</v>
      </c>
      <c r="R1501" s="138">
        <v>60</v>
      </c>
      <c r="S1501" s="138">
        <v>150</v>
      </c>
      <c r="T1501" s="138">
        <v>150</v>
      </c>
      <c r="U1501" s="136"/>
      <c r="V1501" s="136"/>
      <c r="W1501" s="147">
        <v>89.8</v>
      </c>
      <c r="X1501" s="147">
        <v>89.7</v>
      </c>
      <c r="Y1501" s="147">
        <v>722890</v>
      </c>
      <c r="Z1501" s="236">
        <v>40.07</v>
      </c>
      <c r="AA1501" s="147">
        <v>18072.25</v>
      </c>
      <c r="AB1501" s="147">
        <v>18072.25</v>
      </c>
      <c r="AC1501" s="147">
        <v>759034.5</v>
      </c>
      <c r="AD1501" s="315">
        <f t="shared" si="1001"/>
        <v>758275.46550000005</v>
      </c>
      <c r="AE1501" s="236">
        <v>40.07</v>
      </c>
      <c r="AF1501" s="147">
        <v>42</v>
      </c>
      <c r="AG1501" s="236">
        <v>40.07</v>
      </c>
      <c r="AH1501" s="287">
        <v>2.2000000000000001E-3</v>
      </c>
      <c r="AI1501" s="287">
        <v>3.2000000000000001E-2</v>
      </c>
      <c r="AJ1501" s="287">
        <v>5.5E-2</v>
      </c>
      <c r="AK1501" s="318">
        <f t="shared" si="1042"/>
        <v>33218.516666666663</v>
      </c>
      <c r="AL1501" s="193">
        <v>0</v>
      </c>
      <c r="AM1501" s="319">
        <v>0</v>
      </c>
      <c r="AN1501" s="319">
        <v>0</v>
      </c>
      <c r="AO1501" s="320">
        <f t="shared" si="1043"/>
        <v>0</v>
      </c>
      <c r="AP1501" s="193">
        <v>0</v>
      </c>
      <c r="AQ1501" s="318">
        <v>0</v>
      </c>
      <c r="AR1501" s="318">
        <f t="shared" si="1044"/>
        <v>33218.516666666663</v>
      </c>
      <c r="AS1501" s="325">
        <f t="shared" si="1045"/>
        <v>34879</v>
      </c>
      <c r="AT1501" s="321">
        <v>0</v>
      </c>
      <c r="AU1501" s="193"/>
      <c r="AV1501" s="193"/>
      <c r="AW1501" s="318">
        <f t="shared" si="1029"/>
        <v>8980</v>
      </c>
      <c r="AX1501" s="193"/>
      <c r="AY1501" s="318">
        <f t="shared" si="1030"/>
        <v>8980</v>
      </c>
      <c r="AZ1501" s="318">
        <f t="shared" si="1031"/>
        <v>8970</v>
      </c>
      <c r="BA1501" s="318">
        <f t="shared" si="1032"/>
        <v>10</v>
      </c>
      <c r="BB1501" s="318">
        <f t="shared" si="1033"/>
        <v>17.96</v>
      </c>
      <c r="BC1501" s="318">
        <v>0</v>
      </c>
      <c r="BD1501" s="373"/>
      <c r="BE1501" s="147">
        <v>89.8</v>
      </c>
      <c r="BF1501" s="375">
        <f t="shared" si="1034"/>
        <v>0.13469999999999999</v>
      </c>
      <c r="BG1501" s="321">
        <f t="shared" si="1035"/>
        <v>89.665300000000002</v>
      </c>
      <c r="BH1501" s="321">
        <f t="shared" si="1036"/>
        <v>89.7</v>
      </c>
      <c r="BI1501" s="322">
        <f t="shared" si="1037"/>
        <v>9.9999999999994316</v>
      </c>
      <c r="BJ1501" s="322">
        <v>0</v>
      </c>
      <c r="BK1501" s="318">
        <f t="shared" si="1038"/>
        <v>9.9999999999994316</v>
      </c>
      <c r="BL1501" s="193"/>
      <c r="BM1501" s="449" t="str">
        <f t="shared" si="1039"/>
        <v>Unloading no. 1466 Bill No HA/26-27/0514 ,Deduction For Oil Deduction= 33218.5166666667 ,Bardana= 0 ,F.M= 0 Brokerage/Rate Difference 0 ,Shortage = 0 ,Greenish= 0 ,Moisture= 0</v>
      </c>
      <c r="BN1501" s="193"/>
      <c r="BO1501" s="449" t="str">
        <f t="shared" si="1040"/>
        <v xml:space="preserve"> Party Condition 42  ,F.M% 0.22 ,Greenish 3.2 ,Moisture 5.5 ,Shortage in KG= 0  ,Oil% 40.07</v>
      </c>
      <c r="BP1501" s="318">
        <f t="shared" si="1041"/>
        <v>7688.6452991452998</v>
      </c>
      <c r="BQ1501" s="193"/>
      <c r="BR1501" s="193"/>
      <c r="BS1501" s="193"/>
      <c r="BT1501" s="193"/>
      <c r="BU1501" s="193"/>
      <c r="BV1501" s="193"/>
      <c r="BW1501" s="373"/>
      <c r="BX1501" s="27">
        <v>39.9</v>
      </c>
      <c r="BY1501" s="27">
        <v>39.99</v>
      </c>
    </row>
    <row r="1502" spans="1:87" ht="14.1" hidden="1" customHeight="1" x14ac:dyDescent="0.3">
      <c r="A1502" s="128" t="s">
        <v>2827</v>
      </c>
      <c r="B1502" s="146">
        <v>46216</v>
      </c>
      <c r="C1502" s="281">
        <v>1467</v>
      </c>
      <c r="D1502" s="128" t="s">
        <v>3204</v>
      </c>
      <c r="E1502" s="129">
        <v>46230</v>
      </c>
      <c r="F1502" s="128" t="s">
        <v>2497</v>
      </c>
      <c r="G1502" s="128" t="s">
        <v>2498</v>
      </c>
      <c r="H1502" s="128" t="s">
        <v>100</v>
      </c>
      <c r="I1502" s="138"/>
      <c r="J1502" s="138" t="s">
        <v>1146</v>
      </c>
      <c r="K1502" s="136"/>
      <c r="L1502" s="146">
        <v>46216</v>
      </c>
      <c r="M1502" s="136"/>
      <c r="N1502" s="281" t="s">
        <v>3234</v>
      </c>
      <c r="O1502" s="146">
        <v>46230</v>
      </c>
      <c r="P1502" s="138">
        <v>0</v>
      </c>
      <c r="Q1502" s="138">
        <v>90</v>
      </c>
      <c r="R1502" s="138">
        <v>60</v>
      </c>
      <c r="S1502" s="138">
        <v>150</v>
      </c>
      <c r="T1502" s="138">
        <v>150</v>
      </c>
      <c r="U1502" s="136"/>
      <c r="V1502" s="136"/>
      <c r="W1502" s="147">
        <v>89</v>
      </c>
      <c r="X1502" s="147">
        <v>88.9</v>
      </c>
      <c r="Y1502" s="147">
        <v>716450</v>
      </c>
      <c r="Z1502" s="236">
        <v>40.42</v>
      </c>
      <c r="AA1502" s="147">
        <v>17911.25</v>
      </c>
      <c r="AB1502" s="147">
        <v>17911.25</v>
      </c>
      <c r="AC1502" s="147">
        <v>752272.5</v>
      </c>
      <c r="AD1502" s="315">
        <f t="shared" si="1001"/>
        <v>751520.22750000004</v>
      </c>
      <c r="AE1502" s="236">
        <v>40.42</v>
      </c>
      <c r="AF1502" s="147">
        <v>42</v>
      </c>
      <c r="AG1502" s="236">
        <v>40.42</v>
      </c>
      <c r="AH1502" s="287">
        <v>2.5000000000000001E-3</v>
      </c>
      <c r="AI1502" s="287">
        <v>3.5000000000000003E-2</v>
      </c>
      <c r="AJ1502" s="287">
        <v>5.3999999999999999E-2</v>
      </c>
      <c r="AK1502" s="318">
        <f t="shared" si="1042"/>
        <v>26952.166666666639</v>
      </c>
      <c r="AL1502" s="193">
        <v>0</v>
      </c>
      <c r="AM1502" s="319">
        <v>0</v>
      </c>
      <c r="AN1502" s="319">
        <v>0</v>
      </c>
      <c r="AO1502" s="320">
        <f t="shared" si="1043"/>
        <v>0</v>
      </c>
      <c r="AP1502" s="193">
        <v>0</v>
      </c>
      <c r="AQ1502" s="318">
        <v>0</v>
      </c>
      <c r="AR1502" s="318">
        <f t="shared" si="1044"/>
        <v>26952.166666666639</v>
      </c>
      <c r="AS1502" s="325">
        <f t="shared" si="1045"/>
        <v>28300</v>
      </c>
      <c r="AT1502" s="321">
        <v>0</v>
      </c>
      <c r="AU1502" s="193"/>
      <c r="AV1502" s="193"/>
      <c r="AW1502" s="318">
        <f t="shared" si="1029"/>
        <v>8900</v>
      </c>
      <c r="AX1502" s="193"/>
      <c r="AY1502" s="318">
        <f t="shared" si="1030"/>
        <v>8900</v>
      </c>
      <c r="AZ1502" s="318">
        <f t="shared" si="1031"/>
        <v>8890</v>
      </c>
      <c r="BA1502" s="318">
        <f t="shared" si="1032"/>
        <v>10</v>
      </c>
      <c r="BB1502" s="318">
        <f t="shared" si="1033"/>
        <v>17.8</v>
      </c>
      <c r="BC1502" s="318">
        <v>0</v>
      </c>
      <c r="BD1502" s="373"/>
      <c r="BE1502" s="147">
        <v>89</v>
      </c>
      <c r="BF1502" s="375">
        <f t="shared" si="1034"/>
        <v>0.13350000000000001</v>
      </c>
      <c r="BG1502" s="321">
        <f t="shared" si="1035"/>
        <v>88.866500000000002</v>
      </c>
      <c r="BH1502" s="321">
        <f t="shared" si="1036"/>
        <v>88.9</v>
      </c>
      <c r="BI1502" s="322">
        <f t="shared" si="1037"/>
        <v>9.9999999999994316</v>
      </c>
      <c r="BJ1502" s="322">
        <v>0</v>
      </c>
      <c r="BK1502" s="318">
        <f t="shared" si="1038"/>
        <v>9.9999999999994316</v>
      </c>
      <c r="BL1502" s="193"/>
      <c r="BM1502" s="449" t="str">
        <f t="shared" si="1039"/>
        <v>Unloading no. 1467 Bill No HA/26-27/0515 ,Deduction For Oil Deduction= 26952.1666666666 ,Bardana= 0 ,F.M= 0 Brokerage/Rate Difference 0 ,Shortage = 0 ,Greenish= 0 ,Moisture= 0</v>
      </c>
      <c r="BN1502" s="193"/>
      <c r="BO1502" s="449" t="str">
        <f t="shared" si="1040"/>
        <v xml:space="preserve"> Party Condition 42  ,F.M% 0.25 ,Greenish 3.5 ,Moisture 5.4 ,Shortage in KG= 0  ,Oil% 40.42</v>
      </c>
      <c r="BP1502" s="318">
        <f t="shared" si="1041"/>
        <v>7755.8811398575181</v>
      </c>
      <c r="BQ1502" s="193"/>
      <c r="BR1502" s="193"/>
      <c r="BS1502" s="193"/>
      <c r="BT1502" s="193"/>
      <c r="BU1502" s="193"/>
      <c r="BV1502" s="193"/>
      <c r="BW1502" s="373"/>
      <c r="BX1502" s="27">
        <v>40.18</v>
      </c>
      <c r="BY1502" s="27">
        <v>40.020000000000003</v>
      </c>
    </row>
    <row r="1503" spans="1:87" ht="14.1" hidden="1" customHeight="1" x14ac:dyDescent="0.3">
      <c r="A1503" s="128" t="s">
        <v>2827</v>
      </c>
      <c r="B1503" s="146">
        <v>46216</v>
      </c>
      <c r="C1503" s="281">
        <v>1468</v>
      </c>
      <c r="D1503" s="128" t="s">
        <v>3205</v>
      </c>
      <c r="E1503" s="129">
        <v>46230</v>
      </c>
      <c r="F1503" s="128" t="s">
        <v>2497</v>
      </c>
      <c r="G1503" s="128" t="s">
        <v>2498</v>
      </c>
      <c r="H1503" s="128" t="s">
        <v>100</v>
      </c>
      <c r="I1503" s="138"/>
      <c r="J1503" s="138" t="s">
        <v>1146</v>
      </c>
      <c r="K1503" s="136"/>
      <c r="L1503" s="146">
        <v>46216</v>
      </c>
      <c r="M1503" s="136"/>
      <c r="N1503" s="281" t="s">
        <v>3235</v>
      </c>
      <c r="O1503" s="146">
        <v>46230</v>
      </c>
      <c r="P1503" s="138">
        <v>0</v>
      </c>
      <c r="Q1503" s="138">
        <v>100</v>
      </c>
      <c r="R1503" s="138">
        <v>50</v>
      </c>
      <c r="S1503" s="138">
        <v>150</v>
      </c>
      <c r="T1503" s="138">
        <v>150</v>
      </c>
      <c r="U1503" s="136"/>
      <c r="V1503" s="136"/>
      <c r="W1503" s="147">
        <v>89.7</v>
      </c>
      <c r="X1503" s="147">
        <v>89.6</v>
      </c>
      <c r="Y1503" s="147">
        <v>722085</v>
      </c>
      <c r="Z1503" s="236">
        <v>40.69</v>
      </c>
      <c r="AA1503" s="147">
        <v>18052.13</v>
      </c>
      <c r="AB1503" s="147">
        <v>18052.13</v>
      </c>
      <c r="AC1503" s="147">
        <v>758189.25</v>
      </c>
      <c r="AD1503" s="315">
        <f t="shared" si="1001"/>
        <v>757431.06074999995</v>
      </c>
      <c r="AE1503" s="236">
        <v>40.69</v>
      </c>
      <c r="AF1503" s="147">
        <v>42</v>
      </c>
      <c r="AG1503" s="236">
        <v>40.69</v>
      </c>
      <c r="AH1503" s="287">
        <v>2.2000000000000001E-3</v>
      </c>
      <c r="AI1503" s="287">
        <v>4.2500000000000003E-2</v>
      </c>
      <c r="AJ1503" s="287">
        <v>5.5E-2</v>
      </c>
      <c r="AK1503" s="318">
        <f t="shared" si="1042"/>
        <v>22522.175000000039</v>
      </c>
      <c r="AL1503" s="193">
        <v>0</v>
      </c>
      <c r="AM1503" s="319">
        <v>0</v>
      </c>
      <c r="AN1503" s="319">
        <v>0</v>
      </c>
      <c r="AO1503" s="320">
        <f t="shared" si="1043"/>
        <v>0</v>
      </c>
      <c r="AP1503" s="193">
        <v>0</v>
      </c>
      <c r="AQ1503" s="318">
        <v>0</v>
      </c>
      <c r="AR1503" s="318">
        <f t="shared" si="1044"/>
        <v>22522.175000000039</v>
      </c>
      <c r="AS1503" s="325">
        <f t="shared" si="1045"/>
        <v>23648</v>
      </c>
      <c r="AT1503" s="321">
        <v>0</v>
      </c>
      <c r="AU1503" s="193"/>
      <c r="AV1503" s="193"/>
      <c r="AW1503" s="318">
        <f t="shared" si="1029"/>
        <v>8970</v>
      </c>
      <c r="AX1503" s="193"/>
      <c r="AY1503" s="318">
        <f t="shared" si="1030"/>
        <v>8970</v>
      </c>
      <c r="AZ1503" s="318">
        <f t="shared" si="1031"/>
        <v>8960</v>
      </c>
      <c r="BA1503" s="318">
        <f t="shared" si="1032"/>
        <v>10</v>
      </c>
      <c r="BB1503" s="318">
        <f t="shared" si="1033"/>
        <v>17.940000000000001</v>
      </c>
      <c r="BC1503" s="318">
        <v>0</v>
      </c>
      <c r="BD1503" s="373"/>
      <c r="BE1503" s="147">
        <v>89.7</v>
      </c>
      <c r="BF1503" s="375">
        <f t="shared" si="1034"/>
        <v>0.13455</v>
      </c>
      <c r="BG1503" s="321">
        <f t="shared" si="1035"/>
        <v>89.565449999999998</v>
      </c>
      <c r="BH1503" s="321">
        <f t="shared" si="1036"/>
        <v>89.6</v>
      </c>
      <c r="BI1503" s="322">
        <f t="shared" si="1037"/>
        <v>10.000000000000853</v>
      </c>
      <c r="BJ1503" s="322">
        <v>0</v>
      </c>
      <c r="BK1503" s="318">
        <f t="shared" si="1038"/>
        <v>10.000000000000853</v>
      </c>
      <c r="BL1503" s="193"/>
      <c r="BM1503" s="449" t="str">
        <f t="shared" si="1039"/>
        <v>Unloading no. 1468 Bill No HA/26-27/0516 ,Deduction For Oil Deduction= 22522.175 ,Bardana= 0 ,F.M= 0 Brokerage/Rate Difference 0 ,Shortage = 0 ,Greenish= 0 ,Moisture= 0</v>
      </c>
      <c r="BN1503" s="193"/>
      <c r="BO1503" s="449" t="str">
        <f t="shared" si="1040"/>
        <v xml:space="preserve"> Party Condition 42  ,F.M% 0.22 ,Greenish 4.25 ,Moisture 5.5 ,Shortage in KG= 0  ,Oil% 40.69</v>
      </c>
      <c r="BP1503" s="318">
        <f t="shared" si="1041"/>
        <v>7807.6208147321431</v>
      </c>
      <c r="BQ1503" s="193"/>
      <c r="BR1503" s="193"/>
      <c r="BS1503" s="193"/>
      <c r="BT1503" s="193"/>
      <c r="BU1503" s="193"/>
      <c r="BV1503" s="193"/>
      <c r="BW1503" s="373"/>
      <c r="BX1503" s="27">
        <v>40.76</v>
      </c>
      <c r="BY1503" s="27">
        <v>40.630000000000003</v>
      </c>
    </row>
    <row r="1504" spans="1:87" ht="14.1" hidden="1" customHeight="1" x14ac:dyDescent="0.3">
      <c r="A1504" s="128" t="s">
        <v>2827</v>
      </c>
      <c r="B1504" s="146">
        <v>46216</v>
      </c>
      <c r="C1504" s="281">
        <v>1469</v>
      </c>
      <c r="D1504" s="128" t="s">
        <v>3206</v>
      </c>
      <c r="E1504" s="129">
        <v>46230</v>
      </c>
      <c r="F1504" s="128" t="s">
        <v>2497</v>
      </c>
      <c r="G1504" s="128" t="s">
        <v>2498</v>
      </c>
      <c r="H1504" s="128" t="s">
        <v>100</v>
      </c>
      <c r="I1504" s="138"/>
      <c r="J1504" s="138" t="s">
        <v>1146</v>
      </c>
      <c r="K1504" s="136"/>
      <c r="L1504" s="146">
        <v>46216</v>
      </c>
      <c r="M1504" s="136"/>
      <c r="N1504" s="281" t="s">
        <v>3236</v>
      </c>
      <c r="O1504" s="146">
        <v>46230</v>
      </c>
      <c r="P1504" s="138">
        <v>0</v>
      </c>
      <c r="Q1504" s="138">
        <v>100</v>
      </c>
      <c r="R1504" s="138">
        <v>50</v>
      </c>
      <c r="S1504" s="138">
        <v>150</v>
      </c>
      <c r="T1504" s="138">
        <v>150</v>
      </c>
      <c r="U1504" s="136"/>
      <c r="V1504" s="136"/>
      <c r="W1504" s="147">
        <v>90.6</v>
      </c>
      <c r="X1504" s="147">
        <v>90.5</v>
      </c>
      <c r="Y1504" s="147">
        <v>729330</v>
      </c>
      <c r="Z1504" s="236">
        <v>40.36</v>
      </c>
      <c r="AA1504" s="147">
        <v>18233.25</v>
      </c>
      <c r="AB1504" s="147">
        <v>18233.25</v>
      </c>
      <c r="AC1504" s="147">
        <v>765796.5</v>
      </c>
      <c r="AD1504" s="315">
        <f t="shared" si="1001"/>
        <v>765030.70349999995</v>
      </c>
      <c r="AE1504" s="236">
        <v>40.36</v>
      </c>
      <c r="AF1504" s="147">
        <v>42</v>
      </c>
      <c r="AG1504" s="236">
        <v>40.36</v>
      </c>
      <c r="AH1504" s="287">
        <v>2E-3</v>
      </c>
      <c r="AI1504" s="287">
        <v>4.2000000000000003E-2</v>
      </c>
      <c r="AJ1504" s="287">
        <v>5.0999999999999997E-2</v>
      </c>
      <c r="AK1504" s="318">
        <f t="shared" si="1042"/>
        <v>28478.600000000009</v>
      </c>
      <c r="AL1504" s="193">
        <v>0</v>
      </c>
      <c r="AM1504" s="319">
        <v>0</v>
      </c>
      <c r="AN1504" s="319">
        <v>0</v>
      </c>
      <c r="AO1504" s="320">
        <f t="shared" si="1043"/>
        <v>0</v>
      </c>
      <c r="AP1504" s="193">
        <v>0</v>
      </c>
      <c r="AQ1504" s="318">
        <v>0</v>
      </c>
      <c r="AR1504" s="318">
        <f t="shared" si="1044"/>
        <v>28478.600000000009</v>
      </c>
      <c r="AS1504" s="325">
        <f t="shared" si="1045"/>
        <v>29903</v>
      </c>
      <c r="AT1504" s="321">
        <v>0</v>
      </c>
      <c r="AU1504" s="193"/>
      <c r="AV1504" s="193"/>
      <c r="AW1504" s="318">
        <f t="shared" si="1029"/>
        <v>9060</v>
      </c>
      <c r="AX1504" s="193"/>
      <c r="AY1504" s="318">
        <f t="shared" si="1030"/>
        <v>9060</v>
      </c>
      <c r="AZ1504" s="318">
        <f t="shared" si="1031"/>
        <v>9050</v>
      </c>
      <c r="BA1504" s="318">
        <f t="shared" si="1032"/>
        <v>10</v>
      </c>
      <c r="BB1504" s="318">
        <f t="shared" si="1033"/>
        <v>18.12</v>
      </c>
      <c r="BC1504" s="318">
        <v>0</v>
      </c>
      <c r="BD1504" s="373"/>
      <c r="BE1504" s="147">
        <v>90.6</v>
      </c>
      <c r="BF1504" s="375">
        <f t="shared" si="1034"/>
        <v>0.13589999999999999</v>
      </c>
      <c r="BG1504" s="321">
        <f t="shared" si="1035"/>
        <v>90.464099999999988</v>
      </c>
      <c r="BH1504" s="321">
        <f t="shared" si="1036"/>
        <v>90.5</v>
      </c>
      <c r="BI1504" s="322">
        <f t="shared" si="1037"/>
        <v>9.9999999999994316</v>
      </c>
      <c r="BJ1504" s="322">
        <v>0</v>
      </c>
      <c r="BK1504" s="318">
        <f t="shared" si="1038"/>
        <v>9.9999999999994316</v>
      </c>
      <c r="BL1504" s="193"/>
      <c r="BM1504" s="449" t="str">
        <f t="shared" si="1039"/>
        <v>Unloading no. 1469 Bill No HA/26-27/0517 ,Deduction For Oil Deduction= 28478.6 ,Bardana= 0 ,F.M= 0 Brokerage/Rate Difference 0 ,Shortage = 0 ,Greenish= 0 ,Moisture= 0</v>
      </c>
      <c r="BN1504" s="193"/>
      <c r="BO1504" s="449" t="str">
        <f t="shared" si="1040"/>
        <v xml:space="preserve"> Party Condition 42  ,F.M% 0.2 ,Greenish 4.2 ,Moisture 5.1 ,Shortage in KG= 0  ,Oil% 40.36</v>
      </c>
      <c r="BP1504" s="318">
        <f t="shared" si="1041"/>
        <v>7744.214364640884</v>
      </c>
      <c r="BQ1504" s="193"/>
      <c r="BR1504" s="193"/>
      <c r="BS1504" s="193"/>
      <c r="BT1504" s="193"/>
      <c r="BU1504" s="193"/>
      <c r="BV1504" s="193"/>
      <c r="BW1504" s="373"/>
      <c r="BX1504" s="27">
        <v>40.28</v>
      </c>
      <c r="BY1504" s="27">
        <v>40.26</v>
      </c>
    </row>
    <row r="1505" spans="1:94" ht="14.1" hidden="1" customHeight="1" x14ac:dyDescent="0.3">
      <c r="A1505" s="128" t="s">
        <v>2827</v>
      </c>
      <c r="B1505" s="146">
        <v>46216</v>
      </c>
      <c r="C1505" s="281">
        <v>1470</v>
      </c>
      <c r="D1505" s="128" t="s">
        <v>3207</v>
      </c>
      <c r="E1505" s="129">
        <v>46230</v>
      </c>
      <c r="F1505" s="128" t="s">
        <v>2497</v>
      </c>
      <c r="G1505" s="128" t="s">
        <v>2498</v>
      </c>
      <c r="H1505" s="128" t="s">
        <v>100</v>
      </c>
      <c r="I1505" s="138"/>
      <c r="J1505" s="138" t="s">
        <v>1146</v>
      </c>
      <c r="K1505" s="136"/>
      <c r="L1505" s="146">
        <v>46216</v>
      </c>
      <c r="M1505" s="136"/>
      <c r="N1505" s="281" t="s">
        <v>3237</v>
      </c>
      <c r="O1505" s="146">
        <v>46230</v>
      </c>
      <c r="P1505" s="138">
        <v>0</v>
      </c>
      <c r="Q1505" s="138">
        <v>135</v>
      </c>
      <c r="R1505" s="138">
        <v>15</v>
      </c>
      <c r="S1505" s="138">
        <v>150</v>
      </c>
      <c r="T1505" s="138">
        <v>150</v>
      </c>
      <c r="U1505" s="136"/>
      <c r="V1505" s="136"/>
      <c r="W1505" s="147">
        <v>90.1</v>
      </c>
      <c r="X1505" s="147">
        <v>90</v>
      </c>
      <c r="Y1505" s="147">
        <v>725305</v>
      </c>
      <c r="Z1505" s="236">
        <v>40.03</v>
      </c>
      <c r="AA1505" s="147">
        <v>18132.63</v>
      </c>
      <c r="AB1505" s="147">
        <v>18132.63</v>
      </c>
      <c r="AC1505" s="147">
        <v>761570.25</v>
      </c>
      <c r="AD1505" s="315">
        <f t="shared" si="1001"/>
        <v>760808.67975000001</v>
      </c>
      <c r="AE1505" s="236">
        <v>40.03</v>
      </c>
      <c r="AF1505" s="147">
        <v>42</v>
      </c>
      <c r="AG1505" s="236">
        <v>40.03</v>
      </c>
      <c r="AH1505" s="287">
        <v>2.2000000000000001E-3</v>
      </c>
      <c r="AI1505" s="287">
        <v>0.05</v>
      </c>
      <c r="AJ1505" s="287">
        <v>5.7000000000000002E-2</v>
      </c>
      <c r="AK1505" s="318">
        <f t="shared" si="1042"/>
        <v>34020.258333333317</v>
      </c>
      <c r="AL1505" s="193">
        <v>0</v>
      </c>
      <c r="AM1505" s="319">
        <v>0</v>
      </c>
      <c r="AN1505" s="319">
        <v>0</v>
      </c>
      <c r="AO1505" s="320">
        <f t="shared" si="1043"/>
        <v>0</v>
      </c>
      <c r="AP1505" s="193">
        <v>0</v>
      </c>
      <c r="AQ1505" s="318">
        <v>0</v>
      </c>
      <c r="AR1505" s="318">
        <f t="shared" si="1044"/>
        <v>34020.258333333317</v>
      </c>
      <c r="AS1505" s="325">
        <f t="shared" si="1045"/>
        <v>35721</v>
      </c>
      <c r="AT1505" s="321">
        <v>0</v>
      </c>
      <c r="AU1505" s="193"/>
      <c r="AV1505" s="193"/>
      <c r="AW1505" s="318">
        <f t="shared" si="1029"/>
        <v>9010</v>
      </c>
      <c r="AX1505" s="193"/>
      <c r="AY1505" s="318">
        <f t="shared" si="1030"/>
        <v>9010</v>
      </c>
      <c r="AZ1505" s="318">
        <f t="shared" si="1031"/>
        <v>9000</v>
      </c>
      <c r="BA1505" s="318">
        <f t="shared" si="1032"/>
        <v>10</v>
      </c>
      <c r="BB1505" s="318">
        <f t="shared" si="1033"/>
        <v>18.02</v>
      </c>
      <c r="BC1505" s="318">
        <v>0</v>
      </c>
      <c r="BD1505" s="373"/>
      <c r="BE1505" s="147">
        <v>90.1</v>
      </c>
      <c r="BF1505" s="375">
        <f t="shared" si="1034"/>
        <v>0.13514999999999999</v>
      </c>
      <c r="BG1505" s="321">
        <f t="shared" si="1035"/>
        <v>89.964849999999998</v>
      </c>
      <c r="BH1505" s="321">
        <f t="shared" si="1036"/>
        <v>90</v>
      </c>
      <c r="BI1505" s="322">
        <f t="shared" si="1037"/>
        <v>9.9999999999994316</v>
      </c>
      <c r="BJ1505" s="322">
        <v>0</v>
      </c>
      <c r="BK1505" s="318">
        <f t="shared" si="1038"/>
        <v>9.9999999999994316</v>
      </c>
      <c r="BL1505" s="193"/>
      <c r="BM1505" s="449" t="str">
        <f t="shared" si="1039"/>
        <v>Unloading no. 1470 Bill No HA/26-27/0518 ,Deduction For Oil Deduction= 34020.2583333333 ,Bardana= 0 ,F.M= 0 Brokerage/Rate Difference 0 ,Shortage = 0 ,Greenish= 0 ,Moisture= 0</v>
      </c>
      <c r="BN1505" s="193"/>
      <c r="BO1505" s="449" t="str">
        <f t="shared" si="1040"/>
        <v xml:space="preserve"> Party Condition 42  ,F.M% 0.22 ,Greenish 5 ,Moisture 5.7 ,Shortage in KG= 0  ,Oil% 40.03</v>
      </c>
      <c r="BP1505" s="318">
        <f t="shared" si="1041"/>
        <v>7680.9415740740742</v>
      </c>
      <c r="BQ1505" s="193"/>
      <c r="BR1505" s="193"/>
      <c r="BS1505" s="193"/>
      <c r="BT1505" s="193"/>
      <c r="BU1505" s="193"/>
      <c r="BV1505" s="193"/>
      <c r="BW1505" s="373"/>
      <c r="BX1505" s="27">
        <v>39.700000000000003</v>
      </c>
      <c r="BY1505" s="27">
        <v>39.9</v>
      </c>
    </row>
    <row r="1506" spans="1:94" ht="14.1" hidden="1" customHeight="1" x14ac:dyDescent="0.3">
      <c r="A1506" s="128" t="s">
        <v>2827</v>
      </c>
      <c r="B1506" s="146">
        <v>46216</v>
      </c>
      <c r="C1506" s="281">
        <v>1471</v>
      </c>
      <c r="D1506" s="128" t="s">
        <v>3208</v>
      </c>
      <c r="E1506" s="129">
        <v>46230</v>
      </c>
      <c r="F1506" s="128" t="s">
        <v>2497</v>
      </c>
      <c r="G1506" s="128" t="s">
        <v>2498</v>
      </c>
      <c r="H1506" s="128" t="s">
        <v>100</v>
      </c>
      <c r="I1506" s="138"/>
      <c r="J1506" s="138" t="s">
        <v>1146</v>
      </c>
      <c r="K1506" s="136"/>
      <c r="L1506" s="146">
        <v>46216</v>
      </c>
      <c r="M1506" s="136"/>
      <c r="N1506" s="281" t="s">
        <v>3238</v>
      </c>
      <c r="O1506" s="146">
        <v>46230</v>
      </c>
      <c r="P1506" s="138">
        <v>0</v>
      </c>
      <c r="Q1506" s="138">
        <v>105</v>
      </c>
      <c r="R1506" s="138">
        <v>45</v>
      </c>
      <c r="S1506" s="138">
        <v>150</v>
      </c>
      <c r="T1506" s="138">
        <v>150</v>
      </c>
      <c r="U1506" s="136"/>
      <c r="V1506" s="136"/>
      <c r="W1506" s="147">
        <v>93</v>
      </c>
      <c r="X1506" s="147">
        <v>92.9</v>
      </c>
      <c r="Y1506" s="147">
        <v>748650</v>
      </c>
      <c r="Z1506" s="236">
        <v>40.25</v>
      </c>
      <c r="AA1506" s="147">
        <v>18716.25</v>
      </c>
      <c r="AB1506" s="147">
        <v>18716.25</v>
      </c>
      <c r="AC1506" s="147">
        <v>786082.5</v>
      </c>
      <c r="AD1506" s="315">
        <f t="shared" si="1001"/>
        <v>785296.41749999998</v>
      </c>
      <c r="AE1506" s="236">
        <v>40.25</v>
      </c>
      <c r="AF1506" s="147">
        <v>42</v>
      </c>
      <c r="AG1506" s="236">
        <v>40.25</v>
      </c>
      <c r="AH1506" s="287">
        <v>3.2000000000000002E-3</v>
      </c>
      <c r="AI1506" s="287">
        <v>4.5999999999999999E-2</v>
      </c>
      <c r="AJ1506" s="287">
        <v>0.06</v>
      </c>
      <c r="AK1506" s="318">
        <f t="shared" si="1042"/>
        <v>31193.75</v>
      </c>
      <c r="AL1506" s="193">
        <v>0</v>
      </c>
      <c r="AM1506" s="319">
        <v>0</v>
      </c>
      <c r="AN1506" s="319">
        <v>0</v>
      </c>
      <c r="AO1506" s="320">
        <f t="shared" si="1043"/>
        <v>0</v>
      </c>
      <c r="AP1506" s="193">
        <v>0</v>
      </c>
      <c r="AQ1506" s="318">
        <v>0</v>
      </c>
      <c r="AR1506" s="318">
        <f t="shared" si="1044"/>
        <v>31193.75</v>
      </c>
      <c r="AS1506" s="325">
        <f t="shared" si="1045"/>
        <v>32753</v>
      </c>
      <c r="AT1506" s="321">
        <v>0</v>
      </c>
      <c r="AU1506" s="193"/>
      <c r="AV1506" s="193"/>
      <c r="AW1506" s="318">
        <f t="shared" si="1029"/>
        <v>9300</v>
      </c>
      <c r="AX1506" s="193"/>
      <c r="AY1506" s="318">
        <f t="shared" si="1030"/>
        <v>9300</v>
      </c>
      <c r="AZ1506" s="318">
        <f t="shared" si="1031"/>
        <v>9290</v>
      </c>
      <c r="BA1506" s="318">
        <f t="shared" si="1032"/>
        <v>10</v>
      </c>
      <c r="BB1506" s="318">
        <f t="shared" si="1033"/>
        <v>18.600000000000001</v>
      </c>
      <c r="BC1506" s="318">
        <v>0</v>
      </c>
      <c r="BD1506" s="373"/>
      <c r="BE1506" s="147">
        <v>93</v>
      </c>
      <c r="BF1506" s="375">
        <f t="shared" si="1034"/>
        <v>0.13949999999999999</v>
      </c>
      <c r="BG1506" s="321">
        <f t="shared" si="1035"/>
        <v>92.860500000000002</v>
      </c>
      <c r="BH1506" s="321">
        <f t="shared" si="1036"/>
        <v>92.9</v>
      </c>
      <c r="BI1506" s="322">
        <f t="shared" si="1037"/>
        <v>9.9999999999994316</v>
      </c>
      <c r="BJ1506" s="322">
        <v>0</v>
      </c>
      <c r="BK1506" s="318">
        <f t="shared" si="1038"/>
        <v>9.9999999999994316</v>
      </c>
      <c r="BL1506" s="193"/>
      <c r="BM1506" s="449" t="str">
        <f t="shared" si="1039"/>
        <v>Unloading no. 1471 Bill No HA/26-27/0519 ,Deduction For Oil Deduction= 31193.75 ,Bardana= 0 ,F.M= 0 Brokerage/Rate Difference 0 ,Shortage = 0 ,Greenish= 0 ,Moisture= 0</v>
      </c>
      <c r="BN1506" s="193"/>
      <c r="BO1506" s="449" t="str">
        <f t="shared" si="1040"/>
        <v xml:space="preserve"> Party Condition 42  ,F.M% 0.32 ,Greenish 4.6 ,Moisture 6 ,Shortage in KG= 0  ,Oil% 40.25</v>
      </c>
      <c r="BP1506" s="318">
        <f t="shared" si="1041"/>
        <v>7722.8875134553282</v>
      </c>
      <c r="BQ1506" s="193"/>
      <c r="BR1506" s="193"/>
      <c r="BS1506" s="193"/>
      <c r="BT1506" s="193"/>
      <c r="BU1506" s="193"/>
      <c r="BV1506" s="193"/>
      <c r="BW1506" s="373"/>
      <c r="BX1506" s="27">
        <v>40.020000000000003</v>
      </c>
      <c r="BY1506" s="27">
        <v>39.83</v>
      </c>
    </row>
    <row r="1507" spans="1:94" ht="14.1" hidden="1" customHeight="1" x14ac:dyDescent="0.3">
      <c r="A1507" s="128" t="s">
        <v>2827</v>
      </c>
      <c r="B1507" s="146">
        <v>46216</v>
      </c>
      <c r="C1507" s="281">
        <v>1472</v>
      </c>
      <c r="D1507" s="128" t="s">
        <v>3209</v>
      </c>
      <c r="E1507" s="129">
        <v>46230</v>
      </c>
      <c r="F1507" s="128" t="s">
        <v>2497</v>
      </c>
      <c r="G1507" s="128" t="s">
        <v>2498</v>
      </c>
      <c r="H1507" s="128" t="s">
        <v>100</v>
      </c>
      <c r="I1507" s="138"/>
      <c r="J1507" s="138" t="s">
        <v>1146</v>
      </c>
      <c r="K1507" s="136"/>
      <c r="L1507" s="146">
        <v>46216</v>
      </c>
      <c r="M1507" s="136"/>
      <c r="N1507" s="281" t="s">
        <v>3239</v>
      </c>
      <c r="O1507" s="146">
        <v>46230</v>
      </c>
      <c r="P1507" s="138">
        <v>0</v>
      </c>
      <c r="Q1507" s="138">
        <v>140</v>
      </c>
      <c r="R1507" s="138">
        <v>11</v>
      </c>
      <c r="S1507" s="138">
        <v>151</v>
      </c>
      <c r="T1507" s="138">
        <v>151</v>
      </c>
      <c r="U1507" s="136"/>
      <c r="V1507" s="136"/>
      <c r="W1507" s="147">
        <v>91</v>
      </c>
      <c r="X1507" s="147">
        <v>90.9</v>
      </c>
      <c r="Y1507" s="147">
        <v>732550</v>
      </c>
      <c r="Z1507" s="236">
        <v>40.21</v>
      </c>
      <c r="AA1507" s="147">
        <v>18313.75</v>
      </c>
      <c r="AB1507" s="147">
        <v>18313.75</v>
      </c>
      <c r="AC1507" s="147">
        <v>769177.5</v>
      </c>
      <c r="AD1507" s="315">
        <f t="shared" si="1001"/>
        <v>768408.32250000001</v>
      </c>
      <c r="AE1507" s="236">
        <v>40.21</v>
      </c>
      <c r="AF1507" s="147">
        <v>42</v>
      </c>
      <c r="AG1507" s="236">
        <v>40.21</v>
      </c>
      <c r="AH1507" s="287">
        <v>2.7000000000000001E-3</v>
      </c>
      <c r="AI1507" s="287">
        <v>5.0999999999999997E-2</v>
      </c>
      <c r="AJ1507" s="287">
        <v>5.1999999999999998E-2</v>
      </c>
      <c r="AK1507" s="318">
        <f t="shared" si="1042"/>
        <v>31220.583333333318</v>
      </c>
      <c r="AL1507" s="193">
        <v>0</v>
      </c>
      <c r="AM1507" s="319">
        <v>0</v>
      </c>
      <c r="AN1507" s="319">
        <v>0</v>
      </c>
      <c r="AO1507" s="320">
        <f t="shared" si="1043"/>
        <v>0</v>
      </c>
      <c r="AP1507" s="193">
        <v>0</v>
      </c>
      <c r="AQ1507" s="318">
        <v>0</v>
      </c>
      <c r="AR1507" s="318">
        <f t="shared" si="1044"/>
        <v>31220.583333333318</v>
      </c>
      <c r="AS1507" s="325">
        <f t="shared" si="1045"/>
        <v>32782</v>
      </c>
      <c r="AT1507" s="321">
        <v>0</v>
      </c>
      <c r="AU1507" s="193"/>
      <c r="AV1507" s="193"/>
      <c r="AW1507" s="318">
        <f t="shared" si="1029"/>
        <v>9100</v>
      </c>
      <c r="AX1507" s="193"/>
      <c r="AY1507" s="318">
        <f t="shared" si="1030"/>
        <v>9100</v>
      </c>
      <c r="AZ1507" s="318">
        <f t="shared" si="1031"/>
        <v>9090</v>
      </c>
      <c r="BA1507" s="318">
        <f t="shared" si="1032"/>
        <v>10</v>
      </c>
      <c r="BB1507" s="318">
        <f t="shared" si="1033"/>
        <v>18.2</v>
      </c>
      <c r="BC1507" s="318">
        <v>0</v>
      </c>
      <c r="BD1507" s="373"/>
      <c r="BE1507" s="147">
        <v>91</v>
      </c>
      <c r="BF1507" s="375">
        <f t="shared" si="1034"/>
        <v>0.13650000000000001</v>
      </c>
      <c r="BG1507" s="321">
        <f t="shared" si="1035"/>
        <v>90.863500000000002</v>
      </c>
      <c r="BH1507" s="321">
        <f t="shared" si="1036"/>
        <v>90.9</v>
      </c>
      <c r="BI1507" s="322">
        <f t="shared" si="1037"/>
        <v>9.9999999999994316</v>
      </c>
      <c r="BJ1507" s="322">
        <v>0</v>
      </c>
      <c r="BK1507" s="318">
        <f t="shared" si="1038"/>
        <v>9.9999999999994316</v>
      </c>
      <c r="BL1507" s="193"/>
      <c r="BM1507" s="449" t="str">
        <f t="shared" si="1039"/>
        <v>Unloading no. 1472 Bill No HA/26-27/0520 ,Deduction For Oil Deduction= 31220.5833333333 ,Bardana= 0 ,F.M= 0 Brokerage/Rate Difference 0 ,Shortage = 0 ,Greenish= 0 ,Moisture= 0</v>
      </c>
      <c r="BN1507" s="193"/>
      <c r="BO1507" s="449" t="str">
        <f t="shared" si="1040"/>
        <v xml:space="preserve"> Party Condition 42  ,F.M% 0.27 ,Greenish 5.1 ,Moisture 5.2 ,Shortage in KG= 0  ,Oil% 40.21</v>
      </c>
      <c r="BP1507" s="318">
        <f t="shared" si="1041"/>
        <v>7715.3951228456172</v>
      </c>
      <c r="BQ1507" s="193"/>
      <c r="BR1507" s="193"/>
      <c r="BS1507" s="193"/>
      <c r="BT1507" s="193"/>
      <c r="BU1507" s="193"/>
      <c r="BV1507" s="193"/>
      <c r="BW1507" s="373"/>
      <c r="BX1507" s="27">
        <v>40.11</v>
      </c>
      <c r="BY1507" s="27">
        <v>40.08</v>
      </c>
    </row>
    <row r="1508" spans="1:94" ht="14.1" hidden="1" customHeight="1" x14ac:dyDescent="0.3">
      <c r="A1508" s="128" t="s">
        <v>3183</v>
      </c>
      <c r="B1508" s="146">
        <v>46216</v>
      </c>
      <c r="C1508" s="281">
        <v>1473</v>
      </c>
      <c r="D1508" s="128" t="s">
        <v>3210</v>
      </c>
      <c r="E1508" s="129">
        <v>46230</v>
      </c>
      <c r="F1508" s="128" t="s">
        <v>2497</v>
      </c>
      <c r="G1508" s="128" t="s">
        <v>2498</v>
      </c>
      <c r="H1508" s="128" t="s">
        <v>100</v>
      </c>
      <c r="I1508" s="138"/>
      <c r="J1508" s="138" t="s">
        <v>1146</v>
      </c>
      <c r="K1508" s="136"/>
      <c r="L1508" s="146">
        <v>46216</v>
      </c>
      <c r="M1508" s="136"/>
      <c r="N1508" s="281" t="s">
        <v>3240</v>
      </c>
      <c r="O1508" s="146">
        <v>46230</v>
      </c>
      <c r="P1508" s="138">
        <v>0</v>
      </c>
      <c r="Q1508" s="138">
        <v>140</v>
      </c>
      <c r="R1508" s="138">
        <v>10</v>
      </c>
      <c r="S1508" s="138">
        <v>150</v>
      </c>
      <c r="T1508" s="138">
        <v>150</v>
      </c>
      <c r="U1508" s="136"/>
      <c r="V1508" s="136"/>
      <c r="W1508" s="147">
        <v>90</v>
      </c>
      <c r="X1508" s="147">
        <v>89.9</v>
      </c>
      <c r="Y1508" s="147">
        <v>724500</v>
      </c>
      <c r="Z1508" s="236">
        <v>40.07</v>
      </c>
      <c r="AA1508" s="147">
        <v>18112.5</v>
      </c>
      <c r="AB1508" s="147">
        <v>18112.5</v>
      </c>
      <c r="AC1508" s="147">
        <v>760725</v>
      </c>
      <c r="AD1508" s="315">
        <f t="shared" si="1001"/>
        <v>759964.27500000002</v>
      </c>
      <c r="AE1508" s="236">
        <v>40.07</v>
      </c>
      <c r="AF1508" s="147">
        <v>42</v>
      </c>
      <c r="AG1508" s="236">
        <v>40.07</v>
      </c>
      <c r="AH1508" s="287">
        <v>2.3E-3</v>
      </c>
      <c r="AI1508" s="287">
        <v>3.6999999999999998E-2</v>
      </c>
      <c r="AJ1508" s="287">
        <v>5.8000000000000003E-2</v>
      </c>
      <c r="AK1508" s="318">
        <f t="shared" si="1042"/>
        <v>33292.499999999993</v>
      </c>
      <c r="AL1508" s="193">
        <v>0</v>
      </c>
      <c r="AM1508" s="319">
        <v>0</v>
      </c>
      <c r="AN1508" s="319">
        <v>0</v>
      </c>
      <c r="AO1508" s="320">
        <f t="shared" si="1043"/>
        <v>0</v>
      </c>
      <c r="AP1508" s="193">
        <v>0</v>
      </c>
      <c r="AQ1508" s="318">
        <v>0</v>
      </c>
      <c r="AR1508" s="318">
        <f t="shared" si="1044"/>
        <v>33292.499999999993</v>
      </c>
      <c r="AS1508" s="325">
        <f t="shared" si="1045"/>
        <v>34957</v>
      </c>
      <c r="AT1508" s="321">
        <v>0</v>
      </c>
      <c r="AU1508" s="193"/>
      <c r="AV1508" s="193"/>
      <c r="AW1508" s="318">
        <f t="shared" si="1029"/>
        <v>9000</v>
      </c>
      <c r="AX1508" s="193"/>
      <c r="AY1508" s="318">
        <f t="shared" si="1030"/>
        <v>9000</v>
      </c>
      <c r="AZ1508" s="318">
        <f t="shared" si="1031"/>
        <v>8990</v>
      </c>
      <c r="BA1508" s="318">
        <f t="shared" si="1032"/>
        <v>10</v>
      </c>
      <c r="BB1508" s="318">
        <f t="shared" si="1033"/>
        <v>18</v>
      </c>
      <c r="BC1508" s="318">
        <v>0</v>
      </c>
      <c r="BD1508" s="373"/>
      <c r="BE1508" s="147">
        <v>90</v>
      </c>
      <c r="BF1508" s="375">
        <f t="shared" si="1034"/>
        <v>0.13500000000000001</v>
      </c>
      <c r="BG1508" s="321">
        <f t="shared" si="1035"/>
        <v>89.864999999999995</v>
      </c>
      <c r="BH1508" s="321">
        <f t="shared" si="1036"/>
        <v>89.9</v>
      </c>
      <c r="BI1508" s="322">
        <f t="shared" si="1037"/>
        <v>9.9999999999994316</v>
      </c>
      <c r="BJ1508" s="322">
        <v>0</v>
      </c>
      <c r="BK1508" s="318">
        <f t="shared" si="1038"/>
        <v>9.9999999999994316</v>
      </c>
      <c r="BL1508" s="193"/>
      <c r="BM1508" s="449" t="str">
        <f t="shared" si="1039"/>
        <v>Unloading no. 1473 Bill No HA/26-27/0521 ,Deduction For Oil Deduction= 33292.5 ,Bardana= 0 ,F.M= 0 Brokerage/Rate Difference 0 ,Shortage = 0 ,Greenish= 0 ,Moisture= 0</v>
      </c>
      <c r="BN1508" s="193"/>
      <c r="BO1508" s="449" t="str">
        <f t="shared" si="1040"/>
        <v xml:space="preserve"> Party Condition 42  ,F.M% 0.23 ,Greenish 3.7 ,Moisture 5.8 ,Shortage in KG= 0  ,Oil% 40.07</v>
      </c>
      <c r="BP1508" s="318">
        <f t="shared" si="1041"/>
        <v>7688.626251390433</v>
      </c>
      <c r="BQ1508" s="193"/>
      <c r="BR1508" s="193"/>
      <c r="BS1508" s="193"/>
      <c r="BT1508" s="193"/>
      <c r="BU1508" s="193"/>
      <c r="BV1508" s="193"/>
      <c r="BW1508" s="373"/>
      <c r="BX1508" s="27">
        <v>39.81</v>
      </c>
      <c r="BY1508" s="27">
        <v>39.81</v>
      </c>
    </row>
    <row r="1509" spans="1:94" ht="14.1" hidden="1" customHeight="1" x14ac:dyDescent="0.3">
      <c r="A1509" s="128" t="s">
        <v>3183</v>
      </c>
      <c r="B1509" s="146">
        <v>46216</v>
      </c>
      <c r="C1509" s="281">
        <v>1474</v>
      </c>
      <c r="D1509" s="128" t="s">
        <v>3211</v>
      </c>
      <c r="E1509" s="129">
        <v>46230</v>
      </c>
      <c r="F1509" s="128" t="s">
        <v>2497</v>
      </c>
      <c r="G1509" s="128" t="s">
        <v>2498</v>
      </c>
      <c r="H1509" s="128" t="s">
        <v>100</v>
      </c>
      <c r="I1509" s="138"/>
      <c r="J1509" s="138" t="s">
        <v>1146</v>
      </c>
      <c r="K1509" s="136"/>
      <c r="L1509" s="146">
        <v>46216</v>
      </c>
      <c r="M1509" s="136"/>
      <c r="N1509" s="281" t="s">
        <v>3241</v>
      </c>
      <c r="O1509" s="146">
        <v>46230</v>
      </c>
      <c r="P1509" s="138">
        <v>0</v>
      </c>
      <c r="Q1509" s="138">
        <v>120</v>
      </c>
      <c r="R1509" s="138">
        <v>30</v>
      </c>
      <c r="S1509" s="138">
        <v>150</v>
      </c>
      <c r="T1509" s="138">
        <v>150</v>
      </c>
      <c r="U1509" s="136"/>
      <c r="V1509" s="136"/>
      <c r="W1509" s="147">
        <v>90.2</v>
      </c>
      <c r="X1509" s="147">
        <v>90.1</v>
      </c>
      <c r="Y1509" s="147">
        <v>726110</v>
      </c>
      <c r="Z1509" s="236">
        <v>39.51</v>
      </c>
      <c r="AA1509" s="147">
        <v>18152.75</v>
      </c>
      <c r="AB1509" s="147">
        <v>18152.75</v>
      </c>
      <c r="AC1509" s="147">
        <v>762415.5</v>
      </c>
      <c r="AD1509" s="315">
        <f t="shared" si="1001"/>
        <v>761653.0845</v>
      </c>
      <c r="AE1509" s="236">
        <v>39.51</v>
      </c>
      <c r="AF1509" s="147">
        <v>42</v>
      </c>
      <c r="AG1509" s="236">
        <v>39.51</v>
      </c>
      <c r="AH1509" s="287">
        <v>3.5000000000000001E-3</v>
      </c>
      <c r="AI1509" s="287">
        <v>0.03</v>
      </c>
      <c r="AJ1509" s="287">
        <v>5.8999999999999997E-2</v>
      </c>
      <c r="AK1509" s="318">
        <f t="shared" si="1042"/>
        <v>43047.950000000033</v>
      </c>
      <c r="AL1509" s="193">
        <v>0</v>
      </c>
      <c r="AM1509" s="319">
        <v>0</v>
      </c>
      <c r="AN1509" s="319">
        <v>0</v>
      </c>
      <c r="AO1509" s="320">
        <f t="shared" si="1043"/>
        <v>0</v>
      </c>
      <c r="AP1509" s="193">
        <v>0</v>
      </c>
      <c r="AQ1509" s="318">
        <v>0</v>
      </c>
      <c r="AR1509" s="318">
        <f t="shared" si="1044"/>
        <v>43047.950000000033</v>
      </c>
      <c r="AS1509" s="325">
        <f t="shared" si="1045"/>
        <v>45200</v>
      </c>
      <c r="AT1509" s="321">
        <v>0</v>
      </c>
      <c r="AU1509" s="193"/>
      <c r="AV1509" s="193"/>
      <c r="AW1509" s="318">
        <f t="shared" si="1029"/>
        <v>9020</v>
      </c>
      <c r="AX1509" s="193"/>
      <c r="AY1509" s="318">
        <f t="shared" si="1030"/>
        <v>9020</v>
      </c>
      <c r="AZ1509" s="318">
        <f t="shared" si="1031"/>
        <v>9010</v>
      </c>
      <c r="BA1509" s="318">
        <f t="shared" si="1032"/>
        <v>10</v>
      </c>
      <c r="BB1509" s="318">
        <f t="shared" si="1033"/>
        <v>18.04</v>
      </c>
      <c r="BC1509" s="318">
        <v>0</v>
      </c>
      <c r="BD1509" s="373"/>
      <c r="BE1509" s="147">
        <v>90.2</v>
      </c>
      <c r="BF1509" s="375">
        <f t="shared" si="1034"/>
        <v>0.1353</v>
      </c>
      <c r="BG1509" s="321">
        <f t="shared" si="1035"/>
        <v>90.064700000000002</v>
      </c>
      <c r="BH1509" s="321">
        <f t="shared" si="1036"/>
        <v>90.1</v>
      </c>
      <c r="BI1509" s="322">
        <f t="shared" si="1037"/>
        <v>10.000000000000853</v>
      </c>
      <c r="BJ1509" s="322">
        <v>0</v>
      </c>
      <c r="BK1509" s="318">
        <f t="shared" si="1038"/>
        <v>10.000000000000853</v>
      </c>
      <c r="BL1509" s="193"/>
      <c r="BM1509" s="449" t="str">
        <f t="shared" si="1039"/>
        <v>Unloading no. 1474 Bill No HA/26-27/0522 ,Deduction For Oil Deduction= 43047.95 ,Bardana= 0 ,F.M= 0 Brokerage/Rate Difference 0 ,Shortage = 0 ,Greenish= 0 ,Moisture= 0</v>
      </c>
      <c r="BN1509" s="193"/>
      <c r="BO1509" s="449" t="str">
        <f t="shared" si="1040"/>
        <v xml:space="preserve"> Party Condition 42  ,F.M% 0.35 ,Greenish 3 ,Moisture 5.9 ,Shortage in KG= 0  ,Oil% 39.51</v>
      </c>
      <c r="BP1509" s="318">
        <f t="shared" si="1041"/>
        <v>7581.1548279689232</v>
      </c>
      <c r="BQ1509" s="193"/>
      <c r="BR1509" s="193"/>
      <c r="BS1509" s="193"/>
      <c r="BT1509" s="193"/>
      <c r="BU1509" s="193"/>
      <c r="BV1509" s="193"/>
      <c r="BW1509" s="373"/>
      <c r="BX1509" s="27">
        <v>39.380000000000003</v>
      </c>
      <c r="BY1509" s="27">
        <v>39.450000000000003</v>
      </c>
    </row>
    <row r="1510" spans="1:94" ht="14.1" hidden="1" customHeight="1" x14ac:dyDescent="0.3">
      <c r="A1510" s="128" t="s">
        <v>3183</v>
      </c>
      <c r="B1510" s="146">
        <v>46216</v>
      </c>
      <c r="C1510" s="281">
        <v>1475</v>
      </c>
      <c r="D1510" s="128" t="s">
        <v>3212</v>
      </c>
      <c r="E1510" s="129">
        <v>46230</v>
      </c>
      <c r="F1510" s="128" t="s">
        <v>2497</v>
      </c>
      <c r="G1510" s="128" t="s">
        <v>2498</v>
      </c>
      <c r="H1510" s="128" t="s">
        <v>100</v>
      </c>
      <c r="I1510" s="138"/>
      <c r="J1510" s="138" t="s">
        <v>1146</v>
      </c>
      <c r="K1510" s="136"/>
      <c r="L1510" s="146">
        <v>46216</v>
      </c>
      <c r="M1510" s="136"/>
      <c r="N1510" s="281" t="s">
        <v>3242</v>
      </c>
      <c r="O1510" s="146">
        <v>46230</v>
      </c>
      <c r="P1510" s="138">
        <v>0</v>
      </c>
      <c r="Q1510" s="138">
        <v>130</v>
      </c>
      <c r="R1510" s="138">
        <v>20</v>
      </c>
      <c r="S1510" s="138">
        <v>150</v>
      </c>
      <c r="T1510" s="138">
        <v>150</v>
      </c>
      <c r="U1510" s="136"/>
      <c r="V1510" s="136"/>
      <c r="W1510" s="147">
        <v>90.2</v>
      </c>
      <c r="X1510" s="147">
        <v>90.2</v>
      </c>
      <c r="Y1510" s="147">
        <v>726110</v>
      </c>
      <c r="Z1510" s="236">
        <v>40.43</v>
      </c>
      <c r="AA1510" s="147">
        <v>18152.75</v>
      </c>
      <c r="AB1510" s="147">
        <v>18152.75</v>
      </c>
      <c r="AC1510" s="147">
        <v>762415.5</v>
      </c>
      <c r="AD1510" s="315">
        <f t="shared" si="1001"/>
        <v>761653.0845</v>
      </c>
      <c r="AE1510" s="236">
        <v>40.43</v>
      </c>
      <c r="AF1510" s="147">
        <v>42</v>
      </c>
      <c r="AG1510" s="236">
        <v>40.43</v>
      </c>
      <c r="AH1510" s="287">
        <v>3.8999999999999998E-3</v>
      </c>
      <c r="AI1510" s="287">
        <v>5.1999999999999998E-2</v>
      </c>
      <c r="AJ1510" s="287">
        <v>5.7000000000000002E-2</v>
      </c>
      <c r="AK1510" s="318">
        <f t="shared" si="1042"/>
        <v>27142.683333333338</v>
      </c>
      <c r="AL1510" s="193">
        <v>0</v>
      </c>
      <c r="AM1510" s="319">
        <v>0</v>
      </c>
      <c r="AN1510" s="319">
        <v>0</v>
      </c>
      <c r="AO1510" s="320">
        <f t="shared" si="1043"/>
        <v>0</v>
      </c>
      <c r="AP1510" s="193">
        <v>0</v>
      </c>
      <c r="AQ1510" s="318">
        <v>0</v>
      </c>
      <c r="AR1510" s="318">
        <f t="shared" si="1044"/>
        <v>27142.683333333338</v>
      </c>
      <c r="AS1510" s="325">
        <f t="shared" si="1045"/>
        <v>28500</v>
      </c>
      <c r="AT1510" s="321">
        <v>0</v>
      </c>
      <c r="AU1510" s="193"/>
      <c r="AV1510" s="193"/>
      <c r="AW1510" s="318">
        <f t="shared" si="1029"/>
        <v>9020</v>
      </c>
      <c r="AX1510" s="193"/>
      <c r="AY1510" s="318">
        <f t="shared" si="1030"/>
        <v>9020</v>
      </c>
      <c r="AZ1510" s="318">
        <f t="shared" si="1031"/>
        <v>9020</v>
      </c>
      <c r="BA1510" s="318">
        <f t="shared" si="1032"/>
        <v>0</v>
      </c>
      <c r="BB1510" s="318">
        <f t="shared" si="1033"/>
        <v>18.04</v>
      </c>
      <c r="BC1510" s="318">
        <v>0</v>
      </c>
      <c r="BD1510" s="373"/>
      <c r="BE1510" s="147">
        <v>90.2</v>
      </c>
      <c r="BF1510" s="375">
        <f t="shared" si="1034"/>
        <v>0.1353</v>
      </c>
      <c r="BG1510" s="321">
        <f t="shared" si="1035"/>
        <v>90.064700000000002</v>
      </c>
      <c r="BH1510" s="321">
        <f t="shared" si="1036"/>
        <v>90.2</v>
      </c>
      <c r="BI1510" s="322">
        <f t="shared" si="1037"/>
        <v>0</v>
      </c>
      <c r="BJ1510" s="322">
        <v>0</v>
      </c>
      <c r="BK1510" s="318">
        <f t="shared" si="1038"/>
        <v>0</v>
      </c>
      <c r="BL1510" s="193"/>
      <c r="BM1510" s="449" t="str">
        <f t="shared" si="1039"/>
        <v>Unloading no. 1475 Bill No HA/26-27/0523 ,Deduction For Oil Deduction= 27142.6833333333 ,Bardana= 0 ,F.M= 0 Brokerage/Rate Difference 0 ,Shortage = 0 ,Greenish= 0 ,Moisture= 0</v>
      </c>
      <c r="BN1510" s="193"/>
      <c r="BO1510" s="449" t="str">
        <f t="shared" si="1040"/>
        <v xml:space="preserve"> Party Condition 42  ,F.M% 0.39 ,Greenish 5.2 ,Moisture 5.7 ,Shortage in KG= 0  ,Oil% 40.43</v>
      </c>
      <c r="BP1510" s="318">
        <f t="shared" si="1041"/>
        <v>7749.083333333333</v>
      </c>
      <c r="BQ1510" s="193"/>
      <c r="BR1510" s="193"/>
      <c r="BS1510" s="193"/>
      <c r="BT1510" s="193"/>
      <c r="BU1510" s="193"/>
      <c r="BV1510" s="193"/>
      <c r="BW1510" s="373"/>
      <c r="BX1510" s="27">
        <v>40.04</v>
      </c>
      <c r="BY1510" s="27">
        <v>39.94</v>
      </c>
    </row>
    <row r="1511" spans="1:94" ht="14.1" hidden="1" customHeight="1" x14ac:dyDescent="0.3">
      <c r="A1511" s="128" t="s">
        <v>3183</v>
      </c>
      <c r="B1511" s="146">
        <v>46216</v>
      </c>
      <c r="C1511" s="281">
        <v>1476</v>
      </c>
      <c r="D1511" s="128" t="s">
        <v>3213</v>
      </c>
      <c r="E1511" s="129">
        <v>46230</v>
      </c>
      <c r="F1511" s="128" t="s">
        <v>2497</v>
      </c>
      <c r="G1511" s="128" t="s">
        <v>2498</v>
      </c>
      <c r="H1511" s="128" t="s">
        <v>100</v>
      </c>
      <c r="I1511" s="138"/>
      <c r="J1511" s="138" t="s">
        <v>1146</v>
      </c>
      <c r="K1511" s="136"/>
      <c r="L1511" s="146">
        <v>46216</v>
      </c>
      <c r="M1511" s="136"/>
      <c r="N1511" s="281" t="s">
        <v>3243</v>
      </c>
      <c r="O1511" s="146">
        <v>46230</v>
      </c>
      <c r="P1511" s="138">
        <v>0</v>
      </c>
      <c r="Q1511" s="138">
        <v>130</v>
      </c>
      <c r="R1511" s="138">
        <v>20</v>
      </c>
      <c r="S1511" s="138">
        <v>150</v>
      </c>
      <c r="T1511" s="138">
        <v>150</v>
      </c>
      <c r="U1511" s="136"/>
      <c r="V1511" s="136"/>
      <c r="W1511" s="147">
        <v>90.5</v>
      </c>
      <c r="X1511" s="147">
        <v>90.4</v>
      </c>
      <c r="Y1511" s="147">
        <v>728525</v>
      </c>
      <c r="Z1511" s="236">
        <v>41.31</v>
      </c>
      <c r="AA1511" s="147">
        <v>18213.13</v>
      </c>
      <c r="AB1511" s="147">
        <v>18213.13</v>
      </c>
      <c r="AC1511" s="147">
        <v>764951.25</v>
      </c>
      <c r="AD1511" s="315">
        <f t="shared" si="1001"/>
        <v>764186.29874999996</v>
      </c>
      <c r="AE1511" s="236">
        <v>41.31</v>
      </c>
      <c r="AF1511" s="147">
        <v>42</v>
      </c>
      <c r="AG1511" s="236">
        <v>41.31</v>
      </c>
      <c r="AH1511" s="287">
        <v>2.3999999999999998E-3</v>
      </c>
      <c r="AI1511" s="287">
        <v>0.05</v>
      </c>
      <c r="AJ1511" s="287">
        <v>5.7000000000000002E-2</v>
      </c>
      <c r="AK1511" s="318">
        <f t="shared" si="1042"/>
        <v>11968.624999999962</v>
      </c>
      <c r="AL1511" s="193">
        <v>0</v>
      </c>
      <c r="AM1511" s="319">
        <v>0</v>
      </c>
      <c r="AN1511" s="319">
        <v>0</v>
      </c>
      <c r="AO1511" s="320">
        <f t="shared" si="1043"/>
        <v>0</v>
      </c>
      <c r="AP1511" s="193">
        <v>0</v>
      </c>
      <c r="AQ1511" s="318">
        <v>0</v>
      </c>
      <c r="AR1511" s="318">
        <f t="shared" si="1044"/>
        <v>11968.624999999962</v>
      </c>
      <c r="AS1511" s="325">
        <f t="shared" si="1045"/>
        <v>12567</v>
      </c>
      <c r="AT1511" s="321">
        <v>0</v>
      </c>
      <c r="AU1511" s="193"/>
      <c r="AV1511" s="193"/>
      <c r="AW1511" s="318">
        <f t="shared" si="1029"/>
        <v>9050</v>
      </c>
      <c r="AX1511" s="193"/>
      <c r="AY1511" s="318">
        <f t="shared" si="1030"/>
        <v>9050</v>
      </c>
      <c r="AZ1511" s="318">
        <f t="shared" si="1031"/>
        <v>9040</v>
      </c>
      <c r="BA1511" s="318">
        <f t="shared" si="1032"/>
        <v>10</v>
      </c>
      <c r="BB1511" s="318">
        <f t="shared" si="1033"/>
        <v>18.100000000000001</v>
      </c>
      <c r="BC1511" s="318">
        <v>0</v>
      </c>
      <c r="BD1511" s="373"/>
      <c r="BE1511" s="147">
        <v>90.5</v>
      </c>
      <c r="BF1511" s="375">
        <f t="shared" si="1034"/>
        <v>0.13574999999999998</v>
      </c>
      <c r="BG1511" s="321">
        <f t="shared" si="1035"/>
        <v>90.364249999999998</v>
      </c>
      <c r="BH1511" s="321">
        <f t="shared" si="1036"/>
        <v>90.4</v>
      </c>
      <c r="BI1511" s="322">
        <f t="shared" si="1037"/>
        <v>9.9999999999994316</v>
      </c>
      <c r="BJ1511" s="322">
        <v>0</v>
      </c>
      <c r="BK1511" s="318">
        <f t="shared" si="1038"/>
        <v>9.9999999999994316</v>
      </c>
      <c r="BL1511" s="193"/>
      <c r="BM1511" s="449" t="str">
        <f t="shared" si="1039"/>
        <v>Unloading no. 1476 Bill No HA/26-27/0524 ,Deduction For Oil Deduction= 11968.625 ,Bardana= 0 ,F.M= 0 Brokerage/Rate Difference 0 ,Shortage = 0 ,Greenish= 0 ,Moisture= 0</v>
      </c>
      <c r="BN1511" s="193"/>
      <c r="BO1511" s="449" t="str">
        <f t="shared" si="1040"/>
        <v xml:space="preserve"> Party Condition 42  ,F.M% 0.24 ,Greenish 5 ,Moisture 5.7 ,Shortage in KG= 0  ,Oil% 41.31</v>
      </c>
      <c r="BP1511" s="318">
        <f t="shared" si="1041"/>
        <v>7926.5085730088495</v>
      </c>
      <c r="BQ1511" s="193"/>
      <c r="BR1511" s="193"/>
      <c r="BS1511" s="193"/>
      <c r="BT1511" s="193"/>
      <c r="BU1511" s="193"/>
      <c r="BV1511" s="193"/>
      <c r="BW1511" s="373"/>
      <c r="BX1511" s="27">
        <v>40.86</v>
      </c>
      <c r="BY1511" s="27">
        <v>41.16</v>
      </c>
    </row>
    <row r="1512" spans="1:94" ht="14.1" hidden="1" customHeight="1" x14ac:dyDescent="0.3">
      <c r="A1512" s="174" t="s">
        <v>3183</v>
      </c>
      <c r="B1512" s="376">
        <v>46216</v>
      </c>
      <c r="C1512" s="284">
        <v>1477</v>
      </c>
      <c r="D1512" s="174" t="s">
        <v>3214</v>
      </c>
      <c r="E1512" s="231">
        <v>46230</v>
      </c>
      <c r="F1512" s="174" t="s">
        <v>2497</v>
      </c>
      <c r="G1512" s="174" t="s">
        <v>2498</v>
      </c>
      <c r="H1512" s="174" t="s">
        <v>100</v>
      </c>
      <c r="I1512" s="275"/>
      <c r="J1512" s="275" t="s">
        <v>1146</v>
      </c>
      <c r="K1512" s="176"/>
      <c r="L1512" s="376">
        <v>46216</v>
      </c>
      <c r="M1512" s="176"/>
      <c r="N1512" s="284" t="s">
        <v>3244</v>
      </c>
      <c r="O1512" s="376">
        <v>46230</v>
      </c>
      <c r="P1512" s="275">
        <v>0</v>
      </c>
      <c r="Q1512" s="275">
        <v>140</v>
      </c>
      <c r="R1512" s="275">
        <v>10</v>
      </c>
      <c r="S1512" s="275">
        <v>150</v>
      </c>
      <c r="T1512" s="275">
        <v>150</v>
      </c>
      <c r="U1512" s="176"/>
      <c r="V1512" s="176"/>
      <c r="W1512" s="178">
        <v>91.3</v>
      </c>
      <c r="X1512" s="178">
        <v>91.3</v>
      </c>
      <c r="Y1512" s="178">
        <v>734965</v>
      </c>
      <c r="Z1512" s="280">
        <v>40.729999999999997</v>
      </c>
      <c r="AA1512" s="178">
        <v>18374.13</v>
      </c>
      <c r="AB1512" s="178">
        <v>18374.13</v>
      </c>
      <c r="AC1512" s="178">
        <v>771713.25</v>
      </c>
      <c r="AD1512" s="339">
        <f t="shared" ref="AD1512:AD1575" si="1050">SUM(AC1512-AC1512*0.1%)</f>
        <v>770941.53674999997</v>
      </c>
      <c r="AE1512" s="280">
        <v>40.729999999999997</v>
      </c>
      <c r="AF1512" s="178">
        <v>42</v>
      </c>
      <c r="AG1512" s="280">
        <v>40.729999999999997</v>
      </c>
      <c r="AH1512" s="308">
        <v>2.2000000000000001E-3</v>
      </c>
      <c r="AI1512" s="308">
        <v>5.2200000000000003E-2</v>
      </c>
      <c r="AJ1512" s="308">
        <v>5.8999999999999997E-2</v>
      </c>
      <c r="AK1512" s="342">
        <f t="shared" si="1042"/>
        <v>22223.941666666724</v>
      </c>
      <c r="AL1512" s="335">
        <v>0</v>
      </c>
      <c r="AM1512" s="343">
        <v>0</v>
      </c>
      <c r="AN1512" s="343">
        <v>0</v>
      </c>
      <c r="AO1512" s="344">
        <f t="shared" si="1043"/>
        <v>0</v>
      </c>
      <c r="AP1512" s="335">
        <v>0</v>
      </c>
      <c r="AQ1512" s="342">
        <v>0</v>
      </c>
      <c r="AR1512" s="342">
        <f t="shared" si="1044"/>
        <v>22223.941666666724</v>
      </c>
      <c r="AS1512" s="342">
        <f t="shared" si="1045"/>
        <v>23335</v>
      </c>
      <c r="AT1512" s="345">
        <v>0</v>
      </c>
      <c r="AU1512" s="335"/>
      <c r="AV1512" s="335"/>
      <c r="AW1512" s="342">
        <f t="shared" si="1029"/>
        <v>9130</v>
      </c>
      <c r="AX1512" s="335"/>
      <c r="AY1512" s="342">
        <f t="shared" si="1030"/>
        <v>9130</v>
      </c>
      <c r="AZ1512" s="342">
        <f t="shared" si="1031"/>
        <v>9130</v>
      </c>
      <c r="BA1512" s="342">
        <f t="shared" si="1032"/>
        <v>0</v>
      </c>
      <c r="BB1512" s="342">
        <f t="shared" si="1033"/>
        <v>18.260000000000002</v>
      </c>
      <c r="BC1512" s="342">
        <v>0</v>
      </c>
      <c r="BD1512" s="380"/>
      <c r="BE1512" s="178">
        <v>91.3</v>
      </c>
      <c r="BF1512" s="382">
        <f t="shared" si="1034"/>
        <v>0.13694999999999999</v>
      </c>
      <c r="BG1512" s="345">
        <f t="shared" si="1035"/>
        <v>91.163049999999998</v>
      </c>
      <c r="BH1512" s="345">
        <f t="shared" si="1036"/>
        <v>91.3</v>
      </c>
      <c r="BI1512" s="346">
        <f t="shared" si="1037"/>
        <v>0</v>
      </c>
      <c r="BJ1512" s="346">
        <v>0</v>
      </c>
      <c r="BK1512" s="342">
        <f t="shared" si="1038"/>
        <v>0</v>
      </c>
      <c r="BL1512" s="335"/>
      <c r="BM1512" s="453" t="str">
        <f t="shared" si="1039"/>
        <v>Unloading no. 1477 Bill No HA/26-27/0525 ,Deduction For Oil Deduction= 22223.9416666667 ,Bardana= 0 ,F.M= 0 Brokerage/Rate Difference 0 ,Shortage = 0 ,Greenish= 0 ,Moisture= 0</v>
      </c>
      <c r="BN1512" s="335"/>
      <c r="BO1512" s="453" t="str">
        <f t="shared" si="1040"/>
        <v xml:space="preserve"> Party Condition 42  ,F.M% 0.22 ,Greenish 5.22 ,Moisture 5.9 ,Shortage in KG= 0  ,Oil% 40.73</v>
      </c>
      <c r="BP1512" s="342">
        <f t="shared" si="1041"/>
        <v>7806.5833333333321</v>
      </c>
      <c r="BQ1512" s="335"/>
      <c r="BR1512" s="335"/>
      <c r="BS1512" s="335"/>
      <c r="BT1512" s="335"/>
      <c r="BU1512" s="335"/>
      <c r="BV1512" s="335"/>
      <c r="BW1512" s="380"/>
      <c r="BX1512" s="30">
        <v>40.54</v>
      </c>
      <c r="BY1512" s="30">
        <v>40.35</v>
      </c>
    </row>
    <row r="1513" spans="1:94" ht="14.1" hidden="1" customHeight="1" x14ac:dyDescent="0.3">
      <c r="A1513" s="281" t="s">
        <v>3245</v>
      </c>
      <c r="B1513" s="146">
        <v>46226</v>
      </c>
      <c r="C1513" s="281">
        <v>1478</v>
      </c>
      <c r="D1513" s="128" t="s">
        <v>3254</v>
      </c>
      <c r="E1513" s="129">
        <v>46231</v>
      </c>
      <c r="F1513" s="128" t="s">
        <v>1575</v>
      </c>
      <c r="G1513" s="128" t="s">
        <v>1576</v>
      </c>
      <c r="H1513" s="128" t="s">
        <v>103</v>
      </c>
      <c r="I1513" s="136"/>
      <c r="J1513" s="138" t="s">
        <v>1146</v>
      </c>
      <c r="K1513" s="136"/>
      <c r="L1513" s="146">
        <v>46226</v>
      </c>
      <c r="M1513" s="136"/>
      <c r="N1513" s="281" t="s">
        <v>3300</v>
      </c>
      <c r="O1513" s="129">
        <v>46230</v>
      </c>
      <c r="P1513" s="138">
        <v>0</v>
      </c>
      <c r="Q1513" s="138">
        <v>380</v>
      </c>
      <c r="R1513" s="138">
        <v>145</v>
      </c>
      <c r="S1513" s="138">
        <v>525</v>
      </c>
      <c r="T1513" s="138">
        <v>525</v>
      </c>
      <c r="U1513" s="136"/>
      <c r="V1513" s="136"/>
      <c r="W1513" s="147">
        <v>313.3</v>
      </c>
      <c r="X1513" s="147">
        <v>312.8</v>
      </c>
      <c r="Y1513" s="147">
        <v>2605089.5</v>
      </c>
      <c r="Z1513" s="372">
        <v>40.21</v>
      </c>
      <c r="AA1513" s="147">
        <v>65127.24</v>
      </c>
      <c r="AB1513" s="147">
        <v>65127.24</v>
      </c>
      <c r="AC1513" s="147">
        <v>2735343.98</v>
      </c>
      <c r="AD1513" s="315">
        <f t="shared" si="1050"/>
        <v>2732608.6360200001</v>
      </c>
      <c r="AE1513" s="372">
        <v>40.21</v>
      </c>
      <c r="AF1513" s="147">
        <v>42</v>
      </c>
      <c r="AG1513" s="372">
        <v>40.21</v>
      </c>
      <c r="AH1513" s="287">
        <v>2E-3</v>
      </c>
      <c r="AI1513" s="287">
        <v>2.9000000000000001E-2</v>
      </c>
      <c r="AJ1513" s="287">
        <v>5.3999999999999999E-2</v>
      </c>
      <c r="AK1513" s="318">
        <f t="shared" ref="AK1513:AK1557" si="1051">+IF(AF1513=42,IF(MIN(AE1513,AG1513)&lt;AF1513,Y1513*((AF1513-MIN(AE1513,AG1513))/AF1513)),IF(MIN(AE1513,AG1513)&lt;AF1513,Y1513*((AF1513-MIN(AE1513,AG1513))/AF1513),0))</f>
        <v>111026.43345238089</v>
      </c>
      <c r="AL1513" s="193">
        <v>0</v>
      </c>
      <c r="AM1513" s="319">
        <v>0</v>
      </c>
      <c r="AN1513" s="319">
        <v>0</v>
      </c>
      <c r="AO1513" s="320">
        <f t="shared" ref="AO1513:AO1557" si="1052">AT1513*Y1513/AW1513</f>
        <v>0</v>
      </c>
      <c r="AP1513" s="193">
        <v>0</v>
      </c>
      <c r="AQ1513" s="318">
        <v>0</v>
      </c>
      <c r="AR1513" s="318">
        <f t="shared" ref="AR1513:AR1557" si="1053">SUM(AK1513:AQ1513)</f>
        <v>111026.43345238089</v>
      </c>
      <c r="AS1513" s="318">
        <f t="shared" ref="AS1513:AS1557" si="1054">ROUND(AR1513*1.05,0)</f>
        <v>116578</v>
      </c>
      <c r="AT1513" s="321">
        <v>0</v>
      </c>
      <c r="AU1513" s="193"/>
      <c r="AV1513" s="193"/>
      <c r="AW1513" s="318">
        <f t="shared" ref="AW1513:AW1557" si="1055">W1513*100</f>
        <v>31330</v>
      </c>
      <c r="AX1513" s="193"/>
      <c r="AY1513" s="318">
        <f t="shared" ref="AY1513:AY1557" si="1056">+AW1513+AX1513</f>
        <v>31330</v>
      </c>
      <c r="AZ1513" s="318">
        <f t="shared" ref="AZ1513:AZ1557" si="1057">X1513*100</f>
        <v>31280</v>
      </c>
      <c r="BA1513" s="318">
        <f t="shared" ref="BA1513:BA1557" si="1058">AY1513-AZ1513</f>
        <v>50</v>
      </c>
      <c r="BB1513" s="318">
        <f t="shared" ref="BB1513:BB1557" si="1059">AW1513*2/1000</f>
        <v>62.66</v>
      </c>
      <c r="BC1513" s="318">
        <v>0</v>
      </c>
      <c r="BD1513" s="193"/>
      <c r="BE1513" s="138">
        <v>313.3</v>
      </c>
      <c r="BF1513" s="321">
        <f t="shared" ref="BF1513:BF1557" si="1060">+BE1513*0.15/100</f>
        <v>0.46994999999999998</v>
      </c>
      <c r="BG1513" s="321">
        <f t="shared" ref="BG1513:BG1557" si="1061">BE1513-BF1513</f>
        <v>312.83005000000003</v>
      </c>
      <c r="BH1513" s="321">
        <f t="shared" ref="BH1513:BH1557" si="1062">X1513</f>
        <v>312.8</v>
      </c>
      <c r="BI1513" s="322">
        <f t="shared" ref="BI1513:BI1557" si="1063">(BE1513-BH1513)*100</f>
        <v>50</v>
      </c>
      <c r="BJ1513" s="322">
        <v>0</v>
      </c>
      <c r="BK1513" s="318">
        <f t="shared" ref="BK1513:BK1557" si="1064">BI1513</f>
        <v>50</v>
      </c>
      <c r="BL1513" s="193"/>
      <c r="BM1513" s="449" t="str">
        <f t="shared" ref="BM1513:BM1557" si="1065">+$C$1&amp;" "&amp;C1513 &amp;" "&amp;$N$1&amp;" "&amp;N1513&amp;" "&amp;$BM$1&amp;" "&amp;$AK$1&amp;" "&amp;AK1513&amp;" "&amp;$AL$1&amp;" "&amp;AL1513&amp;" "&amp;$AM$1&amp;" "&amp;AM1513&amp;" "&amp;$AN$1&amp;" "&amp;AN1513&amp;" "&amp;$AO$1&amp;" "&amp;AO1513&amp;" "&amp;$AP$1&amp;" "&amp;AP1513&amp;" "&amp;$AQ$1&amp;" "&amp;AQ1513</f>
        <v>Unloading no. 1478 Bill No 2026-27/00133 ,Deduction For Oil Deduction= 111026.433452381 ,Bardana= 0 ,F.M= 0 Brokerage/Rate Difference 0 ,Shortage = 0 ,Greenish= 0 ,Moisture= 0</v>
      </c>
      <c r="BN1513" s="193"/>
      <c r="BO1513" s="449" t="str">
        <f t="shared" ref="BO1513:BO1557" si="1066">+" "&amp;$AF$1&amp;" "&amp;AF1513&amp;" "&amp;" "&amp;$AH$1&amp;" "&amp;AH1513*100&amp;" "&amp;$AI$1&amp;" "&amp;AI1513*100&amp;" "&amp;$AJ$1&amp;" "&amp;AJ1513*100&amp;" ,"&amp;$AT$1&amp;" "&amp;AT1513&amp;" "&amp;IF(AE1513&gt;AG1513," ,Oil%"&amp;" "&amp;AG1513," ,Oil%"&amp;" "&amp;AE1513)</f>
        <v xml:space="preserve"> Party Condition 42  ,F.M% 0.2 ,Greenish 2.9 ,Moisture 5.4 ,Shortage in KG= 0  ,Oil% 40.21</v>
      </c>
      <c r="BP1513" s="318">
        <f t="shared" ref="BP1513:BP1557" si="1067">(Y1513-AR1513)/X1513</f>
        <v>7973.3473994489104</v>
      </c>
      <c r="BQ1513" s="193"/>
      <c r="BR1513" s="193"/>
      <c r="BS1513" s="193"/>
      <c r="BT1513" s="193"/>
      <c r="BU1513" s="193"/>
      <c r="BV1513" s="193"/>
      <c r="BW1513" s="373"/>
      <c r="BX1513" s="27">
        <v>40.19</v>
      </c>
      <c r="BY1513" s="27">
        <v>40.29</v>
      </c>
      <c r="CC1513" s="57"/>
      <c r="CE1513" s="88"/>
      <c r="CI1513" s="90"/>
      <c r="CO1513" s="57">
        <f>Z1513-BX1513</f>
        <v>2.0000000000003126E-2</v>
      </c>
      <c r="CP1513" s="57">
        <f>Z1513-BY1513</f>
        <v>-7.9999999999998295E-2</v>
      </c>
    </row>
    <row r="1514" spans="1:94" ht="14.1" hidden="1" customHeight="1" x14ac:dyDescent="0.3">
      <c r="A1514" s="281" t="s">
        <v>3246</v>
      </c>
      <c r="B1514" s="146">
        <v>46228</v>
      </c>
      <c r="C1514" s="281">
        <v>1479</v>
      </c>
      <c r="D1514" s="128" t="s">
        <v>3255</v>
      </c>
      <c r="E1514" s="129">
        <v>46231</v>
      </c>
      <c r="F1514" s="128" t="s">
        <v>1382</v>
      </c>
      <c r="G1514" s="128" t="s">
        <v>1383</v>
      </c>
      <c r="H1514" s="128" t="s">
        <v>1384</v>
      </c>
      <c r="I1514" s="136"/>
      <c r="J1514" s="347" t="s">
        <v>1455</v>
      </c>
      <c r="K1514" s="136"/>
      <c r="L1514" s="146">
        <v>46228</v>
      </c>
      <c r="M1514" s="136"/>
      <c r="N1514" s="281">
        <v>38</v>
      </c>
      <c r="O1514" s="129">
        <v>46230</v>
      </c>
      <c r="P1514" s="138">
        <v>0</v>
      </c>
      <c r="Q1514" s="138">
        <v>280</v>
      </c>
      <c r="R1514" s="138">
        <v>231</v>
      </c>
      <c r="S1514" s="138">
        <v>511</v>
      </c>
      <c r="T1514" s="138">
        <v>511</v>
      </c>
      <c r="U1514" s="136"/>
      <c r="V1514" s="136"/>
      <c r="W1514" s="147">
        <v>307.85000000000002</v>
      </c>
      <c r="X1514" s="147">
        <v>307.7</v>
      </c>
      <c r="Y1514" s="147">
        <v>2570547.5</v>
      </c>
      <c r="Z1514" s="169"/>
      <c r="AA1514" s="147">
        <v>64263.69</v>
      </c>
      <c r="AB1514" s="147">
        <v>64263.69</v>
      </c>
      <c r="AC1514" s="147">
        <v>2699074.88</v>
      </c>
      <c r="AD1514" s="315">
        <f t="shared" si="1050"/>
        <v>2696375.8051199997</v>
      </c>
      <c r="AE1514" s="147">
        <v>39.369999999999997</v>
      </c>
      <c r="AF1514" s="147">
        <v>42</v>
      </c>
      <c r="AG1514" s="212">
        <v>39.409999999999997</v>
      </c>
      <c r="AH1514" s="287">
        <v>5.0000000000000001E-3</v>
      </c>
      <c r="AI1514" s="287">
        <v>3.2800000000000003E-2</v>
      </c>
      <c r="AJ1514" s="397">
        <v>5.8099999999999999E-2</v>
      </c>
      <c r="AK1514" s="318">
        <f t="shared" si="1051"/>
        <v>160965.23630952399</v>
      </c>
      <c r="AL1514" s="193">
        <f>280*10+231*15</f>
        <v>6265</v>
      </c>
      <c r="AM1514" s="319">
        <f>Y1514*AH1514</f>
        <v>12852.737500000001</v>
      </c>
      <c r="AN1514" s="319">
        <v>0</v>
      </c>
      <c r="AO1514" s="320">
        <f t="shared" si="1052"/>
        <v>1252.4999999999998</v>
      </c>
      <c r="AP1514" s="193">
        <v>0</v>
      </c>
      <c r="AQ1514" s="318">
        <f>Y1514*0.81/100</f>
        <v>20821.43475</v>
      </c>
      <c r="AR1514" s="318">
        <f t="shared" si="1053"/>
        <v>202156.90855952399</v>
      </c>
      <c r="AS1514" s="318">
        <f t="shared" si="1054"/>
        <v>212265</v>
      </c>
      <c r="AT1514" s="321">
        <v>15</v>
      </c>
      <c r="AU1514" s="193"/>
      <c r="AV1514" s="193"/>
      <c r="AW1514" s="318">
        <f t="shared" si="1055"/>
        <v>30785.000000000004</v>
      </c>
      <c r="AX1514" s="193"/>
      <c r="AY1514" s="318">
        <f t="shared" si="1056"/>
        <v>30785.000000000004</v>
      </c>
      <c r="AZ1514" s="318">
        <f t="shared" si="1057"/>
        <v>30770</v>
      </c>
      <c r="BA1514" s="318">
        <f t="shared" si="1058"/>
        <v>15.000000000003638</v>
      </c>
      <c r="BB1514" s="318">
        <f t="shared" si="1059"/>
        <v>61.570000000000007</v>
      </c>
      <c r="BC1514" s="318">
        <v>0</v>
      </c>
      <c r="BD1514" s="193"/>
      <c r="BE1514" s="138">
        <v>307.85000000000002</v>
      </c>
      <c r="BF1514" s="321">
        <f t="shared" si="1060"/>
        <v>0.46177500000000005</v>
      </c>
      <c r="BG1514" s="321">
        <f t="shared" si="1061"/>
        <v>307.38822500000003</v>
      </c>
      <c r="BH1514" s="321">
        <f t="shared" si="1062"/>
        <v>307.7</v>
      </c>
      <c r="BI1514" s="322">
        <f t="shared" si="1063"/>
        <v>15.000000000003411</v>
      </c>
      <c r="BJ1514" s="322">
        <v>0</v>
      </c>
      <c r="BK1514" s="318">
        <f t="shared" si="1064"/>
        <v>15.000000000003411</v>
      </c>
      <c r="BL1514" s="193"/>
      <c r="BM1514" s="449" t="str">
        <f t="shared" si="1065"/>
        <v>Unloading no. 1479 Bill No 38 ,Deduction For Oil Deduction= 160965.236309524 ,Bardana= 6265 ,F.M= 12852.7375 Brokerage/Rate Difference 0 ,Shortage = 1252.5 ,Greenish= 0 ,Moisture= 20821.43475</v>
      </c>
      <c r="BN1514" s="193"/>
      <c r="BO1514" s="449" t="str">
        <f t="shared" si="1066"/>
        <v xml:space="preserve"> Party Condition 42  ,F.M% 0.5 ,Greenish 3.28 ,Moisture 5.81 ,Shortage in KG= 15  ,Oil% 39.37</v>
      </c>
      <c r="BP1514" s="318">
        <f t="shared" si="1067"/>
        <v>7697.0769952566661</v>
      </c>
      <c r="BQ1514" s="193"/>
      <c r="BR1514" s="193"/>
      <c r="BS1514" s="193"/>
      <c r="BT1514" s="193"/>
      <c r="BU1514" s="193"/>
      <c r="BV1514" s="193"/>
      <c r="BW1514" s="373"/>
      <c r="BX1514" s="27">
        <v>39.369999999999997</v>
      </c>
      <c r="BY1514" s="27">
        <v>39.409999999999997</v>
      </c>
      <c r="CA1514" s="56">
        <v>209694.23</v>
      </c>
      <c r="CC1514" s="57">
        <f t="shared" ref="CC1514" si="1068">AS1514-CA1514</f>
        <v>2570.7699999999895</v>
      </c>
      <c r="CE1514" s="88">
        <f t="shared" ref="CE1514" si="1069">CC1514/105%</f>
        <v>2448.3523809523708</v>
      </c>
      <c r="CG1514" s="56">
        <v>158517.1</v>
      </c>
      <c r="CI1514" s="90">
        <f>AK1514-CG1514</f>
        <v>2448.1363095239794</v>
      </c>
      <c r="CJ1514" s="56" t="s">
        <v>3343</v>
      </c>
      <c r="CO1514" s="57"/>
      <c r="CP1514" s="57"/>
    </row>
    <row r="1515" spans="1:94" ht="14.1" hidden="1" customHeight="1" x14ac:dyDescent="0.3">
      <c r="A1515" s="281" t="s">
        <v>3247</v>
      </c>
      <c r="B1515" s="146">
        <v>46227</v>
      </c>
      <c r="C1515" s="281">
        <v>1480</v>
      </c>
      <c r="D1515" s="128" t="s">
        <v>3256</v>
      </c>
      <c r="E1515" s="129">
        <v>46231</v>
      </c>
      <c r="F1515" s="163" t="s">
        <v>1144</v>
      </c>
      <c r="G1515" s="128" t="s">
        <v>1145</v>
      </c>
      <c r="H1515" s="128" t="s">
        <v>100</v>
      </c>
      <c r="I1515" s="136"/>
      <c r="J1515" s="138" t="s">
        <v>1146</v>
      </c>
      <c r="K1515" s="136"/>
      <c r="L1515" s="146">
        <v>46227</v>
      </c>
      <c r="M1515" s="136"/>
      <c r="N1515" s="281" t="s">
        <v>3301</v>
      </c>
      <c r="O1515" s="129">
        <v>46230</v>
      </c>
      <c r="P1515" s="138">
        <v>0</v>
      </c>
      <c r="Q1515" s="138">
        <v>480</v>
      </c>
      <c r="R1515" s="138">
        <v>130</v>
      </c>
      <c r="S1515" s="138">
        <v>610</v>
      </c>
      <c r="T1515" s="138">
        <v>610</v>
      </c>
      <c r="U1515" s="136"/>
      <c r="V1515" s="136"/>
      <c r="W1515" s="147">
        <v>307.10000000000002</v>
      </c>
      <c r="X1515" s="147">
        <v>307.5</v>
      </c>
      <c r="Y1515" s="147">
        <v>2556607.5</v>
      </c>
      <c r="Z1515" s="147">
        <v>40.450000000000003</v>
      </c>
      <c r="AA1515" s="147">
        <v>63915.19</v>
      </c>
      <c r="AB1515" s="147">
        <v>63915.19</v>
      </c>
      <c r="AC1515" s="147">
        <v>2684437.88</v>
      </c>
      <c r="AD1515" s="315">
        <f t="shared" si="1050"/>
        <v>2681753.4421199998</v>
      </c>
      <c r="AE1515" s="147">
        <v>40.450000000000003</v>
      </c>
      <c r="AF1515" s="147">
        <v>42</v>
      </c>
      <c r="AG1515" s="212">
        <v>40.450000000000003</v>
      </c>
      <c r="AH1515" s="287">
        <v>6.0000000000000001E-3</v>
      </c>
      <c r="AI1515" s="287">
        <v>3.2000000000000001E-2</v>
      </c>
      <c r="AJ1515" s="287">
        <v>5.8999999999999997E-2</v>
      </c>
      <c r="AK1515" s="318">
        <f t="shared" si="1051"/>
        <v>94350.991071428391</v>
      </c>
      <c r="AL1515" s="193">
        <v>0</v>
      </c>
      <c r="AM1515" s="319">
        <v>0</v>
      </c>
      <c r="AN1515" s="319">
        <v>0</v>
      </c>
      <c r="AO1515" s="320">
        <f t="shared" si="1052"/>
        <v>0</v>
      </c>
      <c r="AP1515" s="193">
        <v>0</v>
      </c>
      <c r="AQ1515" s="318">
        <v>0</v>
      </c>
      <c r="AR1515" s="318">
        <f t="shared" si="1053"/>
        <v>94350.991071428391</v>
      </c>
      <c r="AS1515" s="318">
        <f t="shared" si="1054"/>
        <v>99069</v>
      </c>
      <c r="AT1515" s="321">
        <v>0</v>
      </c>
      <c r="AU1515" s="193"/>
      <c r="AV1515" s="193"/>
      <c r="AW1515" s="318">
        <f t="shared" si="1055"/>
        <v>30710.000000000004</v>
      </c>
      <c r="AX1515" s="193"/>
      <c r="AY1515" s="318">
        <f t="shared" si="1056"/>
        <v>30710.000000000004</v>
      </c>
      <c r="AZ1515" s="318">
        <f t="shared" si="1057"/>
        <v>30750</v>
      </c>
      <c r="BA1515" s="318">
        <f t="shared" si="1058"/>
        <v>-39.999999999996362</v>
      </c>
      <c r="BB1515" s="318">
        <f t="shared" si="1059"/>
        <v>61.420000000000009</v>
      </c>
      <c r="BC1515" s="318">
        <v>0</v>
      </c>
      <c r="BD1515" s="193"/>
      <c r="BE1515" s="138">
        <v>307.10000000000002</v>
      </c>
      <c r="BF1515" s="321">
        <f t="shared" si="1060"/>
        <v>0.46065000000000006</v>
      </c>
      <c r="BG1515" s="321">
        <f t="shared" si="1061"/>
        <v>306.63935000000004</v>
      </c>
      <c r="BH1515" s="321">
        <f t="shared" si="1062"/>
        <v>307.5</v>
      </c>
      <c r="BI1515" s="322">
        <f t="shared" si="1063"/>
        <v>-39.999999999997726</v>
      </c>
      <c r="BJ1515" s="322">
        <v>0</v>
      </c>
      <c r="BK1515" s="318">
        <f t="shared" si="1064"/>
        <v>-39.999999999997726</v>
      </c>
      <c r="BL1515" s="193"/>
      <c r="BM1515" s="449" t="str">
        <f t="shared" si="1065"/>
        <v>Unloading no. 1480 Bill No 2026-27/514 ,Deduction For Oil Deduction= 94350.9910714284 ,Bardana= 0 ,F.M= 0 Brokerage/Rate Difference 0 ,Shortage = 0 ,Greenish= 0 ,Moisture= 0</v>
      </c>
      <c r="BN1515" s="193"/>
      <c r="BO1515" s="449" t="str">
        <f t="shared" si="1066"/>
        <v xml:space="preserve"> Party Condition 42  ,F.M% 0.6 ,Greenish 3.2 ,Moisture 5.9 ,Shortage in KG= 0  ,Oil% 40.45</v>
      </c>
      <c r="BP1515" s="318">
        <f t="shared" si="1067"/>
        <v>8007.3382404181193</v>
      </c>
      <c r="BQ1515" s="193"/>
      <c r="BR1515" s="193"/>
      <c r="BS1515" s="193"/>
      <c r="BT1515" s="193"/>
      <c r="BU1515" s="193"/>
      <c r="BV1515" s="193"/>
      <c r="BW1515" s="373"/>
      <c r="BX1515" s="27">
        <v>40.04</v>
      </c>
      <c r="BY1515" s="27">
        <v>39.97</v>
      </c>
      <c r="CO1515" s="57">
        <f t="shared" ref="CO1515:CO1577" si="1070">Z1515-BX1515</f>
        <v>0.41000000000000369</v>
      </c>
      <c r="CP1515" s="57">
        <f t="shared" ref="CP1515:CP1577" si="1071">Z1515-BY1515</f>
        <v>0.48000000000000398</v>
      </c>
    </row>
    <row r="1516" spans="1:94" ht="14.1" hidden="1" customHeight="1" x14ac:dyDescent="0.3">
      <c r="A1516" s="281" t="s">
        <v>3248</v>
      </c>
      <c r="B1516" s="146">
        <v>46228</v>
      </c>
      <c r="C1516" s="281">
        <v>1481</v>
      </c>
      <c r="D1516" s="128" t="s">
        <v>3257</v>
      </c>
      <c r="E1516" s="129">
        <v>46231</v>
      </c>
      <c r="F1516" s="163" t="s">
        <v>1689</v>
      </c>
      <c r="G1516" s="128" t="s">
        <v>1690</v>
      </c>
      <c r="H1516" s="128" t="s">
        <v>1511</v>
      </c>
      <c r="I1516" s="136"/>
      <c r="J1516" s="347" t="s">
        <v>1455</v>
      </c>
      <c r="K1516" s="136"/>
      <c r="L1516" s="146">
        <v>46228</v>
      </c>
      <c r="M1516" s="136"/>
      <c r="N1516" s="281" t="s">
        <v>3302</v>
      </c>
      <c r="O1516" s="129">
        <v>46230</v>
      </c>
      <c r="P1516" s="138">
        <v>0</v>
      </c>
      <c r="Q1516" s="138">
        <v>350</v>
      </c>
      <c r="R1516" s="138">
        <v>68</v>
      </c>
      <c r="S1516" s="138">
        <v>418</v>
      </c>
      <c r="T1516" s="138">
        <v>418</v>
      </c>
      <c r="U1516" s="136"/>
      <c r="V1516" s="136"/>
      <c r="W1516" s="147">
        <v>255.4</v>
      </c>
      <c r="X1516" s="147">
        <v>255</v>
      </c>
      <c r="Y1516" s="147">
        <v>2132590</v>
      </c>
      <c r="Z1516" s="169"/>
      <c r="AA1516" s="147">
        <v>53314.75</v>
      </c>
      <c r="AB1516" s="147">
        <v>53314.75</v>
      </c>
      <c r="AC1516" s="147">
        <v>2239219.5</v>
      </c>
      <c r="AD1516" s="315">
        <f t="shared" si="1050"/>
        <v>2236980.2804999999</v>
      </c>
      <c r="AE1516" s="147">
        <v>39.67</v>
      </c>
      <c r="AF1516" s="147">
        <v>42</v>
      </c>
      <c r="AG1516" s="212">
        <v>39.619999999999997</v>
      </c>
      <c r="AH1516" s="418">
        <v>7.0000000000000001E-3</v>
      </c>
      <c r="AI1516" s="287">
        <v>0.03</v>
      </c>
      <c r="AJ1516" s="397">
        <v>5.9900000000000002E-2</v>
      </c>
      <c r="AK1516" s="318">
        <f t="shared" si="1051"/>
        <v>120846.76666666679</v>
      </c>
      <c r="AL1516" s="193">
        <f>350*10+68*15</f>
        <v>4520</v>
      </c>
      <c r="AM1516" s="319">
        <f>Y1516*AH1516</f>
        <v>14928.130000000001</v>
      </c>
      <c r="AN1516" s="319">
        <v>0</v>
      </c>
      <c r="AO1516" s="320">
        <f t="shared" si="1052"/>
        <v>3340</v>
      </c>
      <c r="AP1516" s="193">
        <v>0</v>
      </c>
      <c r="AQ1516" s="318">
        <f>Y1516*0.99/100</f>
        <v>21112.641</v>
      </c>
      <c r="AR1516" s="318">
        <f t="shared" si="1053"/>
        <v>164747.53766666679</v>
      </c>
      <c r="AS1516" s="318">
        <f t="shared" si="1054"/>
        <v>172985</v>
      </c>
      <c r="AT1516" s="321">
        <v>40</v>
      </c>
      <c r="AU1516" s="193"/>
      <c r="AV1516" s="193"/>
      <c r="AW1516" s="318">
        <f t="shared" si="1055"/>
        <v>25540</v>
      </c>
      <c r="AX1516" s="193"/>
      <c r="AY1516" s="318">
        <f t="shared" si="1056"/>
        <v>25540</v>
      </c>
      <c r="AZ1516" s="318">
        <f t="shared" si="1057"/>
        <v>25500</v>
      </c>
      <c r="BA1516" s="318">
        <f t="shared" si="1058"/>
        <v>40</v>
      </c>
      <c r="BB1516" s="318">
        <f t="shared" si="1059"/>
        <v>51.08</v>
      </c>
      <c r="BC1516" s="318">
        <v>0</v>
      </c>
      <c r="BD1516" s="193"/>
      <c r="BE1516" s="138">
        <v>255.4</v>
      </c>
      <c r="BF1516" s="321">
        <f t="shared" si="1060"/>
        <v>0.3831</v>
      </c>
      <c r="BG1516" s="321">
        <f t="shared" si="1061"/>
        <v>255.01689999999999</v>
      </c>
      <c r="BH1516" s="321">
        <f t="shared" si="1062"/>
        <v>255</v>
      </c>
      <c r="BI1516" s="322">
        <f t="shared" si="1063"/>
        <v>40.000000000000568</v>
      </c>
      <c r="BJ1516" s="322">
        <v>0</v>
      </c>
      <c r="BK1516" s="318">
        <f t="shared" si="1064"/>
        <v>40.000000000000568</v>
      </c>
      <c r="BL1516" s="193"/>
      <c r="BM1516" s="449" t="str">
        <f t="shared" si="1065"/>
        <v>Unloading no. 1481 Bill No GST51 ,Deduction For Oil Deduction= 120846.766666667 ,Bardana= 4520 ,F.M= 14928.13 Brokerage/Rate Difference 0 ,Shortage = 3340 ,Greenish= 0 ,Moisture= 21112.641</v>
      </c>
      <c r="BN1516" s="193"/>
      <c r="BO1516" s="449" t="str">
        <f t="shared" si="1066"/>
        <v xml:space="preserve"> Party Condition 42  ,F.M% 0.7 ,Greenish 3 ,Moisture 5.99 ,Shortage in KG= 40  ,Oil% 39.62</v>
      </c>
      <c r="BP1516" s="318">
        <f t="shared" si="1067"/>
        <v>7717.0292640522875</v>
      </c>
      <c r="BQ1516" s="193"/>
      <c r="BR1516" s="193"/>
      <c r="BS1516" s="193"/>
      <c r="BT1516" s="193"/>
      <c r="BU1516" s="193"/>
      <c r="BV1516" s="193"/>
      <c r="BW1516" s="373"/>
      <c r="BX1516" s="27">
        <v>39.67</v>
      </c>
      <c r="BY1516" s="27">
        <v>39.619999999999997</v>
      </c>
      <c r="CA1516" s="56">
        <v>172984.92</v>
      </c>
      <c r="CC1516" s="57">
        <f t="shared" ref="CC1516" si="1072">AS1516-CA1516</f>
        <v>7.9999999987194315E-2</v>
      </c>
      <c r="CE1516" s="88">
        <f t="shared" ref="CE1516" si="1073">CC1516/105%</f>
        <v>7.61904761782803E-2</v>
      </c>
      <c r="CI1516" s="90"/>
      <c r="CO1516" s="57"/>
      <c r="CP1516" s="57"/>
    </row>
    <row r="1517" spans="1:94" ht="14.1" hidden="1" customHeight="1" x14ac:dyDescent="0.3">
      <c r="A1517" s="281" t="s">
        <v>3128</v>
      </c>
      <c r="B1517" s="146">
        <v>46227</v>
      </c>
      <c r="C1517" s="281">
        <v>1482</v>
      </c>
      <c r="D1517" s="128" t="s">
        <v>3258</v>
      </c>
      <c r="E1517" s="129">
        <v>46231</v>
      </c>
      <c r="F1517" s="163" t="s">
        <v>1144</v>
      </c>
      <c r="G1517" s="128" t="s">
        <v>1145</v>
      </c>
      <c r="H1517" s="128" t="s">
        <v>100</v>
      </c>
      <c r="I1517" s="136"/>
      <c r="J1517" s="138" t="s">
        <v>1146</v>
      </c>
      <c r="K1517" s="136"/>
      <c r="L1517" s="146">
        <v>46227</v>
      </c>
      <c r="M1517" s="136"/>
      <c r="N1517" s="281" t="s">
        <v>3303</v>
      </c>
      <c r="O1517" s="129">
        <v>46231</v>
      </c>
      <c r="P1517" s="138">
        <v>0</v>
      </c>
      <c r="Q1517" s="138">
        <v>137</v>
      </c>
      <c r="R1517" s="138">
        <v>20</v>
      </c>
      <c r="S1517" s="138">
        <v>157</v>
      </c>
      <c r="T1517" s="138">
        <v>157</v>
      </c>
      <c r="U1517" s="136"/>
      <c r="V1517" s="136"/>
      <c r="W1517" s="147">
        <v>91.4</v>
      </c>
      <c r="X1517" s="147">
        <v>91.4</v>
      </c>
      <c r="Y1517" s="147">
        <v>761453.4</v>
      </c>
      <c r="Z1517" s="372">
        <v>39.869999999999997</v>
      </c>
      <c r="AA1517" s="147">
        <v>19036.34</v>
      </c>
      <c r="AB1517" s="147">
        <v>19036.34</v>
      </c>
      <c r="AC1517" s="147">
        <v>799526.07</v>
      </c>
      <c r="AD1517" s="315">
        <f t="shared" si="1050"/>
        <v>798726.54392999993</v>
      </c>
      <c r="AE1517" s="372">
        <v>39.869999999999997</v>
      </c>
      <c r="AF1517" s="147">
        <v>42</v>
      </c>
      <c r="AG1517" s="372">
        <v>39.869999999999997</v>
      </c>
      <c r="AH1517" s="287">
        <v>3.2000000000000002E-3</v>
      </c>
      <c r="AI1517" s="287">
        <v>3.5999999999999997E-2</v>
      </c>
      <c r="AJ1517" s="287">
        <v>5.5E-2</v>
      </c>
      <c r="AK1517" s="318">
        <f t="shared" si="1051"/>
        <v>38616.565285714336</v>
      </c>
      <c r="AL1517" s="193">
        <v>0</v>
      </c>
      <c r="AM1517" s="319">
        <v>0</v>
      </c>
      <c r="AN1517" s="319">
        <v>0</v>
      </c>
      <c r="AO1517" s="320">
        <f t="shared" si="1052"/>
        <v>0</v>
      </c>
      <c r="AP1517" s="193">
        <v>0</v>
      </c>
      <c r="AQ1517" s="318">
        <v>0</v>
      </c>
      <c r="AR1517" s="318">
        <f t="shared" si="1053"/>
        <v>38616.565285714336</v>
      </c>
      <c r="AS1517" s="318">
        <f t="shared" si="1054"/>
        <v>40547</v>
      </c>
      <c r="AT1517" s="321">
        <v>0</v>
      </c>
      <c r="AU1517" s="193"/>
      <c r="AV1517" s="193"/>
      <c r="AW1517" s="318">
        <f t="shared" si="1055"/>
        <v>9140</v>
      </c>
      <c r="AX1517" s="193"/>
      <c r="AY1517" s="318">
        <f t="shared" si="1056"/>
        <v>9140</v>
      </c>
      <c r="AZ1517" s="318">
        <f t="shared" si="1057"/>
        <v>9140</v>
      </c>
      <c r="BA1517" s="318">
        <f t="shared" si="1058"/>
        <v>0</v>
      </c>
      <c r="BB1517" s="318">
        <f t="shared" si="1059"/>
        <v>18.28</v>
      </c>
      <c r="BC1517" s="318">
        <v>0</v>
      </c>
      <c r="BD1517" s="193"/>
      <c r="BE1517" s="138">
        <v>91.4</v>
      </c>
      <c r="BF1517" s="321">
        <f t="shared" si="1060"/>
        <v>0.1371</v>
      </c>
      <c r="BG1517" s="321">
        <f t="shared" si="1061"/>
        <v>91.262900000000002</v>
      </c>
      <c r="BH1517" s="321">
        <f t="shared" si="1062"/>
        <v>91.4</v>
      </c>
      <c r="BI1517" s="322">
        <f t="shared" si="1063"/>
        <v>0</v>
      </c>
      <c r="BJ1517" s="322">
        <v>0</v>
      </c>
      <c r="BK1517" s="318">
        <f t="shared" si="1064"/>
        <v>0</v>
      </c>
      <c r="BL1517" s="193"/>
      <c r="BM1517" s="449" t="str">
        <f t="shared" si="1065"/>
        <v>Unloading no. 1482 Bill No 2026-27/518 ,Deduction For Oil Deduction= 38616.5652857143 ,Bardana= 0 ,F.M= 0 Brokerage/Rate Difference 0 ,Shortage = 0 ,Greenish= 0 ,Moisture= 0</v>
      </c>
      <c r="BN1517" s="193"/>
      <c r="BO1517" s="449" t="str">
        <f t="shared" si="1066"/>
        <v xml:space="preserve"> Party Condition 42  ,F.M% 0.32 ,Greenish 3.6 ,Moisture 5.5 ,Shortage in KG= 0  ,Oil% 39.87</v>
      </c>
      <c r="BP1517" s="318">
        <f t="shared" si="1067"/>
        <v>7908.4992857142852</v>
      </c>
      <c r="BQ1517" s="193"/>
      <c r="BR1517" s="193"/>
      <c r="BS1517" s="193"/>
      <c r="BT1517" s="193"/>
      <c r="BU1517" s="193"/>
      <c r="BV1517" s="193"/>
      <c r="BW1517" s="373"/>
      <c r="BX1517" s="27">
        <v>39.44</v>
      </c>
      <c r="BY1517" s="27">
        <v>39.6</v>
      </c>
      <c r="CO1517" s="57">
        <f t="shared" si="1070"/>
        <v>0.42999999999999972</v>
      </c>
      <c r="CP1517" s="57">
        <f t="shared" si="1071"/>
        <v>0.26999999999999602</v>
      </c>
    </row>
    <row r="1518" spans="1:94" ht="14.1" hidden="1" customHeight="1" x14ac:dyDescent="0.3">
      <c r="A1518" s="281" t="s">
        <v>3128</v>
      </c>
      <c r="B1518" s="146">
        <v>46227</v>
      </c>
      <c r="C1518" s="281">
        <v>1483</v>
      </c>
      <c r="D1518" s="128" t="s">
        <v>3259</v>
      </c>
      <c r="E1518" s="129">
        <v>46231</v>
      </c>
      <c r="F1518" s="163" t="s">
        <v>1144</v>
      </c>
      <c r="G1518" s="128" t="s">
        <v>1145</v>
      </c>
      <c r="H1518" s="128" t="s">
        <v>100</v>
      </c>
      <c r="I1518" s="136"/>
      <c r="J1518" s="138" t="s">
        <v>1146</v>
      </c>
      <c r="K1518" s="136"/>
      <c r="L1518" s="146">
        <v>46227</v>
      </c>
      <c r="M1518" s="136"/>
      <c r="N1518" s="281" t="s">
        <v>3304</v>
      </c>
      <c r="O1518" s="129">
        <v>46231</v>
      </c>
      <c r="P1518" s="138">
        <v>0</v>
      </c>
      <c r="Q1518" s="138">
        <v>0</v>
      </c>
      <c r="R1518" s="138">
        <v>157</v>
      </c>
      <c r="S1518" s="138">
        <v>157</v>
      </c>
      <c r="T1518" s="138">
        <v>157</v>
      </c>
      <c r="U1518" s="136"/>
      <c r="V1518" s="136"/>
      <c r="W1518" s="147">
        <v>93.1</v>
      </c>
      <c r="X1518" s="147">
        <v>93.1</v>
      </c>
      <c r="Y1518" s="147">
        <v>775616.1</v>
      </c>
      <c r="Z1518" s="372">
        <v>39.79</v>
      </c>
      <c r="AA1518" s="147">
        <v>19390.400000000001</v>
      </c>
      <c r="AB1518" s="147">
        <v>19390.400000000001</v>
      </c>
      <c r="AC1518" s="147">
        <v>814396.91</v>
      </c>
      <c r="AD1518" s="315">
        <f t="shared" si="1050"/>
        <v>813582.51309000002</v>
      </c>
      <c r="AE1518" s="372">
        <v>39.79</v>
      </c>
      <c r="AF1518" s="147">
        <v>42</v>
      </c>
      <c r="AG1518" s="372">
        <v>39.79</v>
      </c>
      <c r="AH1518" s="287">
        <v>3.0000000000000001E-3</v>
      </c>
      <c r="AI1518" s="287">
        <v>3.4000000000000002E-2</v>
      </c>
      <c r="AJ1518" s="287">
        <v>5.6000000000000001E-2</v>
      </c>
      <c r="AK1518" s="318">
        <f t="shared" si="1051"/>
        <v>40812.180500000017</v>
      </c>
      <c r="AL1518" s="193">
        <v>0</v>
      </c>
      <c r="AM1518" s="319">
        <v>0</v>
      </c>
      <c r="AN1518" s="319">
        <v>0</v>
      </c>
      <c r="AO1518" s="320">
        <f t="shared" si="1052"/>
        <v>0</v>
      </c>
      <c r="AP1518" s="193">
        <v>0</v>
      </c>
      <c r="AQ1518" s="318">
        <v>0</v>
      </c>
      <c r="AR1518" s="318">
        <f t="shared" si="1053"/>
        <v>40812.180500000017</v>
      </c>
      <c r="AS1518" s="318">
        <f t="shared" si="1054"/>
        <v>42853</v>
      </c>
      <c r="AT1518" s="321">
        <v>0</v>
      </c>
      <c r="AU1518" s="193"/>
      <c r="AV1518" s="193"/>
      <c r="AW1518" s="318">
        <f t="shared" si="1055"/>
        <v>9310</v>
      </c>
      <c r="AX1518" s="193"/>
      <c r="AY1518" s="318">
        <f t="shared" si="1056"/>
        <v>9310</v>
      </c>
      <c r="AZ1518" s="318">
        <f t="shared" si="1057"/>
        <v>9310</v>
      </c>
      <c r="BA1518" s="318">
        <f t="shared" si="1058"/>
        <v>0</v>
      </c>
      <c r="BB1518" s="318">
        <f t="shared" si="1059"/>
        <v>18.62</v>
      </c>
      <c r="BC1518" s="318">
        <v>0</v>
      </c>
      <c r="BD1518" s="193"/>
      <c r="BE1518" s="138">
        <v>93.1</v>
      </c>
      <c r="BF1518" s="321">
        <f t="shared" si="1060"/>
        <v>0.13964999999999997</v>
      </c>
      <c r="BG1518" s="321">
        <f t="shared" si="1061"/>
        <v>92.960349999999991</v>
      </c>
      <c r="BH1518" s="321">
        <f t="shared" si="1062"/>
        <v>93.1</v>
      </c>
      <c r="BI1518" s="322">
        <f t="shared" si="1063"/>
        <v>0</v>
      </c>
      <c r="BJ1518" s="322">
        <v>0</v>
      </c>
      <c r="BK1518" s="318">
        <f t="shared" si="1064"/>
        <v>0</v>
      </c>
      <c r="BL1518" s="193"/>
      <c r="BM1518" s="449" t="str">
        <f t="shared" si="1065"/>
        <v>Unloading no. 1483 Bill No 2026-27/519 ,Deduction For Oil Deduction= 40812.1805 ,Bardana= 0 ,F.M= 0 Brokerage/Rate Difference 0 ,Shortage = 0 ,Greenish= 0 ,Moisture= 0</v>
      </c>
      <c r="BN1518" s="193"/>
      <c r="BO1518" s="449" t="str">
        <f t="shared" si="1066"/>
        <v xml:space="preserve"> Party Condition 42  ,F.M% 0.3 ,Greenish 3.4 ,Moisture 5.6 ,Shortage in KG= 0  ,Oil% 39.79</v>
      </c>
      <c r="BP1518" s="318">
        <f t="shared" si="1067"/>
        <v>7892.630714285714</v>
      </c>
      <c r="BQ1518" s="193"/>
      <c r="BR1518" s="193"/>
      <c r="BS1518" s="193"/>
      <c r="BT1518" s="193"/>
      <c r="BU1518" s="193"/>
      <c r="BV1518" s="193"/>
      <c r="BW1518" s="373"/>
      <c r="BX1518" s="27">
        <v>39.5</v>
      </c>
      <c r="BY1518" s="27">
        <v>39.44</v>
      </c>
      <c r="CO1518" s="57">
        <f t="shared" si="1070"/>
        <v>0.28999999999999915</v>
      </c>
      <c r="CP1518" s="57">
        <f t="shared" si="1071"/>
        <v>0.35000000000000142</v>
      </c>
    </row>
    <row r="1519" spans="1:94" ht="14.1" hidden="1" customHeight="1" x14ac:dyDescent="0.3">
      <c r="A1519" s="281" t="s">
        <v>3128</v>
      </c>
      <c r="B1519" s="146">
        <v>46227</v>
      </c>
      <c r="C1519" s="281">
        <v>1484</v>
      </c>
      <c r="D1519" s="128" t="s">
        <v>3260</v>
      </c>
      <c r="E1519" s="129">
        <v>46231</v>
      </c>
      <c r="F1519" s="163" t="s">
        <v>1144</v>
      </c>
      <c r="G1519" s="128" t="s">
        <v>1145</v>
      </c>
      <c r="H1519" s="128" t="s">
        <v>100</v>
      </c>
      <c r="I1519" s="136"/>
      <c r="J1519" s="138" t="s">
        <v>1146</v>
      </c>
      <c r="K1519" s="136"/>
      <c r="L1519" s="146">
        <v>46227</v>
      </c>
      <c r="M1519" s="136"/>
      <c r="N1519" s="281" t="s">
        <v>3305</v>
      </c>
      <c r="O1519" s="129">
        <v>46231</v>
      </c>
      <c r="P1519" s="138">
        <v>0</v>
      </c>
      <c r="Q1519" s="138">
        <v>130</v>
      </c>
      <c r="R1519" s="138">
        <v>27</v>
      </c>
      <c r="S1519" s="138">
        <v>157</v>
      </c>
      <c r="T1519" s="138">
        <v>157</v>
      </c>
      <c r="U1519" s="136"/>
      <c r="V1519" s="136"/>
      <c r="W1519" s="147">
        <v>92.2</v>
      </c>
      <c r="X1519" s="147">
        <v>92.3</v>
      </c>
      <c r="Y1519" s="147">
        <v>768118.2</v>
      </c>
      <c r="Z1519" s="372">
        <v>40.340000000000003</v>
      </c>
      <c r="AA1519" s="147">
        <v>19202.96</v>
      </c>
      <c r="AB1519" s="147">
        <v>19202.96</v>
      </c>
      <c r="AC1519" s="147">
        <v>806524.11</v>
      </c>
      <c r="AD1519" s="315">
        <f t="shared" si="1050"/>
        <v>805717.58588999999</v>
      </c>
      <c r="AE1519" s="372">
        <v>40.340000000000003</v>
      </c>
      <c r="AF1519" s="147">
        <v>42</v>
      </c>
      <c r="AG1519" s="372">
        <v>40.340000000000003</v>
      </c>
      <c r="AH1519" s="287">
        <v>4.7999999999999996E-3</v>
      </c>
      <c r="AI1519" s="287">
        <v>3.4799999999999998E-2</v>
      </c>
      <c r="AJ1519" s="287">
        <v>5.6000000000000001E-2</v>
      </c>
      <c r="AK1519" s="318">
        <f t="shared" si="1051"/>
        <v>30358.957428571364</v>
      </c>
      <c r="AL1519" s="193">
        <v>0</v>
      </c>
      <c r="AM1519" s="319">
        <v>0</v>
      </c>
      <c r="AN1519" s="319">
        <v>0</v>
      </c>
      <c r="AO1519" s="320">
        <f t="shared" si="1052"/>
        <v>0</v>
      </c>
      <c r="AP1519" s="193">
        <v>0</v>
      </c>
      <c r="AQ1519" s="318">
        <v>0</v>
      </c>
      <c r="AR1519" s="318">
        <f t="shared" si="1053"/>
        <v>30358.957428571364</v>
      </c>
      <c r="AS1519" s="318">
        <f t="shared" si="1054"/>
        <v>31877</v>
      </c>
      <c r="AT1519" s="321">
        <v>0</v>
      </c>
      <c r="AU1519" s="193"/>
      <c r="AV1519" s="193"/>
      <c r="AW1519" s="318">
        <f t="shared" si="1055"/>
        <v>9220</v>
      </c>
      <c r="AX1519" s="193"/>
      <c r="AY1519" s="318">
        <f t="shared" si="1056"/>
        <v>9220</v>
      </c>
      <c r="AZ1519" s="318">
        <f t="shared" si="1057"/>
        <v>9230</v>
      </c>
      <c r="BA1519" s="318">
        <f t="shared" si="1058"/>
        <v>-10</v>
      </c>
      <c r="BB1519" s="318">
        <f t="shared" si="1059"/>
        <v>18.440000000000001</v>
      </c>
      <c r="BC1519" s="318">
        <v>0</v>
      </c>
      <c r="BD1519" s="193"/>
      <c r="BE1519" s="138">
        <v>92.2</v>
      </c>
      <c r="BF1519" s="321">
        <f t="shared" si="1060"/>
        <v>0.13830000000000001</v>
      </c>
      <c r="BG1519" s="321">
        <f t="shared" si="1061"/>
        <v>92.061700000000002</v>
      </c>
      <c r="BH1519" s="321">
        <f t="shared" si="1062"/>
        <v>92.3</v>
      </c>
      <c r="BI1519" s="322">
        <f t="shared" si="1063"/>
        <v>-9.9999999999994316</v>
      </c>
      <c r="BJ1519" s="322">
        <v>0</v>
      </c>
      <c r="BK1519" s="318">
        <f t="shared" si="1064"/>
        <v>-9.9999999999994316</v>
      </c>
      <c r="BL1519" s="193"/>
      <c r="BM1519" s="449" t="str">
        <f t="shared" si="1065"/>
        <v>Unloading no. 1484 Bill No 2026-27/520 ,Deduction For Oil Deduction= 30358.9574285714 ,Bardana= 0 ,F.M= 0 Brokerage/Rate Difference 0 ,Shortage = 0 ,Greenish= 0 ,Moisture= 0</v>
      </c>
      <c r="BN1519" s="193"/>
      <c r="BO1519" s="449" t="str">
        <f t="shared" si="1066"/>
        <v xml:space="preserve"> Party Condition 42  ,F.M% 0.48 ,Greenish 3.48 ,Moisture 5.6 ,Shortage in KG= 0  ,Oil% 40.34</v>
      </c>
      <c r="BP1519" s="318">
        <f t="shared" si="1067"/>
        <v>7993.0578826806995</v>
      </c>
      <c r="BQ1519" s="193"/>
      <c r="BR1519" s="193"/>
      <c r="BS1519" s="193"/>
      <c r="BT1519" s="193"/>
      <c r="BU1519" s="193"/>
      <c r="BV1519" s="193"/>
      <c r="BW1519" s="373"/>
      <c r="BX1519" s="27">
        <v>40.229999999999997</v>
      </c>
      <c r="BY1519" s="27">
        <v>40.15</v>
      </c>
      <c r="CO1519" s="57">
        <f t="shared" si="1070"/>
        <v>0.11000000000000654</v>
      </c>
      <c r="CP1519" s="57">
        <f t="shared" si="1071"/>
        <v>0.19000000000000483</v>
      </c>
    </row>
    <row r="1520" spans="1:94" ht="14.1" hidden="1" customHeight="1" x14ac:dyDescent="0.3">
      <c r="A1520" s="281" t="s">
        <v>3128</v>
      </c>
      <c r="B1520" s="146">
        <v>46227</v>
      </c>
      <c r="C1520" s="281">
        <v>1485</v>
      </c>
      <c r="D1520" s="128" t="s">
        <v>3261</v>
      </c>
      <c r="E1520" s="129">
        <v>46231</v>
      </c>
      <c r="F1520" s="163" t="s">
        <v>1144</v>
      </c>
      <c r="G1520" s="128" t="s">
        <v>1145</v>
      </c>
      <c r="H1520" s="128" t="s">
        <v>100</v>
      </c>
      <c r="I1520" s="136"/>
      <c r="J1520" s="138" t="s">
        <v>1146</v>
      </c>
      <c r="K1520" s="136"/>
      <c r="L1520" s="146">
        <v>46227</v>
      </c>
      <c r="M1520" s="136"/>
      <c r="N1520" s="281" t="s">
        <v>3306</v>
      </c>
      <c r="O1520" s="129">
        <v>46231</v>
      </c>
      <c r="P1520" s="138">
        <v>0</v>
      </c>
      <c r="Q1520" s="138">
        <v>135</v>
      </c>
      <c r="R1520" s="138">
        <v>22</v>
      </c>
      <c r="S1520" s="138">
        <v>157</v>
      </c>
      <c r="T1520" s="138">
        <v>157</v>
      </c>
      <c r="U1520" s="136"/>
      <c r="V1520" s="136"/>
      <c r="W1520" s="147">
        <v>92.4</v>
      </c>
      <c r="X1520" s="147">
        <v>92.2</v>
      </c>
      <c r="Y1520" s="147">
        <v>769784.4</v>
      </c>
      <c r="Z1520" s="372">
        <v>40.06</v>
      </c>
      <c r="AA1520" s="147">
        <v>19244.61</v>
      </c>
      <c r="AB1520" s="147">
        <v>19244.61</v>
      </c>
      <c r="AC1520" s="147">
        <v>808273.62</v>
      </c>
      <c r="AD1520" s="315">
        <f t="shared" si="1050"/>
        <v>807465.34638</v>
      </c>
      <c r="AE1520" s="372">
        <v>40.06</v>
      </c>
      <c r="AF1520" s="147">
        <v>42</v>
      </c>
      <c r="AG1520" s="372">
        <v>40.06</v>
      </c>
      <c r="AH1520" s="287">
        <v>3.8E-3</v>
      </c>
      <c r="AI1520" s="287">
        <v>0.03</v>
      </c>
      <c r="AJ1520" s="287">
        <v>5.7000000000000002E-2</v>
      </c>
      <c r="AK1520" s="318">
        <f t="shared" si="1051"/>
        <v>35556.707999999962</v>
      </c>
      <c r="AL1520" s="193">
        <v>0</v>
      </c>
      <c r="AM1520" s="319">
        <v>0</v>
      </c>
      <c r="AN1520" s="319">
        <v>0</v>
      </c>
      <c r="AO1520" s="320">
        <f t="shared" si="1052"/>
        <v>0</v>
      </c>
      <c r="AP1520" s="193">
        <v>0</v>
      </c>
      <c r="AQ1520" s="318">
        <v>0</v>
      </c>
      <c r="AR1520" s="318">
        <f t="shared" si="1053"/>
        <v>35556.707999999962</v>
      </c>
      <c r="AS1520" s="318">
        <f t="shared" si="1054"/>
        <v>37335</v>
      </c>
      <c r="AT1520" s="321">
        <v>0</v>
      </c>
      <c r="AU1520" s="193"/>
      <c r="AV1520" s="193"/>
      <c r="AW1520" s="318">
        <f t="shared" si="1055"/>
        <v>9240</v>
      </c>
      <c r="AX1520" s="193"/>
      <c r="AY1520" s="318">
        <f t="shared" si="1056"/>
        <v>9240</v>
      </c>
      <c r="AZ1520" s="318">
        <f t="shared" si="1057"/>
        <v>9220</v>
      </c>
      <c r="BA1520" s="318">
        <f t="shared" si="1058"/>
        <v>20</v>
      </c>
      <c r="BB1520" s="318">
        <f t="shared" si="1059"/>
        <v>18.48</v>
      </c>
      <c r="BC1520" s="318">
        <v>0</v>
      </c>
      <c r="BD1520" s="193"/>
      <c r="BE1520" s="138">
        <v>92.4</v>
      </c>
      <c r="BF1520" s="321">
        <f t="shared" si="1060"/>
        <v>0.1386</v>
      </c>
      <c r="BG1520" s="321">
        <f t="shared" si="1061"/>
        <v>92.261400000000009</v>
      </c>
      <c r="BH1520" s="321">
        <f t="shared" si="1062"/>
        <v>92.2</v>
      </c>
      <c r="BI1520" s="322">
        <f t="shared" si="1063"/>
        <v>20.000000000000284</v>
      </c>
      <c r="BJ1520" s="322">
        <v>0</v>
      </c>
      <c r="BK1520" s="318">
        <f t="shared" si="1064"/>
        <v>20.000000000000284</v>
      </c>
      <c r="BL1520" s="193"/>
      <c r="BM1520" s="449" t="str">
        <f t="shared" si="1065"/>
        <v>Unloading no. 1485 Bill No 2026-27/521 ,Deduction For Oil Deduction= 35556.708 ,Bardana= 0 ,F.M= 0 Brokerage/Rate Difference 0 ,Shortage = 0 ,Greenish= 0 ,Moisture= 0</v>
      </c>
      <c r="BN1520" s="193"/>
      <c r="BO1520" s="449" t="str">
        <f t="shared" si="1066"/>
        <v xml:space="preserve"> Party Condition 42  ,F.M% 0.38 ,Greenish 3 ,Moisture 5.7 ,Shortage in KG= 0  ,Oil% 40.06</v>
      </c>
      <c r="BP1520" s="318">
        <f t="shared" si="1067"/>
        <v>7963.4239913232104</v>
      </c>
      <c r="BQ1520" s="193"/>
      <c r="BR1520" s="193"/>
      <c r="BS1520" s="193"/>
      <c r="BT1520" s="193"/>
      <c r="BU1520" s="193"/>
      <c r="BV1520" s="193"/>
      <c r="BW1520" s="373"/>
      <c r="BX1520" s="27">
        <v>39.799999999999997</v>
      </c>
      <c r="BY1520" s="27">
        <v>39.840000000000003</v>
      </c>
      <c r="CO1520" s="57">
        <f t="shared" si="1070"/>
        <v>0.26000000000000512</v>
      </c>
      <c r="CP1520" s="57">
        <f t="shared" si="1071"/>
        <v>0.21999999999999886</v>
      </c>
    </row>
    <row r="1521" spans="1:94" ht="14.1" hidden="1" customHeight="1" x14ac:dyDescent="0.3">
      <c r="A1521" s="281" t="s">
        <v>3128</v>
      </c>
      <c r="B1521" s="146">
        <v>46227</v>
      </c>
      <c r="C1521" s="281">
        <v>1486</v>
      </c>
      <c r="D1521" s="128" t="s">
        <v>3262</v>
      </c>
      <c r="E1521" s="129">
        <v>46231</v>
      </c>
      <c r="F1521" s="163" t="s">
        <v>1144</v>
      </c>
      <c r="G1521" s="128" t="s">
        <v>1145</v>
      </c>
      <c r="H1521" s="128" t="s">
        <v>100</v>
      </c>
      <c r="I1521" s="136"/>
      <c r="J1521" s="138" t="s">
        <v>1146</v>
      </c>
      <c r="K1521" s="136"/>
      <c r="L1521" s="146">
        <v>46227</v>
      </c>
      <c r="M1521" s="136"/>
      <c r="N1521" s="281" t="s">
        <v>3307</v>
      </c>
      <c r="O1521" s="129">
        <v>46231</v>
      </c>
      <c r="P1521" s="138">
        <v>0</v>
      </c>
      <c r="Q1521" s="138">
        <v>140</v>
      </c>
      <c r="R1521" s="138">
        <v>17</v>
      </c>
      <c r="S1521" s="138">
        <v>157</v>
      </c>
      <c r="T1521" s="138">
        <v>157</v>
      </c>
      <c r="U1521" s="136"/>
      <c r="V1521" s="136"/>
      <c r="W1521" s="147">
        <v>94.5</v>
      </c>
      <c r="X1521" s="147">
        <v>94.6</v>
      </c>
      <c r="Y1521" s="147">
        <v>787279.5</v>
      </c>
      <c r="Z1521" s="372">
        <v>39.979999999999997</v>
      </c>
      <c r="AA1521" s="147">
        <v>19681.990000000002</v>
      </c>
      <c r="AB1521" s="147">
        <v>19681.990000000002</v>
      </c>
      <c r="AC1521" s="147">
        <v>826643.48</v>
      </c>
      <c r="AD1521" s="315">
        <f t="shared" si="1050"/>
        <v>825816.83652000001</v>
      </c>
      <c r="AE1521" s="372">
        <v>39.979999999999997</v>
      </c>
      <c r="AF1521" s="147">
        <v>42</v>
      </c>
      <c r="AG1521" s="372">
        <v>39.979999999999997</v>
      </c>
      <c r="AH1521" s="287">
        <v>4.1999999999999997E-3</v>
      </c>
      <c r="AI1521" s="287">
        <v>3.2099999999999997E-2</v>
      </c>
      <c r="AJ1521" s="287">
        <v>5.5E-2</v>
      </c>
      <c r="AK1521" s="318">
        <f t="shared" si="1051"/>
        <v>37864.395000000062</v>
      </c>
      <c r="AL1521" s="193">
        <v>0</v>
      </c>
      <c r="AM1521" s="319">
        <v>0</v>
      </c>
      <c r="AN1521" s="319">
        <v>0</v>
      </c>
      <c r="AO1521" s="320">
        <f t="shared" si="1052"/>
        <v>0</v>
      </c>
      <c r="AP1521" s="193">
        <v>0</v>
      </c>
      <c r="AQ1521" s="318">
        <v>0</v>
      </c>
      <c r="AR1521" s="318">
        <f t="shared" si="1053"/>
        <v>37864.395000000062</v>
      </c>
      <c r="AS1521" s="318">
        <f t="shared" si="1054"/>
        <v>39758</v>
      </c>
      <c r="AT1521" s="321">
        <v>0</v>
      </c>
      <c r="AU1521" s="193"/>
      <c r="AV1521" s="193"/>
      <c r="AW1521" s="318">
        <f t="shared" si="1055"/>
        <v>9450</v>
      </c>
      <c r="AX1521" s="193"/>
      <c r="AY1521" s="318">
        <f t="shared" si="1056"/>
        <v>9450</v>
      </c>
      <c r="AZ1521" s="318">
        <f t="shared" si="1057"/>
        <v>9460</v>
      </c>
      <c r="BA1521" s="318">
        <f t="shared" si="1058"/>
        <v>-10</v>
      </c>
      <c r="BB1521" s="318">
        <f t="shared" si="1059"/>
        <v>18.899999999999999</v>
      </c>
      <c r="BC1521" s="318">
        <v>0</v>
      </c>
      <c r="BD1521" s="193"/>
      <c r="BE1521" s="138">
        <v>94.5</v>
      </c>
      <c r="BF1521" s="321">
        <f t="shared" si="1060"/>
        <v>0.14174999999999999</v>
      </c>
      <c r="BG1521" s="321">
        <f t="shared" si="1061"/>
        <v>94.358249999999998</v>
      </c>
      <c r="BH1521" s="321">
        <f t="shared" si="1062"/>
        <v>94.6</v>
      </c>
      <c r="BI1521" s="322">
        <f t="shared" si="1063"/>
        <v>-9.9999999999994316</v>
      </c>
      <c r="BJ1521" s="322">
        <v>0</v>
      </c>
      <c r="BK1521" s="318">
        <f t="shared" si="1064"/>
        <v>-9.9999999999994316</v>
      </c>
      <c r="BL1521" s="193"/>
      <c r="BM1521" s="449" t="str">
        <f t="shared" si="1065"/>
        <v>Unloading no. 1486 Bill No 2026-27/522 ,Deduction For Oil Deduction= 37864.3950000001 ,Bardana= 0 ,F.M= 0 Brokerage/Rate Difference 0 ,Shortage = 0 ,Greenish= 0 ,Moisture= 0</v>
      </c>
      <c r="BN1521" s="193"/>
      <c r="BO1521" s="449" t="str">
        <f t="shared" si="1066"/>
        <v xml:space="preserve"> Party Condition 42  ,F.M% 0.42 ,Greenish 3.21 ,Moisture 5.5 ,Shortage in KG= 0  ,Oil% 39.98</v>
      </c>
      <c r="BP1521" s="318">
        <f t="shared" si="1067"/>
        <v>7921.9355708245248</v>
      </c>
      <c r="BQ1521" s="193"/>
      <c r="BR1521" s="193"/>
      <c r="BS1521" s="193"/>
      <c r="BT1521" s="193"/>
      <c r="BU1521" s="193"/>
      <c r="BV1521" s="193"/>
      <c r="BW1521" s="373"/>
      <c r="BX1521" s="27">
        <v>39.75</v>
      </c>
      <c r="BY1521" s="27">
        <v>39.659999999999997</v>
      </c>
      <c r="CO1521" s="57">
        <f t="shared" si="1070"/>
        <v>0.22999999999999687</v>
      </c>
      <c r="CP1521" s="57">
        <f t="shared" si="1071"/>
        <v>0.32000000000000028</v>
      </c>
    </row>
    <row r="1522" spans="1:94" ht="14.1" hidden="1" customHeight="1" x14ac:dyDescent="0.3">
      <c r="A1522" s="281" t="s">
        <v>3128</v>
      </c>
      <c r="B1522" s="146">
        <v>46227</v>
      </c>
      <c r="C1522" s="281">
        <v>1487</v>
      </c>
      <c r="D1522" s="128" t="s">
        <v>3263</v>
      </c>
      <c r="E1522" s="129">
        <v>46231</v>
      </c>
      <c r="F1522" s="163" t="s">
        <v>1144</v>
      </c>
      <c r="G1522" s="128" t="s">
        <v>1145</v>
      </c>
      <c r="H1522" s="128" t="s">
        <v>100</v>
      </c>
      <c r="I1522" s="136"/>
      <c r="J1522" s="138" t="s">
        <v>1146</v>
      </c>
      <c r="K1522" s="136"/>
      <c r="L1522" s="146">
        <v>46227</v>
      </c>
      <c r="M1522" s="136"/>
      <c r="N1522" s="281" t="s">
        <v>3308</v>
      </c>
      <c r="O1522" s="129">
        <v>46231</v>
      </c>
      <c r="P1522" s="138">
        <v>0</v>
      </c>
      <c r="Q1522" s="138">
        <v>135</v>
      </c>
      <c r="R1522" s="138">
        <v>23</v>
      </c>
      <c r="S1522" s="138">
        <v>158</v>
      </c>
      <c r="T1522" s="138">
        <v>158</v>
      </c>
      <c r="U1522" s="136"/>
      <c r="V1522" s="136"/>
      <c r="W1522" s="147">
        <v>91.3</v>
      </c>
      <c r="X1522" s="147">
        <v>91.3</v>
      </c>
      <c r="Y1522" s="147">
        <v>760620.3</v>
      </c>
      <c r="Z1522" s="372">
        <v>40.32</v>
      </c>
      <c r="AA1522" s="147">
        <v>19015.509999999998</v>
      </c>
      <c r="AB1522" s="147">
        <v>19015.509999999998</v>
      </c>
      <c r="AC1522" s="147">
        <v>798651.32</v>
      </c>
      <c r="AD1522" s="315">
        <f t="shared" si="1050"/>
        <v>797852.66868</v>
      </c>
      <c r="AE1522" s="372">
        <v>40.32</v>
      </c>
      <c r="AF1522" s="147">
        <v>42</v>
      </c>
      <c r="AG1522" s="372">
        <v>40.32</v>
      </c>
      <c r="AH1522" s="287">
        <v>3.0000000000000001E-3</v>
      </c>
      <c r="AI1522" s="287">
        <v>3.56E-2</v>
      </c>
      <c r="AJ1522" s="287">
        <v>5.3999999999999999E-2</v>
      </c>
      <c r="AK1522" s="318">
        <f t="shared" si="1051"/>
        <v>30424.811999999998</v>
      </c>
      <c r="AL1522" s="193">
        <v>0</v>
      </c>
      <c r="AM1522" s="319">
        <v>0</v>
      </c>
      <c r="AN1522" s="319">
        <v>0</v>
      </c>
      <c r="AO1522" s="320">
        <f t="shared" si="1052"/>
        <v>0</v>
      </c>
      <c r="AP1522" s="193">
        <v>0</v>
      </c>
      <c r="AQ1522" s="318">
        <v>0</v>
      </c>
      <c r="AR1522" s="318">
        <f t="shared" si="1053"/>
        <v>30424.811999999998</v>
      </c>
      <c r="AS1522" s="318">
        <f t="shared" si="1054"/>
        <v>31946</v>
      </c>
      <c r="AT1522" s="321">
        <v>0</v>
      </c>
      <c r="AU1522" s="193"/>
      <c r="AV1522" s="193"/>
      <c r="AW1522" s="318">
        <f t="shared" si="1055"/>
        <v>9130</v>
      </c>
      <c r="AX1522" s="193"/>
      <c r="AY1522" s="318">
        <f t="shared" si="1056"/>
        <v>9130</v>
      </c>
      <c r="AZ1522" s="318">
        <f t="shared" si="1057"/>
        <v>9130</v>
      </c>
      <c r="BA1522" s="318">
        <f t="shared" si="1058"/>
        <v>0</v>
      </c>
      <c r="BB1522" s="318">
        <f t="shared" si="1059"/>
        <v>18.260000000000002</v>
      </c>
      <c r="BC1522" s="318">
        <v>0</v>
      </c>
      <c r="BD1522" s="193"/>
      <c r="BE1522" s="138">
        <v>91.3</v>
      </c>
      <c r="BF1522" s="321">
        <f t="shared" si="1060"/>
        <v>0.13694999999999999</v>
      </c>
      <c r="BG1522" s="321">
        <f t="shared" si="1061"/>
        <v>91.163049999999998</v>
      </c>
      <c r="BH1522" s="321">
        <f t="shared" si="1062"/>
        <v>91.3</v>
      </c>
      <c r="BI1522" s="322">
        <f t="shared" si="1063"/>
        <v>0</v>
      </c>
      <c r="BJ1522" s="322">
        <v>0</v>
      </c>
      <c r="BK1522" s="318">
        <f t="shared" si="1064"/>
        <v>0</v>
      </c>
      <c r="BL1522" s="193"/>
      <c r="BM1522" s="449" t="str">
        <f t="shared" si="1065"/>
        <v>Unloading no. 1487 Bill No 2026-27/523 ,Deduction For Oil Deduction= 30424.812 ,Bardana= 0 ,F.M= 0 Brokerage/Rate Difference 0 ,Shortage = 0 ,Greenish= 0 ,Moisture= 0</v>
      </c>
      <c r="BN1522" s="193"/>
      <c r="BO1522" s="449" t="str">
        <f t="shared" si="1066"/>
        <v xml:space="preserve"> Party Condition 42  ,F.M% 0.3 ,Greenish 3.56 ,Moisture 5.4 ,Shortage in KG= 0  ,Oil% 40.32</v>
      </c>
      <c r="BP1522" s="318">
        <f t="shared" si="1067"/>
        <v>7997.76</v>
      </c>
      <c r="BQ1522" s="193"/>
      <c r="BR1522" s="193"/>
      <c r="BS1522" s="193"/>
      <c r="BT1522" s="193"/>
      <c r="BU1522" s="193"/>
      <c r="BV1522" s="193"/>
      <c r="BW1522" s="373"/>
      <c r="BX1522" s="27">
        <v>40.380000000000003</v>
      </c>
      <c r="BY1522" s="27">
        <v>40.18</v>
      </c>
      <c r="CO1522" s="57">
        <f t="shared" si="1070"/>
        <v>-6.0000000000002274E-2</v>
      </c>
      <c r="CP1522" s="57">
        <f t="shared" si="1071"/>
        <v>0.14000000000000057</v>
      </c>
    </row>
    <row r="1523" spans="1:94" ht="14.1" hidden="1" customHeight="1" x14ac:dyDescent="0.3">
      <c r="A1523" s="281" t="s">
        <v>3128</v>
      </c>
      <c r="B1523" s="146">
        <v>46227</v>
      </c>
      <c r="C1523" s="281">
        <v>1488</v>
      </c>
      <c r="D1523" s="128" t="s">
        <v>3264</v>
      </c>
      <c r="E1523" s="129">
        <v>46231</v>
      </c>
      <c r="F1523" s="163" t="s">
        <v>1144</v>
      </c>
      <c r="G1523" s="128" t="s">
        <v>1145</v>
      </c>
      <c r="H1523" s="128" t="s">
        <v>100</v>
      </c>
      <c r="I1523" s="136"/>
      <c r="J1523" s="138" t="s">
        <v>1146</v>
      </c>
      <c r="K1523" s="136"/>
      <c r="L1523" s="146">
        <v>46227</v>
      </c>
      <c r="M1523" s="136"/>
      <c r="N1523" s="281" t="s">
        <v>3309</v>
      </c>
      <c r="O1523" s="129">
        <v>46231</v>
      </c>
      <c r="P1523" s="138">
        <v>0</v>
      </c>
      <c r="Q1523" s="138">
        <v>142</v>
      </c>
      <c r="R1523" s="138">
        <v>16</v>
      </c>
      <c r="S1523" s="138">
        <v>158</v>
      </c>
      <c r="T1523" s="138">
        <v>158</v>
      </c>
      <c r="U1523" s="136"/>
      <c r="V1523" s="136"/>
      <c r="W1523" s="147">
        <v>91.8</v>
      </c>
      <c r="X1523" s="147">
        <v>91.8</v>
      </c>
      <c r="Y1523" s="147">
        <v>764785.8</v>
      </c>
      <c r="Z1523" s="372">
        <v>40.590000000000003</v>
      </c>
      <c r="AA1523" s="147">
        <v>19119.650000000001</v>
      </c>
      <c r="AB1523" s="147">
        <v>19119.650000000001</v>
      </c>
      <c r="AC1523" s="147">
        <v>803025.09</v>
      </c>
      <c r="AD1523" s="315">
        <f t="shared" si="1050"/>
        <v>802222.06490999996</v>
      </c>
      <c r="AE1523" s="372">
        <v>40.590000000000003</v>
      </c>
      <c r="AF1523" s="147">
        <v>42</v>
      </c>
      <c r="AG1523" s="372">
        <v>40.590000000000003</v>
      </c>
      <c r="AH1523" s="287">
        <v>4.4999999999999997E-3</v>
      </c>
      <c r="AI1523" s="287">
        <v>4.6199999999999998E-2</v>
      </c>
      <c r="AJ1523" s="287">
        <v>5.7000000000000002E-2</v>
      </c>
      <c r="AK1523" s="318">
        <f t="shared" si="1051"/>
        <v>25674.951857142794</v>
      </c>
      <c r="AL1523" s="193">
        <v>0</v>
      </c>
      <c r="AM1523" s="319">
        <v>0</v>
      </c>
      <c r="AN1523" s="319">
        <v>0</v>
      </c>
      <c r="AO1523" s="320">
        <f t="shared" si="1052"/>
        <v>0</v>
      </c>
      <c r="AP1523" s="193">
        <v>0</v>
      </c>
      <c r="AQ1523" s="318">
        <v>0</v>
      </c>
      <c r="AR1523" s="318">
        <f t="shared" si="1053"/>
        <v>25674.951857142794</v>
      </c>
      <c r="AS1523" s="318">
        <f t="shared" si="1054"/>
        <v>26959</v>
      </c>
      <c r="AT1523" s="321">
        <v>0</v>
      </c>
      <c r="AU1523" s="193"/>
      <c r="AV1523" s="193"/>
      <c r="AW1523" s="318">
        <f t="shared" si="1055"/>
        <v>9180</v>
      </c>
      <c r="AX1523" s="193"/>
      <c r="AY1523" s="318">
        <f t="shared" si="1056"/>
        <v>9180</v>
      </c>
      <c r="AZ1523" s="318">
        <f t="shared" si="1057"/>
        <v>9180</v>
      </c>
      <c r="BA1523" s="318">
        <f t="shared" si="1058"/>
        <v>0</v>
      </c>
      <c r="BB1523" s="318">
        <f t="shared" si="1059"/>
        <v>18.36</v>
      </c>
      <c r="BC1523" s="318">
        <v>0</v>
      </c>
      <c r="BD1523" s="193"/>
      <c r="BE1523" s="138">
        <v>91.8</v>
      </c>
      <c r="BF1523" s="321">
        <f t="shared" si="1060"/>
        <v>0.13769999999999999</v>
      </c>
      <c r="BG1523" s="321">
        <f t="shared" si="1061"/>
        <v>91.662300000000002</v>
      </c>
      <c r="BH1523" s="321">
        <f t="shared" si="1062"/>
        <v>91.8</v>
      </c>
      <c r="BI1523" s="322">
        <f t="shared" si="1063"/>
        <v>0</v>
      </c>
      <c r="BJ1523" s="322">
        <v>0</v>
      </c>
      <c r="BK1523" s="318">
        <f t="shared" si="1064"/>
        <v>0</v>
      </c>
      <c r="BL1523" s="193"/>
      <c r="BM1523" s="449" t="str">
        <f t="shared" si="1065"/>
        <v>Unloading no. 1488 Bill No 2026-27/525 ,Deduction For Oil Deduction= 25674.9518571428 ,Bardana= 0 ,F.M= 0 Brokerage/Rate Difference 0 ,Shortage = 0 ,Greenish= 0 ,Moisture= 0</v>
      </c>
      <c r="BN1523" s="193"/>
      <c r="BO1523" s="449" t="str">
        <f t="shared" si="1066"/>
        <v xml:space="preserve"> Party Condition 42  ,F.M% 0.45 ,Greenish 4.62 ,Moisture 5.7 ,Shortage in KG= 0  ,Oil% 40.59</v>
      </c>
      <c r="BP1523" s="318">
        <f t="shared" si="1067"/>
        <v>8051.3164285714292</v>
      </c>
      <c r="BQ1523" s="193"/>
      <c r="BR1523" s="193"/>
      <c r="BS1523" s="193"/>
      <c r="BT1523" s="193"/>
      <c r="BU1523" s="193"/>
      <c r="BV1523" s="193"/>
      <c r="BW1523" s="373"/>
      <c r="BX1523" s="27">
        <v>40.58</v>
      </c>
      <c r="BY1523" s="27">
        <v>40.54</v>
      </c>
      <c r="CO1523" s="57">
        <f t="shared" si="1070"/>
        <v>1.0000000000005116E-2</v>
      </c>
      <c r="CP1523" s="57">
        <f t="shared" si="1071"/>
        <v>5.0000000000004263E-2</v>
      </c>
    </row>
    <row r="1524" spans="1:94" ht="14.1" hidden="1" customHeight="1" x14ac:dyDescent="0.3">
      <c r="A1524" s="281" t="s">
        <v>3128</v>
      </c>
      <c r="B1524" s="146">
        <v>46227</v>
      </c>
      <c r="C1524" s="281">
        <v>1489</v>
      </c>
      <c r="D1524" s="128" t="s">
        <v>3265</v>
      </c>
      <c r="E1524" s="129">
        <v>46231</v>
      </c>
      <c r="F1524" s="163" t="s">
        <v>1144</v>
      </c>
      <c r="G1524" s="128" t="s">
        <v>1145</v>
      </c>
      <c r="H1524" s="128" t="s">
        <v>100</v>
      </c>
      <c r="I1524" s="136"/>
      <c r="J1524" s="138" t="s">
        <v>1146</v>
      </c>
      <c r="K1524" s="136"/>
      <c r="L1524" s="146">
        <v>46227</v>
      </c>
      <c r="M1524" s="136"/>
      <c r="N1524" s="281" t="s">
        <v>3310</v>
      </c>
      <c r="O1524" s="129">
        <v>46231</v>
      </c>
      <c r="P1524" s="138">
        <v>0</v>
      </c>
      <c r="Q1524" s="138">
        <v>140</v>
      </c>
      <c r="R1524" s="138">
        <v>18</v>
      </c>
      <c r="S1524" s="138">
        <v>158</v>
      </c>
      <c r="T1524" s="138">
        <v>158</v>
      </c>
      <c r="U1524" s="136"/>
      <c r="V1524" s="136"/>
      <c r="W1524" s="147">
        <v>89.4</v>
      </c>
      <c r="X1524" s="147">
        <v>89.4</v>
      </c>
      <c r="Y1524" s="147">
        <v>744791.4</v>
      </c>
      <c r="Z1524" s="372">
        <v>40.369999999999997</v>
      </c>
      <c r="AA1524" s="147">
        <v>18619.79</v>
      </c>
      <c r="AB1524" s="147">
        <v>18619.79</v>
      </c>
      <c r="AC1524" s="147">
        <v>782030.97</v>
      </c>
      <c r="AD1524" s="315">
        <f t="shared" si="1050"/>
        <v>781248.93903000001</v>
      </c>
      <c r="AE1524" s="372">
        <v>40.369999999999997</v>
      </c>
      <c r="AF1524" s="147">
        <v>42</v>
      </c>
      <c r="AG1524" s="372">
        <v>40.369999999999997</v>
      </c>
      <c r="AH1524" s="287">
        <v>4.7999999999999996E-3</v>
      </c>
      <c r="AI1524" s="287">
        <v>4.9700000000000001E-2</v>
      </c>
      <c r="AJ1524" s="287">
        <v>5.6000000000000001E-2</v>
      </c>
      <c r="AK1524" s="318">
        <f t="shared" si="1051"/>
        <v>28904.999571428616</v>
      </c>
      <c r="AL1524" s="193">
        <v>0</v>
      </c>
      <c r="AM1524" s="319">
        <v>0</v>
      </c>
      <c r="AN1524" s="319">
        <v>0</v>
      </c>
      <c r="AO1524" s="320">
        <f t="shared" si="1052"/>
        <v>0</v>
      </c>
      <c r="AP1524" s="193">
        <v>0</v>
      </c>
      <c r="AQ1524" s="318">
        <v>0</v>
      </c>
      <c r="AR1524" s="318">
        <f t="shared" si="1053"/>
        <v>28904.999571428616</v>
      </c>
      <c r="AS1524" s="318">
        <f t="shared" si="1054"/>
        <v>30350</v>
      </c>
      <c r="AT1524" s="321">
        <v>0</v>
      </c>
      <c r="AU1524" s="193"/>
      <c r="AV1524" s="193"/>
      <c r="AW1524" s="318">
        <f t="shared" si="1055"/>
        <v>8940</v>
      </c>
      <c r="AX1524" s="193"/>
      <c r="AY1524" s="318">
        <f t="shared" si="1056"/>
        <v>8940</v>
      </c>
      <c r="AZ1524" s="318">
        <f t="shared" si="1057"/>
        <v>8940</v>
      </c>
      <c r="BA1524" s="318">
        <f t="shared" si="1058"/>
        <v>0</v>
      </c>
      <c r="BB1524" s="318">
        <f t="shared" si="1059"/>
        <v>17.88</v>
      </c>
      <c r="BC1524" s="318">
        <v>0</v>
      </c>
      <c r="BD1524" s="193"/>
      <c r="BE1524" s="138">
        <v>89.4</v>
      </c>
      <c r="BF1524" s="321">
        <f t="shared" si="1060"/>
        <v>0.1341</v>
      </c>
      <c r="BG1524" s="321">
        <f t="shared" si="1061"/>
        <v>89.265900000000002</v>
      </c>
      <c r="BH1524" s="321">
        <f t="shared" si="1062"/>
        <v>89.4</v>
      </c>
      <c r="BI1524" s="322">
        <f t="shared" si="1063"/>
        <v>0</v>
      </c>
      <c r="BJ1524" s="322">
        <v>0</v>
      </c>
      <c r="BK1524" s="318">
        <f t="shared" si="1064"/>
        <v>0</v>
      </c>
      <c r="BL1524" s="193"/>
      <c r="BM1524" s="449" t="str">
        <f t="shared" si="1065"/>
        <v>Unloading no. 1489 Bill No 2026-27/524 ,Deduction For Oil Deduction= 28904.9995714286 ,Bardana= 0 ,F.M= 0 Brokerage/Rate Difference 0 ,Shortage = 0 ,Greenish= 0 ,Moisture= 0</v>
      </c>
      <c r="BN1524" s="193"/>
      <c r="BO1524" s="449" t="str">
        <f t="shared" si="1066"/>
        <v xml:space="preserve"> Party Condition 42  ,F.M% 0.48 ,Greenish 4.97 ,Moisture 5.6 ,Shortage in KG= 0  ,Oil% 40.37</v>
      </c>
      <c r="BP1524" s="318">
        <f t="shared" si="1067"/>
        <v>8007.6778571428558</v>
      </c>
      <c r="BQ1524" s="193"/>
      <c r="BR1524" s="193"/>
      <c r="BS1524" s="193"/>
      <c r="BT1524" s="193"/>
      <c r="BU1524" s="193"/>
      <c r="BV1524" s="193"/>
      <c r="BW1524" s="373"/>
      <c r="BX1524" s="27">
        <v>40.369999999999997</v>
      </c>
      <c r="BY1524" s="27">
        <v>40.229999999999997</v>
      </c>
      <c r="CO1524" s="57">
        <f t="shared" si="1070"/>
        <v>0</v>
      </c>
      <c r="CP1524" s="57">
        <f t="shared" si="1071"/>
        <v>0.14000000000000057</v>
      </c>
    </row>
    <row r="1525" spans="1:94" ht="14.1" hidden="1" customHeight="1" x14ac:dyDescent="0.3">
      <c r="A1525" s="281" t="s">
        <v>3247</v>
      </c>
      <c r="B1525" s="146">
        <v>46227</v>
      </c>
      <c r="C1525" s="281">
        <v>1490</v>
      </c>
      <c r="D1525" s="128" t="s">
        <v>3266</v>
      </c>
      <c r="E1525" s="129">
        <v>46231</v>
      </c>
      <c r="F1525" s="163" t="s">
        <v>1144</v>
      </c>
      <c r="G1525" s="128" t="s">
        <v>1145</v>
      </c>
      <c r="H1525" s="128" t="s">
        <v>100</v>
      </c>
      <c r="I1525" s="136"/>
      <c r="J1525" s="138" t="s">
        <v>1146</v>
      </c>
      <c r="K1525" s="136"/>
      <c r="L1525" s="146">
        <v>46227</v>
      </c>
      <c r="M1525" s="136"/>
      <c r="N1525" s="281" t="s">
        <v>3311</v>
      </c>
      <c r="O1525" s="129">
        <v>46230</v>
      </c>
      <c r="P1525" s="138">
        <v>0</v>
      </c>
      <c r="Q1525" s="138">
        <v>500</v>
      </c>
      <c r="R1525" s="138">
        <v>190</v>
      </c>
      <c r="S1525" s="138">
        <v>690</v>
      </c>
      <c r="T1525" s="138">
        <v>690</v>
      </c>
      <c r="U1525" s="136"/>
      <c r="V1525" s="136"/>
      <c r="W1525" s="147">
        <v>351</v>
      </c>
      <c r="X1525" s="147">
        <v>350.9</v>
      </c>
      <c r="Y1525" s="147">
        <v>2922075</v>
      </c>
      <c r="Z1525" s="147">
        <v>40.630000000000003</v>
      </c>
      <c r="AA1525" s="147">
        <v>73051.88</v>
      </c>
      <c r="AB1525" s="147">
        <v>73051.88</v>
      </c>
      <c r="AC1525" s="147">
        <v>3068178.75</v>
      </c>
      <c r="AD1525" s="315">
        <f t="shared" si="1050"/>
        <v>3065110.57125</v>
      </c>
      <c r="AE1525" s="147">
        <v>40.630000000000003</v>
      </c>
      <c r="AF1525" s="147">
        <v>42</v>
      </c>
      <c r="AG1525" s="212">
        <v>40.630000000000003</v>
      </c>
      <c r="AH1525" s="287">
        <v>5.0000000000000001E-3</v>
      </c>
      <c r="AI1525" s="287">
        <v>3.3000000000000002E-2</v>
      </c>
      <c r="AJ1525" s="287">
        <v>5.5E-2</v>
      </c>
      <c r="AK1525" s="318">
        <f t="shared" si="1051"/>
        <v>95315.303571428405</v>
      </c>
      <c r="AL1525" s="193">
        <v>0</v>
      </c>
      <c r="AM1525" s="319">
        <v>0</v>
      </c>
      <c r="AN1525" s="319">
        <v>0</v>
      </c>
      <c r="AO1525" s="320">
        <f t="shared" si="1052"/>
        <v>0</v>
      </c>
      <c r="AP1525" s="193">
        <v>0</v>
      </c>
      <c r="AQ1525" s="318">
        <v>0</v>
      </c>
      <c r="AR1525" s="318">
        <f t="shared" si="1053"/>
        <v>95315.303571428405</v>
      </c>
      <c r="AS1525" s="318">
        <f t="shared" si="1054"/>
        <v>100081</v>
      </c>
      <c r="AT1525" s="321">
        <v>0</v>
      </c>
      <c r="AU1525" s="193"/>
      <c r="AV1525" s="193"/>
      <c r="AW1525" s="318">
        <f t="shared" si="1055"/>
        <v>35100</v>
      </c>
      <c r="AX1525" s="193"/>
      <c r="AY1525" s="318">
        <f t="shared" si="1056"/>
        <v>35100</v>
      </c>
      <c r="AZ1525" s="318">
        <f t="shared" si="1057"/>
        <v>35090</v>
      </c>
      <c r="BA1525" s="318">
        <f t="shared" si="1058"/>
        <v>10</v>
      </c>
      <c r="BB1525" s="318">
        <f t="shared" si="1059"/>
        <v>70.2</v>
      </c>
      <c r="BC1525" s="318">
        <v>0</v>
      </c>
      <c r="BD1525" s="193"/>
      <c r="BE1525" s="138">
        <v>351</v>
      </c>
      <c r="BF1525" s="321">
        <f t="shared" si="1060"/>
        <v>0.52649999999999997</v>
      </c>
      <c r="BG1525" s="321">
        <f t="shared" si="1061"/>
        <v>350.4735</v>
      </c>
      <c r="BH1525" s="321">
        <f t="shared" si="1062"/>
        <v>350.9</v>
      </c>
      <c r="BI1525" s="322">
        <f t="shared" si="1063"/>
        <v>10.000000000002274</v>
      </c>
      <c r="BJ1525" s="322">
        <v>0</v>
      </c>
      <c r="BK1525" s="318">
        <f t="shared" si="1064"/>
        <v>10.000000000002274</v>
      </c>
      <c r="BL1525" s="193"/>
      <c r="BM1525" s="449" t="str">
        <f t="shared" si="1065"/>
        <v>Unloading no. 1490 Bill No 2026-27/516 ,Deduction For Oil Deduction= 95315.3035714284 ,Bardana= 0 ,F.M= 0 Brokerage/Rate Difference 0 ,Shortage = 0 ,Greenish= 0 ,Moisture= 0</v>
      </c>
      <c r="BN1525" s="193"/>
      <c r="BO1525" s="449" t="str">
        <f t="shared" si="1066"/>
        <v xml:space="preserve"> Party Condition 42  ,F.M% 0.5 ,Greenish 3.3 ,Moisture 5.5 ,Shortage in KG= 0  ,Oil% 40.63</v>
      </c>
      <c r="BP1525" s="318">
        <f t="shared" si="1067"/>
        <v>8055.741511623175</v>
      </c>
      <c r="BQ1525" s="193"/>
      <c r="BR1525" s="193"/>
      <c r="BS1525" s="193"/>
      <c r="BT1525" s="193"/>
      <c r="BU1525" s="193"/>
      <c r="BV1525" s="193"/>
      <c r="BW1525" s="373"/>
      <c r="BX1525" s="27">
        <v>40.72</v>
      </c>
      <c r="BY1525" s="27">
        <v>40.6</v>
      </c>
      <c r="CO1525" s="57">
        <f t="shared" si="1070"/>
        <v>-8.9999999999996305E-2</v>
      </c>
      <c r="CP1525" s="57">
        <f t="shared" si="1071"/>
        <v>3.0000000000001137E-2</v>
      </c>
    </row>
    <row r="1526" spans="1:94" ht="14.1" hidden="1" customHeight="1" x14ac:dyDescent="0.3">
      <c r="A1526" s="281" t="s">
        <v>3128</v>
      </c>
      <c r="B1526" s="146">
        <v>46227</v>
      </c>
      <c r="C1526" s="281">
        <v>1491</v>
      </c>
      <c r="D1526" s="128" t="s">
        <v>3267</v>
      </c>
      <c r="E1526" s="129">
        <v>46231</v>
      </c>
      <c r="F1526" s="163" t="s">
        <v>1144</v>
      </c>
      <c r="G1526" s="128" t="s">
        <v>1145</v>
      </c>
      <c r="H1526" s="128" t="s">
        <v>100</v>
      </c>
      <c r="I1526" s="136"/>
      <c r="J1526" s="138" t="s">
        <v>1146</v>
      </c>
      <c r="K1526" s="136"/>
      <c r="L1526" s="146">
        <v>46227</v>
      </c>
      <c r="M1526" s="136"/>
      <c r="N1526" s="281" t="s">
        <v>3312</v>
      </c>
      <c r="O1526" s="129">
        <v>46231</v>
      </c>
      <c r="P1526" s="138">
        <v>0</v>
      </c>
      <c r="Q1526" s="138">
        <v>140</v>
      </c>
      <c r="R1526" s="138">
        <v>21</v>
      </c>
      <c r="S1526" s="138">
        <v>161</v>
      </c>
      <c r="T1526" s="138">
        <v>161</v>
      </c>
      <c r="U1526" s="136"/>
      <c r="V1526" s="136"/>
      <c r="W1526" s="147">
        <v>94.5</v>
      </c>
      <c r="X1526" s="147">
        <v>94.6</v>
      </c>
      <c r="Y1526" s="147">
        <v>787279.5</v>
      </c>
      <c r="Z1526" s="372">
        <v>40.06</v>
      </c>
      <c r="AA1526" s="147">
        <v>19681.990000000002</v>
      </c>
      <c r="AB1526" s="147">
        <v>19681.990000000002</v>
      </c>
      <c r="AC1526" s="147">
        <v>826643.48</v>
      </c>
      <c r="AD1526" s="315">
        <f t="shared" si="1050"/>
        <v>825816.83652000001</v>
      </c>
      <c r="AE1526" s="372">
        <v>40.06</v>
      </c>
      <c r="AF1526" s="147">
        <v>42</v>
      </c>
      <c r="AG1526" s="372">
        <v>40.06</v>
      </c>
      <c r="AH1526" s="287">
        <v>2.8E-3</v>
      </c>
      <c r="AI1526" s="287">
        <v>3.8199999999999998E-2</v>
      </c>
      <c r="AJ1526" s="287">
        <v>5.5E-2</v>
      </c>
      <c r="AK1526" s="318">
        <f t="shared" si="1051"/>
        <v>36364.814999999959</v>
      </c>
      <c r="AL1526" s="193">
        <v>0</v>
      </c>
      <c r="AM1526" s="319">
        <v>0</v>
      </c>
      <c r="AN1526" s="319">
        <v>0</v>
      </c>
      <c r="AO1526" s="320">
        <f t="shared" si="1052"/>
        <v>0</v>
      </c>
      <c r="AP1526" s="193">
        <v>0</v>
      </c>
      <c r="AQ1526" s="318">
        <v>0</v>
      </c>
      <c r="AR1526" s="318">
        <f t="shared" si="1053"/>
        <v>36364.814999999959</v>
      </c>
      <c r="AS1526" s="318">
        <f t="shared" si="1054"/>
        <v>38183</v>
      </c>
      <c r="AT1526" s="321">
        <v>0</v>
      </c>
      <c r="AU1526" s="193"/>
      <c r="AV1526" s="193"/>
      <c r="AW1526" s="318">
        <f t="shared" si="1055"/>
        <v>9450</v>
      </c>
      <c r="AX1526" s="193"/>
      <c r="AY1526" s="318">
        <f t="shared" si="1056"/>
        <v>9450</v>
      </c>
      <c r="AZ1526" s="318">
        <f t="shared" si="1057"/>
        <v>9460</v>
      </c>
      <c r="BA1526" s="318">
        <f t="shared" si="1058"/>
        <v>-10</v>
      </c>
      <c r="BB1526" s="318">
        <f t="shared" si="1059"/>
        <v>18.899999999999999</v>
      </c>
      <c r="BC1526" s="318">
        <v>0</v>
      </c>
      <c r="BD1526" s="193"/>
      <c r="BE1526" s="138">
        <v>94.5</v>
      </c>
      <c r="BF1526" s="321">
        <f t="shared" si="1060"/>
        <v>0.14174999999999999</v>
      </c>
      <c r="BG1526" s="321">
        <f t="shared" si="1061"/>
        <v>94.358249999999998</v>
      </c>
      <c r="BH1526" s="321">
        <f t="shared" si="1062"/>
        <v>94.6</v>
      </c>
      <c r="BI1526" s="322">
        <f t="shared" si="1063"/>
        <v>-9.9999999999994316</v>
      </c>
      <c r="BJ1526" s="322">
        <v>0</v>
      </c>
      <c r="BK1526" s="318">
        <f t="shared" si="1064"/>
        <v>-9.9999999999994316</v>
      </c>
      <c r="BL1526" s="193"/>
      <c r="BM1526" s="449" t="str">
        <f t="shared" si="1065"/>
        <v>Unloading no. 1491 Bill No 2026-27/527 ,Deduction For Oil Deduction= 36364.815 ,Bardana= 0 ,F.M= 0 Brokerage/Rate Difference 0 ,Shortage = 0 ,Greenish= 0 ,Moisture= 0</v>
      </c>
      <c r="BN1526" s="193"/>
      <c r="BO1526" s="449" t="str">
        <f t="shared" si="1066"/>
        <v xml:space="preserve"> Party Condition 42  ,F.M% 0.28 ,Greenish 3.82 ,Moisture 5.5 ,Shortage in KG= 0  ,Oil% 40.06</v>
      </c>
      <c r="BP1526" s="318">
        <f t="shared" si="1067"/>
        <v>7937.7873678646947</v>
      </c>
      <c r="BQ1526" s="193"/>
      <c r="BR1526" s="193"/>
      <c r="BS1526" s="193"/>
      <c r="BT1526" s="193"/>
      <c r="BU1526" s="193"/>
      <c r="BV1526" s="193"/>
      <c r="BW1526" s="373"/>
      <c r="BX1526" s="27">
        <v>40.08</v>
      </c>
      <c r="BY1526" s="27">
        <v>40.020000000000003</v>
      </c>
      <c r="CO1526" s="57">
        <f t="shared" si="1070"/>
        <v>-1.9999999999996021E-2</v>
      </c>
      <c r="CP1526" s="57">
        <f t="shared" si="1071"/>
        <v>3.9999999999999147E-2</v>
      </c>
    </row>
    <row r="1527" spans="1:94" ht="14.1" hidden="1" customHeight="1" x14ac:dyDescent="0.3">
      <c r="A1527" s="281" t="s">
        <v>3128</v>
      </c>
      <c r="B1527" s="146">
        <v>46227</v>
      </c>
      <c r="C1527" s="281">
        <v>1492</v>
      </c>
      <c r="D1527" s="128" t="s">
        <v>3268</v>
      </c>
      <c r="E1527" s="129">
        <v>46231</v>
      </c>
      <c r="F1527" s="163" t="s">
        <v>1144</v>
      </c>
      <c r="G1527" s="128" t="s">
        <v>1145</v>
      </c>
      <c r="H1527" s="128" t="s">
        <v>100</v>
      </c>
      <c r="I1527" s="136"/>
      <c r="J1527" s="138" t="s">
        <v>1146</v>
      </c>
      <c r="K1527" s="136"/>
      <c r="L1527" s="146">
        <v>46227</v>
      </c>
      <c r="M1527" s="136"/>
      <c r="N1527" s="281" t="s">
        <v>3313</v>
      </c>
      <c r="O1527" s="129">
        <v>46231</v>
      </c>
      <c r="P1527" s="138">
        <v>0</v>
      </c>
      <c r="Q1527" s="138">
        <v>140</v>
      </c>
      <c r="R1527" s="138">
        <v>21</v>
      </c>
      <c r="S1527" s="138">
        <v>161</v>
      </c>
      <c r="T1527" s="138">
        <v>161</v>
      </c>
      <c r="U1527" s="136"/>
      <c r="V1527" s="136"/>
      <c r="W1527" s="147">
        <v>94.8</v>
      </c>
      <c r="X1527" s="147">
        <v>94.8</v>
      </c>
      <c r="Y1527" s="147">
        <v>789778.8</v>
      </c>
      <c r="Z1527" s="372">
        <v>40.369999999999997</v>
      </c>
      <c r="AA1527" s="147">
        <v>19744.47</v>
      </c>
      <c r="AB1527" s="147">
        <v>19744.47</v>
      </c>
      <c r="AC1527" s="147">
        <v>829267.74</v>
      </c>
      <c r="AD1527" s="315">
        <f t="shared" si="1050"/>
        <v>828438.47225999995</v>
      </c>
      <c r="AE1527" s="372">
        <v>40.369999999999997</v>
      </c>
      <c r="AF1527" s="147">
        <v>42</v>
      </c>
      <c r="AG1527" s="372">
        <v>40.369999999999997</v>
      </c>
      <c r="AH1527" s="287">
        <v>3.5999999999999999E-3</v>
      </c>
      <c r="AI1527" s="287">
        <v>3.44E-2</v>
      </c>
      <c r="AJ1527" s="287">
        <v>5.6000000000000001E-2</v>
      </c>
      <c r="AK1527" s="318">
        <f t="shared" si="1051"/>
        <v>30650.939142857191</v>
      </c>
      <c r="AL1527" s="193">
        <v>0</v>
      </c>
      <c r="AM1527" s="319">
        <v>0</v>
      </c>
      <c r="AN1527" s="319">
        <v>0</v>
      </c>
      <c r="AO1527" s="320">
        <f t="shared" si="1052"/>
        <v>0</v>
      </c>
      <c r="AP1527" s="193">
        <v>0</v>
      </c>
      <c r="AQ1527" s="318">
        <v>0</v>
      </c>
      <c r="AR1527" s="318">
        <f t="shared" si="1053"/>
        <v>30650.939142857191</v>
      </c>
      <c r="AS1527" s="318">
        <f t="shared" si="1054"/>
        <v>32183</v>
      </c>
      <c r="AT1527" s="321">
        <v>0</v>
      </c>
      <c r="AU1527" s="193"/>
      <c r="AV1527" s="193"/>
      <c r="AW1527" s="318">
        <f t="shared" si="1055"/>
        <v>9480</v>
      </c>
      <c r="AX1527" s="193"/>
      <c r="AY1527" s="318">
        <f t="shared" si="1056"/>
        <v>9480</v>
      </c>
      <c r="AZ1527" s="318">
        <f t="shared" si="1057"/>
        <v>9480</v>
      </c>
      <c r="BA1527" s="318">
        <f t="shared" si="1058"/>
        <v>0</v>
      </c>
      <c r="BB1527" s="318">
        <f t="shared" si="1059"/>
        <v>18.96</v>
      </c>
      <c r="BC1527" s="318">
        <v>0</v>
      </c>
      <c r="BD1527" s="193"/>
      <c r="BE1527" s="138">
        <v>94.8</v>
      </c>
      <c r="BF1527" s="321">
        <f t="shared" si="1060"/>
        <v>0.14219999999999999</v>
      </c>
      <c r="BG1527" s="321">
        <f t="shared" si="1061"/>
        <v>94.657799999999995</v>
      </c>
      <c r="BH1527" s="321">
        <f t="shared" si="1062"/>
        <v>94.8</v>
      </c>
      <c r="BI1527" s="322">
        <f t="shared" si="1063"/>
        <v>0</v>
      </c>
      <c r="BJ1527" s="322">
        <v>0</v>
      </c>
      <c r="BK1527" s="318">
        <f t="shared" si="1064"/>
        <v>0</v>
      </c>
      <c r="BL1527" s="193"/>
      <c r="BM1527" s="449" t="str">
        <f t="shared" si="1065"/>
        <v>Unloading no. 1492 Bill No 2026-27/528 ,Deduction For Oil Deduction= 30650.9391428572 ,Bardana= 0 ,F.M= 0 Brokerage/Rate Difference 0 ,Shortage = 0 ,Greenish= 0 ,Moisture= 0</v>
      </c>
      <c r="BN1527" s="193"/>
      <c r="BO1527" s="449" t="str">
        <f t="shared" si="1066"/>
        <v xml:space="preserve"> Party Condition 42  ,F.M% 0.36 ,Greenish 3.44 ,Moisture 5.6 ,Shortage in KG= 0  ,Oil% 40.37</v>
      </c>
      <c r="BP1527" s="318">
        <f t="shared" si="1067"/>
        <v>8007.6778571428567</v>
      </c>
      <c r="BQ1527" s="193"/>
      <c r="BR1527" s="193"/>
      <c r="BS1527" s="193"/>
      <c r="BT1527" s="193"/>
      <c r="BU1527" s="193"/>
      <c r="BV1527" s="193"/>
      <c r="BW1527" s="373"/>
      <c r="BX1527" s="27">
        <v>39.92</v>
      </c>
      <c r="BY1527" s="27">
        <v>40.020000000000003</v>
      </c>
      <c r="CO1527" s="57">
        <f t="shared" si="1070"/>
        <v>0.44999999999999574</v>
      </c>
      <c r="CP1527" s="57">
        <f t="shared" si="1071"/>
        <v>0.34999999999999432</v>
      </c>
    </row>
    <row r="1528" spans="1:94" ht="14.1" hidden="1" customHeight="1" x14ac:dyDescent="0.3">
      <c r="A1528" s="281" t="s">
        <v>3128</v>
      </c>
      <c r="B1528" s="146">
        <v>46227</v>
      </c>
      <c r="C1528" s="281">
        <v>1493</v>
      </c>
      <c r="D1528" s="128" t="s">
        <v>3269</v>
      </c>
      <c r="E1528" s="129">
        <v>46231</v>
      </c>
      <c r="F1528" s="163" t="s">
        <v>1144</v>
      </c>
      <c r="G1528" s="128" t="s">
        <v>1145</v>
      </c>
      <c r="H1528" s="128" t="s">
        <v>100</v>
      </c>
      <c r="I1528" s="136"/>
      <c r="J1528" s="138" t="s">
        <v>1146</v>
      </c>
      <c r="K1528" s="136"/>
      <c r="L1528" s="146">
        <v>46227</v>
      </c>
      <c r="M1528" s="136"/>
      <c r="N1528" s="281" t="s">
        <v>3314</v>
      </c>
      <c r="O1528" s="129">
        <v>46231</v>
      </c>
      <c r="P1528" s="138">
        <v>0</v>
      </c>
      <c r="Q1528" s="138">
        <v>120</v>
      </c>
      <c r="R1528" s="138">
        <v>41</v>
      </c>
      <c r="S1528" s="138">
        <v>161</v>
      </c>
      <c r="T1528" s="138">
        <v>161</v>
      </c>
      <c r="U1528" s="136"/>
      <c r="V1528" s="136"/>
      <c r="W1528" s="147">
        <v>94.9</v>
      </c>
      <c r="X1528" s="147">
        <v>94.9</v>
      </c>
      <c r="Y1528" s="147">
        <v>790611.9</v>
      </c>
      <c r="Z1528" s="372">
        <v>40.08</v>
      </c>
      <c r="AA1528" s="147">
        <v>19765.3</v>
      </c>
      <c r="AB1528" s="147">
        <v>19765.3</v>
      </c>
      <c r="AC1528" s="147">
        <v>830142.5</v>
      </c>
      <c r="AD1528" s="315">
        <f t="shared" si="1050"/>
        <v>829312.35750000004</v>
      </c>
      <c r="AE1528" s="372">
        <v>40.08</v>
      </c>
      <c r="AF1528" s="147">
        <v>42</v>
      </c>
      <c r="AG1528" s="372">
        <v>40.08</v>
      </c>
      <c r="AH1528" s="287">
        <v>3.0000000000000001E-3</v>
      </c>
      <c r="AI1528" s="287">
        <v>3.2199999999999999E-2</v>
      </c>
      <c r="AJ1528" s="287">
        <v>5.7000000000000002E-2</v>
      </c>
      <c r="AK1528" s="318">
        <f t="shared" si="1051"/>
        <v>36142.258285714321</v>
      </c>
      <c r="AL1528" s="193">
        <v>0</v>
      </c>
      <c r="AM1528" s="319">
        <v>0</v>
      </c>
      <c r="AN1528" s="319">
        <v>0</v>
      </c>
      <c r="AO1528" s="320">
        <f t="shared" si="1052"/>
        <v>0</v>
      </c>
      <c r="AP1528" s="193">
        <v>0</v>
      </c>
      <c r="AQ1528" s="318">
        <v>0</v>
      </c>
      <c r="AR1528" s="318">
        <f t="shared" si="1053"/>
        <v>36142.258285714321</v>
      </c>
      <c r="AS1528" s="318">
        <f t="shared" si="1054"/>
        <v>37949</v>
      </c>
      <c r="AT1528" s="321">
        <v>0</v>
      </c>
      <c r="AU1528" s="193"/>
      <c r="AV1528" s="193"/>
      <c r="AW1528" s="318">
        <f t="shared" si="1055"/>
        <v>9490</v>
      </c>
      <c r="AX1528" s="193"/>
      <c r="AY1528" s="318">
        <f t="shared" si="1056"/>
        <v>9490</v>
      </c>
      <c r="AZ1528" s="318">
        <f t="shared" si="1057"/>
        <v>9490</v>
      </c>
      <c r="BA1528" s="318">
        <f t="shared" si="1058"/>
        <v>0</v>
      </c>
      <c r="BB1528" s="318">
        <f t="shared" si="1059"/>
        <v>18.98</v>
      </c>
      <c r="BC1528" s="318">
        <v>0</v>
      </c>
      <c r="BD1528" s="193"/>
      <c r="BE1528" s="138">
        <v>94.9</v>
      </c>
      <c r="BF1528" s="321">
        <f t="shared" si="1060"/>
        <v>0.14235</v>
      </c>
      <c r="BG1528" s="321">
        <f t="shared" si="1061"/>
        <v>94.757650000000012</v>
      </c>
      <c r="BH1528" s="321">
        <f t="shared" si="1062"/>
        <v>94.9</v>
      </c>
      <c r="BI1528" s="322">
        <f t="shared" si="1063"/>
        <v>0</v>
      </c>
      <c r="BJ1528" s="322">
        <v>0</v>
      </c>
      <c r="BK1528" s="318">
        <f t="shared" si="1064"/>
        <v>0</v>
      </c>
      <c r="BL1528" s="193"/>
      <c r="BM1528" s="449" t="str">
        <f t="shared" si="1065"/>
        <v>Unloading no. 1493 Bill No 2026-27/529 ,Deduction For Oil Deduction= 36142.2582857143 ,Bardana= 0 ,F.M= 0 Brokerage/Rate Difference 0 ,Shortage = 0 ,Greenish= 0 ,Moisture= 0</v>
      </c>
      <c r="BN1528" s="193"/>
      <c r="BO1528" s="449" t="str">
        <f t="shared" si="1066"/>
        <v xml:space="preserve"> Party Condition 42  ,F.M% 0.3 ,Greenish 3.22 ,Moisture 5.7 ,Shortage in KG= 0  ,Oil% 40.08</v>
      </c>
      <c r="BP1528" s="318">
        <f t="shared" si="1067"/>
        <v>7950.1542857142849</v>
      </c>
      <c r="BQ1528" s="193"/>
      <c r="BR1528" s="193"/>
      <c r="BS1528" s="193"/>
      <c r="BT1528" s="193"/>
      <c r="BU1528" s="193"/>
      <c r="BV1528" s="193"/>
      <c r="BW1528" s="373"/>
      <c r="BX1528" s="27">
        <v>39.85</v>
      </c>
      <c r="BY1528" s="27">
        <v>39.85</v>
      </c>
      <c r="CO1528" s="57">
        <f t="shared" si="1070"/>
        <v>0.22999999999999687</v>
      </c>
      <c r="CP1528" s="57">
        <f t="shared" si="1071"/>
        <v>0.22999999999999687</v>
      </c>
    </row>
    <row r="1529" spans="1:94" ht="14.1" hidden="1" customHeight="1" x14ac:dyDescent="0.3">
      <c r="A1529" s="281" t="s">
        <v>3128</v>
      </c>
      <c r="B1529" s="146">
        <v>46227</v>
      </c>
      <c r="C1529" s="281">
        <v>1494</v>
      </c>
      <c r="D1529" s="128" t="s">
        <v>3270</v>
      </c>
      <c r="E1529" s="129">
        <v>46231</v>
      </c>
      <c r="F1529" s="163" t="s">
        <v>1144</v>
      </c>
      <c r="G1529" s="128" t="s">
        <v>1145</v>
      </c>
      <c r="H1529" s="128" t="s">
        <v>100</v>
      </c>
      <c r="I1529" s="136"/>
      <c r="J1529" s="138" t="s">
        <v>1146</v>
      </c>
      <c r="K1529" s="136"/>
      <c r="L1529" s="146">
        <v>46227</v>
      </c>
      <c r="M1529" s="136"/>
      <c r="N1529" s="281" t="s">
        <v>3315</v>
      </c>
      <c r="O1529" s="129">
        <v>46231</v>
      </c>
      <c r="P1529" s="138">
        <v>0</v>
      </c>
      <c r="Q1529" s="138">
        <v>141</v>
      </c>
      <c r="R1529" s="138">
        <v>20</v>
      </c>
      <c r="S1529" s="138">
        <v>161</v>
      </c>
      <c r="T1529" s="138">
        <v>161</v>
      </c>
      <c r="U1529" s="136"/>
      <c r="V1529" s="136"/>
      <c r="W1529" s="147">
        <v>95.4</v>
      </c>
      <c r="X1529" s="147">
        <v>95.4</v>
      </c>
      <c r="Y1529" s="147">
        <v>794777.4</v>
      </c>
      <c r="Z1529" s="372">
        <v>39.85</v>
      </c>
      <c r="AA1529" s="147">
        <v>19869.439999999999</v>
      </c>
      <c r="AB1529" s="147">
        <v>19869.439999999999</v>
      </c>
      <c r="AC1529" s="147">
        <v>834516.27</v>
      </c>
      <c r="AD1529" s="315">
        <f t="shared" si="1050"/>
        <v>833681.75373</v>
      </c>
      <c r="AE1529" s="372">
        <v>39.85</v>
      </c>
      <c r="AF1529" s="147">
        <v>42</v>
      </c>
      <c r="AG1529" s="372">
        <v>39.85</v>
      </c>
      <c r="AH1529" s="287">
        <v>2.3999999999999998E-3</v>
      </c>
      <c r="AI1529" s="287">
        <v>2.6700000000000002E-2</v>
      </c>
      <c r="AJ1529" s="287">
        <v>0.06</v>
      </c>
      <c r="AK1529" s="318">
        <f t="shared" si="1051"/>
        <v>40685.033571428547</v>
      </c>
      <c r="AL1529" s="193">
        <v>0</v>
      </c>
      <c r="AM1529" s="319">
        <v>0</v>
      </c>
      <c r="AN1529" s="319">
        <v>0</v>
      </c>
      <c r="AO1529" s="320">
        <f t="shared" si="1052"/>
        <v>0</v>
      </c>
      <c r="AP1529" s="193">
        <v>0</v>
      </c>
      <c r="AQ1529" s="318">
        <v>0</v>
      </c>
      <c r="AR1529" s="318">
        <f t="shared" si="1053"/>
        <v>40685.033571428547</v>
      </c>
      <c r="AS1529" s="318">
        <f t="shared" si="1054"/>
        <v>42719</v>
      </c>
      <c r="AT1529" s="321">
        <v>0</v>
      </c>
      <c r="AU1529" s="193"/>
      <c r="AV1529" s="193"/>
      <c r="AW1529" s="318">
        <f t="shared" si="1055"/>
        <v>9540</v>
      </c>
      <c r="AX1529" s="193"/>
      <c r="AY1529" s="318">
        <f t="shared" si="1056"/>
        <v>9540</v>
      </c>
      <c r="AZ1529" s="318">
        <f t="shared" si="1057"/>
        <v>9540</v>
      </c>
      <c r="BA1529" s="318">
        <f t="shared" si="1058"/>
        <v>0</v>
      </c>
      <c r="BB1529" s="318">
        <f t="shared" si="1059"/>
        <v>19.079999999999998</v>
      </c>
      <c r="BC1529" s="318">
        <v>0</v>
      </c>
      <c r="BD1529" s="193"/>
      <c r="BE1529" s="138">
        <v>95.4</v>
      </c>
      <c r="BF1529" s="321">
        <f t="shared" si="1060"/>
        <v>0.1431</v>
      </c>
      <c r="BG1529" s="321">
        <f t="shared" si="1061"/>
        <v>95.256900000000002</v>
      </c>
      <c r="BH1529" s="321">
        <f t="shared" si="1062"/>
        <v>95.4</v>
      </c>
      <c r="BI1529" s="322">
        <f t="shared" si="1063"/>
        <v>0</v>
      </c>
      <c r="BJ1529" s="322">
        <v>0</v>
      </c>
      <c r="BK1529" s="318">
        <f t="shared" si="1064"/>
        <v>0</v>
      </c>
      <c r="BL1529" s="193"/>
      <c r="BM1529" s="449" t="str">
        <f t="shared" si="1065"/>
        <v>Unloading no. 1494 Bill No 2026-27/532 ,Deduction For Oil Deduction= 40685.0335714285 ,Bardana= 0 ,F.M= 0 Brokerage/Rate Difference 0 ,Shortage = 0 ,Greenish= 0 ,Moisture= 0</v>
      </c>
      <c r="BN1529" s="193"/>
      <c r="BO1529" s="449" t="str">
        <f t="shared" si="1066"/>
        <v xml:space="preserve"> Party Condition 42  ,F.M% 0.24 ,Greenish 2.67 ,Moisture 6 ,Shortage in KG= 0  ,Oil% 39.85</v>
      </c>
      <c r="BP1529" s="318">
        <f t="shared" si="1067"/>
        <v>7904.5321428571433</v>
      </c>
      <c r="BQ1529" s="193"/>
      <c r="BR1529" s="193"/>
      <c r="BS1529" s="193"/>
      <c r="BT1529" s="193"/>
      <c r="BU1529" s="193"/>
      <c r="BV1529" s="193"/>
      <c r="BW1529" s="373"/>
      <c r="BX1529" s="27">
        <v>39.549999999999997</v>
      </c>
      <c r="BY1529" s="27">
        <v>39.520000000000003</v>
      </c>
      <c r="CO1529" s="57">
        <f t="shared" si="1070"/>
        <v>0.30000000000000426</v>
      </c>
      <c r="CP1529" s="57">
        <f t="shared" si="1071"/>
        <v>0.32999999999999829</v>
      </c>
    </row>
    <row r="1530" spans="1:94" ht="14.1" hidden="1" customHeight="1" x14ac:dyDescent="0.3">
      <c r="A1530" s="281" t="s">
        <v>3128</v>
      </c>
      <c r="B1530" s="146">
        <v>46227</v>
      </c>
      <c r="C1530" s="281">
        <v>1495</v>
      </c>
      <c r="D1530" s="128" t="s">
        <v>3271</v>
      </c>
      <c r="E1530" s="129">
        <v>46231</v>
      </c>
      <c r="F1530" s="163" t="s">
        <v>1144</v>
      </c>
      <c r="G1530" s="128" t="s">
        <v>1145</v>
      </c>
      <c r="H1530" s="128" t="s">
        <v>100</v>
      </c>
      <c r="I1530" s="136"/>
      <c r="J1530" s="138" t="s">
        <v>1146</v>
      </c>
      <c r="K1530" s="136"/>
      <c r="L1530" s="146">
        <v>46227</v>
      </c>
      <c r="M1530" s="136"/>
      <c r="N1530" s="281" t="s">
        <v>3316</v>
      </c>
      <c r="O1530" s="129">
        <v>46231</v>
      </c>
      <c r="P1530" s="138">
        <v>0</v>
      </c>
      <c r="Q1530" s="138">
        <v>140</v>
      </c>
      <c r="R1530" s="138">
        <v>21</v>
      </c>
      <c r="S1530" s="138">
        <v>161</v>
      </c>
      <c r="T1530" s="138">
        <v>161</v>
      </c>
      <c r="U1530" s="136"/>
      <c r="V1530" s="136"/>
      <c r="W1530" s="147">
        <v>96.2</v>
      </c>
      <c r="X1530" s="147">
        <v>96.3</v>
      </c>
      <c r="Y1530" s="147">
        <v>801442.2</v>
      </c>
      <c r="Z1530" s="372">
        <v>39.950000000000003</v>
      </c>
      <c r="AA1530" s="147">
        <v>20036.060000000001</v>
      </c>
      <c r="AB1530" s="147">
        <v>20036.060000000001</v>
      </c>
      <c r="AC1530" s="147">
        <v>841514.31</v>
      </c>
      <c r="AD1530" s="315">
        <f t="shared" si="1050"/>
        <v>840672.79569000006</v>
      </c>
      <c r="AE1530" s="372">
        <v>39.950000000000003</v>
      </c>
      <c r="AF1530" s="147">
        <v>42</v>
      </c>
      <c r="AG1530" s="372">
        <v>39.950000000000003</v>
      </c>
      <c r="AH1530" s="287">
        <v>2.2000000000000001E-3</v>
      </c>
      <c r="AI1530" s="287">
        <v>2.4E-2</v>
      </c>
      <c r="AJ1530" s="287">
        <v>5.7000000000000002E-2</v>
      </c>
      <c r="AK1530" s="318">
        <f t="shared" si="1051"/>
        <v>39118.012142857086</v>
      </c>
      <c r="AL1530" s="193">
        <v>0</v>
      </c>
      <c r="AM1530" s="319">
        <v>0</v>
      </c>
      <c r="AN1530" s="319">
        <v>0</v>
      </c>
      <c r="AO1530" s="320">
        <f t="shared" si="1052"/>
        <v>0</v>
      </c>
      <c r="AP1530" s="193">
        <v>0</v>
      </c>
      <c r="AQ1530" s="318">
        <v>0</v>
      </c>
      <c r="AR1530" s="318">
        <f t="shared" si="1053"/>
        <v>39118.012142857086</v>
      </c>
      <c r="AS1530" s="318">
        <f t="shared" si="1054"/>
        <v>41074</v>
      </c>
      <c r="AT1530" s="321">
        <v>0</v>
      </c>
      <c r="AU1530" s="193"/>
      <c r="AV1530" s="193"/>
      <c r="AW1530" s="318">
        <f t="shared" si="1055"/>
        <v>9620</v>
      </c>
      <c r="AX1530" s="193"/>
      <c r="AY1530" s="318">
        <f t="shared" si="1056"/>
        <v>9620</v>
      </c>
      <c r="AZ1530" s="318">
        <f t="shared" si="1057"/>
        <v>9630</v>
      </c>
      <c r="BA1530" s="318">
        <f t="shared" si="1058"/>
        <v>-10</v>
      </c>
      <c r="BB1530" s="318">
        <f t="shared" si="1059"/>
        <v>19.239999999999998</v>
      </c>
      <c r="BC1530" s="318">
        <v>0</v>
      </c>
      <c r="BD1530" s="193"/>
      <c r="BE1530" s="138">
        <v>96.2</v>
      </c>
      <c r="BF1530" s="321">
        <f t="shared" si="1060"/>
        <v>0.14429999999999998</v>
      </c>
      <c r="BG1530" s="321">
        <f t="shared" si="1061"/>
        <v>96.055700000000002</v>
      </c>
      <c r="BH1530" s="321">
        <f t="shared" si="1062"/>
        <v>96.3</v>
      </c>
      <c r="BI1530" s="322">
        <f t="shared" si="1063"/>
        <v>-9.9999999999994316</v>
      </c>
      <c r="BJ1530" s="322">
        <v>0</v>
      </c>
      <c r="BK1530" s="318">
        <f t="shared" si="1064"/>
        <v>-9.9999999999994316</v>
      </c>
      <c r="BL1530" s="193"/>
      <c r="BM1530" s="449" t="str">
        <f t="shared" si="1065"/>
        <v>Unloading no. 1495 Bill No 2026-27/533 ,Deduction For Oil Deduction= 39118.0121428571 ,Bardana= 0 ,F.M= 0 Brokerage/Rate Difference 0 ,Shortage = 0 ,Greenish= 0 ,Moisture= 0</v>
      </c>
      <c r="BN1530" s="193"/>
      <c r="BO1530" s="449" t="str">
        <f t="shared" si="1066"/>
        <v xml:space="preserve"> Party Condition 42  ,F.M% 0.22 ,Greenish 2.4 ,Moisture 5.7 ,Shortage in KG= 0  ,Oil% 39.95</v>
      </c>
      <c r="BP1530" s="318">
        <f t="shared" si="1067"/>
        <v>7916.139022400238</v>
      </c>
      <c r="BQ1530" s="193"/>
      <c r="BR1530" s="193"/>
      <c r="BS1530" s="193"/>
      <c r="BT1530" s="193"/>
      <c r="BU1530" s="193"/>
      <c r="BV1530" s="193"/>
      <c r="BW1530" s="373"/>
      <c r="BX1530" s="27">
        <v>39.65</v>
      </c>
      <c r="BY1530" s="27">
        <v>39.75</v>
      </c>
      <c r="CO1530" s="57">
        <f t="shared" si="1070"/>
        <v>0.30000000000000426</v>
      </c>
      <c r="CP1530" s="57">
        <f t="shared" si="1071"/>
        <v>0.20000000000000284</v>
      </c>
    </row>
    <row r="1531" spans="1:94" ht="14.1" hidden="1" customHeight="1" x14ac:dyDescent="0.3">
      <c r="A1531" s="281" t="s">
        <v>3128</v>
      </c>
      <c r="B1531" s="146">
        <v>46227</v>
      </c>
      <c r="C1531" s="281">
        <v>1496</v>
      </c>
      <c r="D1531" s="128" t="s">
        <v>3272</v>
      </c>
      <c r="E1531" s="129">
        <v>46231</v>
      </c>
      <c r="F1531" s="163" t="s">
        <v>1144</v>
      </c>
      <c r="G1531" s="128" t="s">
        <v>1145</v>
      </c>
      <c r="H1531" s="128" t="s">
        <v>100</v>
      </c>
      <c r="I1531" s="136"/>
      <c r="J1531" s="138" t="s">
        <v>1146</v>
      </c>
      <c r="K1531" s="136"/>
      <c r="L1531" s="146">
        <v>46227</v>
      </c>
      <c r="M1531" s="136"/>
      <c r="N1531" s="281" t="s">
        <v>3317</v>
      </c>
      <c r="O1531" s="129">
        <v>46231</v>
      </c>
      <c r="P1531" s="138">
        <v>0</v>
      </c>
      <c r="Q1531" s="138">
        <v>140</v>
      </c>
      <c r="R1531" s="138">
        <v>21</v>
      </c>
      <c r="S1531" s="138">
        <v>161</v>
      </c>
      <c r="T1531" s="138">
        <v>161</v>
      </c>
      <c r="U1531" s="136"/>
      <c r="V1531" s="136"/>
      <c r="W1531" s="147">
        <v>96.8</v>
      </c>
      <c r="X1531" s="147">
        <v>96.8</v>
      </c>
      <c r="Y1531" s="147">
        <v>806440.8</v>
      </c>
      <c r="Z1531" s="372">
        <v>40.090000000000003</v>
      </c>
      <c r="AA1531" s="147">
        <v>20161.02</v>
      </c>
      <c r="AB1531" s="147">
        <v>20161.02</v>
      </c>
      <c r="AC1531" s="147">
        <v>846762.84</v>
      </c>
      <c r="AD1531" s="315">
        <f t="shared" si="1050"/>
        <v>845916.07715999999</v>
      </c>
      <c r="AE1531" s="372">
        <v>40.090000000000003</v>
      </c>
      <c r="AF1531" s="147">
        <v>42</v>
      </c>
      <c r="AG1531" s="372">
        <v>40.090000000000003</v>
      </c>
      <c r="AH1531" s="287">
        <v>2.5999999999999999E-3</v>
      </c>
      <c r="AI1531" s="287">
        <v>3.9199999999999999E-2</v>
      </c>
      <c r="AJ1531" s="287">
        <v>5.6000000000000001E-2</v>
      </c>
      <c r="AK1531" s="318">
        <f t="shared" si="1051"/>
        <v>36673.855428571362</v>
      </c>
      <c r="AL1531" s="193">
        <v>0</v>
      </c>
      <c r="AM1531" s="319">
        <v>0</v>
      </c>
      <c r="AN1531" s="319">
        <v>0</v>
      </c>
      <c r="AO1531" s="320">
        <f t="shared" si="1052"/>
        <v>0</v>
      </c>
      <c r="AP1531" s="193">
        <v>0</v>
      </c>
      <c r="AQ1531" s="318">
        <v>0</v>
      </c>
      <c r="AR1531" s="318">
        <f t="shared" si="1053"/>
        <v>36673.855428571362</v>
      </c>
      <c r="AS1531" s="318">
        <f t="shared" si="1054"/>
        <v>38508</v>
      </c>
      <c r="AT1531" s="321">
        <v>0</v>
      </c>
      <c r="AU1531" s="193"/>
      <c r="AV1531" s="193"/>
      <c r="AW1531" s="318">
        <f t="shared" si="1055"/>
        <v>9680</v>
      </c>
      <c r="AX1531" s="193"/>
      <c r="AY1531" s="318">
        <f t="shared" si="1056"/>
        <v>9680</v>
      </c>
      <c r="AZ1531" s="318">
        <f t="shared" si="1057"/>
        <v>9680</v>
      </c>
      <c r="BA1531" s="318">
        <f t="shared" si="1058"/>
        <v>0</v>
      </c>
      <c r="BB1531" s="318">
        <f t="shared" si="1059"/>
        <v>19.36</v>
      </c>
      <c r="BC1531" s="318">
        <v>0</v>
      </c>
      <c r="BD1531" s="193"/>
      <c r="BE1531" s="138">
        <v>96.8</v>
      </c>
      <c r="BF1531" s="321">
        <f t="shared" si="1060"/>
        <v>0.1452</v>
      </c>
      <c r="BG1531" s="321">
        <f t="shared" si="1061"/>
        <v>96.654799999999994</v>
      </c>
      <c r="BH1531" s="321">
        <f t="shared" si="1062"/>
        <v>96.8</v>
      </c>
      <c r="BI1531" s="322">
        <f t="shared" si="1063"/>
        <v>0</v>
      </c>
      <c r="BJ1531" s="322">
        <v>0</v>
      </c>
      <c r="BK1531" s="318">
        <f t="shared" si="1064"/>
        <v>0</v>
      </c>
      <c r="BL1531" s="193"/>
      <c r="BM1531" s="449" t="str">
        <f t="shared" si="1065"/>
        <v>Unloading no. 1496 Bill No 2026-27/534 ,Deduction For Oil Deduction= 36673.8554285714 ,Bardana= 0 ,F.M= 0 Brokerage/Rate Difference 0 ,Shortage = 0 ,Greenish= 0 ,Moisture= 0</v>
      </c>
      <c r="BN1531" s="193"/>
      <c r="BO1531" s="449" t="str">
        <f t="shared" si="1066"/>
        <v xml:space="preserve"> Party Condition 42  ,F.M% 0.26 ,Greenish 3.92 ,Moisture 5.6 ,Shortage in KG= 0  ,Oil% 40.09</v>
      </c>
      <c r="BP1531" s="318">
        <f t="shared" si="1067"/>
        <v>7952.1378571428586</v>
      </c>
      <c r="BQ1531" s="193"/>
      <c r="BR1531" s="193"/>
      <c r="BS1531" s="193"/>
      <c r="BT1531" s="193"/>
      <c r="BU1531" s="193"/>
      <c r="BV1531" s="193"/>
      <c r="BW1531" s="373"/>
      <c r="BX1531" s="27">
        <v>39.799999999999997</v>
      </c>
      <c r="BY1531" s="27">
        <v>39.85</v>
      </c>
      <c r="CO1531" s="57">
        <f t="shared" si="1070"/>
        <v>0.29000000000000625</v>
      </c>
      <c r="CP1531" s="57">
        <f t="shared" si="1071"/>
        <v>0.24000000000000199</v>
      </c>
    </row>
    <row r="1532" spans="1:94" ht="14.1" hidden="1" customHeight="1" x14ac:dyDescent="0.3">
      <c r="A1532" s="281" t="s">
        <v>3128</v>
      </c>
      <c r="B1532" s="146">
        <v>46227</v>
      </c>
      <c r="C1532" s="281">
        <v>1497</v>
      </c>
      <c r="D1532" s="128" t="s">
        <v>3273</v>
      </c>
      <c r="E1532" s="129">
        <v>46231</v>
      </c>
      <c r="F1532" s="163" t="s">
        <v>1144</v>
      </c>
      <c r="G1532" s="128" t="s">
        <v>1145</v>
      </c>
      <c r="H1532" s="128" t="s">
        <v>100</v>
      </c>
      <c r="I1532" s="136"/>
      <c r="J1532" s="138" t="s">
        <v>1146</v>
      </c>
      <c r="K1532" s="136"/>
      <c r="L1532" s="146">
        <v>46227</v>
      </c>
      <c r="M1532" s="136"/>
      <c r="N1532" s="281" t="s">
        <v>3318</v>
      </c>
      <c r="O1532" s="129">
        <v>46231</v>
      </c>
      <c r="P1532" s="138">
        <v>0</v>
      </c>
      <c r="Q1532" s="138">
        <v>150</v>
      </c>
      <c r="R1532" s="138">
        <v>11</v>
      </c>
      <c r="S1532" s="138">
        <v>161</v>
      </c>
      <c r="T1532" s="138">
        <v>161</v>
      </c>
      <c r="U1532" s="136"/>
      <c r="V1532" s="136"/>
      <c r="W1532" s="147">
        <v>96.3</v>
      </c>
      <c r="X1532" s="147">
        <v>96.3</v>
      </c>
      <c r="Y1532" s="147">
        <v>802275.3</v>
      </c>
      <c r="Z1532" s="372">
        <v>40.64</v>
      </c>
      <c r="AA1532" s="147">
        <v>20056.88</v>
      </c>
      <c r="AB1532" s="147">
        <v>20056.88</v>
      </c>
      <c r="AC1532" s="147">
        <v>842389.07</v>
      </c>
      <c r="AD1532" s="315">
        <f t="shared" si="1050"/>
        <v>841546.68092999991</v>
      </c>
      <c r="AE1532" s="372">
        <v>40.64</v>
      </c>
      <c r="AF1532" s="147">
        <v>42</v>
      </c>
      <c r="AG1532" s="372">
        <v>40.64</v>
      </c>
      <c r="AH1532" s="287">
        <v>2.8E-3</v>
      </c>
      <c r="AI1532" s="287">
        <v>4.53E-2</v>
      </c>
      <c r="AJ1532" s="287">
        <v>5.5E-2</v>
      </c>
      <c r="AK1532" s="318">
        <f t="shared" si="1051"/>
        <v>25978.438285714274</v>
      </c>
      <c r="AL1532" s="193">
        <v>0</v>
      </c>
      <c r="AM1532" s="319">
        <v>0</v>
      </c>
      <c r="AN1532" s="319">
        <v>0</v>
      </c>
      <c r="AO1532" s="320">
        <f t="shared" si="1052"/>
        <v>0</v>
      </c>
      <c r="AP1532" s="193">
        <v>0</v>
      </c>
      <c r="AQ1532" s="318">
        <v>0</v>
      </c>
      <c r="AR1532" s="318">
        <f t="shared" si="1053"/>
        <v>25978.438285714274</v>
      </c>
      <c r="AS1532" s="318">
        <f t="shared" si="1054"/>
        <v>27277</v>
      </c>
      <c r="AT1532" s="321">
        <v>0</v>
      </c>
      <c r="AU1532" s="193"/>
      <c r="AV1532" s="193"/>
      <c r="AW1532" s="318">
        <f t="shared" si="1055"/>
        <v>9630</v>
      </c>
      <c r="AX1532" s="193"/>
      <c r="AY1532" s="318">
        <f t="shared" si="1056"/>
        <v>9630</v>
      </c>
      <c r="AZ1532" s="318">
        <f t="shared" si="1057"/>
        <v>9630</v>
      </c>
      <c r="BA1532" s="318">
        <f t="shared" si="1058"/>
        <v>0</v>
      </c>
      <c r="BB1532" s="318">
        <f t="shared" si="1059"/>
        <v>19.260000000000002</v>
      </c>
      <c r="BC1532" s="318">
        <v>0</v>
      </c>
      <c r="BD1532" s="193"/>
      <c r="BE1532" s="138">
        <v>96.3</v>
      </c>
      <c r="BF1532" s="321">
        <f t="shared" si="1060"/>
        <v>0.14445</v>
      </c>
      <c r="BG1532" s="321">
        <f t="shared" si="1061"/>
        <v>96.155549999999991</v>
      </c>
      <c r="BH1532" s="321">
        <f t="shared" si="1062"/>
        <v>96.3</v>
      </c>
      <c r="BI1532" s="322">
        <f t="shared" si="1063"/>
        <v>0</v>
      </c>
      <c r="BJ1532" s="322">
        <v>0</v>
      </c>
      <c r="BK1532" s="318">
        <f t="shared" si="1064"/>
        <v>0</v>
      </c>
      <c r="BL1532" s="193"/>
      <c r="BM1532" s="449" t="str">
        <f t="shared" si="1065"/>
        <v>Unloading no. 1497 Bill No 2026-27/537 ,Deduction For Oil Deduction= 25978.4382857143 ,Bardana= 0 ,F.M= 0 Brokerage/Rate Difference 0 ,Shortage = 0 ,Greenish= 0 ,Moisture= 0</v>
      </c>
      <c r="BN1532" s="193"/>
      <c r="BO1532" s="449" t="str">
        <f t="shared" si="1066"/>
        <v xml:space="preserve"> Party Condition 42  ,F.M% 0.28 ,Greenish 4.53 ,Moisture 5.5 ,Shortage in KG= 0  ,Oil% 40.64</v>
      </c>
      <c r="BP1532" s="318">
        <f t="shared" si="1067"/>
        <v>8061.2342857142867</v>
      </c>
      <c r="BQ1532" s="193"/>
      <c r="BR1532" s="193"/>
      <c r="BS1532" s="193"/>
      <c r="BT1532" s="193"/>
      <c r="BU1532" s="193"/>
      <c r="BV1532" s="193"/>
      <c r="BW1532" s="373"/>
      <c r="BX1532" s="27">
        <v>40.520000000000003</v>
      </c>
      <c r="BY1532" s="27">
        <v>40.5</v>
      </c>
      <c r="CO1532" s="57">
        <f t="shared" si="1070"/>
        <v>0.11999999999999744</v>
      </c>
      <c r="CP1532" s="57">
        <f t="shared" si="1071"/>
        <v>0.14000000000000057</v>
      </c>
    </row>
    <row r="1533" spans="1:94" ht="14.1" hidden="1" customHeight="1" x14ac:dyDescent="0.3">
      <c r="A1533" s="281" t="s">
        <v>3128</v>
      </c>
      <c r="B1533" s="146">
        <v>46227</v>
      </c>
      <c r="C1533" s="281">
        <v>1498</v>
      </c>
      <c r="D1533" s="128" t="s">
        <v>3274</v>
      </c>
      <c r="E1533" s="129">
        <v>46231</v>
      </c>
      <c r="F1533" s="163" t="s">
        <v>1144</v>
      </c>
      <c r="G1533" s="128" t="s">
        <v>1145</v>
      </c>
      <c r="H1533" s="128" t="s">
        <v>100</v>
      </c>
      <c r="I1533" s="136"/>
      <c r="J1533" s="138" t="s">
        <v>1146</v>
      </c>
      <c r="K1533" s="136"/>
      <c r="L1533" s="146">
        <v>46227</v>
      </c>
      <c r="M1533" s="136"/>
      <c r="N1533" s="281" t="s">
        <v>3319</v>
      </c>
      <c r="O1533" s="129">
        <v>46231</v>
      </c>
      <c r="P1533" s="138">
        <v>0</v>
      </c>
      <c r="Q1533" s="138">
        <v>90</v>
      </c>
      <c r="R1533" s="138">
        <v>4</v>
      </c>
      <c r="S1533" s="138">
        <v>94</v>
      </c>
      <c r="T1533" s="138">
        <v>94</v>
      </c>
      <c r="U1533" s="136"/>
      <c r="V1533" s="136"/>
      <c r="W1533" s="147">
        <v>54.5</v>
      </c>
      <c r="X1533" s="147">
        <v>54.4</v>
      </c>
      <c r="Y1533" s="147">
        <v>454039.5</v>
      </c>
      <c r="Z1533" s="372">
        <v>40.299999999999997</v>
      </c>
      <c r="AA1533" s="147">
        <v>11350.99</v>
      </c>
      <c r="AB1533" s="147">
        <v>11350.99</v>
      </c>
      <c r="AC1533" s="147">
        <v>476741.48</v>
      </c>
      <c r="AD1533" s="315">
        <f t="shared" si="1050"/>
        <v>476264.73851999996</v>
      </c>
      <c r="AE1533" s="372">
        <v>40.299999999999997</v>
      </c>
      <c r="AF1533" s="147">
        <v>42</v>
      </c>
      <c r="AG1533" s="372">
        <v>40.299999999999997</v>
      </c>
      <c r="AH1533" s="287">
        <v>3.7000000000000002E-3</v>
      </c>
      <c r="AI1533" s="287">
        <v>4.2299999999999997E-2</v>
      </c>
      <c r="AJ1533" s="287">
        <v>5.3999999999999999E-2</v>
      </c>
      <c r="AK1533" s="318">
        <f t="shared" si="1051"/>
        <v>18377.789285714316</v>
      </c>
      <c r="AL1533" s="193">
        <v>0</v>
      </c>
      <c r="AM1533" s="319">
        <v>0</v>
      </c>
      <c r="AN1533" s="319">
        <v>0</v>
      </c>
      <c r="AO1533" s="320">
        <f t="shared" si="1052"/>
        <v>0</v>
      </c>
      <c r="AP1533" s="193">
        <v>0</v>
      </c>
      <c r="AQ1533" s="318">
        <v>0</v>
      </c>
      <c r="AR1533" s="318">
        <f t="shared" si="1053"/>
        <v>18377.789285714316</v>
      </c>
      <c r="AS1533" s="318">
        <f t="shared" si="1054"/>
        <v>19297</v>
      </c>
      <c r="AT1533" s="321">
        <v>0</v>
      </c>
      <c r="AU1533" s="193"/>
      <c r="AV1533" s="193"/>
      <c r="AW1533" s="318">
        <f t="shared" si="1055"/>
        <v>5450</v>
      </c>
      <c r="AX1533" s="193"/>
      <c r="AY1533" s="318">
        <f t="shared" si="1056"/>
        <v>5450</v>
      </c>
      <c r="AZ1533" s="318">
        <f t="shared" si="1057"/>
        <v>5440</v>
      </c>
      <c r="BA1533" s="318">
        <f t="shared" si="1058"/>
        <v>10</v>
      </c>
      <c r="BB1533" s="318">
        <f t="shared" si="1059"/>
        <v>10.9</v>
      </c>
      <c r="BC1533" s="318">
        <v>0</v>
      </c>
      <c r="BD1533" s="193"/>
      <c r="BE1533" s="138">
        <v>54.5</v>
      </c>
      <c r="BF1533" s="321">
        <f t="shared" si="1060"/>
        <v>8.1749999999999989E-2</v>
      </c>
      <c r="BG1533" s="321">
        <f t="shared" si="1061"/>
        <v>54.41825</v>
      </c>
      <c r="BH1533" s="321">
        <f t="shared" si="1062"/>
        <v>54.4</v>
      </c>
      <c r="BI1533" s="322">
        <f t="shared" si="1063"/>
        <v>10.000000000000142</v>
      </c>
      <c r="BJ1533" s="322">
        <v>0</v>
      </c>
      <c r="BK1533" s="318">
        <f t="shared" si="1064"/>
        <v>10.000000000000142</v>
      </c>
      <c r="BL1533" s="193"/>
      <c r="BM1533" s="449" t="str">
        <f t="shared" si="1065"/>
        <v>Unloading no. 1498 Bill No 2026-27/538 ,Deduction For Oil Deduction= 18377.7892857143 ,Bardana= 0 ,F.M= 0 Brokerage/Rate Difference 0 ,Shortage = 0 ,Greenish= 0 ,Moisture= 0</v>
      </c>
      <c r="BN1533" s="193"/>
      <c r="BO1533" s="449" t="str">
        <f t="shared" si="1066"/>
        <v xml:space="preserve"> Party Condition 42  ,F.M% 0.37 ,Greenish 4.23 ,Moisture 5.4 ,Shortage in KG= 0  ,Oil% 40.3</v>
      </c>
      <c r="BP1533" s="318">
        <f t="shared" si="1067"/>
        <v>8008.4873293067221</v>
      </c>
      <c r="BQ1533" s="193"/>
      <c r="BR1533" s="193"/>
      <c r="BS1533" s="193"/>
      <c r="BT1533" s="193"/>
      <c r="BU1533" s="193"/>
      <c r="BV1533" s="193"/>
      <c r="BW1533" s="373"/>
      <c r="BX1533" s="27">
        <v>40.090000000000003</v>
      </c>
      <c r="BY1533" s="27">
        <v>40.130000000000003</v>
      </c>
      <c r="CO1533" s="57">
        <f t="shared" si="1070"/>
        <v>0.20999999999999375</v>
      </c>
      <c r="CP1533" s="57">
        <f t="shared" si="1071"/>
        <v>0.1699999999999946</v>
      </c>
    </row>
    <row r="1534" spans="1:94" ht="14.1" hidden="1" customHeight="1" x14ac:dyDescent="0.3">
      <c r="A1534" s="281" t="s">
        <v>3247</v>
      </c>
      <c r="B1534" s="146">
        <v>46227</v>
      </c>
      <c r="C1534" s="281">
        <v>1499</v>
      </c>
      <c r="D1534" s="128" t="s">
        <v>3275</v>
      </c>
      <c r="E1534" s="129">
        <v>46232</v>
      </c>
      <c r="F1534" s="163" t="s">
        <v>1144</v>
      </c>
      <c r="G1534" s="128" t="s">
        <v>1145</v>
      </c>
      <c r="H1534" s="128" t="s">
        <v>100</v>
      </c>
      <c r="I1534" s="136"/>
      <c r="J1534" s="138" t="s">
        <v>1146</v>
      </c>
      <c r="K1534" s="136"/>
      <c r="L1534" s="146">
        <v>46227</v>
      </c>
      <c r="M1534" s="136"/>
      <c r="N1534" s="281" t="s">
        <v>3320</v>
      </c>
      <c r="O1534" s="129">
        <v>46230</v>
      </c>
      <c r="P1534" s="138">
        <v>0</v>
      </c>
      <c r="Q1534" s="138">
        <v>550</v>
      </c>
      <c r="R1534" s="138">
        <v>140</v>
      </c>
      <c r="S1534" s="138">
        <v>690</v>
      </c>
      <c r="T1534" s="138">
        <v>690</v>
      </c>
      <c r="U1534" s="136"/>
      <c r="V1534" s="136"/>
      <c r="W1534" s="147">
        <v>351.1</v>
      </c>
      <c r="X1534" s="147">
        <v>350.3</v>
      </c>
      <c r="Y1534" s="147">
        <v>2922907.5</v>
      </c>
      <c r="Z1534" s="147">
        <v>40.89</v>
      </c>
      <c r="AA1534" s="147">
        <v>73072.69</v>
      </c>
      <c r="AB1534" s="147">
        <v>73072.69</v>
      </c>
      <c r="AC1534" s="147">
        <v>3069052.88</v>
      </c>
      <c r="AD1534" s="315">
        <f t="shared" si="1050"/>
        <v>3065983.82712</v>
      </c>
      <c r="AE1534" s="147">
        <v>40.89</v>
      </c>
      <c r="AF1534" s="147">
        <v>42</v>
      </c>
      <c r="AG1534" s="212">
        <v>40.89</v>
      </c>
      <c r="AH1534" s="287">
        <v>2.8E-3</v>
      </c>
      <c r="AI1534" s="287">
        <v>3.4000000000000002E-2</v>
      </c>
      <c r="AJ1534" s="287">
        <v>5.0999999999999997E-2</v>
      </c>
      <c r="AK1534" s="318">
        <f t="shared" si="1051"/>
        <v>77248.269642857107</v>
      </c>
      <c r="AL1534" s="193">
        <v>0</v>
      </c>
      <c r="AM1534" s="319">
        <v>0</v>
      </c>
      <c r="AN1534" s="319">
        <v>0</v>
      </c>
      <c r="AO1534" s="320">
        <f t="shared" si="1052"/>
        <v>832.5</v>
      </c>
      <c r="AP1534" s="193">
        <v>0</v>
      </c>
      <c r="AQ1534" s="318">
        <v>0</v>
      </c>
      <c r="AR1534" s="318">
        <f t="shared" si="1053"/>
        <v>78080.769642857107</v>
      </c>
      <c r="AS1534" s="318">
        <f t="shared" si="1054"/>
        <v>81985</v>
      </c>
      <c r="AT1534" s="321">
        <v>10</v>
      </c>
      <c r="AU1534" s="193"/>
      <c r="AV1534" s="193"/>
      <c r="AW1534" s="318">
        <f t="shared" si="1055"/>
        <v>35110</v>
      </c>
      <c r="AX1534" s="193"/>
      <c r="AY1534" s="318">
        <f t="shared" si="1056"/>
        <v>35110</v>
      </c>
      <c r="AZ1534" s="318">
        <f t="shared" si="1057"/>
        <v>35030</v>
      </c>
      <c r="BA1534" s="318">
        <f t="shared" si="1058"/>
        <v>80</v>
      </c>
      <c r="BB1534" s="318">
        <f t="shared" si="1059"/>
        <v>70.22</v>
      </c>
      <c r="BC1534" s="318">
        <v>0</v>
      </c>
      <c r="BD1534" s="193"/>
      <c r="BE1534" s="138">
        <v>351.1</v>
      </c>
      <c r="BF1534" s="321">
        <f t="shared" si="1060"/>
        <v>0.52664999999999995</v>
      </c>
      <c r="BG1534" s="321">
        <f t="shared" si="1061"/>
        <v>350.57335</v>
      </c>
      <c r="BH1534" s="321">
        <f t="shared" si="1062"/>
        <v>350.3</v>
      </c>
      <c r="BI1534" s="322">
        <f t="shared" si="1063"/>
        <v>80.000000000001137</v>
      </c>
      <c r="BJ1534" s="322">
        <v>0</v>
      </c>
      <c r="BK1534" s="318">
        <f t="shared" si="1064"/>
        <v>80.000000000001137</v>
      </c>
      <c r="BL1534" s="193"/>
      <c r="BM1534" s="449" t="str">
        <f t="shared" si="1065"/>
        <v>Unloading no. 1499 Bill No 2026-27/517 ,Deduction For Oil Deduction= 77248.2696428571 ,Bardana= 0 ,F.M= 0 Brokerage/Rate Difference 0 ,Shortage = 832.5 ,Greenish= 0 ,Moisture= 0</v>
      </c>
      <c r="BN1534" s="193"/>
      <c r="BO1534" s="449" t="str">
        <f t="shared" si="1066"/>
        <v xml:space="preserve"> Party Condition 42  ,F.M% 0.28 ,Greenish 3.4 ,Moisture 5.1 ,Shortage in KG= 10  ,Oil% 40.89</v>
      </c>
      <c r="BP1534" s="318">
        <f t="shared" si="1067"/>
        <v>8121.1154163777992</v>
      </c>
      <c r="BQ1534" s="193"/>
      <c r="BR1534" s="193"/>
      <c r="BS1534" s="193"/>
      <c r="BT1534" s="193"/>
      <c r="BU1534" s="193"/>
      <c r="BV1534" s="193"/>
      <c r="BW1534" s="373"/>
      <c r="BX1534" s="27">
        <v>40.65</v>
      </c>
      <c r="BY1534" s="27">
        <v>40.450000000000003</v>
      </c>
      <c r="CO1534" s="57">
        <f t="shared" si="1070"/>
        <v>0.24000000000000199</v>
      </c>
      <c r="CP1534" s="57">
        <f t="shared" si="1071"/>
        <v>0.43999999999999773</v>
      </c>
    </row>
    <row r="1535" spans="1:94" ht="14.1" hidden="1" customHeight="1" x14ac:dyDescent="0.3">
      <c r="A1535" s="281" t="s">
        <v>3247</v>
      </c>
      <c r="B1535" s="146">
        <v>46227</v>
      </c>
      <c r="C1535" s="281">
        <v>1500</v>
      </c>
      <c r="D1535" s="128" t="s">
        <v>3276</v>
      </c>
      <c r="E1535" s="129">
        <v>46232</v>
      </c>
      <c r="F1535" s="163" t="s">
        <v>1144</v>
      </c>
      <c r="G1535" s="128" t="s">
        <v>1145</v>
      </c>
      <c r="H1535" s="128" t="s">
        <v>100</v>
      </c>
      <c r="I1535" s="136"/>
      <c r="J1535" s="138" t="s">
        <v>1146</v>
      </c>
      <c r="K1535" s="136"/>
      <c r="L1535" s="146">
        <v>46227</v>
      </c>
      <c r="M1535" s="136"/>
      <c r="N1535" s="281" t="s">
        <v>3321</v>
      </c>
      <c r="O1535" s="129">
        <v>46230</v>
      </c>
      <c r="P1535" s="138">
        <v>0</v>
      </c>
      <c r="Q1535" s="138">
        <v>390</v>
      </c>
      <c r="R1535" s="138">
        <v>200</v>
      </c>
      <c r="S1535" s="138">
        <v>590</v>
      </c>
      <c r="T1535" s="138">
        <v>590</v>
      </c>
      <c r="U1535" s="136"/>
      <c r="V1535" s="136"/>
      <c r="W1535" s="147">
        <v>299.89999999999998</v>
      </c>
      <c r="X1535" s="147">
        <v>299.2</v>
      </c>
      <c r="Y1535" s="147">
        <v>2496667.5</v>
      </c>
      <c r="Z1535" s="147">
        <v>40.44</v>
      </c>
      <c r="AA1535" s="147">
        <v>62416.69</v>
      </c>
      <c r="AB1535" s="147">
        <v>62416.69</v>
      </c>
      <c r="AC1535" s="147">
        <v>2621500.88</v>
      </c>
      <c r="AD1535" s="315">
        <f t="shared" si="1050"/>
        <v>2618879.3791199997</v>
      </c>
      <c r="AE1535" s="147">
        <v>40.44</v>
      </c>
      <c r="AF1535" s="147">
        <v>42</v>
      </c>
      <c r="AG1535" s="212">
        <v>40.44</v>
      </c>
      <c r="AH1535" s="287">
        <v>2.5000000000000001E-3</v>
      </c>
      <c r="AI1535" s="287">
        <v>3.2000000000000001E-2</v>
      </c>
      <c r="AJ1535" s="287">
        <v>5.3999999999999999E-2</v>
      </c>
      <c r="AK1535" s="318">
        <f t="shared" si="1051"/>
        <v>92733.36428571443</v>
      </c>
      <c r="AL1535" s="193">
        <v>0</v>
      </c>
      <c r="AM1535" s="319">
        <v>0</v>
      </c>
      <c r="AN1535" s="319">
        <v>0</v>
      </c>
      <c r="AO1535" s="320">
        <f t="shared" si="1052"/>
        <v>832.50000000000011</v>
      </c>
      <c r="AP1535" s="193">
        <v>0</v>
      </c>
      <c r="AQ1535" s="318">
        <v>0</v>
      </c>
      <c r="AR1535" s="318">
        <f t="shared" si="1053"/>
        <v>93565.86428571443</v>
      </c>
      <c r="AS1535" s="318">
        <f t="shared" si="1054"/>
        <v>98244</v>
      </c>
      <c r="AT1535" s="321">
        <v>10</v>
      </c>
      <c r="AU1535" s="193"/>
      <c r="AV1535" s="193"/>
      <c r="AW1535" s="318">
        <f t="shared" si="1055"/>
        <v>29989.999999999996</v>
      </c>
      <c r="AX1535" s="193"/>
      <c r="AY1535" s="318">
        <f t="shared" si="1056"/>
        <v>29989.999999999996</v>
      </c>
      <c r="AZ1535" s="318">
        <f t="shared" si="1057"/>
        <v>29920</v>
      </c>
      <c r="BA1535" s="318">
        <f t="shared" si="1058"/>
        <v>69.999999999996362</v>
      </c>
      <c r="BB1535" s="318">
        <f t="shared" si="1059"/>
        <v>59.97999999999999</v>
      </c>
      <c r="BC1535" s="318">
        <v>0</v>
      </c>
      <c r="BD1535" s="193"/>
      <c r="BE1535" s="138">
        <v>299.89999999999998</v>
      </c>
      <c r="BF1535" s="321">
        <f t="shared" si="1060"/>
        <v>0.44984999999999992</v>
      </c>
      <c r="BG1535" s="321">
        <f t="shared" si="1061"/>
        <v>299.45014999999995</v>
      </c>
      <c r="BH1535" s="321">
        <f t="shared" si="1062"/>
        <v>299.2</v>
      </c>
      <c r="BI1535" s="322">
        <f t="shared" si="1063"/>
        <v>69.999999999998863</v>
      </c>
      <c r="BJ1535" s="322">
        <v>0</v>
      </c>
      <c r="BK1535" s="318">
        <f t="shared" si="1064"/>
        <v>69.999999999998863</v>
      </c>
      <c r="BL1535" s="193"/>
      <c r="BM1535" s="449" t="str">
        <f t="shared" si="1065"/>
        <v>Unloading no. 1500 Bill No 2026-27/515 ,Deduction For Oil Deduction= 92733.3642857144 ,Bardana= 0 ,F.M= 0 Brokerage/Rate Difference 0 ,Shortage = 832.5 ,Greenish= 0 ,Moisture= 0</v>
      </c>
      <c r="BN1535" s="193"/>
      <c r="BO1535" s="449" t="str">
        <f t="shared" si="1066"/>
        <v xml:space="preserve"> Party Condition 42  ,F.M% 0.25 ,Greenish 3.2 ,Moisture 5.4 ,Shortage in KG= 10  ,Oil% 40.44</v>
      </c>
      <c r="BP1535" s="318">
        <f t="shared" si="1067"/>
        <v>8031.7568038579066</v>
      </c>
      <c r="BQ1535" s="193"/>
      <c r="BR1535" s="193"/>
      <c r="BS1535" s="193"/>
      <c r="BT1535" s="193"/>
      <c r="BU1535" s="193"/>
      <c r="BV1535" s="193"/>
      <c r="BW1535" s="373"/>
      <c r="BX1535" s="27">
        <v>40.049999999999997</v>
      </c>
      <c r="BY1535" s="27">
        <v>40.090000000000003</v>
      </c>
      <c r="CO1535" s="57">
        <f t="shared" si="1070"/>
        <v>0.39000000000000057</v>
      </c>
      <c r="CP1535" s="57">
        <f t="shared" si="1071"/>
        <v>0.34999999999999432</v>
      </c>
    </row>
    <row r="1536" spans="1:94" ht="14.1" hidden="1" customHeight="1" x14ac:dyDescent="0.3">
      <c r="A1536" s="281" t="s">
        <v>3249</v>
      </c>
      <c r="B1536" s="146">
        <v>46228</v>
      </c>
      <c r="C1536" s="281">
        <v>1501</v>
      </c>
      <c r="D1536" s="128" t="s">
        <v>3277</v>
      </c>
      <c r="E1536" s="129">
        <v>46232</v>
      </c>
      <c r="F1536" s="163" t="s">
        <v>2397</v>
      </c>
      <c r="G1536" s="128" t="s">
        <v>2398</v>
      </c>
      <c r="H1536" s="128" t="s">
        <v>2399</v>
      </c>
      <c r="I1536" s="136"/>
      <c r="J1536" s="138" t="s">
        <v>2499</v>
      </c>
      <c r="K1536" s="136"/>
      <c r="L1536" s="146">
        <v>46228</v>
      </c>
      <c r="M1536" s="136"/>
      <c r="N1536" s="281" t="s">
        <v>3322</v>
      </c>
      <c r="O1536" s="129">
        <v>46230</v>
      </c>
      <c r="P1536" s="138">
        <v>0</v>
      </c>
      <c r="Q1536" s="138">
        <v>290</v>
      </c>
      <c r="R1536" s="138">
        <v>122</v>
      </c>
      <c r="S1536" s="138">
        <v>412</v>
      </c>
      <c r="T1536" s="138">
        <v>412</v>
      </c>
      <c r="U1536" s="136"/>
      <c r="V1536" s="136"/>
      <c r="W1536" s="147">
        <v>252.1</v>
      </c>
      <c r="X1536" s="147">
        <v>251.5</v>
      </c>
      <c r="Y1536" s="147">
        <v>2105035</v>
      </c>
      <c r="Z1536" s="169"/>
      <c r="AA1536" s="147">
        <v>52625.88</v>
      </c>
      <c r="AB1536" s="147">
        <v>52625.88</v>
      </c>
      <c r="AC1536" s="147">
        <v>2210286.75</v>
      </c>
      <c r="AD1536" s="315">
        <f t="shared" si="1050"/>
        <v>2208076.46325</v>
      </c>
      <c r="AE1536" s="147">
        <v>40.08</v>
      </c>
      <c r="AF1536" s="147">
        <v>42</v>
      </c>
      <c r="AG1536" s="212">
        <v>39.96</v>
      </c>
      <c r="AH1536" s="287">
        <v>2.2000000000000001E-3</v>
      </c>
      <c r="AI1536" s="287">
        <v>3.1800000000000002E-2</v>
      </c>
      <c r="AJ1536" s="287">
        <v>5.6000000000000001E-2</v>
      </c>
      <c r="AK1536" s="318">
        <f t="shared" si="1051"/>
        <v>102244.5571428571</v>
      </c>
      <c r="AL1536" s="193">
        <f>290*10+122*15</f>
        <v>4730</v>
      </c>
      <c r="AM1536" s="319">
        <f>Y1536*AH1536</f>
        <v>4631.0770000000002</v>
      </c>
      <c r="AN1536" s="319">
        <v>0</v>
      </c>
      <c r="AO1536" s="320">
        <f t="shared" si="1052"/>
        <v>5010</v>
      </c>
      <c r="AP1536" s="193">
        <v>0</v>
      </c>
      <c r="AQ1536" s="318">
        <f>Y1536*0.6/100</f>
        <v>12630.21</v>
      </c>
      <c r="AR1536" s="318">
        <f t="shared" si="1053"/>
        <v>129245.84414285709</v>
      </c>
      <c r="AS1536" s="318">
        <f t="shared" si="1054"/>
        <v>135708</v>
      </c>
      <c r="AT1536" s="321">
        <v>60</v>
      </c>
      <c r="AU1536" s="193"/>
      <c r="AV1536" s="193"/>
      <c r="AW1536" s="318">
        <f t="shared" si="1055"/>
        <v>25210</v>
      </c>
      <c r="AX1536" s="193"/>
      <c r="AY1536" s="318">
        <f t="shared" si="1056"/>
        <v>25210</v>
      </c>
      <c r="AZ1536" s="318">
        <f t="shared" si="1057"/>
        <v>25150</v>
      </c>
      <c r="BA1536" s="318">
        <f t="shared" si="1058"/>
        <v>60</v>
      </c>
      <c r="BB1536" s="318">
        <f t="shared" si="1059"/>
        <v>50.42</v>
      </c>
      <c r="BC1536" s="318">
        <v>0</v>
      </c>
      <c r="BD1536" s="193"/>
      <c r="BE1536" s="138">
        <v>252.1</v>
      </c>
      <c r="BF1536" s="321">
        <f t="shared" si="1060"/>
        <v>0.37814999999999999</v>
      </c>
      <c r="BG1536" s="321">
        <f t="shared" si="1061"/>
        <v>251.72184999999999</v>
      </c>
      <c r="BH1536" s="321">
        <f t="shared" si="1062"/>
        <v>251.5</v>
      </c>
      <c r="BI1536" s="322">
        <f t="shared" si="1063"/>
        <v>59.999999999999432</v>
      </c>
      <c r="BJ1536" s="322">
        <v>0</v>
      </c>
      <c r="BK1536" s="318">
        <f t="shared" si="1064"/>
        <v>59.999999999999432</v>
      </c>
      <c r="BL1536" s="193"/>
      <c r="BM1536" s="449" t="str">
        <f t="shared" si="1065"/>
        <v>Unloading no. 1501 Bill No 2026-27/0310 ,Deduction For Oil Deduction= 102244.557142857 ,Bardana= 4730 ,F.M= 4631.077 Brokerage/Rate Difference 0 ,Shortage = 5010 ,Greenish= 0 ,Moisture= 12630.21</v>
      </c>
      <c r="BN1536" s="193"/>
      <c r="BO1536" s="449" t="str">
        <f t="shared" si="1066"/>
        <v xml:space="preserve"> Party Condition 42  ,F.M% 0.22 ,Greenish 3.18 ,Moisture 5.6 ,Shortage in KG= 60  ,Oil% 39.96</v>
      </c>
      <c r="BP1536" s="318">
        <f t="shared" si="1067"/>
        <v>7856.020500426016</v>
      </c>
      <c r="BQ1536" s="193"/>
      <c r="BR1536" s="193"/>
      <c r="BS1536" s="193"/>
      <c r="BT1536" s="193"/>
      <c r="BU1536" s="193"/>
      <c r="BV1536" s="193"/>
      <c r="BW1536" s="373"/>
      <c r="BX1536" s="27">
        <v>40.08</v>
      </c>
      <c r="BY1536" s="27">
        <v>39.96</v>
      </c>
      <c r="CA1536" s="56">
        <v>126424.92</v>
      </c>
      <c r="CC1536" s="57">
        <f t="shared" ref="CC1536" si="1074">AS1536-CA1536</f>
        <v>9283.0800000000017</v>
      </c>
      <c r="CE1536" s="88">
        <f t="shared" ref="CE1536" si="1075">CC1536/105%</f>
        <v>8841.0285714285728</v>
      </c>
      <c r="CI1536" s="90"/>
      <c r="CO1536" s="57"/>
      <c r="CP1536" s="57"/>
    </row>
    <row r="1537" spans="1:94" ht="14.1" hidden="1" customHeight="1" x14ac:dyDescent="0.3">
      <c r="A1537" s="281" t="s">
        <v>3250</v>
      </c>
      <c r="B1537" s="146">
        <v>46226</v>
      </c>
      <c r="C1537" s="281">
        <v>1503</v>
      </c>
      <c r="D1537" s="128" t="s">
        <v>3278</v>
      </c>
      <c r="E1537" s="129">
        <v>46232</v>
      </c>
      <c r="F1537" s="163" t="s">
        <v>3299</v>
      </c>
      <c r="G1537" s="128" t="s">
        <v>2630</v>
      </c>
      <c r="H1537" s="128" t="s">
        <v>1508</v>
      </c>
      <c r="I1537" s="136"/>
      <c r="J1537" s="138" t="s">
        <v>2499</v>
      </c>
      <c r="K1537" s="136"/>
      <c r="L1537" s="146">
        <v>46226</v>
      </c>
      <c r="M1537" s="136"/>
      <c r="N1537" s="281">
        <v>185</v>
      </c>
      <c r="O1537" s="129">
        <v>46230</v>
      </c>
      <c r="P1537" s="138">
        <v>0</v>
      </c>
      <c r="Q1537" s="138">
        <v>400</v>
      </c>
      <c r="R1537" s="138">
        <v>100</v>
      </c>
      <c r="S1537" s="138">
        <v>500</v>
      </c>
      <c r="T1537" s="138">
        <v>500</v>
      </c>
      <c r="U1537" s="136"/>
      <c r="V1537" s="136"/>
      <c r="W1537" s="147">
        <v>297.3</v>
      </c>
      <c r="X1537" s="147">
        <v>297.2</v>
      </c>
      <c r="Y1537" s="147">
        <v>2449752</v>
      </c>
      <c r="Z1537" s="372">
        <v>39.47</v>
      </c>
      <c r="AA1537" s="147">
        <v>61243.8</v>
      </c>
      <c r="AB1537" s="147">
        <v>61243.8</v>
      </c>
      <c r="AC1537" s="147">
        <v>2572239.6</v>
      </c>
      <c r="AD1537" s="315">
        <f t="shared" si="1050"/>
        <v>2569667.3604000001</v>
      </c>
      <c r="AE1537" s="372">
        <v>39.47</v>
      </c>
      <c r="AF1537" s="147">
        <v>42</v>
      </c>
      <c r="AG1537" s="372">
        <v>39.47</v>
      </c>
      <c r="AH1537" s="287">
        <v>5.0000000000000001E-3</v>
      </c>
      <c r="AI1537" s="287">
        <v>3.2000000000000001E-2</v>
      </c>
      <c r="AJ1537" s="287">
        <v>5.6000000000000001E-2</v>
      </c>
      <c r="AK1537" s="318">
        <f t="shared" si="1051"/>
        <v>147568.39428571434</v>
      </c>
      <c r="AL1537" s="193">
        <v>0</v>
      </c>
      <c r="AM1537" s="319">
        <v>0</v>
      </c>
      <c r="AN1537" s="319">
        <v>0</v>
      </c>
      <c r="AO1537" s="320">
        <f t="shared" si="1052"/>
        <v>0</v>
      </c>
      <c r="AP1537" s="193">
        <v>0</v>
      </c>
      <c r="AQ1537" s="318">
        <v>0</v>
      </c>
      <c r="AR1537" s="318">
        <f t="shared" si="1053"/>
        <v>147568.39428571434</v>
      </c>
      <c r="AS1537" s="318">
        <f t="shared" si="1054"/>
        <v>154947</v>
      </c>
      <c r="AT1537" s="321">
        <v>0</v>
      </c>
      <c r="AU1537" s="193"/>
      <c r="AV1537" s="193"/>
      <c r="AW1537" s="318">
        <f t="shared" si="1055"/>
        <v>29730</v>
      </c>
      <c r="AX1537" s="193"/>
      <c r="AY1537" s="318">
        <f t="shared" si="1056"/>
        <v>29730</v>
      </c>
      <c r="AZ1537" s="318">
        <f t="shared" si="1057"/>
        <v>29720</v>
      </c>
      <c r="BA1537" s="318">
        <f t="shared" si="1058"/>
        <v>10</v>
      </c>
      <c r="BB1537" s="318">
        <f t="shared" si="1059"/>
        <v>59.46</v>
      </c>
      <c r="BC1537" s="318">
        <v>0</v>
      </c>
      <c r="BD1537" s="193"/>
      <c r="BE1537" s="138">
        <v>297.3</v>
      </c>
      <c r="BF1537" s="321">
        <f t="shared" si="1060"/>
        <v>0.44595000000000001</v>
      </c>
      <c r="BG1537" s="321">
        <f t="shared" si="1061"/>
        <v>296.85405000000003</v>
      </c>
      <c r="BH1537" s="321">
        <f t="shared" si="1062"/>
        <v>297.2</v>
      </c>
      <c r="BI1537" s="322">
        <f t="shared" si="1063"/>
        <v>10.000000000002274</v>
      </c>
      <c r="BJ1537" s="322">
        <v>0</v>
      </c>
      <c r="BK1537" s="318">
        <f t="shared" si="1064"/>
        <v>10.000000000002274</v>
      </c>
      <c r="BL1537" s="193"/>
      <c r="BM1537" s="449" t="str">
        <f t="shared" si="1065"/>
        <v>Unloading no. 1503 Bill No 185 ,Deduction For Oil Deduction= 147568.394285714 ,Bardana= 0 ,F.M= 0 Brokerage/Rate Difference 0 ,Shortage = 0 ,Greenish= 0 ,Moisture= 0</v>
      </c>
      <c r="BN1537" s="193"/>
      <c r="BO1537" s="449" t="str">
        <f t="shared" si="1066"/>
        <v xml:space="preserve"> Party Condition 42  ,F.M% 0.5 ,Greenish 3.2 ,Moisture 5.6 ,Shortage in KG= 0  ,Oil% 39.47</v>
      </c>
      <c r="BP1537" s="318">
        <f t="shared" si="1067"/>
        <v>7746.2436262257261</v>
      </c>
      <c r="BQ1537" s="193"/>
      <c r="BR1537" s="193"/>
      <c r="BS1537" s="193"/>
      <c r="BT1537" s="193"/>
      <c r="BU1537" s="193"/>
      <c r="BV1537" s="193"/>
      <c r="BW1537" s="373"/>
      <c r="BX1537" s="27">
        <v>39.35</v>
      </c>
      <c r="BY1537" s="27">
        <v>39.31</v>
      </c>
      <c r="CO1537" s="57">
        <f t="shared" si="1070"/>
        <v>0.11999999999999744</v>
      </c>
      <c r="CP1537" s="57">
        <f t="shared" si="1071"/>
        <v>0.15999999999999659</v>
      </c>
    </row>
    <row r="1538" spans="1:94" ht="14.1" hidden="1" customHeight="1" x14ac:dyDescent="0.3">
      <c r="A1538" s="281" t="s">
        <v>3247</v>
      </c>
      <c r="B1538" s="146">
        <v>46227</v>
      </c>
      <c r="C1538" s="281">
        <v>1504</v>
      </c>
      <c r="D1538" s="128" t="s">
        <v>3279</v>
      </c>
      <c r="E1538" s="129">
        <v>46232</v>
      </c>
      <c r="F1538" s="163" t="s">
        <v>1144</v>
      </c>
      <c r="G1538" s="128" t="s">
        <v>1145</v>
      </c>
      <c r="H1538" s="128" t="s">
        <v>100</v>
      </c>
      <c r="I1538" s="136"/>
      <c r="J1538" s="138" t="s">
        <v>1146</v>
      </c>
      <c r="K1538" s="136"/>
      <c r="L1538" s="146">
        <v>46227</v>
      </c>
      <c r="M1538" s="136"/>
      <c r="N1538" s="281" t="s">
        <v>3323</v>
      </c>
      <c r="O1538" s="129">
        <v>46231</v>
      </c>
      <c r="P1538" s="138">
        <v>0</v>
      </c>
      <c r="Q1538" s="138">
        <v>440</v>
      </c>
      <c r="R1538" s="138">
        <v>106</v>
      </c>
      <c r="S1538" s="138">
        <v>546</v>
      </c>
      <c r="T1538" s="138">
        <v>546</v>
      </c>
      <c r="U1538" s="136"/>
      <c r="V1538" s="136"/>
      <c r="W1538" s="147">
        <v>306.55</v>
      </c>
      <c r="X1538" s="147">
        <v>306.2</v>
      </c>
      <c r="Y1538" s="147">
        <v>2552028.75</v>
      </c>
      <c r="Z1538" s="147">
        <v>39.57</v>
      </c>
      <c r="AA1538" s="147">
        <v>63800.72</v>
      </c>
      <c r="AB1538" s="147">
        <v>63800.72</v>
      </c>
      <c r="AC1538" s="147">
        <v>2679630.19</v>
      </c>
      <c r="AD1538" s="315">
        <f t="shared" si="1050"/>
        <v>2676950.55981</v>
      </c>
      <c r="AE1538" s="147">
        <v>39.57</v>
      </c>
      <c r="AF1538" s="147">
        <v>42</v>
      </c>
      <c r="AG1538" s="212">
        <v>39.57</v>
      </c>
      <c r="AH1538" s="287">
        <v>3.0000000000000001E-3</v>
      </c>
      <c r="AI1538" s="287">
        <v>3.4000000000000002E-2</v>
      </c>
      <c r="AJ1538" s="287">
        <v>5.2999999999999999E-2</v>
      </c>
      <c r="AK1538" s="318">
        <f t="shared" si="1051"/>
        <v>147653.0919642857</v>
      </c>
      <c r="AL1538" s="193">
        <v>0</v>
      </c>
      <c r="AM1538" s="319">
        <v>0</v>
      </c>
      <c r="AN1538" s="319">
        <v>0</v>
      </c>
      <c r="AO1538" s="320">
        <f t="shared" si="1052"/>
        <v>0</v>
      </c>
      <c r="AP1538" s="193">
        <v>0</v>
      </c>
      <c r="AQ1538" s="318">
        <v>0</v>
      </c>
      <c r="AR1538" s="318">
        <f t="shared" si="1053"/>
        <v>147653.0919642857</v>
      </c>
      <c r="AS1538" s="318">
        <f t="shared" si="1054"/>
        <v>155036</v>
      </c>
      <c r="AT1538" s="321">
        <v>0</v>
      </c>
      <c r="AU1538" s="193"/>
      <c r="AV1538" s="193"/>
      <c r="AW1538" s="318">
        <f t="shared" si="1055"/>
        <v>30655</v>
      </c>
      <c r="AX1538" s="193"/>
      <c r="AY1538" s="318">
        <f t="shared" si="1056"/>
        <v>30655</v>
      </c>
      <c r="AZ1538" s="318">
        <f t="shared" si="1057"/>
        <v>30620</v>
      </c>
      <c r="BA1538" s="318">
        <f t="shared" si="1058"/>
        <v>35</v>
      </c>
      <c r="BB1538" s="318">
        <f t="shared" si="1059"/>
        <v>61.31</v>
      </c>
      <c r="BC1538" s="318">
        <v>0</v>
      </c>
      <c r="BD1538" s="193"/>
      <c r="BE1538" s="138">
        <v>306.55</v>
      </c>
      <c r="BF1538" s="321">
        <f t="shared" si="1060"/>
        <v>0.45982500000000004</v>
      </c>
      <c r="BG1538" s="321">
        <f t="shared" si="1061"/>
        <v>306.09017499999999</v>
      </c>
      <c r="BH1538" s="321">
        <f t="shared" si="1062"/>
        <v>306.2</v>
      </c>
      <c r="BI1538" s="322">
        <f t="shared" si="1063"/>
        <v>35.000000000002274</v>
      </c>
      <c r="BJ1538" s="322">
        <v>0</v>
      </c>
      <c r="BK1538" s="318">
        <f t="shared" si="1064"/>
        <v>35.000000000002274</v>
      </c>
      <c r="BL1538" s="193"/>
      <c r="BM1538" s="449" t="str">
        <f t="shared" si="1065"/>
        <v>Unloading no. 1504 Bill No 2026-27/526 ,Deduction For Oil Deduction= 147653.091964286 ,Bardana= 0 ,F.M= 0 Brokerage/Rate Difference 0 ,Shortage = 0 ,Greenish= 0 ,Moisture= 0</v>
      </c>
      <c r="BN1538" s="193"/>
      <c r="BO1538" s="449" t="str">
        <f t="shared" si="1066"/>
        <v xml:space="preserve"> Party Condition 42  ,F.M% 0.3 ,Greenish 3.4 ,Moisture 5.3 ,Shortage in KG= 0  ,Oil% 39.57</v>
      </c>
      <c r="BP1538" s="318">
        <f t="shared" si="1067"/>
        <v>7852.3045657600078</v>
      </c>
      <c r="BQ1538" s="193"/>
      <c r="BR1538" s="193"/>
      <c r="BS1538" s="193"/>
      <c r="BT1538" s="193"/>
      <c r="BU1538" s="193"/>
      <c r="BV1538" s="193"/>
      <c r="BW1538" s="373"/>
      <c r="BX1538" s="27">
        <v>37.97</v>
      </c>
      <c r="BY1538" s="27">
        <v>37.9</v>
      </c>
      <c r="CO1538" s="57">
        <f t="shared" si="1070"/>
        <v>1.6000000000000014</v>
      </c>
      <c r="CP1538" s="57">
        <f t="shared" si="1071"/>
        <v>1.6700000000000017</v>
      </c>
    </row>
    <row r="1539" spans="1:94" ht="14.1" hidden="1" customHeight="1" x14ac:dyDescent="0.3">
      <c r="A1539" s="281" t="s">
        <v>3247</v>
      </c>
      <c r="B1539" s="146">
        <v>46227</v>
      </c>
      <c r="C1539" s="281">
        <v>1505</v>
      </c>
      <c r="D1539" s="128" t="s">
        <v>3280</v>
      </c>
      <c r="E1539" s="129">
        <v>46232</v>
      </c>
      <c r="F1539" s="163" t="s">
        <v>1144</v>
      </c>
      <c r="G1539" s="128" t="s">
        <v>1145</v>
      </c>
      <c r="H1539" s="128" t="s">
        <v>100</v>
      </c>
      <c r="I1539" s="136"/>
      <c r="J1539" s="138" t="s">
        <v>1146</v>
      </c>
      <c r="K1539" s="136"/>
      <c r="L1539" s="146">
        <v>46227</v>
      </c>
      <c r="M1539" s="136"/>
      <c r="N1539" s="281" t="s">
        <v>3324</v>
      </c>
      <c r="O1539" s="129">
        <v>46231</v>
      </c>
      <c r="P1539" s="138">
        <v>0</v>
      </c>
      <c r="Q1539" s="138">
        <v>500</v>
      </c>
      <c r="R1539" s="138">
        <v>185</v>
      </c>
      <c r="S1539" s="138">
        <v>685</v>
      </c>
      <c r="T1539" s="138">
        <v>685</v>
      </c>
      <c r="U1539" s="136"/>
      <c r="V1539" s="136"/>
      <c r="W1539" s="147">
        <v>346.1</v>
      </c>
      <c r="X1539" s="147">
        <v>345.5</v>
      </c>
      <c r="Y1539" s="147">
        <v>2881282.5</v>
      </c>
      <c r="Z1539" s="147">
        <v>40.56</v>
      </c>
      <c r="AA1539" s="147">
        <v>72032.06</v>
      </c>
      <c r="AB1539" s="147">
        <v>72032.06</v>
      </c>
      <c r="AC1539" s="147">
        <v>3025346.63</v>
      </c>
      <c r="AD1539" s="315">
        <f t="shared" si="1050"/>
        <v>3022321.2833699998</v>
      </c>
      <c r="AE1539" s="147">
        <v>40.56</v>
      </c>
      <c r="AF1539" s="147">
        <v>42</v>
      </c>
      <c r="AG1539" s="212">
        <v>40.56</v>
      </c>
      <c r="AH1539" s="287">
        <v>4.7999999999999996E-3</v>
      </c>
      <c r="AI1539" s="287">
        <v>3.2500000000000001E-2</v>
      </c>
      <c r="AJ1539" s="287">
        <v>0.05</v>
      </c>
      <c r="AK1539" s="318">
        <f t="shared" si="1051"/>
        <v>98786.828571428414</v>
      </c>
      <c r="AL1539" s="193">
        <v>0</v>
      </c>
      <c r="AM1539" s="319">
        <v>0</v>
      </c>
      <c r="AN1539" s="319">
        <v>0</v>
      </c>
      <c r="AO1539" s="320">
        <f t="shared" si="1052"/>
        <v>0</v>
      </c>
      <c r="AP1539" s="193">
        <v>0</v>
      </c>
      <c r="AQ1539" s="318">
        <v>0</v>
      </c>
      <c r="AR1539" s="318">
        <f t="shared" si="1053"/>
        <v>98786.828571428414</v>
      </c>
      <c r="AS1539" s="318">
        <f t="shared" si="1054"/>
        <v>103726</v>
      </c>
      <c r="AT1539" s="321">
        <v>0</v>
      </c>
      <c r="AU1539" s="193"/>
      <c r="AV1539" s="193"/>
      <c r="AW1539" s="318">
        <f t="shared" si="1055"/>
        <v>34610</v>
      </c>
      <c r="AX1539" s="193"/>
      <c r="AY1539" s="318">
        <f t="shared" si="1056"/>
        <v>34610</v>
      </c>
      <c r="AZ1539" s="318">
        <f t="shared" si="1057"/>
        <v>34550</v>
      </c>
      <c r="BA1539" s="318">
        <f t="shared" si="1058"/>
        <v>60</v>
      </c>
      <c r="BB1539" s="318">
        <f t="shared" si="1059"/>
        <v>69.22</v>
      </c>
      <c r="BC1539" s="318">
        <v>0</v>
      </c>
      <c r="BD1539" s="193"/>
      <c r="BE1539" s="138">
        <v>346.1</v>
      </c>
      <c r="BF1539" s="321">
        <f t="shared" si="1060"/>
        <v>0.51915</v>
      </c>
      <c r="BG1539" s="321">
        <f t="shared" si="1061"/>
        <v>345.58085</v>
      </c>
      <c r="BH1539" s="321">
        <f t="shared" si="1062"/>
        <v>345.5</v>
      </c>
      <c r="BI1539" s="322">
        <f t="shared" si="1063"/>
        <v>60.000000000002274</v>
      </c>
      <c r="BJ1539" s="322">
        <v>0</v>
      </c>
      <c r="BK1539" s="318">
        <f t="shared" si="1064"/>
        <v>60.000000000002274</v>
      </c>
      <c r="BL1539" s="193"/>
      <c r="BM1539" s="449" t="str">
        <f t="shared" si="1065"/>
        <v>Unloading no. 1505 Bill No 2026-27/531 ,Deduction For Oil Deduction= 98786.8285714284 ,Bardana= 0 ,F.M= 0 Brokerage/Rate Difference 0 ,Shortage = 0 ,Greenish= 0 ,Moisture= 0</v>
      </c>
      <c r="BN1539" s="193"/>
      <c r="BO1539" s="449" t="str">
        <f t="shared" si="1066"/>
        <v xml:space="preserve"> Party Condition 42  ,F.M% 0.48 ,Greenish 3.25 ,Moisture 5 ,Shortage in KG= 0  ,Oil% 40.56</v>
      </c>
      <c r="BP1539" s="318">
        <f t="shared" si="1067"/>
        <v>8053.5330576803808</v>
      </c>
      <c r="BQ1539" s="193"/>
      <c r="BR1539" s="193"/>
      <c r="BS1539" s="193"/>
      <c r="BT1539" s="193"/>
      <c r="BU1539" s="193"/>
      <c r="BV1539" s="193"/>
      <c r="BW1539" s="373"/>
      <c r="BX1539" s="27">
        <v>40.659999999999997</v>
      </c>
      <c r="BY1539" s="27">
        <v>40.549999999999997</v>
      </c>
      <c r="CO1539" s="57">
        <f t="shared" si="1070"/>
        <v>-9.9999999999994316E-2</v>
      </c>
      <c r="CP1539" s="57">
        <f t="shared" si="1071"/>
        <v>1.0000000000005116E-2</v>
      </c>
    </row>
    <row r="1540" spans="1:94" ht="14.1" hidden="1" customHeight="1" x14ac:dyDescent="0.3">
      <c r="A1540" s="281" t="s">
        <v>3128</v>
      </c>
      <c r="B1540" s="146">
        <v>46227</v>
      </c>
      <c r="C1540" s="281">
        <v>1506</v>
      </c>
      <c r="D1540" s="128" t="s">
        <v>3281</v>
      </c>
      <c r="E1540" s="129">
        <v>46232</v>
      </c>
      <c r="F1540" s="163" t="s">
        <v>1144</v>
      </c>
      <c r="G1540" s="128" t="s">
        <v>1145</v>
      </c>
      <c r="H1540" s="128" t="s">
        <v>100</v>
      </c>
      <c r="I1540" s="136"/>
      <c r="J1540" s="138" t="s">
        <v>1146</v>
      </c>
      <c r="K1540" s="136"/>
      <c r="L1540" s="146">
        <v>46227</v>
      </c>
      <c r="M1540" s="136"/>
      <c r="N1540" s="281" t="s">
        <v>3325</v>
      </c>
      <c r="O1540" s="129">
        <v>46232</v>
      </c>
      <c r="P1540" s="138">
        <v>0</v>
      </c>
      <c r="Q1540" s="138">
        <v>120</v>
      </c>
      <c r="R1540" s="138">
        <v>20</v>
      </c>
      <c r="S1540" s="138">
        <v>140</v>
      </c>
      <c r="T1540" s="138">
        <v>140</v>
      </c>
      <c r="U1540" s="136"/>
      <c r="V1540" s="136"/>
      <c r="W1540" s="147">
        <v>83.5</v>
      </c>
      <c r="X1540" s="147">
        <v>83.5</v>
      </c>
      <c r="Y1540" s="147">
        <v>695638.5</v>
      </c>
      <c r="Z1540" s="372">
        <v>38.85</v>
      </c>
      <c r="AA1540" s="147">
        <v>17390.96</v>
      </c>
      <c r="AB1540" s="147">
        <v>17390.96</v>
      </c>
      <c r="AC1540" s="147">
        <v>730420.43</v>
      </c>
      <c r="AD1540" s="315">
        <f t="shared" si="1050"/>
        <v>729690.00956999999</v>
      </c>
      <c r="AE1540" s="372">
        <v>38.85</v>
      </c>
      <c r="AF1540" s="147">
        <v>42</v>
      </c>
      <c r="AG1540" s="372">
        <v>38.85</v>
      </c>
      <c r="AH1540" s="287">
        <v>3.3999999999999998E-3</v>
      </c>
      <c r="AI1540" s="287">
        <v>0.03</v>
      </c>
      <c r="AJ1540" s="287">
        <v>5.2999999999999999E-2</v>
      </c>
      <c r="AK1540" s="318">
        <f t="shared" si="1051"/>
        <v>52172.887499999975</v>
      </c>
      <c r="AL1540" s="193">
        <v>0</v>
      </c>
      <c r="AM1540" s="319">
        <v>0</v>
      </c>
      <c r="AN1540" s="319">
        <v>0</v>
      </c>
      <c r="AO1540" s="320">
        <f t="shared" si="1052"/>
        <v>0</v>
      </c>
      <c r="AP1540" s="193">
        <v>0</v>
      </c>
      <c r="AQ1540" s="318">
        <v>0</v>
      </c>
      <c r="AR1540" s="318">
        <f t="shared" si="1053"/>
        <v>52172.887499999975</v>
      </c>
      <c r="AS1540" s="318">
        <f t="shared" si="1054"/>
        <v>54782</v>
      </c>
      <c r="AT1540" s="321">
        <v>0</v>
      </c>
      <c r="AU1540" s="193"/>
      <c r="AV1540" s="193"/>
      <c r="AW1540" s="318">
        <f t="shared" si="1055"/>
        <v>8350</v>
      </c>
      <c r="AX1540" s="193"/>
      <c r="AY1540" s="318">
        <f t="shared" si="1056"/>
        <v>8350</v>
      </c>
      <c r="AZ1540" s="318">
        <f t="shared" si="1057"/>
        <v>8350</v>
      </c>
      <c r="BA1540" s="318">
        <f t="shared" si="1058"/>
        <v>0</v>
      </c>
      <c r="BB1540" s="318">
        <f t="shared" si="1059"/>
        <v>16.7</v>
      </c>
      <c r="BC1540" s="318">
        <v>0</v>
      </c>
      <c r="BD1540" s="193"/>
      <c r="BE1540" s="138">
        <v>83.5</v>
      </c>
      <c r="BF1540" s="321">
        <f t="shared" si="1060"/>
        <v>0.12525</v>
      </c>
      <c r="BG1540" s="321">
        <f t="shared" si="1061"/>
        <v>83.374750000000006</v>
      </c>
      <c r="BH1540" s="321">
        <f t="shared" si="1062"/>
        <v>83.5</v>
      </c>
      <c r="BI1540" s="322">
        <f t="shared" si="1063"/>
        <v>0</v>
      </c>
      <c r="BJ1540" s="322">
        <v>0</v>
      </c>
      <c r="BK1540" s="318">
        <f t="shared" si="1064"/>
        <v>0</v>
      </c>
      <c r="BL1540" s="193"/>
      <c r="BM1540" s="449" t="str">
        <f t="shared" si="1065"/>
        <v>Unloading no. 1506 Bill No 2026-27/543 ,Deduction For Oil Deduction= 52172.8875 ,Bardana= 0 ,F.M= 0 Brokerage/Rate Difference 0 ,Shortage = 0 ,Greenish= 0 ,Moisture= 0</v>
      </c>
      <c r="BN1540" s="193"/>
      <c r="BO1540" s="449" t="str">
        <f t="shared" si="1066"/>
        <v xml:space="preserve"> Party Condition 42  ,F.M% 0.34 ,Greenish 3 ,Moisture 5.3 ,Shortage in KG= 0  ,Oil% 38.85</v>
      </c>
      <c r="BP1540" s="318">
        <f t="shared" si="1067"/>
        <v>7706.1750000000002</v>
      </c>
      <c r="BQ1540" s="193"/>
      <c r="BR1540" s="193"/>
      <c r="BS1540" s="193"/>
      <c r="BT1540" s="193"/>
      <c r="BU1540" s="193"/>
      <c r="BV1540" s="193"/>
      <c r="BW1540" s="373"/>
      <c r="BX1540" s="27">
        <v>38.6</v>
      </c>
      <c r="BY1540" s="27">
        <v>38.53</v>
      </c>
      <c r="CO1540" s="57">
        <f t="shared" si="1070"/>
        <v>0.25</v>
      </c>
      <c r="CP1540" s="57">
        <f t="shared" si="1071"/>
        <v>0.32000000000000028</v>
      </c>
    </row>
    <row r="1541" spans="1:94" ht="14.1" hidden="1" customHeight="1" x14ac:dyDescent="0.3">
      <c r="A1541" s="281" t="s">
        <v>3128</v>
      </c>
      <c r="B1541" s="146">
        <v>46227</v>
      </c>
      <c r="C1541" s="281">
        <v>1507</v>
      </c>
      <c r="D1541" s="128" t="s">
        <v>3282</v>
      </c>
      <c r="E1541" s="129">
        <v>46232</v>
      </c>
      <c r="F1541" s="163" t="s">
        <v>1144</v>
      </c>
      <c r="G1541" s="128" t="s">
        <v>1145</v>
      </c>
      <c r="H1541" s="128" t="s">
        <v>100</v>
      </c>
      <c r="I1541" s="136"/>
      <c r="J1541" s="138" t="s">
        <v>1146</v>
      </c>
      <c r="K1541" s="136"/>
      <c r="L1541" s="146">
        <v>46227</v>
      </c>
      <c r="M1541" s="136"/>
      <c r="N1541" s="281" t="s">
        <v>3326</v>
      </c>
      <c r="O1541" s="129">
        <v>46232</v>
      </c>
      <c r="P1541" s="138">
        <v>0</v>
      </c>
      <c r="Q1541" s="138">
        <v>120</v>
      </c>
      <c r="R1541" s="138">
        <v>20</v>
      </c>
      <c r="S1541" s="138">
        <v>140</v>
      </c>
      <c r="T1541" s="138">
        <v>140</v>
      </c>
      <c r="U1541" s="136"/>
      <c r="V1541" s="136"/>
      <c r="W1541" s="147">
        <v>83.4</v>
      </c>
      <c r="X1541" s="147">
        <v>83.4</v>
      </c>
      <c r="Y1541" s="147">
        <v>694805.4</v>
      </c>
      <c r="Z1541" s="372">
        <v>38.9</v>
      </c>
      <c r="AA1541" s="147">
        <v>17370.14</v>
      </c>
      <c r="AB1541" s="147">
        <v>17370.14</v>
      </c>
      <c r="AC1541" s="147">
        <v>729545.67</v>
      </c>
      <c r="AD1541" s="315">
        <f t="shared" si="1050"/>
        <v>728816.12433000002</v>
      </c>
      <c r="AE1541" s="372">
        <v>38.9</v>
      </c>
      <c r="AF1541" s="147">
        <v>42</v>
      </c>
      <c r="AG1541" s="372">
        <v>38.9</v>
      </c>
      <c r="AH1541" s="287">
        <v>3.3E-3</v>
      </c>
      <c r="AI1541" s="287">
        <v>2.9600000000000001E-2</v>
      </c>
      <c r="AJ1541" s="287">
        <v>5.2999999999999999E-2</v>
      </c>
      <c r="AK1541" s="318">
        <f t="shared" si="1051"/>
        <v>51283.255714285733</v>
      </c>
      <c r="AL1541" s="193">
        <v>0</v>
      </c>
      <c r="AM1541" s="319">
        <v>0</v>
      </c>
      <c r="AN1541" s="319">
        <v>0</v>
      </c>
      <c r="AO1541" s="320">
        <f t="shared" si="1052"/>
        <v>0</v>
      </c>
      <c r="AP1541" s="193">
        <v>0</v>
      </c>
      <c r="AQ1541" s="318">
        <v>0</v>
      </c>
      <c r="AR1541" s="318">
        <f t="shared" si="1053"/>
        <v>51283.255714285733</v>
      </c>
      <c r="AS1541" s="318">
        <f t="shared" si="1054"/>
        <v>53847</v>
      </c>
      <c r="AT1541" s="321">
        <v>0</v>
      </c>
      <c r="AU1541" s="193"/>
      <c r="AV1541" s="193"/>
      <c r="AW1541" s="318">
        <f t="shared" si="1055"/>
        <v>8340</v>
      </c>
      <c r="AX1541" s="193"/>
      <c r="AY1541" s="318">
        <f t="shared" si="1056"/>
        <v>8340</v>
      </c>
      <c r="AZ1541" s="318">
        <f t="shared" si="1057"/>
        <v>8340</v>
      </c>
      <c r="BA1541" s="318">
        <f t="shared" si="1058"/>
        <v>0</v>
      </c>
      <c r="BB1541" s="318">
        <f t="shared" si="1059"/>
        <v>16.68</v>
      </c>
      <c r="BC1541" s="318">
        <v>0</v>
      </c>
      <c r="BD1541" s="193"/>
      <c r="BE1541" s="138">
        <v>83.4</v>
      </c>
      <c r="BF1541" s="321">
        <f t="shared" si="1060"/>
        <v>0.12509999999999999</v>
      </c>
      <c r="BG1541" s="321">
        <f t="shared" si="1061"/>
        <v>83.274900000000002</v>
      </c>
      <c r="BH1541" s="321">
        <f t="shared" si="1062"/>
        <v>83.4</v>
      </c>
      <c r="BI1541" s="322">
        <f t="shared" si="1063"/>
        <v>0</v>
      </c>
      <c r="BJ1541" s="322">
        <v>0</v>
      </c>
      <c r="BK1541" s="318">
        <f t="shared" si="1064"/>
        <v>0</v>
      </c>
      <c r="BL1541" s="193"/>
      <c r="BM1541" s="449" t="str">
        <f t="shared" si="1065"/>
        <v>Unloading no. 1507 Bill No 2026-27/546 ,Deduction For Oil Deduction= 51283.2557142857 ,Bardana= 0 ,F.M= 0 Brokerage/Rate Difference 0 ,Shortage = 0 ,Greenish= 0 ,Moisture= 0</v>
      </c>
      <c r="BN1541" s="193"/>
      <c r="BO1541" s="449" t="str">
        <f t="shared" si="1066"/>
        <v xml:space="preserve"> Party Condition 42  ,F.M% 0.33 ,Greenish 2.96 ,Moisture 5.3 ,Shortage in KG= 0  ,Oil% 38.9</v>
      </c>
      <c r="BP1541" s="318">
        <f t="shared" si="1067"/>
        <v>7716.0928571428558</v>
      </c>
      <c r="BQ1541" s="193"/>
      <c r="BR1541" s="193"/>
      <c r="BS1541" s="193"/>
      <c r="BT1541" s="193"/>
      <c r="BU1541" s="193"/>
      <c r="BV1541" s="193"/>
      <c r="BW1541" s="373"/>
      <c r="BX1541" s="27">
        <v>38.799999999999997</v>
      </c>
      <c r="BY1541" s="27">
        <v>38.94</v>
      </c>
      <c r="CO1541" s="57">
        <f t="shared" si="1070"/>
        <v>0.10000000000000142</v>
      </c>
      <c r="CP1541" s="57">
        <f t="shared" si="1071"/>
        <v>-3.9999999999999147E-2</v>
      </c>
    </row>
    <row r="1542" spans="1:94" ht="14.1" hidden="1" customHeight="1" x14ac:dyDescent="0.3">
      <c r="A1542" s="281" t="s">
        <v>3128</v>
      </c>
      <c r="B1542" s="146">
        <v>46227</v>
      </c>
      <c r="C1542" s="281">
        <v>1508</v>
      </c>
      <c r="D1542" s="128" t="s">
        <v>3283</v>
      </c>
      <c r="E1542" s="129">
        <v>46232</v>
      </c>
      <c r="F1542" s="163" t="s">
        <v>1144</v>
      </c>
      <c r="G1542" s="128" t="s">
        <v>1145</v>
      </c>
      <c r="H1542" s="128" t="s">
        <v>100</v>
      </c>
      <c r="I1542" s="136"/>
      <c r="J1542" s="138" t="s">
        <v>1146</v>
      </c>
      <c r="K1542" s="136"/>
      <c r="L1542" s="146">
        <v>46227</v>
      </c>
      <c r="M1542" s="136"/>
      <c r="N1542" s="281" t="s">
        <v>3327</v>
      </c>
      <c r="O1542" s="129">
        <v>46232</v>
      </c>
      <c r="P1542" s="138">
        <v>0</v>
      </c>
      <c r="Q1542" s="138">
        <v>125</v>
      </c>
      <c r="R1542" s="138">
        <v>15</v>
      </c>
      <c r="S1542" s="138">
        <v>140</v>
      </c>
      <c r="T1542" s="138">
        <v>140</v>
      </c>
      <c r="U1542" s="136"/>
      <c r="V1542" s="136"/>
      <c r="W1542" s="147">
        <v>80.7</v>
      </c>
      <c r="X1542" s="147">
        <v>80.5</v>
      </c>
      <c r="Y1542" s="147">
        <v>672311.7</v>
      </c>
      <c r="Z1542" s="372">
        <v>38.549999999999997</v>
      </c>
      <c r="AA1542" s="147">
        <v>16807.79</v>
      </c>
      <c r="AB1542" s="147">
        <v>16807.79</v>
      </c>
      <c r="AC1542" s="147">
        <v>705927.29</v>
      </c>
      <c r="AD1542" s="315">
        <f t="shared" si="1050"/>
        <v>705221.36271000002</v>
      </c>
      <c r="AE1542" s="372">
        <v>38.549999999999997</v>
      </c>
      <c r="AF1542" s="147">
        <v>42</v>
      </c>
      <c r="AG1542" s="372">
        <v>38.549999999999997</v>
      </c>
      <c r="AH1542" s="287">
        <v>4.0000000000000001E-3</v>
      </c>
      <c r="AI1542" s="287">
        <v>3.1E-2</v>
      </c>
      <c r="AJ1542" s="287">
        <v>5.3999999999999999E-2</v>
      </c>
      <c r="AK1542" s="318">
        <f t="shared" si="1051"/>
        <v>55225.603928571472</v>
      </c>
      <c r="AL1542" s="193">
        <v>0</v>
      </c>
      <c r="AM1542" s="319">
        <v>0</v>
      </c>
      <c r="AN1542" s="319">
        <v>0</v>
      </c>
      <c r="AO1542" s="320">
        <f t="shared" si="1052"/>
        <v>333.23999999999995</v>
      </c>
      <c r="AP1542" s="193">
        <v>0</v>
      </c>
      <c r="AQ1542" s="318">
        <v>0</v>
      </c>
      <c r="AR1542" s="318">
        <f t="shared" si="1053"/>
        <v>55558.84392857147</v>
      </c>
      <c r="AS1542" s="318">
        <f t="shared" si="1054"/>
        <v>58337</v>
      </c>
      <c r="AT1542" s="321">
        <v>4</v>
      </c>
      <c r="AU1542" s="193"/>
      <c r="AV1542" s="193"/>
      <c r="AW1542" s="318">
        <f t="shared" si="1055"/>
        <v>8070</v>
      </c>
      <c r="AX1542" s="193"/>
      <c r="AY1542" s="318">
        <f t="shared" si="1056"/>
        <v>8070</v>
      </c>
      <c r="AZ1542" s="318">
        <f t="shared" si="1057"/>
        <v>8050</v>
      </c>
      <c r="BA1542" s="318">
        <f t="shared" si="1058"/>
        <v>20</v>
      </c>
      <c r="BB1542" s="318">
        <f t="shared" si="1059"/>
        <v>16.14</v>
      </c>
      <c r="BC1542" s="318">
        <v>0</v>
      </c>
      <c r="BD1542" s="193"/>
      <c r="BE1542" s="138">
        <v>80.7</v>
      </c>
      <c r="BF1542" s="321">
        <f t="shared" si="1060"/>
        <v>0.12105</v>
      </c>
      <c r="BG1542" s="321">
        <f t="shared" si="1061"/>
        <v>80.578950000000006</v>
      </c>
      <c r="BH1542" s="321">
        <f t="shared" si="1062"/>
        <v>80.5</v>
      </c>
      <c r="BI1542" s="322">
        <f t="shared" si="1063"/>
        <v>20.000000000000284</v>
      </c>
      <c r="BJ1542" s="322">
        <v>0</v>
      </c>
      <c r="BK1542" s="318">
        <f t="shared" si="1064"/>
        <v>20.000000000000284</v>
      </c>
      <c r="BL1542" s="193"/>
      <c r="BM1542" s="449" t="str">
        <f t="shared" si="1065"/>
        <v>Unloading no. 1508 Bill No 2026-27/544 ,Deduction For Oil Deduction= 55225.6039285715 ,Bardana= 0 ,F.M= 0 Brokerage/Rate Difference 0 ,Shortage = 333.24 ,Greenish= 0 ,Moisture= 0</v>
      </c>
      <c r="BN1542" s="193"/>
      <c r="BO1542" s="449" t="str">
        <f t="shared" si="1066"/>
        <v xml:space="preserve"> Party Condition 42  ,F.M% 0.4 ,Greenish 3.1 ,Moisture 5.4 ,Shortage in KG= 4  ,Oil% 38.55</v>
      </c>
      <c r="BP1542" s="318">
        <f t="shared" si="1067"/>
        <v>7661.5261623779943</v>
      </c>
      <c r="BQ1542" s="193"/>
      <c r="BR1542" s="193"/>
      <c r="BS1542" s="193"/>
      <c r="BT1542" s="193"/>
      <c r="BU1542" s="193"/>
      <c r="BV1542" s="193"/>
      <c r="BW1542" s="373"/>
      <c r="BX1542" s="27">
        <v>37.78</v>
      </c>
      <c r="BY1542" s="27">
        <v>37.83</v>
      </c>
      <c r="CO1542" s="57">
        <f t="shared" si="1070"/>
        <v>0.76999999999999602</v>
      </c>
      <c r="CP1542" s="57">
        <f t="shared" si="1071"/>
        <v>0.71999999999999886</v>
      </c>
    </row>
    <row r="1543" spans="1:94" ht="14.1" hidden="1" customHeight="1" x14ac:dyDescent="0.3">
      <c r="A1543" s="281" t="s">
        <v>3251</v>
      </c>
      <c r="B1543" s="146">
        <v>46228</v>
      </c>
      <c r="C1543" s="281">
        <v>1509</v>
      </c>
      <c r="D1543" s="128" t="s">
        <v>3284</v>
      </c>
      <c r="E1543" s="129">
        <v>46232</v>
      </c>
      <c r="F1543" s="128" t="s">
        <v>1575</v>
      </c>
      <c r="G1543" s="128" t="s">
        <v>1576</v>
      </c>
      <c r="H1543" s="128" t="s">
        <v>103</v>
      </c>
      <c r="I1543" s="136"/>
      <c r="J1543" s="138" t="s">
        <v>1146</v>
      </c>
      <c r="K1543" s="136"/>
      <c r="L1543" s="146">
        <v>46228</v>
      </c>
      <c r="M1543" s="136"/>
      <c r="N1543" s="281" t="s">
        <v>3328</v>
      </c>
      <c r="O1543" s="129">
        <v>46232</v>
      </c>
      <c r="P1543" s="138">
        <v>0</v>
      </c>
      <c r="Q1543" s="138">
        <v>160</v>
      </c>
      <c r="R1543" s="138">
        <v>40</v>
      </c>
      <c r="S1543" s="138">
        <v>200</v>
      </c>
      <c r="T1543" s="138">
        <v>200</v>
      </c>
      <c r="U1543" s="136"/>
      <c r="V1543" s="136"/>
      <c r="W1543" s="147">
        <v>101.8</v>
      </c>
      <c r="X1543" s="147">
        <v>101.7</v>
      </c>
      <c r="Y1543" s="147">
        <v>844940</v>
      </c>
      <c r="Z1543" s="372">
        <v>39.36</v>
      </c>
      <c r="AA1543" s="147">
        <v>21123.5</v>
      </c>
      <c r="AB1543" s="147">
        <v>21123.5</v>
      </c>
      <c r="AC1543" s="147">
        <v>887187</v>
      </c>
      <c r="AD1543" s="315">
        <f t="shared" si="1050"/>
        <v>886299.81299999997</v>
      </c>
      <c r="AE1543" s="372">
        <v>39.36</v>
      </c>
      <c r="AF1543" s="147">
        <v>42</v>
      </c>
      <c r="AG1543" s="372">
        <v>39.36</v>
      </c>
      <c r="AH1543" s="287">
        <v>4.3E-3</v>
      </c>
      <c r="AI1543" s="287">
        <v>2.9000000000000001E-2</v>
      </c>
      <c r="AJ1543" s="287">
        <v>5.2999999999999999E-2</v>
      </c>
      <c r="AK1543" s="318">
        <f t="shared" si="1051"/>
        <v>53110.5142857143</v>
      </c>
      <c r="AL1543" s="193">
        <v>0</v>
      </c>
      <c r="AM1543" s="319">
        <v>0</v>
      </c>
      <c r="AN1543" s="319">
        <v>0</v>
      </c>
      <c r="AO1543" s="320">
        <f t="shared" si="1052"/>
        <v>0</v>
      </c>
      <c r="AP1543" s="193">
        <v>0</v>
      </c>
      <c r="AQ1543" s="318">
        <v>0</v>
      </c>
      <c r="AR1543" s="318">
        <f t="shared" si="1053"/>
        <v>53110.5142857143</v>
      </c>
      <c r="AS1543" s="318">
        <f t="shared" si="1054"/>
        <v>55766</v>
      </c>
      <c r="AT1543" s="321">
        <v>0</v>
      </c>
      <c r="AU1543" s="193"/>
      <c r="AV1543" s="193"/>
      <c r="AW1543" s="318">
        <f t="shared" si="1055"/>
        <v>10180</v>
      </c>
      <c r="AX1543" s="193"/>
      <c r="AY1543" s="318">
        <f t="shared" si="1056"/>
        <v>10180</v>
      </c>
      <c r="AZ1543" s="318">
        <f t="shared" si="1057"/>
        <v>10170</v>
      </c>
      <c r="BA1543" s="318">
        <f t="shared" si="1058"/>
        <v>10</v>
      </c>
      <c r="BB1543" s="318">
        <f t="shared" si="1059"/>
        <v>20.36</v>
      </c>
      <c r="BC1543" s="318">
        <v>0</v>
      </c>
      <c r="BD1543" s="193"/>
      <c r="BE1543" s="138">
        <v>101.8</v>
      </c>
      <c r="BF1543" s="321">
        <f t="shared" si="1060"/>
        <v>0.1527</v>
      </c>
      <c r="BG1543" s="321">
        <f t="shared" si="1061"/>
        <v>101.6473</v>
      </c>
      <c r="BH1543" s="321">
        <f t="shared" si="1062"/>
        <v>101.7</v>
      </c>
      <c r="BI1543" s="322">
        <f t="shared" si="1063"/>
        <v>9.9999999999994316</v>
      </c>
      <c r="BJ1543" s="322">
        <v>0</v>
      </c>
      <c r="BK1543" s="318">
        <f t="shared" si="1064"/>
        <v>9.9999999999994316</v>
      </c>
      <c r="BL1543" s="193"/>
      <c r="BM1543" s="449" t="str">
        <f t="shared" si="1065"/>
        <v>Unloading no. 1509 Bill No 2026-27/00136 ,Deduction For Oil Deduction= 53110.5142857143 ,Bardana= 0 ,F.M= 0 Brokerage/Rate Difference 0 ,Shortage = 0 ,Greenish= 0 ,Moisture= 0</v>
      </c>
      <c r="BN1543" s="193"/>
      <c r="BO1543" s="449" t="str">
        <f t="shared" si="1066"/>
        <v xml:space="preserve"> Party Condition 42  ,F.M% 0.43 ,Greenish 2.9 ,Moisture 5.3 ,Shortage in KG= 0  ,Oil% 39.36</v>
      </c>
      <c r="BP1543" s="318">
        <f t="shared" si="1067"/>
        <v>7785.9339794915013</v>
      </c>
      <c r="BQ1543" s="193"/>
      <c r="BR1543" s="193"/>
      <c r="BS1543" s="193"/>
      <c r="BT1543" s="193"/>
      <c r="BU1543" s="193"/>
      <c r="BV1543" s="193"/>
      <c r="BW1543" s="373"/>
      <c r="BX1543" s="27">
        <v>38.9</v>
      </c>
      <c r="BY1543" s="27">
        <v>39.200000000000003</v>
      </c>
      <c r="CO1543" s="57">
        <f t="shared" si="1070"/>
        <v>0.46000000000000085</v>
      </c>
      <c r="CP1543" s="57">
        <f t="shared" si="1071"/>
        <v>0.15999999999999659</v>
      </c>
    </row>
    <row r="1544" spans="1:94" ht="14.1" hidden="1" customHeight="1" x14ac:dyDescent="0.3">
      <c r="A1544" s="281" t="s">
        <v>3128</v>
      </c>
      <c r="B1544" s="146">
        <v>46227</v>
      </c>
      <c r="C1544" s="281">
        <v>1510</v>
      </c>
      <c r="D1544" s="128" t="s">
        <v>3285</v>
      </c>
      <c r="E1544" s="129">
        <v>46232</v>
      </c>
      <c r="F1544" s="128" t="s">
        <v>1144</v>
      </c>
      <c r="G1544" s="128" t="s">
        <v>1145</v>
      </c>
      <c r="H1544" s="128" t="s">
        <v>100</v>
      </c>
      <c r="I1544" s="136"/>
      <c r="J1544" s="138" t="s">
        <v>1146</v>
      </c>
      <c r="K1544" s="136"/>
      <c r="L1544" s="146">
        <v>46227</v>
      </c>
      <c r="M1544" s="136"/>
      <c r="N1544" s="281" t="s">
        <v>3329</v>
      </c>
      <c r="O1544" s="129">
        <v>46232</v>
      </c>
      <c r="P1544" s="138">
        <v>0</v>
      </c>
      <c r="Q1544" s="138">
        <v>120</v>
      </c>
      <c r="R1544" s="138">
        <v>20</v>
      </c>
      <c r="S1544" s="138">
        <v>140</v>
      </c>
      <c r="T1544" s="138">
        <v>140</v>
      </c>
      <c r="U1544" s="136"/>
      <c r="V1544" s="136"/>
      <c r="W1544" s="147">
        <v>83.8</v>
      </c>
      <c r="X1544" s="147">
        <v>83.7</v>
      </c>
      <c r="Y1544" s="147">
        <v>698137.8</v>
      </c>
      <c r="Z1544" s="372">
        <v>39.28</v>
      </c>
      <c r="AA1544" s="147">
        <v>17453.45</v>
      </c>
      <c r="AB1544" s="147">
        <v>17453.45</v>
      </c>
      <c r="AC1544" s="147">
        <v>733044.69</v>
      </c>
      <c r="AD1544" s="315">
        <f t="shared" si="1050"/>
        <v>732311.64530999993</v>
      </c>
      <c r="AE1544" s="372">
        <v>39.28</v>
      </c>
      <c r="AF1544" s="147">
        <v>42</v>
      </c>
      <c r="AG1544" s="372">
        <v>39.28</v>
      </c>
      <c r="AH1544" s="287">
        <v>0.3</v>
      </c>
      <c r="AI1544" s="287">
        <v>3.1600000000000003E-2</v>
      </c>
      <c r="AJ1544" s="287">
        <v>5.0999999999999997E-2</v>
      </c>
      <c r="AK1544" s="318">
        <f t="shared" si="1051"/>
        <v>45212.733714285692</v>
      </c>
      <c r="AL1544" s="193">
        <v>0</v>
      </c>
      <c r="AM1544" s="319">
        <v>0</v>
      </c>
      <c r="AN1544" s="319">
        <v>0</v>
      </c>
      <c r="AO1544" s="320">
        <f t="shared" si="1052"/>
        <v>0</v>
      </c>
      <c r="AP1544" s="193">
        <v>0</v>
      </c>
      <c r="AQ1544" s="318">
        <v>0</v>
      </c>
      <c r="AR1544" s="318">
        <f t="shared" si="1053"/>
        <v>45212.733714285692</v>
      </c>
      <c r="AS1544" s="318">
        <f t="shared" si="1054"/>
        <v>47473</v>
      </c>
      <c r="AT1544" s="321">
        <v>0</v>
      </c>
      <c r="AU1544" s="193"/>
      <c r="AV1544" s="193"/>
      <c r="AW1544" s="318">
        <f t="shared" si="1055"/>
        <v>8380</v>
      </c>
      <c r="AX1544" s="193"/>
      <c r="AY1544" s="318">
        <f t="shared" si="1056"/>
        <v>8380</v>
      </c>
      <c r="AZ1544" s="318">
        <f t="shared" si="1057"/>
        <v>8370</v>
      </c>
      <c r="BA1544" s="318">
        <f t="shared" si="1058"/>
        <v>10</v>
      </c>
      <c r="BB1544" s="318">
        <f t="shared" si="1059"/>
        <v>16.760000000000002</v>
      </c>
      <c r="BC1544" s="318">
        <v>0</v>
      </c>
      <c r="BD1544" s="193"/>
      <c r="BE1544" s="138">
        <v>83.8</v>
      </c>
      <c r="BF1544" s="321">
        <f t="shared" si="1060"/>
        <v>0.12569999999999998</v>
      </c>
      <c r="BG1544" s="321">
        <f t="shared" si="1061"/>
        <v>83.674300000000002</v>
      </c>
      <c r="BH1544" s="321">
        <f t="shared" si="1062"/>
        <v>83.7</v>
      </c>
      <c r="BI1544" s="322">
        <f t="shared" si="1063"/>
        <v>9.9999999999994316</v>
      </c>
      <c r="BJ1544" s="322">
        <v>0</v>
      </c>
      <c r="BK1544" s="318">
        <f t="shared" si="1064"/>
        <v>9.9999999999994316</v>
      </c>
      <c r="BL1544" s="193"/>
      <c r="BM1544" s="449" t="str">
        <f t="shared" si="1065"/>
        <v>Unloading no. 1510 Bill No 2026-27/547 ,Deduction For Oil Deduction= 45212.7337142857 ,Bardana= 0 ,F.M= 0 Brokerage/Rate Difference 0 ,Shortage = 0 ,Greenish= 0 ,Moisture= 0</v>
      </c>
      <c r="BN1544" s="193"/>
      <c r="BO1544" s="449" t="str">
        <f t="shared" si="1066"/>
        <v xml:space="preserve"> Party Condition 42  ,F.M% 30 ,Greenish 3.16 ,Moisture 5.1 ,Shortage in KG= 0  ,Oil% 39.28</v>
      </c>
      <c r="BP1544" s="318">
        <f t="shared" si="1067"/>
        <v>7800.7773749786666</v>
      </c>
      <c r="BQ1544" s="193"/>
      <c r="BR1544" s="193"/>
      <c r="BS1544" s="193"/>
      <c r="BT1544" s="193"/>
      <c r="BU1544" s="193"/>
      <c r="BV1544" s="193"/>
      <c r="BW1544" s="373"/>
      <c r="BX1544" s="27">
        <v>39.03</v>
      </c>
      <c r="BY1544" s="27">
        <v>39.130000000000003</v>
      </c>
      <c r="CO1544" s="57">
        <f t="shared" si="1070"/>
        <v>0.25</v>
      </c>
      <c r="CP1544" s="57">
        <f t="shared" si="1071"/>
        <v>0.14999999999999858</v>
      </c>
    </row>
    <row r="1545" spans="1:94" ht="14.1" hidden="1" customHeight="1" x14ac:dyDescent="0.3">
      <c r="A1545" s="281" t="s">
        <v>3128</v>
      </c>
      <c r="B1545" s="146">
        <v>46227</v>
      </c>
      <c r="C1545" s="281">
        <v>1511</v>
      </c>
      <c r="D1545" s="128" t="s">
        <v>3286</v>
      </c>
      <c r="E1545" s="129">
        <v>46232</v>
      </c>
      <c r="F1545" s="128" t="s">
        <v>1144</v>
      </c>
      <c r="G1545" s="128" t="s">
        <v>1145</v>
      </c>
      <c r="H1545" s="128" t="s">
        <v>100</v>
      </c>
      <c r="I1545" s="136"/>
      <c r="J1545" s="138" t="s">
        <v>1146</v>
      </c>
      <c r="K1545" s="136"/>
      <c r="L1545" s="146">
        <v>46227</v>
      </c>
      <c r="M1545" s="136"/>
      <c r="N1545" s="281" t="s">
        <v>3330</v>
      </c>
      <c r="O1545" s="129">
        <v>46232</v>
      </c>
      <c r="P1545" s="138">
        <v>0</v>
      </c>
      <c r="Q1545" s="138">
        <v>110</v>
      </c>
      <c r="R1545" s="138">
        <v>30</v>
      </c>
      <c r="S1545" s="138">
        <v>140</v>
      </c>
      <c r="T1545" s="138">
        <v>140</v>
      </c>
      <c r="U1545" s="136"/>
      <c r="V1545" s="136"/>
      <c r="W1545" s="147">
        <v>83.2</v>
      </c>
      <c r="X1545" s="147">
        <v>83.3</v>
      </c>
      <c r="Y1545" s="147">
        <v>693139.2</v>
      </c>
      <c r="Z1545" s="372">
        <v>39.520000000000003</v>
      </c>
      <c r="AA1545" s="147">
        <v>17328.48</v>
      </c>
      <c r="AB1545" s="147">
        <v>17328.48</v>
      </c>
      <c r="AC1545" s="147">
        <v>727796.16</v>
      </c>
      <c r="AD1545" s="315">
        <f t="shared" si="1050"/>
        <v>727068.36384000001</v>
      </c>
      <c r="AE1545" s="372">
        <v>39.520000000000003</v>
      </c>
      <c r="AF1545" s="147">
        <v>42</v>
      </c>
      <c r="AG1545" s="372">
        <v>39.520000000000003</v>
      </c>
      <c r="AH1545" s="287">
        <v>2.5000000000000001E-3</v>
      </c>
      <c r="AI1545" s="287">
        <v>0.03</v>
      </c>
      <c r="AJ1545" s="287">
        <v>5.0999999999999997E-2</v>
      </c>
      <c r="AK1545" s="318">
        <f t="shared" si="1051"/>
        <v>40928.219428571378</v>
      </c>
      <c r="AL1545" s="193">
        <v>0</v>
      </c>
      <c r="AM1545" s="319">
        <v>0</v>
      </c>
      <c r="AN1545" s="319">
        <v>0</v>
      </c>
      <c r="AO1545" s="320">
        <f t="shared" si="1052"/>
        <v>0</v>
      </c>
      <c r="AP1545" s="193">
        <v>0</v>
      </c>
      <c r="AQ1545" s="318">
        <v>0</v>
      </c>
      <c r="AR1545" s="318">
        <f t="shared" si="1053"/>
        <v>40928.219428571378</v>
      </c>
      <c r="AS1545" s="318">
        <f t="shared" si="1054"/>
        <v>42975</v>
      </c>
      <c r="AT1545" s="321">
        <v>0</v>
      </c>
      <c r="AU1545" s="193"/>
      <c r="AV1545" s="193"/>
      <c r="AW1545" s="318">
        <f t="shared" si="1055"/>
        <v>8320</v>
      </c>
      <c r="AX1545" s="193"/>
      <c r="AY1545" s="318">
        <f t="shared" si="1056"/>
        <v>8320</v>
      </c>
      <c r="AZ1545" s="318">
        <f t="shared" si="1057"/>
        <v>8330</v>
      </c>
      <c r="BA1545" s="318">
        <f t="shared" si="1058"/>
        <v>-10</v>
      </c>
      <c r="BB1545" s="318">
        <f t="shared" si="1059"/>
        <v>16.64</v>
      </c>
      <c r="BC1545" s="318">
        <v>0</v>
      </c>
      <c r="BD1545" s="193"/>
      <c r="BE1545" s="138">
        <v>83.2</v>
      </c>
      <c r="BF1545" s="321">
        <f t="shared" si="1060"/>
        <v>0.12480000000000001</v>
      </c>
      <c r="BG1545" s="321">
        <f t="shared" si="1061"/>
        <v>83.075200000000009</v>
      </c>
      <c r="BH1545" s="321">
        <f t="shared" si="1062"/>
        <v>83.3</v>
      </c>
      <c r="BI1545" s="322">
        <f t="shared" si="1063"/>
        <v>-9.9999999999994316</v>
      </c>
      <c r="BJ1545" s="322">
        <v>0</v>
      </c>
      <c r="BK1545" s="318">
        <f t="shared" si="1064"/>
        <v>-9.9999999999994316</v>
      </c>
      <c r="BL1545" s="193"/>
      <c r="BM1545" s="449" t="str">
        <f t="shared" si="1065"/>
        <v>Unloading no. 1511 Bill No 2026-27/548 ,Deduction For Oil Deduction= 40928.2194285714 ,Bardana= 0 ,F.M= 0 Brokerage/Rate Difference 0 ,Shortage = 0 ,Greenish= 0 ,Moisture= 0</v>
      </c>
      <c r="BN1545" s="193"/>
      <c r="BO1545" s="449" t="str">
        <f t="shared" si="1066"/>
        <v xml:space="preserve"> Party Condition 42  ,F.M% 0.25 ,Greenish 3 ,Moisture 5.1 ,Shortage in KG= 0  ,Oil% 39.52</v>
      </c>
      <c r="BP1545" s="318">
        <f t="shared" si="1067"/>
        <v>7829.6636323100665</v>
      </c>
      <c r="BQ1545" s="193"/>
      <c r="BR1545" s="193"/>
      <c r="BS1545" s="193"/>
      <c r="BT1545" s="193"/>
      <c r="BU1545" s="193"/>
      <c r="BV1545" s="193"/>
      <c r="BW1545" s="373"/>
      <c r="BX1545" s="27">
        <v>39.15</v>
      </c>
      <c r="BY1545" s="27">
        <v>39.11</v>
      </c>
      <c r="CO1545" s="57">
        <f t="shared" si="1070"/>
        <v>0.37000000000000455</v>
      </c>
      <c r="CP1545" s="57">
        <f t="shared" si="1071"/>
        <v>0.41000000000000369</v>
      </c>
    </row>
    <row r="1546" spans="1:94" ht="14.1" hidden="1" customHeight="1" x14ac:dyDescent="0.3">
      <c r="A1546" s="281" t="s">
        <v>3251</v>
      </c>
      <c r="B1546" s="146">
        <v>46228</v>
      </c>
      <c r="C1546" s="281">
        <v>1512</v>
      </c>
      <c r="D1546" s="128" t="s">
        <v>3287</v>
      </c>
      <c r="E1546" s="129">
        <v>46232</v>
      </c>
      <c r="F1546" s="128" t="s">
        <v>1575</v>
      </c>
      <c r="G1546" s="128" t="s">
        <v>1576</v>
      </c>
      <c r="H1546" s="128" t="s">
        <v>103</v>
      </c>
      <c r="I1546" s="136"/>
      <c r="J1546" s="138" t="s">
        <v>1146</v>
      </c>
      <c r="K1546" s="136"/>
      <c r="L1546" s="146">
        <v>46228</v>
      </c>
      <c r="M1546" s="136"/>
      <c r="N1546" s="281" t="s">
        <v>3331</v>
      </c>
      <c r="O1546" s="129">
        <v>46232</v>
      </c>
      <c r="P1546" s="138">
        <v>0</v>
      </c>
      <c r="Q1546" s="138">
        <v>170</v>
      </c>
      <c r="R1546" s="138">
        <v>30</v>
      </c>
      <c r="S1546" s="138">
        <v>200</v>
      </c>
      <c r="T1546" s="138">
        <v>200</v>
      </c>
      <c r="U1546" s="136"/>
      <c r="V1546" s="136"/>
      <c r="W1546" s="147">
        <v>100.2</v>
      </c>
      <c r="X1546" s="147">
        <v>100</v>
      </c>
      <c r="Y1546" s="147">
        <v>831660</v>
      </c>
      <c r="Z1546" s="372">
        <v>39.47</v>
      </c>
      <c r="AA1546" s="147">
        <v>20791.5</v>
      </c>
      <c r="AB1546" s="147">
        <v>20791.5</v>
      </c>
      <c r="AC1546" s="147">
        <v>873243</v>
      </c>
      <c r="AD1546" s="315">
        <f t="shared" si="1050"/>
        <v>872369.75699999998</v>
      </c>
      <c r="AE1546" s="372">
        <v>39.47</v>
      </c>
      <c r="AF1546" s="147">
        <v>42</v>
      </c>
      <c r="AG1546" s="372">
        <v>39.47</v>
      </c>
      <c r="AH1546" s="287">
        <v>2.7000000000000001E-3</v>
      </c>
      <c r="AI1546" s="287">
        <v>3.1E-2</v>
      </c>
      <c r="AJ1546" s="287">
        <v>5.0999999999999997E-2</v>
      </c>
      <c r="AK1546" s="318">
        <f t="shared" si="1051"/>
        <v>50097.614285714306</v>
      </c>
      <c r="AL1546" s="193">
        <v>0</v>
      </c>
      <c r="AM1546" s="319">
        <v>0</v>
      </c>
      <c r="AN1546" s="319">
        <v>0</v>
      </c>
      <c r="AO1546" s="320">
        <f t="shared" si="1052"/>
        <v>0</v>
      </c>
      <c r="AP1546" s="193">
        <v>0</v>
      </c>
      <c r="AQ1546" s="318">
        <v>0</v>
      </c>
      <c r="AR1546" s="318">
        <f t="shared" si="1053"/>
        <v>50097.614285714306</v>
      </c>
      <c r="AS1546" s="318">
        <f t="shared" si="1054"/>
        <v>52602</v>
      </c>
      <c r="AT1546" s="321">
        <v>0</v>
      </c>
      <c r="AU1546" s="193"/>
      <c r="AV1546" s="193"/>
      <c r="AW1546" s="318">
        <f t="shared" si="1055"/>
        <v>10020</v>
      </c>
      <c r="AX1546" s="193"/>
      <c r="AY1546" s="318">
        <f t="shared" si="1056"/>
        <v>10020</v>
      </c>
      <c r="AZ1546" s="318">
        <f t="shared" si="1057"/>
        <v>10000</v>
      </c>
      <c r="BA1546" s="318">
        <f t="shared" si="1058"/>
        <v>20</v>
      </c>
      <c r="BB1546" s="318">
        <f t="shared" si="1059"/>
        <v>20.04</v>
      </c>
      <c r="BC1546" s="318">
        <v>0</v>
      </c>
      <c r="BD1546" s="193"/>
      <c r="BE1546" s="138">
        <v>100.2</v>
      </c>
      <c r="BF1546" s="321">
        <f t="shared" si="1060"/>
        <v>0.15029999999999999</v>
      </c>
      <c r="BG1546" s="321">
        <f t="shared" si="1061"/>
        <v>100.0497</v>
      </c>
      <c r="BH1546" s="321">
        <f t="shared" si="1062"/>
        <v>100</v>
      </c>
      <c r="BI1546" s="322">
        <f t="shared" si="1063"/>
        <v>20.000000000000284</v>
      </c>
      <c r="BJ1546" s="322">
        <v>0</v>
      </c>
      <c r="BK1546" s="318">
        <f t="shared" si="1064"/>
        <v>20.000000000000284</v>
      </c>
      <c r="BL1546" s="193"/>
      <c r="BM1546" s="449" t="str">
        <f t="shared" si="1065"/>
        <v>Unloading no. 1512 Bill No 2026-27/00137 ,Deduction For Oil Deduction= 50097.6142857143 ,Bardana= 0 ,F.M= 0 Brokerage/Rate Difference 0 ,Shortage = 0 ,Greenish= 0 ,Moisture= 0</v>
      </c>
      <c r="BN1546" s="193"/>
      <c r="BO1546" s="449" t="str">
        <f t="shared" si="1066"/>
        <v xml:space="preserve"> Party Condition 42  ,F.M% 0.27 ,Greenish 3.1 ,Moisture 5.1 ,Shortage in KG= 0  ,Oil% 39.47</v>
      </c>
      <c r="BP1546" s="318">
        <f t="shared" si="1067"/>
        <v>7815.6238571428567</v>
      </c>
      <c r="BQ1546" s="193"/>
      <c r="BR1546" s="193"/>
      <c r="BS1546" s="193"/>
      <c r="BT1546" s="193"/>
      <c r="BU1546" s="193"/>
      <c r="BV1546" s="193"/>
      <c r="BW1546" s="373"/>
      <c r="BX1546" s="27">
        <v>39.06</v>
      </c>
      <c r="BY1546" s="27">
        <v>39.130000000000003</v>
      </c>
      <c r="CO1546" s="57">
        <f t="shared" si="1070"/>
        <v>0.40999999999999659</v>
      </c>
      <c r="CP1546" s="57">
        <f t="shared" si="1071"/>
        <v>0.33999999999999631</v>
      </c>
    </row>
    <row r="1547" spans="1:94" ht="14.1" hidden="1" customHeight="1" x14ac:dyDescent="0.3">
      <c r="A1547" s="281" t="s">
        <v>3252</v>
      </c>
      <c r="B1547" s="146">
        <v>46231</v>
      </c>
      <c r="C1547" s="281">
        <v>1513</v>
      </c>
      <c r="D1547" s="128" t="s">
        <v>3288</v>
      </c>
      <c r="E1547" s="129">
        <v>46232</v>
      </c>
      <c r="F1547" s="128" t="s">
        <v>1144</v>
      </c>
      <c r="G1547" s="128" t="s">
        <v>1145</v>
      </c>
      <c r="H1547" s="128" t="s">
        <v>100</v>
      </c>
      <c r="I1547" s="136"/>
      <c r="J1547" s="138" t="s">
        <v>1146</v>
      </c>
      <c r="K1547" s="136"/>
      <c r="L1547" s="146">
        <v>46231</v>
      </c>
      <c r="M1547" s="136"/>
      <c r="N1547" s="281" t="s">
        <v>3332</v>
      </c>
      <c r="O1547" s="129">
        <v>46232</v>
      </c>
      <c r="P1547" s="138">
        <v>0</v>
      </c>
      <c r="Q1547" s="138">
        <v>140</v>
      </c>
      <c r="R1547" s="138">
        <v>28</v>
      </c>
      <c r="S1547" s="138">
        <v>168</v>
      </c>
      <c r="T1547" s="138">
        <v>168</v>
      </c>
      <c r="U1547" s="136"/>
      <c r="V1547" s="136"/>
      <c r="W1547" s="147">
        <v>100.3</v>
      </c>
      <c r="X1547" s="147">
        <v>100.3</v>
      </c>
      <c r="Y1547" s="147">
        <v>813533.3</v>
      </c>
      <c r="Z1547" s="372">
        <v>39.67</v>
      </c>
      <c r="AA1547" s="147">
        <v>20338.330000000002</v>
      </c>
      <c r="AB1547" s="147">
        <v>20338.330000000002</v>
      </c>
      <c r="AC1547" s="147">
        <v>854209.97</v>
      </c>
      <c r="AD1547" s="315">
        <f t="shared" si="1050"/>
        <v>853355.76003</v>
      </c>
      <c r="AE1547" s="372">
        <v>39.67</v>
      </c>
      <c r="AF1547" s="147">
        <v>42</v>
      </c>
      <c r="AG1547" s="372">
        <v>39.67</v>
      </c>
      <c r="AH1547" s="287">
        <v>3.2000000000000002E-3</v>
      </c>
      <c r="AI1547" s="287">
        <v>3.3000000000000002E-2</v>
      </c>
      <c r="AJ1547" s="287">
        <v>5.5E-2</v>
      </c>
      <c r="AK1547" s="318">
        <f t="shared" si="1051"/>
        <v>45131.72830952378</v>
      </c>
      <c r="AL1547" s="193">
        <v>0</v>
      </c>
      <c r="AM1547" s="319">
        <v>0</v>
      </c>
      <c r="AN1547" s="319">
        <v>0</v>
      </c>
      <c r="AO1547" s="320">
        <f t="shared" si="1052"/>
        <v>0</v>
      </c>
      <c r="AP1547" s="193">
        <v>0</v>
      </c>
      <c r="AQ1547" s="318">
        <v>0</v>
      </c>
      <c r="AR1547" s="318">
        <f t="shared" si="1053"/>
        <v>45131.72830952378</v>
      </c>
      <c r="AS1547" s="318">
        <f t="shared" si="1054"/>
        <v>47388</v>
      </c>
      <c r="AT1547" s="321">
        <v>0</v>
      </c>
      <c r="AU1547" s="193"/>
      <c r="AV1547" s="193"/>
      <c r="AW1547" s="318">
        <f t="shared" si="1055"/>
        <v>10030</v>
      </c>
      <c r="AX1547" s="193"/>
      <c r="AY1547" s="318">
        <f t="shared" si="1056"/>
        <v>10030</v>
      </c>
      <c r="AZ1547" s="318">
        <f t="shared" si="1057"/>
        <v>10030</v>
      </c>
      <c r="BA1547" s="318">
        <f t="shared" si="1058"/>
        <v>0</v>
      </c>
      <c r="BB1547" s="318">
        <f t="shared" si="1059"/>
        <v>20.059999999999999</v>
      </c>
      <c r="BC1547" s="318">
        <v>0</v>
      </c>
      <c r="BD1547" s="193"/>
      <c r="BE1547" s="138">
        <v>100.3</v>
      </c>
      <c r="BF1547" s="321">
        <f t="shared" si="1060"/>
        <v>0.15044999999999997</v>
      </c>
      <c r="BG1547" s="321">
        <f t="shared" si="1061"/>
        <v>100.14954999999999</v>
      </c>
      <c r="BH1547" s="321">
        <f t="shared" si="1062"/>
        <v>100.3</v>
      </c>
      <c r="BI1547" s="322">
        <f t="shared" si="1063"/>
        <v>0</v>
      </c>
      <c r="BJ1547" s="322">
        <v>0</v>
      </c>
      <c r="BK1547" s="318">
        <f t="shared" si="1064"/>
        <v>0</v>
      </c>
      <c r="BL1547" s="193"/>
      <c r="BM1547" s="449" t="str">
        <f t="shared" si="1065"/>
        <v>Unloading no. 1513 Bill No 2026-27/549 ,Deduction For Oil Deduction= 45131.7283095237 ,Bardana= 0 ,F.M= 0 Brokerage/Rate Difference 0 ,Shortage = 0 ,Greenish= 0 ,Moisture= 0</v>
      </c>
      <c r="BN1547" s="193"/>
      <c r="BO1547" s="449" t="str">
        <f t="shared" si="1066"/>
        <v xml:space="preserve"> Party Condition 42  ,F.M% 0.32 ,Greenish 3.3 ,Moisture 5.5 ,Shortage in KG= 0  ,Oil% 39.67</v>
      </c>
      <c r="BP1547" s="318">
        <f t="shared" si="1067"/>
        <v>7661.0326190476198</v>
      </c>
      <c r="BQ1547" s="193"/>
      <c r="BR1547" s="193"/>
      <c r="BS1547" s="193"/>
      <c r="BT1547" s="193"/>
      <c r="BU1547" s="193"/>
      <c r="BV1547" s="193"/>
      <c r="BW1547" s="373"/>
      <c r="BX1547" s="27">
        <v>39.03</v>
      </c>
      <c r="BY1547" s="27">
        <v>38.94</v>
      </c>
      <c r="CO1547" s="57">
        <f t="shared" si="1070"/>
        <v>0.64000000000000057</v>
      </c>
      <c r="CP1547" s="57">
        <f t="shared" si="1071"/>
        <v>0.73000000000000398</v>
      </c>
    </row>
    <row r="1548" spans="1:94" ht="14.1" hidden="1" customHeight="1" x14ac:dyDescent="0.3">
      <c r="A1548" s="281" t="s">
        <v>3251</v>
      </c>
      <c r="B1548" s="146">
        <v>46228</v>
      </c>
      <c r="C1548" s="281">
        <v>1514</v>
      </c>
      <c r="D1548" s="128" t="s">
        <v>3289</v>
      </c>
      <c r="E1548" s="129">
        <v>46232</v>
      </c>
      <c r="F1548" s="128" t="s">
        <v>1575</v>
      </c>
      <c r="G1548" s="128" t="s">
        <v>1576</v>
      </c>
      <c r="H1548" s="128" t="s">
        <v>103</v>
      </c>
      <c r="I1548" s="136"/>
      <c r="J1548" s="138" t="s">
        <v>1146</v>
      </c>
      <c r="K1548" s="136"/>
      <c r="L1548" s="146">
        <v>46228</v>
      </c>
      <c r="M1548" s="136"/>
      <c r="N1548" s="281" t="s">
        <v>3333</v>
      </c>
      <c r="O1548" s="129">
        <v>46232</v>
      </c>
      <c r="P1548" s="138">
        <v>0</v>
      </c>
      <c r="Q1548" s="138">
        <v>180</v>
      </c>
      <c r="R1548" s="138">
        <v>25</v>
      </c>
      <c r="S1548" s="138">
        <v>205</v>
      </c>
      <c r="T1548" s="138">
        <v>205</v>
      </c>
      <c r="U1548" s="136"/>
      <c r="V1548" s="136"/>
      <c r="W1548" s="147">
        <v>103.9</v>
      </c>
      <c r="X1548" s="147">
        <v>103.8</v>
      </c>
      <c r="Y1548" s="147">
        <v>862370</v>
      </c>
      <c r="Z1548" s="372">
        <v>39.590000000000003</v>
      </c>
      <c r="AA1548" s="147">
        <v>21559.25</v>
      </c>
      <c r="AB1548" s="147">
        <v>21559.25</v>
      </c>
      <c r="AC1548" s="147">
        <v>905488.5</v>
      </c>
      <c r="AD1548" s="315">
        <f t="shared" si="1050"/>
        <v>904583.01150000002</v>
      </c>
      <c r="AE1548" s="372">
        <v>39.590000000000003</v>
      </c>
      <c r="AF1548" s="147">
        <v>42</v>
      </c>
      <c r="AG1548" s="372">
        <v>39.590000000000003</v>
      </c>
      <c r="AH1548" s="287">
        <v>3.5000000000000001E-3</v>
      </c>
      <c r="AI1548" s="287">
        <v>3.2399999999999998E-2</v>
      </c>
      <c r="AJ1548" s="287">
        <v>5.2999999999999999E-2</v>
      </c>
      <c r="AK1548" s="318">
        <f t="shared" si="1051"/>
        <v>49483.611904761834</v>
      </c>
      <c r="AL1548" s="193">
        <v>0</v>
      </c>
      <c r="AM1548" s="319">
        <v>0</v>
      </c>
      <c r="AN1548" s="319">
        <v>0</v>
      </c>
      <c r="AO1548" s="320">
        <f t="shared" si="1052"/>
        <v>0</v>
      </c>
      <c r="AP1548" s="193">
        <v>0</v>
      </c>
      <c r="AQ1548" s="318">
        <v>0</v>
      </c>
      <c r="AR1548" s="318">
        <f t="shared" si="1053"/>
        <v>49483.611904761834</v>
      </c>
      <c r="AS1548" s="318">
        <f t="shared" si="1054"/>
        <v>51958</v>
      </c>
      <c r="AT1548" s="321">
        <v>0</v>
      </c>
      <c r="AU1548" s="193"/>
      <c r="AV1548" s="193"/>
      <c r="AW1548" s="318">
        <f t="shared" si="1055"/>
        <v>10390</v>
      </c>
      <c r="AX1548" s="193"/>
      <c r="AY1548" s="318">
        <f t="shared" si="1056"/>
        <v>10390</v>
      </c>
      <c r="AZ1548" s="318">
        <f t="shared" si="1057"/>
        <v>10380</v>
      </c>
      <c r="BA1548" s="318">
        <f t="shared" si="1058"/>
        <v>10</v>
      </c>
      <c r="BB1548" s="318">
        <f t="shared" si="1059"/>
        <v>20.78</v>
      </c>
      <c r="BC1548" s="318">
        <v>0</v>
      </c>
      <c r="BD1548" s="193"/>
      <c r="BE1548" s="138">
        <v>103.9</v>
      </c>
      <c r="BF1548" s="321">
        <f t="shared" si="1060"/>
        <v>0.15585000000000002</v>
      </c>
      <c r="BG1548" s="321">
        <f t="shared" si="1061"/>
        <v>103.74415</v>
      </c>
      <c r="BH1548" s="321">
        <f t="shared" si="1062"/>
        <v>103.8</v>
      </c>
      <c r="BI1548" s="322">
        <f t="shared" si="1063"/>
        <v>10.000000000000853</v>
      </c>
      <c r="BJ1548" s="322">
        <v>0</v>
      </c>
      <c r="BK1548" s="318">
        <f t="shared" si="1064"/>
        <v>10.000000000000853</v>
      </c>
      <c r="BL1548" s="193"/>
      <c r="BM1548" s="449" t="str">
        <f t="shared" si="1065"/>
        <v>Unloading no. 1514 Bill No 2026-27/00138 ,Deduction For Oil Deduction= 49483.6119047618 ,Bardana= 0 ,F.M= 0 Brokerage/Rate Difference 0 ,Shortage = 0 ,Greenish= 0 ,Moisture= 0</v>
      </c>
      <c r="BN1548" s="193"/>
      <c r="BO1548" s="449" t="str">
        <f t="shared" si="1066"/>
        <v xml:space="preserve"> Party Condition 42  ,F.M% 0.35 ,Greenish 3.24 ,Moisture 5.3 ,Shortage in KG= 0  ,Oil% 39.59</v>
      </c>
      <c r="BP1548" s="318">
        <f t="shared" si="1067"/>
        <v>7831.2754151757044</v>
      </c>
      <c r="BQ1548" s="193"/>
      <c r="BR1548" s="193"/>
      <c r="BS1548" s="193"/>
      <c r="BT1548" s="193"/>
      <c r="BU1548" s="193"/>
      <c r="BV1548" s="193"/>
      <c r="BW1548" s="373"/>
      <c r="BX1548" s="27">
        <v>39.33</v>
      </c>
      <c r="BY1548" s="27">
        <v>39.31</v>
      </c>
      <c r="CO1548" s="57">
        <f t="shared" si="1070"/>
        <v>0.26000000000000512</v>
      </c>
      <c r="CP1548" s="57">
        <f t="shared" si="1071"/>
        <v>0.28000000000000114</v>
      </c>
    </row>
    <row r="1549" spans="1:94" ht="14.1" hidden="1" customHeight="1" x14ac:dyDescent="0.3">
      <c r="A1549" s="281" t="s">
        <v>3128</v>
      </c>
      <c r="B1549" s="146">
        <v>46227</v>
      </c>
      <c r="C1549" s="281">
        <v>1515</v>
      </c>
      <c r="D1549" s="128" t="s">
        <v>3290</v>
      </c>
      <c r="E1549" s="129">
        <v>46232</v>
      </c>
      <c r="F1549" s="128" t="s">
        <v>1144</v>
      </c>
      <c r="G1549" s="128" t="s">
        <v>1145</v>
      </c>
      <c r="H1549" s="128" t="s">
        <v>100</v>
      </c>
      <c r="I1549" s="136"/>
      <c r="J1549" s="138" t="s">
        <v>1146</v>
      </c>
      <c r="K1549" s="136"/>
      <c r="L1549" s="146">
        <v>46227</v>
      </c>
      <c r="M1549" s="136"/>
      <c r="N1549" s="281" t="s">
        <v>3334</v>
      </c>
      <c r="O1549" s="129">
        <v>46232</v>
      </c>
      <c r="P1549" s="138">
        <v>0</v>
      </c>
      <c r="Q1549" s="138">
        <v>110</v>
      </c>
      <c r="R1549" s="138">
        <v>40</v>
      </c>
      <c r="S1549" s="138">
        <v>150</v>
      </c>
      <c r="T1549" s="138">
        <v>150</v>
      </c>
      <c r="U1549" s="136"/>
      <c r="V1549" s="136"/>
      <c r="W1549" s="147">
        <v>88.7</v>
      </c>
      <c r="X1549" s="147">
        <v>88.5</v>
      </c>
      <c r="Y1549" s="147">
        <v>738959.7</v>
      </c>
      <c r="Z1549" s="372">
        <v>40.36</v>
      </c>
      <c r="AA1549" s="147">
        <v>18473.990000000002</v>
      </c>
      <c r="AB1549" s="147">
        <v>18473.990000000002</v>
      </c>
      <c r="AC1549" s="147">
        <v>775907.69</v>
      </c>
      <c r="AD1549" s="315">
        <f t="shared" si="1050"/>
        <v>775131.78230999992</v>
      </c>
      <c r="AE1549" s="372">
        <v>40.36</v>
      </c>
      <c r="AF1549" s="147">
        <v>42</v>
      </c>
      <c r="AG1549" s="372">
        <v>40.36</v>
      </c>
      <c r="AH1549" s="287">
        <v>2.8E-3</v>
      </c>
      <c r="AI1549" s="287">
        <v>4.5699999999999998E-2</v>
      </c>
      <c r="AJ1549" s="287">
        <v>5.3999999999999999E-2</v>
      </c>
      <c r="AK1549" s="318">
        <f t="shared" si="1051"/>
        <v>28854.616857142864</v>
      </c>
      <c r="AL1549" s="193">
        <v>0</v>
      </c>
      <c r="AM1549" s="319">
        <v>0</v>
      </c>
      <c r="AN1549" s="319">
        <v>0</v>
      </c>
      <c r="AO1549" s="320">
        <f t="shared" si="1052"/>
        <v>166.61999999999998</v>
      </c>
      <c r="AP1549" s="193">
        <v>0</v>
      </c>
      <c r="AQ1549" s="318">
        <v>0</v>
      </c>
      <c r="AR1549" s="318">
        <f t="shared" si="1053"/>
        <v>29021.236857142863</v>
      </c>
      <c r="AS1549" s="318">
        <f t="shared" si="1054"/>
        <v>30472</v>
      </c>
      <c r="AT1549" s="321">
        <v>2</v>
      </c>
      <c r="AU1549" s="193"/>
      <c r="AV1549" s="193"/>
      <c r="AW1549" s="318">
        <f t="shared" si="1055"/>
        <v>8870</v>
      </c>
      <c r="AX1549" s="193"/>
      <c r="AY1549" s="318">
        <f t="shared" si="1056"/>
        <v>8870</v>
      </c>
      <c r="AZ1549" s="318">
        <f t="shared" si="1057"/>
        <v>8850</v>
      </c>
      <c r="BA1549" s="318">
        <f t="shared" si="1058"/>
        <v>20</v>
      </c>
      <c r="BB1549" s="318">
        <f t="shared" si="1059"/>
        <v>17.739999999999998</v>
      </c>
      <c r="BC1549" s="318">
        <v>0</v>
      </c>
      <c r="BD1549" s="193"/>
      <c r="BE1549" s="138">
        <v>88.7</v>
      </c>
      <c r="BF1549" s="321">
        <f t="shared" si="1060"/>
        <v>0.13305</v>
      </c>
      <c r="BG1549" s="321">
        <f t="shared" si="1061"/>
        <v>88.566950000000006</v>
      </c>
      <c r="BH1549" s="321">
        <f t="shared" si="1062"/>
        <v>88.5</v>
      </c>
      <c r="BI1549" s="322">
        <f t="shared" si="1063"/>
        <v>20.000000000000284</v>
      </c>
      <c r="BJ1549" s="322">
        <v>0</v>
      </c>
      <c r="BK1549" s="318">
        <f t="shared" si="1064"/>
        <v>20.000000000000284</v>
      </c>
      <c r="BL1549" s="193"/>
      <c r="BM1549" s="449" t="str">
        <f t="shared" si="1065"/>
        <v>Unloading no. 1515 Bill No 2026-27/550 ,Deduction For Oil Deduction= 28854.6168571429 ,Bardana= 0 ,F.M= 0 Brokerage/Rate Difference 0 ,Shortage = 166.62 ,Greenish= 0 ,Moisture= 0</v>
      </c>
      <c r="BN1549" s="193"/>
      <c r="BO1549" s="449" t="str">
        <f t="shared" si="1066"/>
        <v xml:space="preserve"> Party Condition 42  ,F.M% 0.28 ,Greenish 4.57 ,Moisture 5.4 ,Shortage in KG= 2  ,Oil% 40.36</v>
      </c>
      <c r="BP1549" s="318">
        <f t="shared" si="1067"/>
        <v>8021.9035383373684</v>
      </c>
      <c r="BQ1549" s="193"/>
      <c r="BR1549" s="193"/>
      <c r="BS1549" s="193"/>
      <c r="BT1549" s="193"/>
      <c r="BU1549" s="193"/>
      <c r="BV1549" s="193"/>
      <c r="BW1549" s="373"/>
      <c r="BX1549" s="27">
        <v>40.33</v>
      </c>
      <c r="BY1549" s="27">
        <v>40.18</v>
      </c>
      <c r="CO1549" s="57">
        <f t="shared" si="1070"/>
        <v>3.0000000000001137E-2</v>
      </c>
      <c r="CP1549" s="57">
        <f t="shared" si="1071"/>
        <v>0.17999999999999972</v>
      </c>
    </row>
    <row r="1550" spans="1:94" ht="14.1" hidden="1" customHeight="1" x14ac:dyDescent="0.3">
      <c r="A1550" s="281" t="s">
        <v>3253</v>
      </c>
      <c r="B1550" s="146">
        <v>46230</v>
      </c>
      <c r="C1550" s="281">
        <v>1516</v>
      </c>
      <c r="D1550" s="128" t="s">
        <v>3291</v>
      </c>
      <c r="E1550" s="129">
        <v>46232</v>
      </c>
      <c r="F1550" s="128" t="s">
        <v>1575</v>
      </c>
      <c r="G1550" s="128" t="s">
        <v>1576</v>
      </c>
      <c r="H1550" s="128" t="s">
        <v>103</v>
      </c>
      <c r="I1550" s="136"/>
      <c r="J1550" s="138" t="s">
        <v>1146</v>
      </c>
      <c r="K1550" s="136"/>
      <c r="L1550" s="146">
        <v>46230</v>
      </c>
      <c r="M1550" s="136"/>
      <c r="N1550" s="281" t="s">
        <v>3335</v>
      </c>
      <c r="O1550" s="129">
        <v>46232</v>
      </c>
      <c r="P1550" s="138">
        <v>0</v>
      </c>
      <c r="Q1550" s="138">
        <v>140</v>
      </c>
      <c r="R1550" s="138">
        <v>40</v>
      </c>
      <c r="S1550" s="138">
        <v>180</v>
      </c>
      <c r="T1550" s="138">
        <v>180</v>
      </c>
      <c r="U1550" s="136"/>
      <c r="V1550" s="136"/>
      <c r="W1550" s="147">
        <v>90.9</v>
      </c>
      <c r="X1550" s="147">
        <v>90.9</v>
      </c>
      <c r="Y1550" s="147">
        <v>747652.5</v>
      </c>
      <c r="Z1550" s="372">
        <v>39.6</v>
      </c>
      <c r="AA1550" s="147">
        <v>18691.310000000001</v>
      </c>
      <c r="AB1550" s="147">
        <v>18691.310000000001</v>
      </c>
      <c r="AC1550" s="147">
        <v>785035.13</v>
      </c>
      <c r="AD1550" s="315">
        <f t="shared" si="1050"/>
        <v>784250.09487000003</v>
      </c>
      <c r="AE1550" s="372">
        <v>39.6</v>
      </c>
      <c r="AF1550" s="147">
        <v>42</v>
      </c>
      <c r="AG1550" s="372">
        <v>39.6</v>
      </c>
      <c r="AH1550" s="287">
        <v>3.0000000000000001E-3</v>
      </c>
      <c r="AI1550" s="287">
        <v>3.8399999999999997E-2</v>
      </c>
      <c r="AJ1550" s="287">
        <v>5.8000000000000003E-2</v>
      </c>
      <c r="AK1550" s="318">
        <f t="shared" si="1051"/>
        <v>42722.999999999971</v>
      </c>
      <c r="AL1550" s="193">
        <v>0</v>
      </c>
      <c r="AM1550" s="319">
        <v>0</v>
      </c>
      <c r="AN1550" s="319">
        <v>0</v>
      </c>
      <c r="AO1550" s="320">
        <f t="shared" si="1052"/>
        <v>0</v>
      </c>
      <c r="AP1550" s="193">
        <v>0</v>
      </c>
      <c r="AQ1550" s="318">
        <v>0</v>
      </c>
      <c r="AR1550" s="318">
        <f t="shared" si="1053"/>
        <v>42722.999999999971</v>
      </c>
      <c r="AS1550" s="318">
        <f t="shared" si="1054"/>
        <v>44859</v>
      </c>
      <c r="AT1550" s="321">
        <v>0</v>
      </c>
      <c r="AU1550" s="193"/>
      <c r="AV1550" s="193"/>
      <c r="AW1550" s="318">
        <f t="shared" si="1055"/>
        <v>9090</v>
      </c>
      <c r="AX1550" s="193"/>
      <c r="AY1550" s="318">
        <f t="shared" si="1056"/>
        <v>9090</v>
      </c>
      <c r="AZ1550" s="318">
        <f t="shared" si="1057"/>
        <v>9090</v>
      </c>
      <c r="BA1550" s="318">
        <f t="shared" si="1058"/>
        <v>0</v>
      </c>
      <c r="BB1550" s="318">
        <f t="shared" si="1059"/>
        <v>18.18</v>
      </c>
      <c r="BC1550" s="318">
        <v>0</v>
      </c>
      <c r="BD1550" s="193"/>
      <c r="BE1550" s="138">
        <v>90.9</v>
      </c>
      <c r="BF1550" s="321">
        <f t="shared" si="1060"/>
        <v>0.13635</v>
      </c>
      <c r="BG1550" s="321">
        <f t="shared" si="1061"/>
        <v>90.763650000000013</v>
      </c>
      <c r="BH1550" s="321">
        <f t="shared" si="1062"/>
        <v>90.9</v>
      </c>
      <c r="BI1550" s="322">
        <f t="shared" si="1063"/>
        <v>0</v>
      </c>
      <c r="BJ1550" s="322">
        <v>0</v>
      </c>
      <c r="BK1550" s="318">
        <f t="shared" si="1064"/>
        <v>0</v>
      </c>
      <c r="BL1550" s="193"/>
      <c r="BM1550" s="449" t="str">
        <f t="shared" si="1065"/>
        <v>Unloading no. 1516 Bill No 2026-27/00139 ,Deduction For Oil Deduction= 42723 ,Bardana= 0 ,F.M= 0 Brokerage/Rate Difference 0 ,Shortage = 0 ,Greenish= 0 ,Moisture= 0</v>
      </c>
      <c r="BN1550" s="193"/>
      <c r="BO1550" s="449" t="str">
        <f t="shared" si="1066"/>
        <v xml:space="preserve"> Party Condition 42  ,F.M% 0.3 ,Greenish 3.84 ,Moisture 5.8 ,Shortage in KG= 0  ,Oil% 39.6</v>
      </c>
      <c r="BP1550" s="318">
        <f t="shared" si="1067"/>
        <v>7754.9999999999991</v>
      </c>
      <c r="BQ1550" s="193"/>
      <c r="BR1550" s="193"/>
      <c r="BS1550" s="193"/>
      <c r="BT1550" s="193"/>
      <c r="BU1550" s="193"/>
      <c r="BV1550" s="193"/>
      <c r="BW1550" s="373"/>
      <c r="BX1550" s="27">
        <v>39.619999999999997</v>
      </c>
      <c r="BY1550" s="27">
        <v>39.619999999999997</v>
      </c>
      <c r="CO1550" s="57">
        <f t="shared" si="1070"/>
        <v>-1.9999999999996021E-2</v>
      </c>
      <c r="CP1550" s="57">
        <f t="shared" si="1071"/>
        <v>-1.9999999999996021E-2</v>
      </c>
    </row>
    <row r="1551" spans="1:94" ht="14.1" hidden="1" customHeight="1" x14ac:dyDescent="0.3">
      <c r="A1551" s="281" t="s">
        <v>3183</v>
      </c>
      <c r="B1551" s="146">
        <v>46216</v>
      </c>
      <c r="C1551" s="281">
        <v>1517</v>
      </c>
      <c r="D1551" s="128" t="s">
        <v>3292</v>
      </c>
      <c r="E1551" s="129">
        <v>46232</v>
      </c>
      <c r="F1551" s="128" t="s">
        <v>2497</v>
      </c>
      <c r="G1551" s="128" t="s">
        <v>2498</v>
      </c>
      <c r="H1551" s="128" t="s">
        <v>100</v>
      </c>
      <c r="I1551" s="136"/>
      <c r="J1551" s="138" t="s">
        <v>1146</v>
      </c>
      <c r="K1551" s="136"/>
      <c r="L1551" s="146">
        <v>46216</v>
      </c>
      <c r="M1551" s="136"/>
      <c r="N1551" s="281" t="s">
        <v>3336</v>
      </c>
      <c r="O1551" s="129">
        <v>46232</v>
      </c>
      <c r="P1551" s="138">
        <v>0</v>
      </c>
      <c r="Q1551" s="138">
        <v>140</v>
      </c>
      <c r="R1551" s="138">
        <v>15</v>
      </c>
      <c r="S1551" s="138">
        <v>155</v>
      </c>
      <c r="T1551" s="138">
        <v>155</v>
      </c>
      <c r="U1551" s="136"/>
      <c r="V1551" s="136"/>
      <c r="W1551" s="147">
        <v>93.3</v>
      </c>
      <c r="X1551" s="147">
        <v>93.2</v>
      </c>
      <c r="Y1551" s="147">
        <v>751065</v>
      </c>
      <c r="Z1551" s="372">
        <v>39.299999999999997</v>
      </c>
      <c r="AA1551" s="147">
        <v>18776.63</v>
      </c>
      <c r="AB1551" s="147">
        <v>18776.63</v>
      </c>
      <c r="AC1551" s="147">
        <v>788618.25</v>
      </c>
      <c r="AD1551" s="315">
        <f t="shared" si="1050"/>
        <v>787829.63174999994</v>
      </c>
      <c r="AE1551" s="372">
        <v>39.299999999999997</v>
      </c>
      <c r="AF1551" s="147">
        <v>42</v>
      </c>
      <c r="AG1551" s="372">
        <v>39.299999999999997</v>
      </c>
      <c r="AH1551" s="287">
        <v>2.3999999999999998E-3</v>
      </c>
      <c r="AI1551" s="287">
        <v>3.2500000000000001E-2</v>
      </c>
      <c r="AJ1551" s="287">
        <v>5.2999999999999999E-2</v>
      </c>
      <c r="AK1551" s="318">
        <f t="shared" si="1051"/>
        <v>48282.750000000051</v>
      </c>
      <c r="AL1551" s="193">
        <v>0</v>
      </c>
      <c r="AM1551" s="319">
        <v>0</v>
      </c>
      <c r="AN1551" s="319">
        <v>0</v>
      </c>
      <c r="AO1551" s="320">
        <f t="shared" si="1052"/>
        <v>0</v>
      </c>
      <c r="AP1551" s="193">
        <v>0</v>
      </c>
      <c r="AQ1551" s="318">
        <v>0</v>
      </c>
      <c r="AR1551" s="318">
        <f t="shared" si="1053"/>
        <v>48282.750000000051</v>
      </c>
      <c r="AS1551" s="318">
        <f t="shared" si="1054"/>
        <v>50697</v>
      </c>
      <c r="AT1551" s="321">
        <v>0</v>
      </c>
      <c r="AU1551" s="193"/>
      <c r="AV1551" s="193"/>
      <c r="AW1551" s="318">
        <f t="shared" si="1055"/>
        <v>9330</v>
      </c>
      <c r="AX1551" s="193"/>
      <c r="AY1551" s="318">
        <f t="shared" si="1056"/>
        <v>9330</v>
      </c>
      <c r="AZ1551" s="318">
        <f t="shared" si="1057"/>
        <v>9320</v>
      </c>
      <c r="BA1551" s="318">
        <f t="shared" si="1058"/>
        <v>10</v>
      </c>
      <c r="BB1551" s="318">
        <f t="shared" si="1059"/>
        <v>18.66</v>
      </c>
      <c r="BC1551" s="318">
        <v>0</v>
      </c>
      <c r="BD1551" s="193"/>
      <c r="BE1551" s="138">
        <v>93.3</v>
      </c>
      <c r="BF1551" s="321">
        <f t="shared" si="1060"/>
        <v>0.13994999999999999</v>
      </c>
      <c r="BG1551" s="321">
        <f t="shared" si="1061"/>
        <v>93.160049999999998</v>
      </c>
      <c r="BH1551" s="321">
        <f t="shared" si="1062"/>
        <v>93.2</v>
      </c>
      <c r="BI1551" s="322">
        <f t="shared" si="1063"/>
        <v>9.9999999999994316</v>
      </c>
      <c r="BJ1551" s="322">
        <v>0</v>
      </c>
      <c r="BK1551" s="318">
        <f t="shared" si="1064"/>
        <v>9.9999999999994316</v>
      </c>
      <c r="BL1551" s="193"/>
      <c r="BM1551" s="449" t="str">
        <f t="shared" si="1065"/>
        <v>Unloading no. 1517 Bill No HA/26-27/0549 ,Deduction For Oil Deduction= 48282.7500000001 ,Bardana= 0 ,F.M= 0 Brokerage/Rate Difference 0 ,Shortage = 0 ,Greenish= 0 ,Moisture= 0</v>
      </c>
      <c r="BN1551" s="193"/>
      <c r="BO1551" s="449" t="str">
        <f t="shared" si="1066"/>
        <v xml:space="preserve"> Party Condition 42  ,F.M% 0.24 ,Greenish 3.25 ,Moisture 5.3 ,Shortage in KG= 0  ,Oil% 39.3</v>
      </c>
      <c r="BP1551" s="318">
        <f t="shared" si="1067"/>
        <v>7540.5820815450643</v>
      </c>
      <c r="BQ1551" s="193"/>
      <c r="BR1551" s="193"/>
      <c r="BS1551" s="193"/>
      <c r="BT1551" s="193"/>
      <c r="BU1551" s="193"/>
      <c r="BV1551" s="193"/>
      <c r="BW1551" s="373"/>
      <c r="BX1551" s="27">
        <v>39.119999999999997</v>
      </c>
      <c r="BY1551" s="27">
        <v>39.1</v>
      </c>
      <c r="CO1551" s="57">
        <f t="shared" si="1070"/>
        <v>0.17999999999999972</v>
      </c>
      <c r="CP1551" s="57">
        <f t="shared" si="1071"/>
        <v>0.19999999999999574</v>
      </c>
    </row>
    <row r="1552" spans="1:94" ht="14.1" hidden="1" customHeight="1" x14ac:dyDescent="0.3">
      <c r="A1552" s="281" t="s">
        <v>3253</v>
      </c>
      <c r="B1552" s="146">
        <v>46230</v>
      </c>
      <c r="C1552" s="281">
        <v>1518</v>
      </c>
      <c r="D1552" s="128" t="s">
        <v>3293</v>
      </c>
      <c r="E1552" s="129">
        <v>46232</v>
      </c>
      <c r="F1552" s="128" t="s">
        <v>1575</v>
      </c>
      <c r="G1552" s="128" t="s">
        <v>1576</v>
      </c>
      <c r="H1552" s="128" t="s">
        <v>103</v>
      </c>
      <c r="I1552" s="136"/>
      <c r="J1552" s="138" t="s">
        <v>1146</v>
      </c>
      <c r="K1552" s="136"/>
      <c r="L1552" s="146">
        <v>46230</v>
      </c>
      <c r="M1552" s="136"/>
      <c r="N1552" s="281" t="s">
        <v>3337</v>
      </c>
      <c r="O1552" s="129">
        <v>46232</v>
      </c>
      <c r="P1552" s="138">
        <v>0</v>
      </c>
      <c r="Q1552" s="138">
        <v>160</v>
      </c>
      <c r="R1552" s="138">
        <v>20</v>
      </c>
      <c r="S1552" s="138">
        <v>180</v>
      </c>
      <c r="T1552" s="138">
        <v>180</v>
      </c>
      <c r="U1552" s="136"/>
      <c r="V1552" s="136"/>
      <c r="W1552" s="147">
        <v>91.2</v>
      </c>
      <c r="X1552" s="147">
        <v>91.2</v>
      </c>
      <c r="Y1552" s="147">
        <v>750120</v>
      </c>
      <c r="Z1552" s="372">
        <v>39.840000000000003</v>
      </c>
      <c r="AA1552" s="147">
        <v>18753</v>
      </c>
      <c r="AB1552" s="147">
        <v>18753</v>
      </c>
      <c r="AC1552" s="147">
        <v>787626</v>
      </c>
      <c r="AD1552" s="315">
        <f t="shared" si="1050"/>
        <v>786838.37399999995</v>
      </c>
      <c r="AE1552" s="372">
        <v>39.840000000000003</v>
      </c>
      <c r="AF1552" s="147">
        <v>42</v>
      </c>
      <c r="AG1552" s="372">
        <v>39.840000000000003</v>
      </c>
      <c r="AH1552" s="287">
        <v>3.8E-3</v>
      </c>
      <c r="AI1552" s="287">
        <v>4.1000000000000002E-2</v>
      </c>
      <c r="AJ1552" s="287">
        <v>5.5E-2</v>
      </c>
      <c r="AK1552" s="318">
        <f t="shared" si="1051"/>
        <v>38577.59999999994</v>
      </c>
      <c r="AL1552" s="193">
        <v>0</v>
      </c>
      <c r="AM1552" s="319">
        <v>0</v>
      </c>
      <c r="AN1552" s="319">
        <v>0</v>
      </c>
      <c r="AO1552" s="320">
        <f t="shared" si="1052"/>
        <v>0</v>
      </c>
      <c r="AP1552" s="193">
        <v>0</v>
      </c>
      <c r="AQ1552" s="318">
        <v>0</v>
      </c>
      <c r="AR1552" s="318">
        <f t="shared" si="1053"/>
        <v>38577.59999999994</v>
      </c>
      <c r="AS1552" s="318">
        <f t="shared" si="1054"/>
        <v>40506</v>
      </c>
      <c r="AT1552" s="321">
        <v>0</v>
      </c>
      <c r="AU1552" s="193"/>
      <c r="AV1552" s="193"/>
      <c r="AW1552" s="318">
        <f t="shared" si="1055"/>
        <v>9120</v>
      </c>
      <c r="AX1552" s="193"/>
      <c r="AY1552" s="318">
        <f t="shared" si="1056"/>
        <v>9120</v>
      </c>
      <c r="AZ1552" s="318">
        <f t="shared" si="1057"/>
        <v>9120</v>
      </c>
      <c r="BA1552" s="318">
        <f t="shared" si="1058"/>
        <v>0</v>
      </c>
      <c r="BB1552" s="318">
        <f t="shared" si="1059"/>
        <v>18.239999999999998</v>
      </c>
      <c r="BC1552" s="318">
        <v>0</v>
      </c>
      <c r="BD1552" s="193"/>
      <c r="BE1552" s="138">
        <v>91.2</v>
      </c>
      <c r="BF1552" s="321">
        <f t="shared" si="1060"/>
        <v>0.1368</v>
      </c>
      <c r="BG1552" s="321">
        <f t="shared" si="1061"/>
        <v>91.063200000000009</v>
      </c>
      <c r="BH1552" s="321">
        <f t="shared" si="1062"/>
        <v>91.2</v>
      </c>
      <c r="BI1552" s="322">
        <f t="shared" si="1063"/>
        <v>0</v>
      </c>
      <c r="BJ1552" s="322">
        <v>0</v>
      </c>
      <c r="BK1552" s="318">
        <f t="shared" si="1064"/>
        <v>0</v>
      </c>
      <c r="BL1552" s="193"/>
      <c r="BM1552" s="449" t="str">
        <f t="shared" si="1065"/>
        <v>Unloading no. 1518 Bill No 2026-27/00140 ,Deduction For Oil Deduction= 38577.5999999999 ,Bardana= 0 ,F.M= 0 Brokerage/Rate Difference 0 ,Shortage = 0 ,Greenish= 0 ,Moisture= 0</v>
      </c>
      <c r="BN1552" s="193"/>
      <c r="BO1552" s="449" t="str">
        <f t="shared" si="1066"/>
        <v xml:space="preserve"> Party Condition 42  ,F.M% 0.38 ,Greenish 4.1 ,Moisture 5.5 ,Shortage in KG= 0  ,Oil% 39.84</v>
      </c>
      <c r="BP1552" s="318">
        <f t="shared" si="1067"/>
        <v>7802</v>
      </c>
      <c r="BQ1552" s="193"/>
      <c r="BR1552" s="193"/>
      <c r="BS1552" s="193"/>
      <c r="BT1552" s="193"/>
      <c r="BU1552" s="193"/>
      <c r="BV1552" s="193"/>
      <c r="BW1552" s="373"/>
      <c r="BX1552" s="27">
        <v>39.85</v>
      </c>
      <c r="BY1552" s="27">
        <v>39.74</v>
      </c>
      <c r="CO1552" s="57">
        <f t="shared" si="1070"/>
        <v>-9.9999999999980105E-3</v>
      </c>
      <c r="CP1552" s="57">
        <f t="shared" si="1071"/>
        <v>0.10000000000000142</v>
      </c>
    </row>
    <row r="1553" spans="1:94" ht="14.1" hidden="1" customHeight="1" x14ac:dyDescent="0.3">
      <c r="A1553" s="281" t="s">
        <v>3253</v>
      </c>
      <c r="B1553" s="146">
        <v>46230</v>
      </c>
      <c r="C1553" s="281">
        <v>1519</v>
      </c>
      <c r="D1553" s="128" t="s">
        <v>3294</v>
      </c>
      <c r="E1553" s="129">
        <v>46232</v>
      </c>
      <c r="F1553" s="128" t="s">
        <v>1575</v>
      </c>
      <c r="G1553" s="128" t="s">
        <v>1576</v>
      </c>
      <c r="H1553" s="128" t="s">
        <v>103</v>
      </c>
      <c r="I1553" s="136"/>
      <c r="J1553" s="138" t="s">
        <v>1146</v>
      </c>
      <c r="K1553" s="136"/>
      <c r="L1553" s="146">
        <v>46230</v>
      </c>
      <c r="M1553" s="136"/>
      <c r="N1553" s="281" t="s">
        <v>3338</v>
      </c>
      <c r="O1553" s="129">
        <v>46232</v>
      </c>
      <c r="P1553" s="138">
        <v>0</v>
      </c>
      <c r="Q1553" s="138">
        <v>150</v>
      </c>
      <c r="R1553" s="138">
        <v>30</v>
      </c>
      <c r="S1553" s="138">
        <v>180</v>
      </c>
      <c r="T1553" s="138">
        <v>180</v>
      </c>
      <c r="U1553" s="136"/>
      <c r="V1553" s="136"/>
      <c r="W1553" s="147">
        <v>91</v>
      </c>
      <c r="X1553" s="147">
        <v>91.1</v>
      </c>
      <c r="Y1553" s="147">
        <v>748475</v>
      </c>
      <c r="Z1553" s="372">
        <v>39.85</v>
      </c>
      <c r="AA1553" s="147">
        <v>18711.88</v>
      </c>
      <c r="AB1553" s="147">
        <v>18711.88</v>
      </c>
      <c r="AC1553" s="147">
        <v>785898.75</v>
      </c>
      <c r="AD1553" s="315">
        <f t="shared" si="1050"/>
        <v>785112.85124999995</v>
      </c>
      <c r="AE1553" s="372">
        <v>39.85</v>
      </c>
      <c r="AF1553" s="147">
        <v>42</v>
      </c>
      <c r="AG1553" s="372">
        <v>39.85</v>
      </c>
      <c r="AH1553" s="287">
        <v>3.0000000000000001E-3</v>
      </c>
      <c r="AI1553" s="287">
        <v>3.7999999999999999E-2</v>
      </c>
      <c r="AJ1553" s="287">
        <v>5.5E-2</v>
      </c>
      <c r="AK1553" s="318">
        <f t="shared" si="1051"/>
        <v>38314.791666666642</v>
      </c>
      <c r="AL1553" s="193">
        <v>0</v>
      </c>
      <c r="AM1553" s="319">
        <v>0</v>
      </c>
      <c r="AN1553" s="319">
        <v>0</v>
      </c>
      <c r="AO1553" s="320">
        <f t="shared" si="1052"/>
        <v>0</v>
      </c>
      <c r="AP1553" s="193">
        <v>0</v>
      </c>
      <c r="AQ1553" s="318">
        <v>0</v>
      </c>
      <c r="AR1553" s="318">
        <f t="shared" si="1053"/>
        <v>38314.791666666642</v>
      </c>
      <c r="AS1553" s="318">
        <f t="shared" si="1054"/>
        <v>40231</v>
      </c>
      <c r="AT1553" s="321">
        <v>0</v>
      </c>
      <c r="AU1553" s="193"/>
      <c r="AV1553" s="193"/>
      <c r="AW1553" s="318">
        <f t="shared" si="1055"/>
        <v>9100</v>
      </c>
      <c r="AX1553" s="193"/>
      <c r="AY1553" s="318">
        <f t="shared" si="1056"/>
        <v>9100</v>
      </c>
      <c r="AZ1553" s="318">
        <f t="shared" si="1057"/>
        <v>9110</v>
      </c>
      <c r="BA1553" s="318">
        <f t="shared" si="1058"/>
        <v>-10</v>
      </c>
      <c r="BB1553" s="318">
        <f t="shared" si="1059"/>
        <v>18.2</v>
      </c>
      <c r="BC1553" s="318">
        <v>0</v>
      </c>
      <c r="BD1553" s="193"/>
      <c r="BE1553" s="138">
        <v>91</v>
      </c>
      <c r="BF1553" s="321">
        <f t="shared" si="1060"/>
        <v>0.13650000000000001</v>
      </c>
      <c r="BG1553" s="321">
        <f t="shared" si="1061"/>
        <v>90.863500000000002</v>
      </c>
      <c r="BH1553" s="321">
        <f t="shared" si="1062"/>
        <v>91.1</v>
      </c>
      <c r="BI1553" s="322">
        <f t="shared" si="1063"/>
        <v>-9.9999999999994316</v>
      </c>
      <c r="BJ1553" s="322">
        <v>0</v>
      </c>
      <c r="BK1553" s="318">
        <f t="shared" si="1064"/>
        <v>-9.9999999999994316</v>
      </c>
      <c r="BL1553" s="193"/>
      <c r="BM1553" s="449" t="str">
        <f t="shared" si="1065"/>
        <v>Unloading no. 1519 Bill No 2026-27/00141 ,Deduction For Oil Deduction= 38314.7916666666 ,Bardana= 0 ,F.M= 0 Brokerage/Rate Difference 0 ,Shortage = 0 ,Greenish= 0 ,Moisture= 0</v>
      </c>
      <c r="BN1553" s="193"/>
      <c r="BO1553" s="449" t="str">
        <f t="shared" si="1066"/>
        <v xml:space="preserve"> Party Condition 42  ,F.M% 0.3 ,Greenish 3.8 ,Moisture 5.5 ,Shortage in KG= 0  ,Oil% 39.85</v>
      </c>
      <c r="BP1553" s="318">
        <f t="shared" si="1067"/>
        <v>7795.3919685327492</v>
      </c>
      <c r="BQ1553" s="193"/>
      <c r="BR1553" s="193"/>
      <c r="BS1553" s="193"/>
      <c r="BT1553" s="193"/>
      <c r="BU1553" s="193"/>
      <c r="BV1553" s="193"/>
      <c r="BW1553" s="373"/>
      <c r="BX1553" s="27">
        <v>39.64</v>
      </c>
      <c r="BY1553" s="27">
        <v>39.659999999999997</v>
      </c>
      <c r="CO1553" s="57">
        <f t="shared" si="1070"/>
        <v>0.21000000000000085</v>
      </c>
      <c r="CP1553" s="57">
        <f t="shared" si="1071"/>
        <v>0.19000000000000483</v>
      </c>
    </row>
    <row r="1554" spans="1:94" ht="14.1" hidden="1" customHeight="1" x14ac:dyDescent="0.3">
      <c r="A1554" s="281" t="s">
        <v>3183</v>
      </c>
      <c r="B1554" s="146">
        <v>46216</v>
      </c>
      <c r="C1554" s="281">
        <v>1520</v>
      </c>
      <c r="D1554" s="128" t="s">
        <v>3295</v>
      </c>
      <c r="E1554" s="129">
        <v>46232</v>
      </c>
      <c r="F1554" s="128" t="s">
        <v>2497</v>
      </c>
      <c r="G1554" s="128" t="s">
        <v>2498</v>
      </c>
      <c r="H1554" s="128" t="s">
        <v>100</v>
      </c>
      <c r="I1554" s="136"/>
      <c r="J1554" s="138" t="s">
        <v>1146</v>
      </c>
      <c r="K1554" s="136"/>
      <c r="L1554" s="146">
        <v>46216</v>
      </c>
      <c r="M1554" s="136"/>
      <c r="N1554" s="281" t="s">
        <v>3339</v>
      </c>
      <c r="O1554" s="129">
        <v>46232</v>
      </c>
      <c r="P1554" s="138">
        <v>0</v>
      </c>
      <c r="Q1554" s="138">
        <v>140</v>
      </c>
      <c r="R1554" s="138">
        <v>15</v>
      </c>
      <c r="S1554" s="138">
        <v>155</v>
      </c>
      <c r="T1554" s="138">
        <v>155</v>
      </c>
      <c r="U1554" s="136"/>
      <c r="V1554" s="136"/>
      <c r="W1554" s="147">
        <v>92.6</v>
      </c>
      <c r="X1554" s="147">
        <v>92.6</v>
      </c>
      <c r="Y1554" s="147">
        <v>745430</v>
      </c>
      <c r="Z1554" s="372">
        <v>39.840000000000003</v>
      </c>
      <c r="AA1554" s="147">
        <v>18635.75</v>
      </c>
      <c r="AB1554" s="147">
        <v>18635.75</v>
      </c>
      <c r="AC1554" s="147">
        <v>782701.5</v>
      </c>
      <c r="AD1554" s="315">
        <f t="shared" si="1050"/>
        <v>781918.79850000003</v>
      </c>
      <c r="AE1554" s="372">
        <v>39.840000000000003</v>
      </c>
      <c r="AF1554" s="147">
        <v>42</v>
      </c>
      <c r="AG1554" s="372">
        <v>39.840000000000003</v>
      </c>
      <c r="AH1554" s="287">
        <v>2.5999999999999999E-3</v>
      </c>
      <c r="AI1554" s="287">
        <v>4.2200000000000001E-2</v>
      </c>
      <c r="AJ1554" s="287">
        <v>5.5E-2</v>
      </c>
      <c r="AK1554" s="318">
        <f t="shared" si="1051"/>
        <v>38336.399999999936</v>
      </c>
      <c r="AL1554" s="193">
        <v>0</v>
      </c>
      <c r="AM1554" s="319">
        <v>0</v>
      </c>
      <c r="AN1554" s="319">
        <v>0</v>
      </c>
      <c r="AO1554" s="320">
        <f t="shared" si="1052"/>
        <v>0</v>
      </c>
      <c r="AP1554" s="193">
        <v>0</v>
      </c>
      <c r="AQ1554" s="318">
        <v>0</v>
      </c>
      <c r="AR1554" s="318">
        <f t="shared" si="1053"/>
        <v>38336.399999999936</v>
      </c>
      <c r="AS1554" s="318">
        <f t="shared" si="1054"/>
        <v>40253</v>
      </c>
      <c r="AT1554" s="321">
        <v>0</v>
      </c>
      <c r="AU1554" s="193"/>
      <c r="AV1554" s="193"/>
      <c r="AW1554" s="318">
        <f t="shared" si="1055"/>
        <v>9260</v>
      </c>
      <c r="AX1554" s="193"/>
      <c r="AY1554" s="318">
        <f t="shared" si="1056"/>
        <v>9260</v>
      </c>
      <c r="AZ1554" s="318">
        <f t="shared" si="1057"/>
        <v>9260</v>
      </c>
      <c r="BA1554" s="318">
        <f t="shared" si="1058"/>
        <v>0</v>
      </c>
      <c r="BB1554" s="318">
        <f t="shared" si="1059"/>
        <v>18.52</v>
      </c>
      <c r="BC1554" s="318">
        <v>0</v>
      </c>
      <c r="BD1554" s="193"/>
      <c r="BE1554" s="138">
        <v>92.6</v>
      </c>
      <c r="BF1554" s="321">
        <f t="shared" si="1060"/>
        <v>0.1389</v>
      </c>
      <c r="BG1554" s="321">
        <f t="shared" si="1061"/>
        <v>92.461099999999988</v>
      </c>
      <c r="BH1554" s="321">
        <f t="shared" si="1062"/>
        <v>92.6</v>
      </c>
      <c r="BI1554" s="322">
        <f t="shared" si="1063"/>
        <v>0</v>
      </c>
      <c r="BJ1554" s="322">
        <v>0</v>
      </c>
      <c r="BK1554" s="318">
        <f t="shared" si="1064"/>
        <v>0</v>
      </c>
      <c r="BL1554" s="193"/>
      <c r="BM1554" s="449" t="str">
        <f t="shared" si="1065"/>
        <v>Unloading no. 1520 Bill No HA/26-27/0550 ,Deduction For Oil Deduction= 38336.3999999999 ,Bardana= 0 ,F.M= 0 Brokerage/Rate Difference 0 ,Shortage = 0 ,Greenish= 0 ,Moisture= 0</v>
      </c>
      <c r="BN1554" s="193"/>
      <c r="BO1554" s="449" t="str">
        <f t="shared" si="1066"/>
        <v xml:space="preserve"> Party Condition 42  ,F.M% 0.26 ,Greenish 4.22 ,Moisture 5.5 ,Shortage in KG= 0  ,Oil% 39.84</v>
      </c>
      <c r="BP1554" s="318">
        <f t="shared" si="1067"/>
        <v>7636.0000000000018</v>
      </c>
      <c r="BQ1554" s="193"/>
      <c r="BR1554" s="193"/>
      <c r="BS1554" s="193"/>
      <c r="BT1554" s="193"/>
      <c r="BU1554" s="193"/>
      <c r="BV1554" s="193"/>
      <c r="BW1554" s="373"/>
      <c r="BX1554" s="27">
        <v>40.06</v>
      </c>
      <c r="BY1554" s="27">
        <v>39.96</v>
      </c>
      <c r="CO1554" s="57">
        <f t="shared" si="1070"/>
        <v>-0.21999999999999886</v>
      </c>
      <c r="CP1554" s="57">
        <f t="shared" si="1071"/>
        <v>-0.11999999999999744</v>
      </c>
    </row>
    <row r="1555" spans="1:94" ht="14.1" hidden="1" customHeight="1" x14ac:dyDescent="0.3">
      <c r="A1555" s="281" t="s">
        <v>3253</v>
      </c>
      <c r="B1555" s="146">
        <v>46230</v>
      </c>
      <c r="C1555" s="281">
        <v>1521</v>
      </c>
      <c r="D1555" s="128" t="s">
        <v>3296</v>
      </c>
      <c r="E1555" s="129">
        <v>46232</v>
      </c>
      <c r="F1555" s="128" t="s">
        <v>1575</v>
      </c>
      <c r="G1555" s="128" t="s">
        <v>1576</v>
      </c>
      <c r="H1555" s="128" t="s">
        <v>103</v>
      </c>
      <c r="I1555" s="136"/>
      <c r="J1555" s="138" t="s">
        <v>1146</v>
      </c>
      <c r="K1555" s="136"/>
      <c r="L1555" s="146">
        <v>46230</v>
      </c>
      <c r="M1555" s="136"/>
      <c r="N1555" s="281" t="s">
        <v>3340</v>
      </c>
      <c r="O1555" s="129">
        <v>46232</v>
      </c>
      <c r="P1555" s="138">
        <v>0</v>
      </c>
      <c r="Q1555" s="138">
        <v>140</v>
      </c>
      <c r="R1555" s="138">
        <v>40</v>
      </c>
      <c r="S1555" s="138">
        <v>180</v>
      </c>
      <c r="T1555" s="138">
        <v>180</v>
      </c>
      <c r="U1555" s="136"/>
      <c r="V1555" s="136"/>
      <c r="W1555" s="147">
        <v>91.2</v>
      </c>
      <c r="X1555" s="147">
        <v>91.2</v>
      </c>
      <c r="Y1555" s="147">
        <v>750120</v>
      </c>
      <c r="Z1555" s="372">
        <v>40.04</v>
      </c>
      <c r="AA1555" s="147">
        <v>18753</v>
      </c>
      <c r="AB1555" s="147">
        <v>18753</v>
      </c>
      <c r="AC1555" s="147">
        <v>787626</v>
      </c>
      <c r="AD1555" s="315">
        <f t="shared" si="1050"/>
        <v>786838.37399999995</v>
      </c>
      <c r="AE1555" s="372">
        <v>40.04</v>
      </c>
      <c r="AF1555" s="147">
        <v>42</v>
      </c>
      <c r="AG1555" s="372">
        <v>40.04</v>
      </c>
      <c r="AH1555" s="287">
        <v>3.2000000000000002E-3</v>
      </c>
      <c r="AI1555" s="287">
        <v>0.03</v>
      </c>
      <c r="AJ1555" s="287">
        <v>5.3999999999999999E-2</v>
      </c>
      <c r="AK1555" s="318">
        <f t="shared" si="1051"/>
        <v>35005.60000000002</v>
      </c>
      <c r="AL1555" s="193">
        <v>0</v>
      </c>
      <c r="AM1555" s="319">
        <v>0</v>
      </c>
      <c r="AN1555" s="319">
        <v>0</v>
      </c>
      <c r="AO1555" s="320">
        <f t="shared" si="1052"/>
        <v>0</v>
      </c>
      <c r="AP1555" s="193">
        <v>0</v>
      </c>
      <c r="AQ1555" s="318">
        <v>0</v>
      </c>
      <c r="AR1555" s="318">
        <f t="shared" si="1053"/>
        <v>35005.60000000002</v>
      </c>
      <c r="AS1555" s="318">
        <f t="shared" si="1054"/>
        <v>36756</v>
      </c>
      <c r="AT1555" s="321">
        <v>0</v>
      </c>
      <c r="AU1555" s="193"/>
      <c r="AV1555" s="193"/>
      <c r="AW1555" s="318">
        <f t="shared" si="1055"/>
        <v>9120</v>
      </c>
      <c r="AX1555" s="193"/>
      <c r="AY1555" s="318">
        <f t="shared" si="1056"/>
        <v>9120</v>
      </c>
      <c r="AZ1555" s="318">
        <f t="shared" si="1057"/>
        <v>9120</v>
      </c>
      <c r="BA1555" s="318">
        <f t="shared" si="1058"/>
        <v>0</v>
      </c>
      <c r="BB1555" s="318">
        <f t="shared" si="1059"/>
        <v>18.239999999999998</v>
      </c>
      <c r="BC1555" s="318">
        <v>0</v>
      </c>
      <c r="BD1555" s="193"/>
      <c r="BE1555" s="138">
        <v>91.2</v>
      </c>
      <c r="BF1555" s="321">
        <f t="shared" si="1060"/>
        <v>0.1368</v>
      </c>
      <c r="BG1555" s="321">
        <f t="shared" si="1061"/>
        <v>91.063200000000009</v>
      </c>
      <c r="BH1555" s="321">
        <f t="shared" si="1062"/>
        <v>91.2</v>
      </c>
      <c r="BI1555" s="322">
        <f t="shared" si="1063"/>
        <v>0</v>
      </c>
      <c r="BJ1555" s="322">
        <v>0</v>
      </c>
      <c r="BK1555" s="318">
        <f t="shared" si="1064"/>
        <v>0</v>
      </c>
      <c r="BL1555" s="193"/>
      <c r="BM1555" s="449" t="str">
        <f t="shared" si="1065"/>
        <v>Unloading no. 1521 Bill No 2026-27/00142 ,Deduction For Oil Deduction= 35005.6 ,Bardana= 0 ,F.M= 0 Brokerage/Rate Difference 0 ,Shortage = 0 ,Greenish= 0 ,Moisture= 0</v>
      </c>
      <c r="BN1555" s="193"/>
      <c r="BO1555" s="449" t="str">
        <f t="shared" si="1066"/>
        <v xml:space="preserve"> Party Condition 42  ,F.M% 0.32 ,Greenish 3 ,Moisture 5.4 ,Shortage in KG= 0  ,Oil% 40.04</v>
      </c>
      <c r="BP1555" s="318">
        <f t="shared" si="1067"/>
        <v>7841.166666666667</v>
      </c>
      <c r="BQ1555" s="193"/>
      <c r="BR1555" s="193"/>
      <c r="BS1555" s="193"/>
      <c r="BT1555" s="193"/>
      <c r="BU1555" s="193"/>
      <c r="BV1555" s="193"/>
      <c r="BW1555" s="373"/>
      <c r="BX1555" s="27">
        <v>39.67</v>
      </c>
      <c r="BY1555" s="27">
        <v>39.64</v>
      </c>
      <c r="CO1555" s="57">
        <f t="shared" si="1070"/>
        <v>0.36999999999999744</v>
      </c>
      <c r="CP1555" s="57">
        <f t="shared" si="1071"/>
        <v>0.39999999999999858</v>
      </c>
    </row>
    <row r="1556" spans="1:94" ht="14.1" hidden="1" customHeight="1" x14ac:dyDescent="0.3">
      <c r="A1556" s="281" t="s">
        <v>3183</v>
      </c>
      <c r="B1556" s="146">
        <v>46216</v>
      </c>
      <c r="C1556" s="281">
        <v>1522</v>
      </c>
      <c r="D1556" s="128" t="s">
        <v>3297</v>
      </c>
      <c r="E1556" s="129">
        <v>46232</v>
      </c>
      <c r="F1556" s="128" t="s">
        <v>2497</v>
      </c>
      <c r="G1556" s="128" t="s">
        <v>2498</v>
      </c>
      <c r="H1556" s="128" t="s">
        <v>100</v>
      </c>
      <c r="I1556" s="136"/>
      <c r="J1556" s="138" t="s">
        <v>1146</v>
      </c>
      <c r="K1556" s="136"/>
      <c r="L1556" s="146">
        <v>46216</v>
      </c>
      <c r="M1556" s="136"/>
      <c r="N1556" s="281" t="s">
        <v>3341</v>
      </c>
      <c r="O1556" s="129">
        <v>46232</v>
      </c>
      <c r="P1556" s="138">
        <v>0</v>
      </c>
      <c r="Q1556" s="138">
        <v>140</v>
      </c>
      <c r="R1556" s="138">
        <v>15</v>
      </c>
      <c r="S1556" s="138">
        <v>155</v>
      </c>
      <c r="T1556" s="138">
        <v>155</v>
      </c>
      <c r="U1556" s="136"/>
      <c r="V1556" s="136"/>
      <c r="W1556" s="147">
        <v>93.1</v>
      </c>
      <c r="X1556" s="147">
        <v>93.1</v>
      </c>
      <c r="Y1556" s="147">
        <v>749455</v>
      </c>
      <c r="Z1556" s="372">
        <v>40.82</v>
      </c>
      <c r="AA1556" s="147">
        <v>18736.38</v>
      </c>
      <c r="AB1556" s="147">
        <v>18736.38</v>
      </c>
      <c r="AC1556" s="147">
        <v>786927.75</v>
      </c>
      <c r="AD1556" s="315">
        <f t="shared" si="1050"/>
        <v>786140.82224999997</v>
      </c>
      <c r="AE1556" s="372">
        <v>40.82</v>
      </c>
      <c r="AF1556" s="147">
        <v>42</v>
      </c>
      <c r="AG1556" s="372">
        <v>40.82</v>
      </c>
      <c r="AH1556" s="287">
        <v>2.8E-3</v>
      </c>
      <c r="AI1556" s="287">
        <v>3.5000000000000003E-2</v>
      </c>
      <c r="AJ1556" s="287">
        <v>5.6000000000000001E-2</v>
      </c>
      <c r="AK1556" s="318">
        <f t="shared" si="1051"/>
        <v>21056.116666666661</v>
      </c>
      <c r="AL1556" s="193">
        <v>0</v>
      </c>
      <c r="AM1556" s="319">
        <v>0</v>
      </c>
      <c r="AN1556" s="319">
        <v>0</v>
      </c>
      <c r="AO1556" s="320">
        <f t="shared" si="1052"/>
        <v>0</v>
      </c>
      <c r="AP1556" s="193">
        <v>0</v>
      </c>
      <c r="AQ1556" s="318">
        <v>0</v>
      </c>
      <c r="AR1556" s="318">
        <f t="shared" si="1053"/>
        <v>21056.116666666661</v>
      </c>
      <c r="AS1556" s="318">
        <f t="shared" si="1054"/>
        <v>22109</v>
      </c>
      <c r="AT1556" s="321">
        <v>0</v>
      </c>
      <c r="AU1556" s="193"/>
      <c r="AV1556" s="193"/>
      <c r="AW1556" s="318">
        <f t="shared" si="1055"/>
        <v>9310</v>
      </c>
      <c r="AX1556" s="193"/>
      <c r="AY1556" s="318">
        <f t="shared" si="1056"/>
        <v>9310</v>
      </c>
      <c r="AZ1556" s="318">
        <f t="shared" si="1057"/>
        <v>9310</v>
      </c>
      <c r="BA1556" s="318">
        <f t="shared" si="1058"/>
        <v>0</v>
      </c>
      <c r="BB1556" s="318">
        <f t="shared" si="1059"/>
        <v>18.62</v>
      </c>
      <c r="BC1556" s="318">
        <v>0</v>
      </c>
      <c r="BD1556" s="193"/>
      <c r="BE1556" s="138">
        <v>93.1</v>
      </c>
      <c r="BF1556" s="321">
        <f t="shared" si="1060"/>
        <v>0.13964999999999997</v>
      </c>
      <c r="BG1556" s="321">
        <f t="shared" si="1061"/>
        <v>92.960349999999991</v>
      </c>
      <c r="BH1556" s="321">
        <f t="shared" si="1062"/>
        <v>93.1</v>
      </c>
      <c r="BI1556" s="322">
        <f t="shared" si="1063"/>
        <v>0</v>
      </c>
      <c r="BJ1556" s="322">
        <v>0</v>
      </c>
      <c r="BK1556" s="318">
        <f t="shared" si="1064"/>
        <v>0</v>
      </c>
      <c r="BL1556" s="193"/>
      <c r="BM1556" s="449" t="str">
        <f t="shared" si="1065"/>
        <v>Unloading no. 1522 Bill No HA/26-27/0551 ,Deduction For Oil Deduction= 21056.1166666667 ,Bardana= 0 ,F.M= 0 Brokerage/Rate Difference 0 ,Shortage = 0 ,Greenish= 0 ,Moisture= 0</v>
      </c>
      <c r="BN1556" s="193"/>
      <c r="BO1556" s="449" t="str">
        <f t="shared" si="1066"/>
        <v xml:space="preserve"> Party Condition 42  ,F.M% 0.28 ,Greenish 3.5 ,Moisture 5.6 ,Shortage in KG= 0  ,Oil% 40.82</v>
      </c>
      <c r="BP1556" s="318">
        <f t="shared" si="1067"/>
        <v>7823.833333333333</v>
      </c>
      <c r="BQ1556" s="193"/>
      <c r="BR1556" s="193"/>
      <c r="BS1556" s="193"/>
      <c r="BT1556" s="193"/>
      <c r="BU1556" s="193"/>
      <c r="BV1556" s="193"/>
      <c r="BW1556" s="373"/>
      <c r="BX1556" s="27">
        <v>40.46</v>
      </c>
      <c r="BY1556" s="27">
        <v>40.380000000000003</v>
      </c>
      <c r="CO1556" s="57">
        <f t="shared" si="1070"/>
        <v>0.35999999999999943</v>
      </c>
      <c r="CP1556" s="57">
        <f t="shared" si="1071"/>
        <v>0.43999999999999773</v>
      </c>
    </row>
    <row r="1557" spans="1:94" ht="14.1" hidden="1" customHeight="1" x14ac:dyDescent="0.3">
      <c r="A1557" s="284" t="s">
        <v>3183</v>
      </c>
      <c r="B1557" s="376">
        <v>46216</v>
      </c>
      <c r="C1557" s="284">
        <v>1523</v>
      </c>
      <c r="D1557" s="174" t="s">
        <v>3298</v>
      </c>
      <c r="E1557" s="231">
        <v>46232</v>
      </c>
      <c r="F1557" s="174" t="s">
        <v>2497</v>
      </c>
      <c r="G1557" s="174" t="s">
        <v>2498</v>
      </c>
      <c r="H1557" s="174" t="s">
        <v>100</v>
      </c>
      <c r="I1557" s="176"/>
      <c r="J1557" s="275" t="s">
        <v>1146</v>
      </c>
      <c r="K1557" s="176"/>
      <c r="L1557" s="376">
        <v>46216</v>
      </c>
      <c r="M1557" s="176"/>
      <c r="N1557" s="284" t="s">
        <v>3342</v>
      </c>
      <c r="O1557" s="231">
        <v>46232</v>
      </c>
      <c r="P1557" s="275">
        <v>0</v>
      </c>
      <c r="Q1557" s="275">
        <v>140</v>
      </c>
      <c r="R1557" s="275">
        <v>15</v>
      </c>
      <c r="S1557" s="275">
        <v>155</v>
      </c>
      <c r="T1557" s="275">
        <v>155</v>
      </c>
      <c r="U1557" s="176"/>
      <c r="V1557" s="176"/>
      <c r="W1557" s="178">
        <v>93.7</v>
      </c>
      <c r="X1557" s="178">
        <v>93.6</v>
      </c>
      <c r="Y1557" s="178">
        <v>754285</v>
      </c>
      <c r="Z1557" s="401">
        <v>40.98</v>
      </c>
      <c r="AA1557" s="178">
        <v>18857.13</v>
      </c>
      <c r="AB1557" s="178">
        <v>18857.13</v>
      </c>
      <c r="AC1557" s="178">
        <v>791999.25</v>
      </c>
      <c r="AD1557" s="339">
        <f t="shared" si="1050"/>
        <v>791207.25075000001</v>
      </c>
      <c r="AE1557" s="401">
        <v>40.98</v>
      </c>
      <c r="AF1557" s="178">
        <v>42</v>
      </c>
      <c r="AG1557" s="401">
        <v>40.98</v>
      </c>
      <c r="AH1557" s="308">
        <v>4.0000000000000001E-3</v>
      </c>
      <c r="AI1557" s="308">
        <v>3.5000000000000003E-2</v>
      </c>
      <c r="AJ1557" s="308">
        <v>5.5E-2</v>
      </c>
      <c r="AK1557" s="342">
        <f t="shared" si="1051"/>
        <v>18318.350000000057</v>
      </c>
      <c r="AL1557" s="335">
        <v>0</v>
      </c>
      <c r="AM1557" s="343">
        <v>0</v>
      </c>
      <c r="AN1557" s="343">
        <v>0</v>
      </c>
      <c r="AO1557" s="344">
        <f t="shared" si="1052"/>
        <v>0</v>
      </c>
      <c r="AP1557" s="335">
        <v>0</v>
      </c>
      <c r="AQ1557" s="342">
        <v>0</v>
      </c>
      <c r="AR1557" s="342">
        <f t="shared" si="1053"/>
        <v>18318.350000000057</v>
      </c>
      <c r="AS1557" s="342">
        <f t="shared" si="1054"/>
        <v>19234</v>
      </c>
      <c r="AT1557" s="345">
        <v>0</v>
      </c>
      <c r="AU1557" s="335"/>
      <c r="AV1557" s="335"/>
      <c r="AW1557" s="342">
        <f t="shared" si="1055"/>
        <v>9370</v>
      </c>
      <c r="AX1557" s="335"/>
      <c r="AY1557" s="342">
        <f t="shared" si="1056"/>
        <v>9370</v>
      </c>
      <c r="AZ1557" s="342">
        <f t="shared" si="1057"/>
        <v>9360</v>
      </c>
      <c r="BA1557" s="342">
        <f t="shared" si="1058"/>
        <v>10</v>
      </c>
      <c r="BB1557" s="342">
        <f t="shared" si="1059"/>
        <v>18.739999999999998</v>
      </c>
      <c r="BC1557" s="342">
        <v>0</v>
      </c>
      <c r="BD1557" s="335"/>
      <c r="BE1557" s="275">
        <v>93.7</v>
      </c>
      <c r="BF1557" s="345">
        <f t="shared" si="1060"/>
        <v>0.14055000000000001</v>
      </c>
      <c r="BG1557" s="345">
        <f t="shared" si="1061"/>
        <v>93.559449999999998</v>
      </c>
      <c r="BH1557" s="345">
        <f t="shared" si="1062"/>
        <v>93.6</v>
      </c>
      <c r="BI1557" s="346">
        <f t="shared" si="1063"/>
        <v>10.000000000000853</v>
      </c>
      <c r="BJ1557" s="346">
        <v>0</v>
      </c>
      <c r="BK1557" s="342">
        <f t="shared" si="1064"/>
        <v>10.000000000000853</v>
      </c>
      <c r="BL1557" s="335"/>
      <c r="BM1557" s="453" t="str">
        <f t="shared" si="1065"/>
        <v>Unloading no. 1523 Bill No HA/26-27/0552 ,Deduction For Oil Deduction= 18318.3500000001 ,Bardana= 0 ,F.M= 0 Brokerage/Rate Difference 0 ,Shortage = 0 ,Greenish= 0 ,Moisture= 0</v>
      </c>
      <c r="BN1557" s="335"/>
      <c r="BO1557" s="453" t="str">
        <f t="shared" si="1066"/>
        <v xml:space="preserve"> Party Condition 42  ,F.M% 0.4 ,Greenish 3.5 ,Moisture 5.5 ,Shortage in KG= 0  ,Oil% 40.98</v>
      </c>
      <c r="BP1557" s="342">
        <f t="shared" si="1067"/>
        <v>7862.8915598290596</v>
      </c>
      <c r="BQ1557" s="335"/>
      <c r="BR1557" s="335"/>
      <c r="BS1557" s="335"/>
      <c r="BT1557" s="335"/>
      <c r="BU1557" s="335"/>
      <c r="BV1557" s="335"/>
      <c r="BW1557" s="380"/>
      <c r="BX1557" s="30">
        <v>40.659999999999997</v>
      </c>
      <c r="BY1557" s="30">
        <v>40.64</v>
      </c>
      <c r="CO1557" s="57">
        <f t="shared" si="1070"/>
        <v>0.32000000000000028</v>
      </c>
      <c r="CP1557" s="57">
        <f t="shared" si="1071"/>
        <v>0.33999999999999631</v>
      </c>
    </row>
    <row r="1558" spans="1:94" ht="14.1" hidden="1" customHeight="1" x14ac:dyDescent="0.3">
      <c r="A1558" s="128" t="s">
        <v>3247</v>
      </c>
      <c r="B1558" s="146">
        <v>46227</v>
      </c>
      <c r="C1558" s="282">
        <v>1524</v>
      </c>
      <c r="D1558" s="128" t="s">
        <v>3346</v>
      </c>
      <c r="E1558" s="129">
        <v>46233</v>
      </c>
      <c r="F1558" s="128" t="s">
        <v>1144</v>
      </c>
      <c r="G1558" s="128" t="s">
        <v>1145</v>
      </c>
      <c r="H1558" s="128" t="s">
        <v>100</v>
      </c>
      <c r="I1558" s="136"/>
      <c r="J1558" s="138" t="s">
        <v>1146</v>
      </c>
      <c r="K1558" s="136"/>
      <c r="L1558" s="146">
        <v>46227</v>
      </c>
      <c r="M1558" s="136"/>
      <c r="N1558" s="281" t="s">
        <v>3380</v>
      </c>
      <c r="O1558" s="130">
        <v>46231</v>
      </c>
      <c r="P1558" s="138">
        <v>0</v>
      </c>
      <c r="Q1558" s="138">
        <v>400</v>
      </c>
      <c r="R1558" s="138">
        <v>300</v>
      </c>
      <c r="S1558" s="138">
        <v>700</v>
      </c>
      <c r="T1558" s="138">
        <v>700</v>
      </c>
      <c r="U1558" s="136"/>
      <c r="V1558" s="136"/>
      <c r="W1558" s="147">
        <v>356.3</v>
      </c>
      <c r="X1558" s="147">
        <v>354.7</v>
      </c>
      <c r="Y1558" s="147">
        <v>2966197.5</v>
      </c>
      <c r="Z1558" s="236">
        <v>41.33</v>
      </c>
      <c r="AA1558" s="147">
        <v>74154.94</v>
      </c>
      <c r="AB1558" s="147">
        <v>74154.94</v>
      </c>
      <c r="AC1558" s="147">
        <v>3114507.38</v>
      </c>
      <c r="AD1558" s="315">
        <f t="shared" si="1050"/>
        <v>3111392.87262</v>
      </c>
      <c r="AE1558" s="236">
        <v>41.33</v>
      </c>
      <c r="AF1558" s="147">
        <v>42</v>
      </c>
      <c r="AG1558" s="236">
        <v>41.33</v>
      </c>
      <c r="AH1558" s="287">
        <v>2E-3</v>
      </c>
      <c r="AI1558" s="287">
        <v>3.5000000000000003E-2</v>
      </c>
      <c r="AJ1558" s="287">
        <v>5.7000000000000002E-2</v>
      </c>
      <c r="AK1558" s="318">
        <f t="shared" ref="AK1558:AK1592" si="1076">+IF(AF1558=42,IF(MIN(AE1558,AG1558)&lt;AF1558,Y1558*((AF1558-MIN(AE1558,AG1558))/AF1558)),IF(MIN(AE1558,AG1558)&lt;AF1558,Y1558*((AF1558-MIN(AE1558,AG1558))/AF1558),0))</f>
        <v>47317.912500000115</v>
      </c>
      <c r="AL1558" s="193">
        <v>0</v>
      </c>
      <c r="AM1558" s="319">
        <v>0</v>
      </c>
      <c r="AN1558" s="319">
        <v>0</v>
      </c>
      <c r="AO1558" s="320">
        <f t="shared" ref="AO1558:AO1592" si="1077">AT1558*Y1558/AW1558</f>
        <v>7409.25</v>
      </c>
      <c r="AP1558" s="193">
        <v>0</v>
      </c>
      <c r="AQ1558" s="318">
        <v>0</v>
      </c>
      <c r="AR1558" s="318">
        <f t="shared" ref="AR1558:AR1592" si="1078">SUM(AK1558:AQ1558)</f>
        <v>54727.162500000115</v>
      </c>
      <c r="AS1558" s="318">
        <f t="shared" ref="AS1558:AS1592" si="1079">ROUND(AR1558*1.05,0)</f>
        <v>57464</v>
      </c>
      <c r="AT1558" s="321">
        <v>89</v>
      </c>
      <c r="AU1558" s="193"/>
      <c r="AV1558" s="193"/>
      <c r="AW1558" s="318">
        <f t="shared" ref="AW1558:AW1592" si="1080">W1558*100</f>
        <v>35630</v>
      </c>
      <c r="AX1558" s="193"/>
      <c r="AY1558" s="318">
        <f t="shared" ref="AY1558:AY1592" si="1081">+AW1558+AX1558</f>
        <v>35630</v>
      </c>
      <c r="AZ1558" s="318">
        <f t="shared" ref="AZ1558:AZ1592" si="1082">X1558*100</f>
        <v>35470</v>
      </c>
      <c r="BA1558" s="318">
        <f t="shared" ref="BA1558:BA1592" si="1083">AY1558-AZ1558</f>
        <v>160</v>
      </c>
      <c r="BB1558" s="318">
        <f t="shared" ref="BB1558:BB1592" si="1084">AW1558*2/1000</f>
        <v>71.260000000000005</v>
      </c>
      <c r="BC1558" s="318">
        <v>0</v>
      </c>
      <c r="BD1558" s="193"/>
      <c r="BE1558" s="138">
        <v>356.3</v>
      </c>
      <c r="BF1558" s="321">
        <f t="shared" ref="BF1558:BF1592" si="1085">+BE1558*0.15/100</f>
        <v>0.53444999999999998</v>
      </c>
      <c r="BG1558" s="321">
        <f t="shared" ref="BG1558:BG1592" si="1086">BE1558-BF1558</f>
        <v>355.76555000000002</v>
      </c>
      <c r="BH1558" s="321">
        <f t="shared" ref="BH1558:BH1592" si="1087">X1558</f>
        <v>354.7</v>
      </c>
      <c r="BI1558" s="322">
        <f t="shared" ref="BI1558:BI1592" si="1088">(BE1558-BH1558)*100</f>
        <v>160.00000000000227</v>
      </c>
      <c r="BJ1558" s="322">
        <v>0</v>
      </c>
      <c r="BK1558" s="318">
        <f t="shared" ref="BK1558:BK1592" si="1089">BI1558</f>
        <v>160.00000000000227</v>
      </c>
      <c r="BL1558" s="193"/>
      <c r="BM1558" s="449" t="str">
        <f t="shared" ref="BM1558:BM1592" si="1090">+$C$1&amp;" "&amp;C1558 &amp;" "&amp;$N$1&amp;" "&amp;N1558&amp;" "&amp;$BM$1&amp;" "&amp;$AK$1&amp;" "&amp;AK1558&amp;" "&amp;$AL$1&amp;" "&amp;AL1558&amp;" "&amp;$AM$1&amp;" "&amp;AM1558&amp;" "&amp;$AN$1&amp;" "&amp;AN1558&amp;" "&amp;$AO$1&amp;" "&amp;AO1558&amp;" "&amp;$AP$1&amp;" "&amp;AP1558&amp;" "&amp;$AQ$1&amp;" "&amp;AQ1558</f>
        <v>Unloading no. 1524 Bill No 2026-27/539 ,Deduction For Oil Deduction= 47317.9125000001 ,Bardana= 0 ,F.M= 0 Brokerage/Rate Difference 0 ,Shortage = 7409.25 ,Greenish= 0 ,Moisture= 0</v>
      </c>
      <c r="BN1558" s="193"/>
      <c r="BO1558" s="449" t="str">
        <f t="shared" ref="BO1558:BO1592" si="1091">+" "&amp;$AF$1&amp;" "&amp;AF1558&amp;" "&amp;" "&amp;$AH$1&amp;" "&amp;AH1558*100&amp;" "&amp;$AI$1&amp;" "&amp;AI1558*100&amp;" "&amp;$AJ$1&amp;" "&amp;AJ1558*100&amp;" ,"&amp;$AT$1&amp;" "&amp;AT1558&amp;" "&amp;IF(AE1558&gt;AG1558," ,Oil%"&amp;" "&amp;AG1558," ,Oil%"&amp;" "&amp;AE1558)</f>
        <v xml:space="preserve"> Party Condition 42  ,F.M% 0.2 ,Greenish 3.5 ,Moisture 5.7 ,Shortage in KG= 89  ,Oil% 41.33</v>
      </c>
      <c r="BP1558" s="318">
        <f t="shared" ref="BP1558:BP1592" si="1092">(Y1558-AR1558)/X1558</f>
        <v>8208.2614533408523</v>
      </c>
      <c r="BQ1558" s="193"/>
      <c r="BR1558" s="193"/>
      <c r="BS1558" s="193"/>
      <c r="BT1558" s="193"/>
      <c r="BU1558" s="193"/>
      <c r="BV1558" s="193"/>
      <c r="BW1558" s="373"/>
      <c r="BX1558" s="27">
        <v>40.590000000000003</v>
      </c>
      <c r="BY1558" s="27">
        <v>40.5</v>
      </c>
      <c r="CO1558" s="460">
        <f t="shared" si="1070"/>
        <v>0.73999999999999488</v>
      </c>
      <c r="CP1558" s="460">
        <f t="shared" si="1071"/>
        <v>0.82999999999999829</v>
      </c>
    </row>
    <row r="1559" spans="1:94" ht="14.1" hidden="1" customHeight="1" x14ac:dyDescent="0.3">
      <c r="A1559" s="128" t="s">
        <v>3247</v>
      </c>
      <c r="B1559" s="146">
        <v>46227</v>
      </c>
      <c r="C1559" s="282">
        <v>1525</v>
      </c>
      <c r="D1559" s="128" t="s">
        <v>3347</v>
      </c>
      <c r="E1559" s="129">
        <v>46233</v>
      </c>
      <c r="F1559" s="128" t="s">
        <v>1144</v>
      </c>
      <c r="G1559" s="128" t="s">
        <v>1145</v>
      </c>
      <c r="H1559" s="128" t="s">
        <v>100</v>
      </c>
      <c r="I1559" s="136"/>
      <c r="J1559" s="138" t="s">
        <v>1146</v>
      </c>
      <c r="K1559" s="136"/>
      <c r="L1559" s="146">
        <v>46227</v>
      </c>
      <c r="M1559" s="136"/>
      <c r="N1559" s="281" t="s">
        <v>3381</v>
      </c>
      <c r="O1559" s="130">
        <v>46231</v>
      </c>
      <c r="P1559" s="138">
        <v>0</v>
      </c>
      <c r="Q1559" s="138">
        <v>550</v>
      </c>
      <c r="R1559" s="138">
        <v>145</v>
      </c>
      <c r="S1559" s="138">
        <v>695</v>
      </c>
      <c r="T1559" s="138">
        <v>695</v>
      </c>
      <c r="U1559" s="136"/>
      <c r="V1559" s="136"/>
      <c r="W1559" s="147">
        <v>356.7</v>
      </c>
      <c r="X1559" s="147">
        <v>355.4</v>
      </c>
      <c r="Y1559" s="147">
        <v>2969527.5</v>
      </c>
      <c r="Z1559" s="236">
        <v>39.72</v>
      </c>
      <c r="AA1559" s="147">
        <v>74238.19</v>
      </c>
      <c r="AB1559" s="147">
        <v>74238.19</v>
      </c>
      <c r="AC1559" s="147">
        <v>3118003.88</v>
      </c>
      <c r="AD1559" s="315">
        <f t="shared" si="1050"/>
        <v>3114885.8761199997</v>
      </c>
      <c r="AE1559" s="236">
        <v>39.72</v>
      </c>
      <c r="AF1559" s="147">
        <v>42</v>
      </c>
      <c r="AG1559" s="236">
        <v>39.72</v>
      </c>
      <c r="AH1559" s="287">
        <v>2.5000000000000001E-3</v>
      </c>
      <c r="AI1559" s="287">
        <v>3.5999999999999997E-2</v>
      </c>
      <c r="AJ1559" s="287">
        <v>5.3999999999999999E-2</v>
      </c>
      <c r="AK1559" s="318">
        <f t="shared" si="1076"/>
        <v>161202.92142857151</v>
      </c>
      <c r="AL1559" s="193">
        <v>0</v>
      </c>
      <c r="AM1559" s="319">
        <v>0</v>
      </c>
      <c r="AN1559" s="319">
        <v>0</v>
      </c>
      <c r="AO1559" s="320">
        <f t="shared" si="1077"/>
        <v>4911.75</v>
      </c>
      <c r="AP1559" s="193">
        <v>0</v>
      </c>
      <c r="AQ1559" s="318">
        <v>0</v>
      </c>
      <c r="AR1559" s="318">
        <f t="shared" si="1078"/>
        <v>166114.67142857151</v>
      </c>
      <c r="AS1559" s="318">
        <f t="shared" si="1079"/>
        <v>174420</v>
      </c>
      <c r="AT1559" s="321">
        <v>59</v>
      </c>
      <c r="AU1559" s="193"/>
      <c r="AV1559" s="193"/>
      <c r="AW1559" s="318">
        <f t="shared" si="1080"/>
        <v>35670</v>
      </c>
      <c r="AX1559" s="193"/>
      <c r="AY1559" s="318">
        <f t="shared" si="1081"/>
        <v>35670</v>
      </c>
      <c r="AZ1559" s="318">
        <f t="shared" si="1082"/>
        <v>35540</v>
      </c>
      <c r="BA1559" s="318">
        <f t="shared" si="1083"/>
        <v>130</v>
      </c>
      <c r="BB1559" s="318">
        <f t="shared" si="1084"/>
        <v>71.34</v>
      </c>
      <c r="BC1559" s="318">
        <v>0</v>
      </c>
      <c r="BD1559" s="193"/>
      <c r="BE1559" s="138">
        <v>356.7</v>
      </c>
      <c r="BF1559" s="321">
        <f t="shared" si="1085"/>
        <v>0.53504999999999991</v>
      </c>
      <c r="BG1559" s="321">
        <f t="shared" si="1086"/>
        <v>356.16494999999998</v>
      </c>
      <c r="BH1559" s="321">
        <f t="shared" si="1087"/>
        <v>355.4</v>
      </c>
      <c r="BI1559" s="322">
        <f t="shared" si="1088"/>
        <v>130.00000000000114</v>
      </c>
      <c r="BJ1559" s="322">
        <v>0</v>
      </c>
      <c r="BK1559" s="318">
        <f t="shared" si="1089"/>
        <v>130.00000000000114</v>
      </c>
      <c r="BL1559" s="193"/>
      <c r="BM1559" s="449" t="str">
        <f t="shared" si="1090"/>
        <v>Unloading no. 1525 Bill No 2026-27/535 ,Deduction For Oil Deduction= 161202.921428572 ,Bardana= 0 ,F.M= 0 Brokerage/Rate Difference 0 ,Shortage = 4911.75 ,Greenish= 0 ,Moisture= 0</v>
      </c>
      <c r="BN1559" s="193"/>
      <c r="BO1559" s="449" t="str">
        <f t="shared" si="1091"/>
        <v xml:space="preserve"> Party Condition 42  ,F.M% 0.25 ,Greenish 3.6 ,Moisture 5.4 ,Shortage in KG= 59  ,Oil% 39.72</v>
      </c>
      <c r="BP1559" s="318">
        <f t="shared" si="1092"/>
        <v>7888.049602058044</v>
      </c>
      <c r="BQ1559" s="193"/>
      <c r="BR1559" s="193"/>
      <c r="BS1559" s="193"/>
      <c r="BT1559" s="193"/>
      <c r="BU1559" s="193"/>
      <c r="BV1559" s="193"/>
      <c r="BW1559" s="373"/>
      <c r="BX1559" s="27">
        <v>36.99</v>
      </c>
      <c r="BY1559" s="27">
        <v>36.9</v>
      </c>
      <c r="CO1559" s="460">
        <f t="shared" si="1070"/>
        <v>2.7299999999999969</v>
      </c>
      <c r="CP1559" s="460">
        <f t="shared" si="1071"/>
        <v>2.8200000000000003</v>
      </c>
    </row>
    <row r="1560" spans="1:94" ht="14.1" hidden="1" customHeight="1" x14ac:dyDescent="0.3">
      <c r="A1560" s="128" t="s">
        <v>3247</v>
      </c>
      <c r="B1560" s="146">
        <v>46227</v>
      </c>
      <c r="C1560" s="282">
        <v>1526</v>
      </c>
      <c r="D1560" s="128" t="s">
        <v>3348</v>
      </c>
      <c r="E1560" s="129">
        <v>46233</v>
      </c>
      <c r="F1560" s="128" t="s">
        <v>1144</v>
      </c>
      <c r="G1560" s="128" t="s">
        <v>1145</v>
      </c>
      <c r="H1560" s="128" t="s">
        <v>100</v>
      </c>
      <c r="I1560" s="136"/>
      <c r="J1560" s="138" t="s">
        <v>1146</v>
      </c>
      <c r="K1560" s="136"/>
      <c r="L1560" s="146">
        <v>46227</v>
      </c>
      <c r="M1560" s="136"/>
      <c r="N1560" s="281" t="s">
        <v>3382</v>
      </c>
      <c r="O1560" s="130">
        <v>46231</v>
      </c>
      <c r="P1560" s="138">
        <v>0</v>
      </c>
      <c r="Q1560" s="138">
        <v>480</v>
      </c>
      <c r="R1560" s="138">
        <v>120</v>
      </c>
      <c r="S1560" s="138">
        <v>600</v>
      </c>
      <c r="T1560" s="138">
        <v>600</v>
      </c>
      <c r="U1560" s="136"/>
      <c r="V1560" s="136"/>
      <c r="W1560" s="147">
        <v>306.5</v>
      </c>
      <c r="X1560" s="147">
        <v>306</v>
      </c>
      <c r="Y1560" s="147">
        <v>2551612.5</v>
      </c>
      <c r="Z1560" s="236">
        <v>38.520000000000003</v>
      </c>
      <c r="AA1560" s="147">
        <v>63790.31</v>
      </c>
      <c r="AB1560" s="147">
        <v>63790.31</v>
      </c>
      <c r="AC1560" s="147">
        <v>2679193.13</v>
      </c>
      <c r="AD1560" s="315">
        <f t="shared" si="1050"/>
        <v>2676513.9368699999</v>
      </c>
      <c r="AE1560" s="236">
        <v>38.520000000000003</v>
      </c>
      <c r="AF1560" s="147">
        <v>42</v>
      </c>
      <c r="AG1560" s="236">
        <v>38.520000000000003</v>
      </c>
      <c r="AH1560" s="287">
        <v>2.5999999999999999E-3</v>
      </c>
      <c r="AI1560" s="287">
        <v>0.03</v>
      </c>
      <c r="AJ1560" s="287">
        <v>5.5E-2</v>
      </c>
      <c r="AK1560" s="318">
        <f t="shared" si="1076"/>
        <v>211419.32142857125</v>
      </c>
      <c r="AL1560" s="193">
        <v>0</v>
      </c>
      <c r="AM1560" s="319">
        <v>0</v>
      </c>
      <c r="AN1560" s="319">
        <v>0</v>
      </c>
      <c r="AO1560" s="320">
        <f t="shared" si="1077"/>
        <v>0</v>
      </c>
      <c r="AP1560" s="193">
        <v>0</v>
      </c>
      <c r="AQ1560" s="318">
        <v>0</v>
      </c>
      <c r="AR1560" s="318">
        <f t="shared" si="1078"/>
        <v>211419.32142857125</v>
      </c>
      <c r="AS1560" s="318">
        <f t="shared" si="1079"/>
        <v>221990</v>
      </c>
      <c r="AT1560" s="321">
        <v>0</v>
      </c>
      <c r="AU1560" s="193"/>
      <c r="AV1560" s="193"/>
      <c r="AW1560" s="318">
        <f t="shared" si="1080"/>
        <v>30650</v>
      </c>
      <c r="AX1560" s="193"/>
      <c r="AY1560" s="318">
        <f t="shared" si="1081"/>
        <v>30650</v>
      </c>
      <c r="AZ1560" s="318">
        <f t="shared" si="1082"/>
        <v>30600</v>
      </c>
      <c r="BA1560" s="318">
        <f t="shared" si="1083"/>
        <v>50</v>
      </c>
      <c r="BB1560" s="318">
        <f t="shared" si="1084"/>
        <v>61.3</v>
      </c>
      <c r="BC1560" s="318">
        <v>0</v>
      </c>
      <c r="BD1560" s="193"/>
      <c r="BE1560" s="138">
        <v>306.5</v>
      </c>
      <c r="BF1560" s="321">
        <f t="shared" si="1085"/>
        <v>0.45974999999999999</v>
      </c>
      <c r="BG1560" s="321">
        <f t="shared" si="1086"/>
        <v>306.04025000000001</v>
      </c>
      <c r="BH1560" s="321">
        <f t="shared" si="1087"/>
        <v>306</v>
      </c>
      <c r="BI1560" s="322">
        <f t="shared" si="1088"/>
        <v>50</v>
      </c>
      <c r="BJ1560" s="322">
        <v>0</v>
      </c>
      <c r="BK1560" s="318">
        <f t="shared" si="1089"/>
        <v>50</v>
      </c>
      <c r="BL1560" s="193"/>
      <c r="BM1560" s="449" t="str">
        <f t="shared" si="1090"/>
        <v>Unloading no. 1526 Bill No 2026-27/542 ,Deduction For Oil Deduction= 211419.321428571 ,Bardana= 0 ,F.M= 0 Brokerage/Rate Difference 0 ,Shortage = 0 ,Greenish= 0 ,Moisture= 0</v>
      </c>
      <c r="BN1560" s="193"/>
      <c r="BO1560" s="449" t="str">
        <f t="shared" si="1091"/>
        <v xml:space="preserve"> Party Condition 42  ,F.M% 0.26 ,Greenish 3 ,Moisture 5.5 ,Shortage in KG= 0  ,Oil% 38.52</v>
      </c>
      <c r="BP1560" s="318">
        <f t="shared" si="1092"/>
        <v>7647.6901260504201</v>
      </c>
      <c r="BQ1560" s="193"/>
      <c r="BR1560" s="193"/>
      <c r="BS1560" s="193"/>
      <c r="BT1560" s="193"/>
      <c r="BU1560" s="193"/>
      <c r="BV1560" s="193"/>
      <c r="BW1560" s="373"/>
      <c r="BX1560" s="27">
        <v>37.18</v>
      </c>
      <c r="BY1560" s="27">
        <v>37.11</v>
      </c>
      <c r="CO1560" s="460">
        <f t="shared" si="1070"/>
        <v>1.3400000000000034</v>
      </c>
      <c r="CP1560" s="460">
        <f t="shared" si="1071"/>
        <v>1.4100000000000037</v>
      </c>
    </row>
    <row r="1561" spans="1:94" ht="14.1" hidden="1" customHeight="1" x14ac:dyDescent="0.3">
      <c r="A1561" s="128" t="s">
        <v>3247</v>
      </c>
      <c r="B1561" s="146">
        <v>46227</v>
      </c>
      <c r="C1561" s="282">
        <v>1527</v>
      </c>
      <c r="D1561" s="128" t="s">
        <v>3349</v>
      </c>
      <c r="E1561" s="129">
        <v>46233</v>
      </c>
      <c r="F1561" s="128" t="s">
        <v>1144</v>
      </c>
      <c r="G1561" s="128" t="s">
        <v>1145</v>
      </c>
      <c r="H1561" s="128" t="s">
        <v>100</v>
      </c>
      <c r="I1561" s="136"/>
      <c r="J1561" s="138" t="s">
        <v>1146</v>
      </c>
      <c r="K1561" s="136"/>
      <c r="L1561" s="146">
        <v>46227</v>
      </c>
      <c r="M1561" s="136"/>
      <c r="N1561" s="281" t="s">
        <v>3383</v>
      </c>
      <c r="O1561" s="130">
        <v>46231</v>
      </c>
      <c r="P1561" s="138">
        <v>0</v>
      </c>
      <c r="Q1561" s="138">
        <v>400</v>
      </c>
      <c r="R1561" s="138">
        <v>200</v>
      </c>
      <c r="S1561" s="138">
        <v>600</v>
      </c>
      <c r="T1561" s="138">
        <v>600</v>
      </c>
      <c r="U1561" s="136"/>
      <c r="V1561" s="136"/>
      <c r="W1561" s="147">
        <v>305.60000000000002</v>
      </c>
      <c r="X1561" s="147">
        <v>305.39999999999998</v>
      </c>
      <c r="Y1561" s="147">
        <v>2544120</v>
      </c>
      <c r="Z1561" s="236">
        <v>40.74</v>
      </c>
      <c r="AA1561" s="147">
        <v>63603</v>
      </c>
      <c r="AB1561" s="147">
        <v>63603</v>
      </c>
      <c r="AC1561" s="147">
        <v>2671326</v>
      </c>
      <c r="AD1561" s="315">
        <f t="shared" si="1050"/>
        <v>2668654.6740000001</v>
      </c>
      <c r="AE1561" s="236">
        <v>40.74</v>
      </c>
      <c r="AF1561" s="147">
        <v>42</v>
      </c>
      <c r="AG1561" s="236">
        <v>40.74</v>
      </c>
      <c r="AH1561" s="287">
        <v>4.4000000000000003E-3</v>
      </c>
      <c r="AI1561" s="287">
        <v>5.5599999999999997E-2</v>
      </c>
      <c r="AJ1561" s="287">
        <v>0.05</v>
      </c>
      <c r="AK1561" s="318">
        <f t="shared" si="1076"/>
        <v>76323.599999999889</v>
      </c>
      <c r="AL1561" s="193">
        <v>0</v>
      </c>
      <c r="AM1561" s="319">
        <v>0</v>
      </c>
      <c r="AN1561" s="319">
        <v>0</v>
      </c>
      <c r="AO1561" s="320">
        <f t="shared" si="1077"/>
        <v>0</v>
      </c>
      <c r="AP1561" s="193">
        <v>0</v>
      </c>
      <c r="AQ1561" s="318">
        <v>0</v>
      </c>
      <c r="AR1561" s="318">
        <f t="shared" si="1078"/>
        <v>76323.599999999889</v>
      </c>
      <c r="AS1561" s="318">
        <f t="shared" si="1079"/>
        <v>80140</v>
      </c>
      <c r="AT1561" s="321">
        <v>0</v>
      </c>
      <c r="AU1561" s="193"/>
      <c r="AV1561" s="193"/>
      <c r="AW1561" s="318">
        <f t="shared" si="1080"/>
        <v>30560.000000000004</v>
      </c>
      <c r="AX1561" s="193"/>
      <c r="AY1561" s="318">
        <f t="shared" si="1081"/>
        <v>30560.000000000004</v>
      </c>
      <c r="AZ1561" s="318">
        <f t="shared" si="1082"/>
        <v>30539.999999999996</v>
      </c>
      <c r="BA1561" s="318">
        <f t="shared" si="1083"/>
        <v>20.000000000007276</v>
      </c>
      <c r="BB1561" s="318">
        <f t="shared" si="1084"/>
        <v>61.120000000000005</v>
      </c>
      <c r="BC1561" s="318">
        <v>0</v>
      </c>
      <c r="BD1561" s="193"/>
      <c r="BE1561" s="138">
        <v>305.60000000000002</v>
      </c>
      <c r="BF1561" s="321">
        <f t="shared" si="1085"/>
        <v>0.45840000000000003</v>
      </c>
      <c r="BG1561" s="321">
        <f t="shared" si="1086"/>
        <v>305.14160000000004</v>
      </c>
      <c r="BH1561" s="321">
        <f t="shared" si="1087"/>
        <v>305.39999999999998</v>
      </c>
      <c r="BI1561" s="322">
        <f t="shared" si="1088"/>
        <v>20.000000000004547</v>
      </c>
      <c r="BJ1561" s="322">
        <v>0</v>
      </c>
      <c r="BK1561" s="318">
        <f t="shared" si="1089"/>
        <v>20.000000000004547</v>
      </c>
      <c r="BL1561" s="193"/>
      <c r="BM1561" s="449" t="str">
        <f t="shared" si="1090"/>
        <v>Unloading no. 1527 Bill No 2026-27/541 ,Deduction For Oil Deduction= 76323.5999999999 ,Bardana= 0 ,F.M= 0 Brokerage/Rate Difference 0 ,Shortage = 0 ,Greenish= 0 ,Moisture= 0</v>
      </c>
      <c r="BN1561" s="193"/>
      <c r="BO1561" s="449" t="str">
        <f t="shared" si="1091"/>
        <v xml:space="preserve"> Party Condition 42  ,F.M% 0.44 ,Greenish 5.56 ,Moisture 5 ,Shortage in KG= 0  ,Oil% 40.74</v>
      </c>
      <c r="BP1561" s="318">
        <f t="shared" si="1092"/>
        <v>8080.538310412574</v>
      </c>
      <c r="BQ1561" s="193"/>
      <c r="BR1561" s="193"/>
      <c r="BS1561" s="193"/>
      <c r="BT1561" s="193"/>
      <c r="BU1561" s="193"/>
      <c r="BV1561" s="193"/>
      <c r="BW1561" s="373"/>
      <c r="BX1561" s="27">
        <v>40</v>
      </c>
      <c r="BY1561" s="27">
        <v>39.950000000000003</v>
      </c>
      <c r="CO1561" s="460">
        <f t="shared" si="1070"/>
        <v>0.74000000000000199</v>
      </c>
      <c r="CP1561" s="460">
        <f t="shared" si="1071"/>
        <v>0.78999999999999915</v>
      </c>
    </row>
    <row r="1562" spans="1:94" ht="14.1" hidden="1" customHeight="1" x14ac:dyDescent="0.3">
      <c r="A1562" s="128" t="s">
        <v>3247</v>
      </c>
      <c r="B1562" s="146">
        <v>46227</v>
      </c>
      <c r="C1562" s="282">
        <v>1528</v>
      </c>
      <c r="D1562" s="128" t="s">
        <v>3350</v>
      </c>
      <c r="E1562" s="129">
        <v>46233</v>
      </c>
      <c r="F1562" s="128" t="s">
        <v>1144</v>
      </c>
      <c r="G1562" s="128" t="s">
        <v>1145</v>
      </c>
      <c r="H1562" s="128" t="s">
        <v>100</v>
      </c>
      <c r="I1562" s="136"/>
      <c r="J1562" s="138" t="s">
        <v>1146</v>
      </c>
      <c r="K1562" s="136"/>
      <c r="L1562" s="146">
        <v>46227</v>
      </c>
      <c r="M1562" s="136"/>
      <c r="N1562" s="281" t="s">
        <v>3384</v>
      </c>
      <c r="O1562" s="130">
        <v>46231</v>
      </c>
      <c r="P1562" s="138">
        <v>0</v>
      </c>
      <c r="Q1562" s="138">
        <v>460</v>
      </c>
      <c r="R1562" s="138">
        <v>140</v>
      </c>
      <c r="S1562" s="138">
        <v>600</v>
      </c>
      <c r="T1562" s="138">
        <v>600</v>
      </c>
      <c r="U1562" s="136"/>
      <c r="V1562" s="136"/>
      <c r="W1562" s="147">
        <v>305.60000000000002</v>
      </c>
      <c r="X1562" s="147">
        <v>304.60000000000002</v>
      </c>
      <c r="Y1562" s="147">
        <v>2544120</v>
      </c>
      <c r="Z1562" s="236">
        <v>40.18</v>
      </c>
      <c r="AA1562" s="147">
        <v>63603</v>
      </c>
      <c r="AB1562" s="147">
        <v>63603</v>
      </c>
      <c r="AC1562" s="147">
        <v>2671326</v>
      </c>
      <c r="AD1562" s="315">
        <f t="shared" si="1050"/>
        <v>2668654.6740000001</v>
      </c>
      <c r="AE1562" s="236">
        <v>40.18</v>
      </c>
      <c r="AF1562" s="147">
        <v>42</v>
      </c>
      <c r="AG1562" s="236">
        <v>40.18</v>
      </c>
      <c r="AH1562" s="287">
        <v>5.0000000000000001E-3</v>
      </c>
      <c r="AI1562" s="287">
        <v>4.4699999999999997E-2</v>
      </c>
      <c r="AJ1562" s="287">
        <v>0.05</v>
      </c>
      <c r="AK1562" s="318">
        <f t="shared" si="1076"/>
        <v>110245.20000000003</v>
      </c>
      <c r="AL1562" s="193">
        <v>0</v>
      </c>
      <c r="AM1562" s="319">
        <v>0</v>
      </c>
      <c r="AN1562" s="319">
        <v>0</v>
      </c>
      <c r="AO1562" s="320">
        <f t="shared" si="1077"/>
        <v>3246.7499999999995</v>
      </c>
      <c r="AP1562" s="193">
        <v>0</v>
      </c>
      <c r="AQ1562" s="318">
        <v>0</v>
      </c>
      <c r="AR1562" s="318">
        <f t="shared" si="1078"/>
        <v>113491.95000000003</v>
      </c>
      <c r="AS1562" s="318">
        <f t="shared" si="1079"/>
        <v>119167</v>
      </c>
      <c r="AT1562" s="321">
        <v>39</v>
      </c>
      <c r="AU1562" s="193"/>
      <c r="AV1562" s="193"/>
      <c r="AW1562" s="318">
        <f t="shared" si="1080"/>
        <v>30560.000000000004</v>
      </c>
      <c r="AX1562" s="193"/>
      <c r="AY1562" s="318">
        <f t="shared" si="1081"/>
        <v>30560.000000000004</v>
      </c>
      <c r="AZ1562" s="318">
        <f t="shared" si="1082"/>
        <v>30460.000000000004</v>
      </c>
      <c r="BA1562" s="318">
        <f t="shared" si="1083"/>
        <v>100</v>
      </c>
      <c r="BB1562" s="318">
        <f t="shared" si="1084"/>
        <v>61.120000000000005</v>
      </c>
      <c r="BC1562" s="318">
        <v>0</v>
      </c>
      <c r="BD1562" s="193"/>
      <c r="BE1562" s="138">
        <v>305.60000000000002</v>
      </c>
      <c r="BF1562" s="321">
        <f t="shared" si="1085"/>
        <v>0.45840000000000003</v>
      </c>
      <c r="BG1562" s="321">
        <f t="shared" si="1086"/>
        <v>305.14160000000004</v>
      </c>
      <c r="BH1562" s="321">
        <f t="shared" si="1087"/>
        <v>304.60000000000002</v>
      </c>
      <c r="BI1562" s="322">
        <f t="shared" si="1088"/>
        <v>100</v>
      </c>
      <c r="BJ1562" s="322">
        <v>0</v>
      </c>
      <c r="BK1562" s="318">
        <f t="shared" si="1089"/>
        <v>100</v>
      </c>
      <c r="BL1562" s="193"/>
      <c r="BM1562" s="449" t="str">
        <f t="shared" si="1090"/>
        <v>Unloading no. 1528 Bill No 2026-27/540 ,Deduction For Oil Deduction= 110245.2 ,Bardana= 0 ,F.M= 0 Brokerage/Rate Difference 0 ,Shortage = 3246.75 ,Greenish= 0 ,Moisture= 0</v>
      </c>
      <c r="BN1562" s="193"/>
      <c r="BO1562" s="449" t="str">
        <f t="shared" si="1091"/>
        <v xml:space="preserve"> Party Condition 42  ,F.M% 0.5 ,Greenish 4.47 ,Moisture 5 ,Shortage in KG= 39  ,Oil% 40.18</v>
      </c>
      <c r="BP1562" s="318">
        <f t="shared" si="1092"/>
        <v>7979.7375246224547</v>
      </c>
      <c r="BQ1562" s="193"/>
      <c r="BR1562" s="193"/>
      <c r="BS1562" s="193"/>
      <c r="BT1562" s="193"/>
      <c r="BU1562" s="193"/>
      <c r="BV1562" s="193"/>
      <c r="BW1562" s="373"/>
      <c r="BX1562" s="27">
        <v>39.39</v>
      </c>
      <c r="BY1562" s="27">
        <v>39.479999999999997</v>
      </c>
      <c r="CO1562" s="57">
        <f t="shared" si="1070"/>
        <v>0.78999999999999915</v>
      </c>
      <c r="CP1562" s="57">
        <f t="shared" si="1071"/>
        <v>0.70000000000000284</v>
      </c>
    </row>
    <row r="1563" spans="1:94" ht="14.1" hidden="1" customHeight="1" x14ac:dyDescent="0.3">
      <c r="A1563" s="128" t="s">
        <v>3250</v>
      </c>
      <c r="B1563" s="146">
        <v>46226</v>
      </c>
      <c r="C1563" s="282">
        <v>1529</v>
      </c>
      <c r="D1563" s="128" t="s">
        <v>3351</v>
      </c>
      <c r="E1563" s="129">
        <v>46233</v>
      </c>
      <c r="F1563" s="128" t="s">
        <v>3299</v>
      </c>
      <c r="G1563" s="128" t="s">
        <v>2630</v>
      </c>
      <c r="H1563" s="128" t="s">
        <v>1508</v>
      </c>
      <c r="I1563" s="136"/>
      <c r="J1563" s="138" t="s">
        <v>1146</v>
      </c>
      <c r="K1563" s="136"/>
      <c r="L1563" s="146">
        <v>46226</v>
      </c>
      <c r="M1563" s="136"/>
      <c r="N1563" s="281">
        <v>186</v>
      </c>
      <c r="O1563" s="130">
        <v>46231</v>
      </c>
      <c r="P1563" s="138">
        <v>0</v>
      </c>
      <c r="Q1563" s="138">
        <v>521</v>
      </c>
      <c r="R1563" s="138">
        <v>100</v>
      </c>
      <c r="S1563" s="138">
        <v>621</v>
      </c>
      <c r="T1563" s="138">
        <v>621</v>
      </c>
      <c r="U1563" s="136"/>
      <c r="V1563" s="136"/>
      <c r="W1563" s="147">
        <v>370</v>
      </c>
      <c r="X1563" s="147">
        <v>369.7</v>
      </c>
      <c r="Y1563" s="147">
        <f>3078400-29600</f>
        <v>3048800</v>
      </c>
      <c r="Z1563" s="236">
        <v>39.29</v>
      </c>
      <c r="AA1563" s="147">
        <v>76960</v>
      </c>
      <c r="AB1563" s="147">
        <v>76960</v>
      </c>
      <c r="AC1563" s="147">
        <v>3232320</v>
      </c>
      <c r="AD1563" s="315">
        <f t="shared" si="1050"/>
        <v>3229087.68</v>
      </c>
      <c r="AE1563" s="236">
        <v>39.29</v>
      </c>
      <c r="AF1563" s="147">
        <v>42</v>
      </c>
      <c r="AG1563" s="236">
        <v>39.29</v>
      </c>
      <c r="AH1563" s="287">
        <v>6.1000000000000004E-3</v>
      </c>
      <c r="AI1563" s="287">
        <v>5.4399999999999997E-2</v>
      </c>
      <c r="AJ1563" s="287">
        <v>5.0999999999999997E-2</v>
      </c>
      <c r="AK1563" s="318">
        <f t="shared" si="1076"/>
        <v>196720.19047619053</v>
      </c>
      <c r="AL1563" s="193">
        <v>0</v>
      </c>
      <c r="AM1563" s="319">
        <v>0</v>
      </c>
      <c r="AN1563" s="319">
        <v>0</v>
      </c>
      <c r="AO1563" s="320">
        <f t="shared" si="1077"/>
        <v>0</v>
      </c>
      <c r="AP1563" s="193">
        <v>0</v>
      </c>
      <c r="AQ1563" s="318">
        <v>0</v>
      </c>
      <c r="AR1563" s="318">
        <f t="shared" si="1078"/>
        <v>196720.19047619053</v>
      </c>
      <c r="AS1563" s="318">
        <f t="shared" si="1079"/>
        <v>206556</v>
      </c>
      <c r="AT1563" s="321">
        <v>0</v>
      </c>
      <c r="AU1563" s="193"/>
      <c r="AV1563" s="193"/>
      <c r="AW1563" s="318">
        <f t="shared" si="1080"/>
        <v>37000</v>
      </c>
      <c r="AX1563" s="193"/>
      <c r="AY1563" s="318">
        <f t="shared" si="1081"/>
        <v>37000</v>
      </c>
      <c r="AZ1563" s="318">
        <f t="shared" si="1082"/>
        <v>36970</v>
      </c>
      <c r="BA1563" s="318">
        <f t="shared" si="1083"/>
        <v>30</v>
      </c>
      <c r="BB1563" s="318">
        <f t="shared" si="1084"/>
        <v>74</v>
      </c>
      <c r="BC1563" s="318">
        <v>0</v>
      </c>
      <c r="BD1563" s="193"/>
      <c r="BE1563" s="138">
        <v>370</v>
      </c>
      <c r="BF1563" s="321">
        <f t="shared" si="1085"/>
        <v>0.55500000000000005</v>
      </c>
      <c r="BG1563" s="321">
        <f t="shared" si="1086"/>
        <v>369.44499999999999</v>
      </c>
      <c r="BH1563" s="321">
        <f t="shared" si="1087"/>
        <v>369.7</v>
      </c>
      <c r="BI1563" s="322">
        <f t="shared" si="1088"/>
        <v>30.000000000001137</v>
      </c>
      <c r="BJ1563" s="322">
        <v>0</v>
      </c>
      <c r="BK1563" s="318">
        <f t="shared" si="1089"/>
        <v>30.000000000001137</v>
      </c>
      <c r="BL1563" s="193"/>
      <c r="BM1563" s="449" t="str">
        <f t="shared" si="1090"/>
        <v>Unloading no. 1529 Bill No 186 ,Deduction For Oil Deduction= 196720.190476191 ,Bardana= 0 ,F.M= 0 Brokerage/Rate Difference 0 ,Shortage = 0 ,Greenish= 0 ,Moisture= 0</v>
      </c>
      <c r="BN1563" s="193"/>
      <c r="BO1563" s="449" t="str">
        <f t="shared" si="1091"/>
        <v xml:space="preserve"> Party Condition 42  ,F.M% 0.61 ,Greenish 5.44 ,Moisture 5.1 ,Shortage in KG= 0  ,Oil% 39.29</v>
      </c>
      <c r="BP1563" s="318">
        <f t="shared" si="1092"/>
        <v>7714.5788734752769</v>
      </c>
      <c r="BQ1563" s="193"/>
      <c r="BR1563" s="193"/>
      <c r="BS1563" s="193"/>
      <c r="BT1563" s="193"/>
      <c r="BU1563" s="193"/>
      <c r="BV1563" s="193"/>
      <c r="BW1563" s="373"/>
      <c r="BX1563" s="27">
        <v>39.54</v>
      </c>
      <c r="BY1563" s="27">
        <v>39.44</v>
      </c>
      <c r="CO1563" s="57">
        <f t="shared" si="1070"/>
        <v>-0.25</v>
      </c>
      <c r="CP1563" s="57">
        <f t="shared" si="1071"/>
        <v>-0.14999999999999858</v>
      </c>
    </row>
    <row r="1564" spans="1:94" ht="14.1" hidden="1" customHeight="1" x14ac:dyDescent="0.3">
      <c r="A1564" s="128" t="s">
        <v>3183</v>
      </c>
      <c r="B1564" s="146">
        <v>46216</v>
      </c>
      <c r="C1564" s="282">
        <v>1530</v>
      </c>
      <c r="D1564" s="128" t="s">
        <v>3352</v>
      </c>
      <c r="E1564" s="129">
        <v>46233</v>
      </c>
      <c r="F1564" s="128" t="s">
        <v>2497</v>
      </c>
      <c r="G1564" s="128" t="s">
        <v>2498</v>
      </c>
      <c r="H1564" s="128" t="s">
        <v>100</v>
      </c>
      <c r="I1564" s="136"/>
      <c r="J1564" s="138" t="s">
        <v>1146</v>
      </c>
      <c r="K1564" s="136"/>
      <c r="L1564" s="146">
        <v>46216</v>
      </c>
      <c r="M1564" s="136"/>
      <c r="N1564" s="281" t="s">
        <v>3385</v>
      </c>
      <c r="O1564" s="130">
        <v>46233</v>
      </c>
      <c r="P1564" s="138">
        <v>0</v>
      </c>
      <c r="Q1564" s="138">
        <v>120</v>
      </c>
      <c r="R1564" s="138">
        <v>26</v>
      </c>
      <c r="S1564" s="138">
        <v>146</v>
      </c>
      <c r="T1564" s="138">
        <v>146</v>
      </c>
      <c r="U1564" s="136"/>
      <c r="V1564" s="136"/>
      <c r="W1564" s="147">
        <v>87.8</v>
      </c>
      <c r="X1564" s="147">
        <v>88</v>
      </c>
      <c r="Y1564" s="147">
        <v>706790</v>
      </c>
      <c r="Z1564" s="236">
        <v>40.869999999999997</v>
      </c>
      <c r="AA1564" s="147">
        <v>17669.75</v>
      </c>
      <c r="AB1564" s="147">
        <v>17669.75</v>
      </c>
      <c r="AC1564" s="147">
        <v>742129.5</v>
      </c>
      <c r="AD1564" s="315">
        <f t="shared" si="1050"/>
        <v>741387.37049999996</v>
      </c>
      <c r="AE1564" s="236">
        <v>40.869999999999997</v>
      </c>
      <c r="AF1564" s="147">
        <v>42</v>
      </c>
      <c r="AG1564" s="236">
        <v>40.869999999999997</v>
      </c>
      <c r="AH1564" s="287">
        <v>3.5000000000000001E-3</v>
      </c>
      <c r="AI1564" s="287">
        <v>3.5799999999999998E-2</v>
      </c>
      <c r="AJ1564" s="287">
        <v>5.1999999999999998E-2</v>
      </c>
      <c r="AK1564" s="318">
        <f t="shared" si="1076"/>
        <v>19016.01666666671</v>
      </c>
      <c r="AL1564" s="193">
        <v>0</v>
      </c>
      <c r="AM1564" s="319">
        <v>0</v>
      </c>
      <c r="AN1564" s="319">
        <v>0</v>
      </c>
      <c r="AO1564" s="320">
        <f t="shared" si="1077"/>
        <v>0</v>
      </c>
      <c r="AP1564" s="193">
        <v>0</v>
      </c>
      <c r="AQ1564" s="318">
        <v>0</v>
      </c>
      <c r="AR1564" s="318">
        <f t="shared" si="1078"/>
        <v>19016.01666666671</v>
      </c>
      <c r="AS1564" s="318">
        <f t="shared" si="1079"/>
        <v>19967</v>
      </c>
      <c r="AT1564" s="321">
        <v>0</v>
      </c>
      <c r="AU1564" s="193"/>
      <c r="AV1564" s="193"/>
      <c r="AW1564" s="318">
        <f t="shared" si="1080"/>
        <v>8780</v>
      </c>
      <c r="AX1564" s="193"/>
      <c r="AY1564" s="318">
        <f t="shared" si="1081"/>
        <v>8780</v>
      </c>
      <c r="AZ1564" s="318">
        <f t="shared" si="1082"/>
        <v>8800</v>
      </c>
      <c r="BA1564" s="318">
        <f t="shared" si="1083"/>
        <v>-20</v>
      </c>
      <c r="BB1564" s="318">
        <f t="shared" si="1084"/>
        <v>17.559999999999999</v>
      </c>
      <c r="BC1564" s="318">
        <v>0</v>
      </c>
      <c r="BD1564" s="193"/>
      <c r="BE1564" s="138">
        <v>87.8</v>
      </c>
      <c r="BF1564" s="321">
        <f t="shared" si="1085"/>
        <v>0.13170000000000001</v>
      </c>
      <c r="BG1564" s="321">
        <f t="shared" si="1086"/>
        <v>87.668300000000002</v>
      </c>
      <c r="BH1564" s="321">
        <f t="shared" si="1087"/>
        <v>88</v>
      </c>
      <c r="BI1564" s="322">
        <f t="shared" si="1088"/>
        <v>-20.000000000000284</v>
      </c>
      <c r="BJ1564" s="322">
        <v>0</v>
      </c>
      <c r="BK1564" s="318">
        <f t="shared" si="1089"/>
        <v>-20.000000000000284</v>
      </c>
      <c r="BL1564" s="193"/>
      <c r="BM1564" s="449" t="str">
        <f t="shared" si="1090"/>
        <v>Unloading no. 1530 Bill No HA/26-27/0554 ,Deduction For Oil Deduction= 19016.0166666667 ,Bardana= 0 ,F.M= 0 Brokerage/Rate Difference 0 ,Shortage = 0 ,Greenish= 0 ,Moisture= 0</v>
      </c>
      <c r="BN1564" s="193"/>
      <c r="BO1564" s="449" t="str">
        <f t="shared" si="1091"/>
        <v xml:space="preserve"> Party Condition 42  ,F.M% 0.35 ,Greenish 3.58 ,Moisture 5.2 ,Shortage in KG= 0  ,Oil% 40.87</v>
      </c>
      <c r="BP1564" s="318">
        <f t="shared" si="1092"/>
        <v>7815.6134469696963</v>
      </c>
      <c r="BQ1564" s="193"/>
      <c r="BR1564" s="193"/>
      <c r="BS1564" s="193"/>
      <c r="BT1564" s="193"/>
      <c r="BU1564" s="193"/>
      <c r="BV1564" s="193"/>
      <c r="BW1564" s="373"/>
      <c r="BX1564" s="27">
        <v>40.729999999999997</v>
      </c>
      <c r="BY1564" s="27">
        <v>40.659999999999997</v>
      </c>
      <c r="CO1564" s="57">
        <f t="shared" si="1070"/>
        <v>0.14000000000000057</v>
      </c>
      <c r="CP1564" s="57">
        <f t="shared" si="1071"/>
        <v>0.21000000000000085</v>
      </c>
    </row>
    <row r="1565" spans="1:94" ht="14.1" hidden="1" customHeight="1" x14ac:dyDescent="0.3">
      <c r="A1565" s="128" t="s">
        <v>3183</v>
      </c>
      <c r="B1565" s="146">
        <v>46216</v>
      </c>
      <c r="C1565" s="282">
        <v>1531</v>
      </c>
      <c r="D1565" s="128" t="s">
        <v>3353</v>
      </c>
      <c r="E1565" s="129">
        <v>46233</v>
      </c>
      <c r="F1565" s="128" t="s">
        <v>2497</v>
      </c>
      <c r="G1565" s="128" t="s">
        <v>2498</v>
      </c>
      <c r="H1565" s="128" t="s">
        <v>100</v>
      </c>
      <c r="I1565" s="136"/>
      <c r="J1565" s="138" t="s">
        <v>1146</v>
      </c>
      <c r="K1565" s="136"/>
      <c r="L1565" s="146">
        <v>46216</v>
      </c>
      <c r="M1565" s="136"/>
      <c r="N1565" s="281" t="s">
        <v>3386</v>
      </c>
      <c r="O1565" s="130">
        <v>46233</v>
      </c>
      <c r="P1565" s="138">
        <v>0</v>
      </c>
      <c r="Q1565" s="138">
        <v>120</v>
      </c>
      <c r="R1565" s="138">
        <v>26</v>
      </c>
      <c r="S1565" s="138">
        <v>146</v>
      </c>
      <c r="T1565" s="138">
        <v>146</v>
      </c>
      <c r="U1565" s="136"/>
      <c r="V1565" s="136"/>
      <c r="W1565" s="147">
        <v>87.7</v>
      </c>
      <c r="X1565" s="147">
        <v>87.5</v>
      </c>
      <c r="Y1565" s="147">
        <v>705985</v>
      </c>
      <c r="Z1565" s="236">
        <v>40.53</v>
      </c>
      <c r="AA1565" s="147">
        <v>17649.63</v>
      </c>
      <c r="AB1565" s="147">
        <v>17649.63</v>
      </c>
      <c r="AC1565" s="147">
        <v>741284.25</v>
      </c>
      <c r="AD1565" s="315">
        <f t="shared" si="1050"/>
        <v>740542.96574999997</v>
      </c>
      <c r="AE1565" s="236">
        <v>40.53</v>
      </c>
      <c r="AF1565" s="147">
        <v>42</v>
      </c>
      <c r="AG1565" s="236">
        <v>40.53</v>
      </c>
      <c r="AH1565" s="287">
        <v>2.5000000000000001E-3</v>
      </c>
      <c r="AI1565" s="287">
        <v>3.5000000000000003E-2</v>
      </c>
      <c r="AJ1565" s="287">
        <v>5.3999999999999999E-2</v>
      </c>
      <c r="AK1565" s="318">
        <f t="shared" si="1076"/>
        <v>24709.474999999984</v>
      </c>
      <c r="AL1565" s="193">
        <v>0</v>
      </c>
      <c r="AM1565" s="319">
        <v>0</v>
      </c>
      <c r="AN1565" s="319">
        <v>0</v>
      </c>
      <c r="AO1565" s="320">
        <f t="shared" si="1077"/>
        <v>0</v>
      </c>
      <c r="AP1565" s="193">
        <v>0</v>
      </c>
      <c r="AQ1565" s="318">
        <v>0</v>
      </c>
      <c r="AR1565" s="318">
        <f t="shared" si="1078"/>
        <v>24709.474999999984</v>
      </c>
      <c r="AS1565" s="318">
        <f t="shared" si="1079"/>
        <v>25945</v>
      </c>
      <c r="AT1565" s="321">
        <v>0</v>
      </c>
      <c r="AU1565" s="193"/>
      <c r="AV1565" s="193"/>
      <c r="AW1565" s="318">
        <f t="shared" si="1080"/>
        <v>8770</v>
      </c>
      <c r="AX1565" s="193"/>
      <c r="AY1565" s="318">
        <f t="shared" si="1081"/>
        <v>8770</v>
      </c>
      <c r="AZ1565" s="318">
        <f t="shared" si="1082"/>
        <v>8750</v>
      </c>
      <c r="BA1565" s="318">
        <f t="shared" si="1083"/>
        <v>20</v>
      </c>
      <c r="BB1565" s="318">
        <f t="shared" si="1084"/>
        <v>17.54</v>
      </c>
      <c r="BC1565" s="318">
        <v>0</v>
      </c>
      <c r="BD1565" s="193"/>
      <c r="BE1565" s="138">
        <v>87.7</v>
      </c>
      <c r="BF1565" s="321">
        <f t="shared" si="1085"/>
        <v>0.13155</v>
      </c>
      <c r="BG1565" s="321">
        <f t="shared" si="1086"/>
        <v>87.568449999999999</v>
      </c>
      <c r="BH1565" s="321">
        <f t="shared" si="1087"/>
        <v>87.5</v>
      </c>
      <c r="BI1565" s="322">
        <f t="shared" si="1088"/>
        <v>20.000000000000284</v>
      </c>
      <c r="BJ1565" s="322">
        <v>0</v>
      </c>
      <c r="BK1565" s="318">
        <f t="shared" si="1089"/>
        <v>20.000000000000284</v>
      </c>
      <c r="BL1565" s="193"/>
      <c r="BM1565" s="449" t="str">
        <f t="shared" si="1090"/>
        <v>Unloading no. 1531 Bill No HA/26-27/0553 ,Deduction For Oil Deduction= 24709.475 ,Bardana= 0 ,F.M= 0 Brokerage/Rate Difference 0 ,Shortage = 0 ,Greenish= 0 ,Moisture= 0</v>
      </c>
      <c r="BN1565" s="193"/>
      <c r="BO1565" s="449" t="str">
        <f t="shared" si="1091"/>
        <v xml:space="preserve"> Party Condition 42  ,F.M% 0.25 ,Greenish 3.5 ,Moisture 5.4 ,Shortage in KG= 0  ,Oil% 40.53</v>
      </c>
      <c r="BP1565" s="318">
        <f t="shared" si="1092"/>
        <v>7786.0060000000003</v>
      </c>
      <c r="BQ1565" s="193"/>
      <c r="BR1565" s="193"/>
      <c r="BS1565" s="193"/>
      <c r="BT1565" s="193"/>
      <c r="BU1565" s="193"/>
      <c r="BV1565" s="193"/>
      <c r="BW1565" s="373"/>
      <c r="BX1565" s="27">
        <v>40.46</v>
      </c>
      <c r="BY1565" s="27">
        <v>40.4</v>
      </c>
      <c r="CO1565" s="57">
        <f t="shared" si="1070"/>
        <v>7.0000000000000284E-2</v>
      </c>
      <c r="CP1565" s="57">
        <f t="shared" si="1071"/>
        <v>0.13000000000000256</v>
      </c>
    </row>
    <row r="1566" spans="1:94" ht="14.1" hidden="1" customHeight="1" x14ac:dyDescent="0.3">
      <c r="A1566" s="128" t="s">
        <v>3253</v>
      </c>
      <c r="B1566" s="146">
        <v>46230</v>
      </c>
      <c r="C1566" s="282">
        <v>1532</v>
      </c>
      <c r="D1566" s="128" t="s">
        <v>3354</v>
      </c>
      <c r="E1566" s="129">
        <v>46233</v>
      </c>
      <c r="F1566" s="128" t="s">
        <v>1575</v>
      </c>
      <c r="G1566" s="128" t="s">
        <v>1576</v>
      </c>
      <c r="H1566" s="128" t="s">
        <v>103</v>
      </c>
      <c r="I1566" s="136"/>
      <c r="J1566" s="138" t="s">
        <v>1146</v>
      </c>
      <c r="K1566" s="136"/>
      <c r="L1566" s="146">
        <v>46230</v>
      </c>
      <c r="M1566" s="136"/>
      <c r="N1566" s="281" t="s">
        <v>3387</v>
      </c>
      <c r="O1566" s="130">
        <v>46233</v>
      </c>
      <c r="P1566" s="138">
        <v>0</v>
      </c>
      <c r="Q1566" s="138">
        <v>150</v>
      </c>
      <c r="R1566" s="138">
        <v>30</v>
      </c>
      <c r="S1566" s="138">
        <v>180</v>
      </c>
      <c r="T1566" s="138">
        <v>180</v>
      </c>
      <c r="U1566" s="136"/>
      <c r="V1566" s="136"/>
      <c r="W1566" s="147">
        <v>92.2</v>
      </c>
      <c r="X1566" s="147">
        <v>92.1</v>
      </c>
      <c r="Y1566" s="147">
        <v>758345</v>
      </c>
      <c r="Z1566" s="236">
        <v>39.82</v>
      </c>
      <c r="AA1566" s="147">
        <v>18958.63</v>
      </c>
      <c r="AB1566" s="147">
        <v>18958.63</v>
      </c>
      <c r="AC1566" s="147">
        <v>796262.25</v>
      </c>
      <c r="AD1566" s="315">
        <f t="shared" si="1050"/>
        <v>795465.98774999997</v>
      </c>
      <c r="AE1566" s="236">
        <v>39.82</v>
      </c>
      <c r="AF1566" s="147">
        <v>42</v>
      </c>
      <c r="AG1566" s="236">
        <v>39.82</v>
      </c>
      <c r="AH1566" s="287">
        <v>4.3E-3</v>
      </c>
      <c r="AI1566" s="287">
        <v>3.4000000000000002E-2</v>
      </c>
      <c r="AJ1566" s="287">
        <v>5.6000000000000001E-2</v>
      </c>
      <c r="AK1566" s="318">
        <f t="shared" si="1076"/>
        <v>39361.71666666666</v>
      </c>
      <c r="AL1566" s="193">
        <v>0</v>
      </c>
      <c r="AM1566" s="319">
        <v>0</v>
      </c>
      <c r="AN1566" s="319">
        <v>0</v>
      </c>
      <c r="AO1566" s="320">
        <f t="shared" si="1077"/>
        <v>0</v>
      </c>
      <c r="AP1566" s="193">
        <v>0</v>
      </c>
      <c r="AQ1566" s="318">
        <v>0</v>
      </c>
      <c r="AR1566" s="318">
        <f t="shared" si="1078"/>
        <v>39361.71666666666</v>
      </c>
      <c r="AS1566" s="318">
        <f t="shared" si="1079"/>
        <v>41330</v>
      </c>
      <c r="AT1566" s="321">
        <v>0</v>
      </c>
      <c r="AU1566" s="193"/>
      <c r="AV1566" s="193"/>
      <c r="AW1566" s="318">
        <f t="shared" si="1080"/>
        <v>9220</v>
      </c>
      <c r="AX1566" s="193"/>
      <c r="AY1566" s="318">
        <f t="shared" si="1081"/>
        <v>9220</v>
      </c>
      <c r="AZ1566" s="318">
        <f t="shared" si="1082"/>
        <v>9210</v>
      </c>
      <c r="BA1566" s="318">
        <f t="shared" si="1083"/>
        <v>10</v>
      </c>
      <c r="BB1566" s="318">
        <f t="shared" si="1084"/>
        <v>18.440000000000001</v>
      </c>
      <c r="BC1566" s="318">
        <v>0</v>
      </c>
      <c r="BD1566" s="193"/>
      <c r="BE1566" s="138">
        <v>92.2</v>
      </c>
      <c r="BF1566" s="321">
        <f t="shared" si="1085"/>
        <v>0.13830000000000001</v>
      </c>
      <c r="BG1566" s="321">
        <f t="shared" si="1086"/>
        <v>92.061700000000002</v>
      </c>
      <c r="BH1566" s="321">
        <f t="shared" si="1087"/>
        <v>92.1</v>
      </c>
      <c r="BI1566" s="322">
        <f t="shared" si="1088"/>
        <v>10.000000000000853</v>
      </c>
      <c r="BJ1566" s="322">
        <v>0</v>
      </c>
      <c r="BK1566" s="318">
        <f t="shared" si="1089"/>
        <v>10.000000000000853</v>
      </c>
      <c r="BL1566" s="193"/>
      <c r="BM1566" s="449" t="str">
        <f t="shared" si="1090"/>
        <v>Unloading no. 1532 Bill No 2026-27/00143 ,Deduction For Oil Deduction= 39361.7166666667 ,Bardana= 0 ,F.M= 0 Brokerage/Rate Difference 0 ,Shortage = 0 ,Greenish= 0 ,Moisture= 0</v>
      </c>
      <c r="BN1566" s="193"/>
      <c r="BO1566" s="449" t="str">
        <f t="shared" si="1091"/>
        <v xml:space="preserve"> Party Condition 42  ,F.M% 0.43 ,Greenish 3.4 ,Moisture 5.6 ,Shortage in KG= 0  ,Oil% 39.82</v>
      </c>
      <c r="BP1566" s="318">
        <f t="shared" si="1092"/>
        <v>7806.5503076366276</v>
      </c>
      <c r="BQ1566" s="193"/>
      <c r="BR1566" s="193"/>
      <c r="BS1566" s="193"/>
      <c r="BT1566" s="193"/>
      <c r="BU1566" s="193"/>
      <c r="BV1566" s="193"/>
      <c r="BW1566" s="373"/>
      <c r="BX1566" s="27">
        <v>39.5</v>
      </c>
      <c r="BY1566" s="27">
        <v>39.479999999999997</v>
      </c>
      <c r="CA1566" s="56">
        <v>0</v>
      </c>
      <c r="CC1566" s="57">
        <f t="shared" ref="CC1566" si="1093">AS1566-CA1566</f>
        <v>41330</v>
      </c>
      <c r="CE1566" s="88">
        <f t="shared" ref="CE1566" si="1094">CC1566/105%</f>
        <v>39361.904761904763</v>
      </c>
      <c r="CO1566" s="57">
        <f t="shared" si="1070"/>
        <v>0.32000000000000028</v>
      </c>
      <c r="CP1566" s="57">
        <f t="shared" si="1071"/>
        <v>0.34000000000000341</v>
      </c>
    </row>
    <row r="1567" spans="1:94" ht="14.1" hidden="1" customHeight="1" x14ac:dyDescent="0.3">
      <c r="A1567" s="128" t="s">
        <v>3253</v>
      </c>
      <c r="B1567" s="146">
        <v>46230</v>
      </c>
      <c r="C1567" s="282">
        <v>1533</v>
      </c>
      <c r="D1567" s="128" t="s">
        <v>3355</v>
      </c>
      <c r="E1567" s="129">
        <v>46233</v>
      </c>
      <c r="F1567" s="128" t="s">
        <v>1575</v>
      </c>
      <c r="G1567" s="128" t="s">
        <v>1576</v>
      </c>
      <c r="H1567" s="128" t="s">
        <v>103</v>
      </c>
      <c r="I1567" s="136"/>
      <c r="J1567" s="138" t="s">
        <v>1146</v>
      </c>
      <c r="K1567" s="136"/>
      <c r="L1567" s="146">
        <v>46230</v>
      </c>
      <c r="M1567" s="136"/>
      <c r="N1567" s="281" t="s">
        <v>3388</v>
      </c>
      <c r="O1567" s="130">
        <v>46233</v>
      </c>
      <c r="P1567" s="138">
        <v>0</v>
      </c>
      <c r="Q1567" s="138">
        <v>160</v>
      </c>
      <c r="R1567" s="138">
        <v>20</v>
      </c>
      <c r="S1567" s="138">
        <v>180</v>
      </c>
      <c r="T1567" s="138">
        <v>180</v>
      </c>
      <c r="U1567" s="136"/>
      <c r="V1567" s="136"/>
      <c r="W1567" s="147">
        <v>91.6</v>
      </c>
      <c r="X1567" s="147">
        <v>91.5</v>
      </c>
      <c r="Y1567" s="147">
        <v>753410</v>
      </c>
      <c r="Z1567" s="236">
        <v>39.369999999999997</v>
      </c>
      <c r="AA1567" s="147">
        <v>18835.25</v>
      </c>
      <c r="AB1567" s="147">
        <v>18835.25</v>
      </c>
      <c r="AC1567" s="147">
        <v>791080.5</v>
      </c>
      <c r="AD1567" s="315">
        <f t="shared" si="1050"/>
        <v>790289.41949999996</v>
      </c>
      <c r="AE1567" s="236">
        <v>39.369999999999997</v>
      </c>
      <c r="AF1567" s="147">
        <v>42</v>
      </c>
      <c r="AG1567" s="236">
        <v>39.369999999999997</v>
      </c>
      <c r="AH1567" s="287">
        <v>2.8999999999999998E-3</v>
      </c>
      <c r="AI1567" s="287">
        <v>4.4699999999999997E-2</v>
      </c>
      <c r="AJ1567" s="287">
        <v>5.5E-2</v>
      </c>
      <c r="AK1567" s="318">
        <f t="shared" si="1076"/>
        <v>47177.816666666717</v>
      </c>
      <c r="AL1567" s="193">
        <v>0</v>
      </c>
      <c r="AM1567" s="319">
        <v>0</v>
      </c>
      <c r="AN1567" s="319">
        <v>0</v>
      </c>
      <c r="AO1567" s="320">
        <f t="shared" si="1077"/>
        <v>0</v>
      </c>
      <c r="AP1567" s="193">
        <v>0</v>
      </c>
      <c r="AQ1567" s="318">
        <v>0</v>
      </c>
      <c r="AR1567" s="318">
        <f t="shared" si="1078"/>
        <v>47177.816666666717</v>
      </c>
      <c r="AS1567" s="318">
        <f t="shared" si="1079"/>
        <v>49537</v>
      </c>
      <c r="AT1567" s="321">
        <v>0</v>
      </c>
      <c r="AU1567" s="193"/>
      <c r="AV1567" s="193"/>
      <c r="AW1567" s="318">
        <f t="shared" si="1080"/>
        <v>9160</v>
      </c>
      <c r="AX1567" s="193"/>
      <c r="AY1567" s="318">
        <f t="shared" si="1081"/>
        <v>9160</v>
      </c>
      <c r="AZ1567" s="318">
        <f t="shared" si="1082"/>
        <v>9150</v>
      </c>
      <c r="BA1567" s="318">
        <f t="shared" si="1083"/>
        <v>10</v>
      </c>
      <c r="BB1567" s="318">
        <f t="shared" si="1084"/>
        <v>18.32</v>
      </c>
      <c r="BC1567" s="318">
        <v>0</v>
      </c>
      <c r="BD1567" s="193"/>
      <c r="BE1567" s="138">
        <v>91.6</v>
      </c>
      <c r="BF1567" s="321">
        <f t="shared" si="1085"/>
        <v>0.13739999999999999</v>
      </c>
      <c r="BG1567" s="321">
        <f t="shared" si="1086"/>
        <v>91.462599999999995</v>
      </c>
      <c r="BH1567" s="321">
        <f t="shared" si="1087"/>
        <v>91.5</v>
      </c>
      <c r="BI1567" s="322">
        <f t="shared" si="1088"/>
        <v>9.9999999999994316</v>
      </c>
      <c r="BJ1567" s="322">
        <v>0</v>
      </c>
      <c r="BK1567" s="318">
        <f t="shared" si="1089"/>
        <v>9.9999999999994316</v>
      </c>
      <c r="BL1567" s="193"/>
      <c r="BM1567" s="449" t="str">
        <f t="shared" si="1090"/>
        <v>Unloading no. 1533 Bill No 2026-27/00144 ,Deduction For Oil Deduction= 47177.8166666667 ,Bardana= 0 ,F.M= 0 Brokerage/Rate Difference 0 ,Shortage = 0 ,Greenish= 0 ,Moisture= 0</v>
      </c>
      <c r="BN1567" s="193"/>
      <c r="BO1567" s="449" t="str">
        <f t="shared" si="1091"/>
        <v xml:space="preserve"> Party Condition 42  ,F.M% 0.29 ,Greenish 4.47 ,Moisture 5.5 ,Shortage in KG= 0  ,Oil% 39.37</v>
      </c>
      <c r="BP1567" s="318">
        <f t="shared" si="1092"/>
        <v>7718.3845173041882</v>
      </c>
      <c r="BQ1567" s="193"/>
      <c r="BR1567" s="193"/>
      <c r="BS1567" s="193"/>
      <c r="BT1567" s="193"/>
      <c r="BU1567" s="193"/>
      <c r="BV1567" s="193"/>
      <c r="BW1567" s="373"/>
      <c r="BX1567" s="27">
        <v>39.020000000000003</v>
      </c>
      <c r="BY1567" s="27">
        <v>38.92</v>
      </c>
      <c r="CO1567" s="57">
        <f t="shared" si="1070"/>
        <v>0.34999999999999432</v>
      </c>
      <c r="CP1567" s="57">
        <f t="shared" si="1071"/>
        <v>0.44999999999999574</v>
      </c>
    </row>
    <row r="1568" spans="1:94" ht="14.1" hidden="1" customHeight="1" x14ac:dyDescent="0.3">
      <c r="A1568" s="128" t="s">
        <v>3253</v>
      </c>
      <c r="B1568" s="146">
        <v>46230</v>
      </c>
      <c r="C1568" s="282">
        <v>1534</v>
      </c>
      <c r="D1568" s="128" t="s">
        <v>3356</v>
      </c>
      <c r="E1568" s="129">
        <v>46233</v>
      </c>
      <c r="F1568" s="128" t="s">
        <v>1575</v>
      </c>
      <c r="G1568" s="128" t="s">
        <v>1576</v>
      </c>
      <c r="H1568" s="128" t="s">
        <v>103</v>
      </c>
      <c r="I1568" s="136"/>
      <c r="J1568" s="138" t="s">
        <v>1146</v>
      </c>
      <c r="K1568" s="136"/>
      <c r="L1568" s="146">
        <v>46230</v>
      </c>
      <c r="M1568" s="136"/>
      <c r="N1568" s="281" t="s">
        <v>3389</v>
      </c>
      <c r="O1568" s="130">
        <v>46233</v>
      </c>
      <c r="P1568" s="138">
        <v>0</v>
      </c>
      <c r="Q1568" s="138">
        <v>150</v>
      </c>
      <c r="R1568" s="138">
        <v>30</v>
      </c>
      <c r="S1568" s="138">
        <v>180</v>
      </c>
      <c r="T1568" s="138">
        <v>180</v>
      </c>
      <c r="U1568" s="136"/>
      <c r="V1568" s="136"/>
      <c r="W1568" s="147">
        <v>91.1</v>
      </c>
      <c r="X1568" s="147">
        <v>91.1</v>
      </c>
      <c r="Y1568" s="147">
        <v>749297.5</v>
      </c>
      <c r="Z1568" s="236">
        <v>39.42</v>
      </c>
      <c r="AA1568" s="147">
        <v>18732.439999999999</v>
      </c>
      <c r="AB1568" s="147">
        <v>18732.439999999999</v>
      </c>
      <c r="AC1568" s="147">
        <v>786762.38</v>
      </c>
      <c r="AD1568" s="315">
        <f t="shared" si="1050"/>
        <v>785975.61762000003</v>
      </c>
      <c r="AE1568" s="236">
        <v>39.42</v>
      </c>
      <c r="AF1568" s="147">
        <v>42</v>
      </c>
      <c r="AG1568" s="236">
        <v>39.42</v>
      </c>
      <c r="AH1568" s="287">
        <v>3.5000000000000001E-3</v>
      </c>
      <c r="AI1568" s="287">
        <v>0.05</v>
      </c>
      <c r="AJ1568" s="287">
        <v>5.1999999999999998E-2</v>
      </c>
      <c r="AK1568" s="318">
        <f t="shared" si="1076"/>
        <v>46028.274999999972</v>
      </c>
      <c r="AL1568" s="193">
        <v>0</v>
      </c>
      <c r="AM1568" s="319">
        <v>0</v>
      </c>
      <c r="AN1568" s="319">
        <v>0</v>
      </c>
      <c r="AO1568" s="320">
        <f t="shared" si="1077"/>
        <v>0</v>
      </c>
      <c r="AP1568" s="193">
        <v>0</v>
      </c>
      <c r="AQ1568" s="318">
        <v>0</v>
      </c>
      <c r="AR1568" s="318">
        <f t="shared" si="1078"/>
        <v>46028.274999999972</v>
      </c>
      <c r="AS1568" s="318">
        <f t="shared" si="1079"/>
        <v>48330</v>
      </c>
      <c r="AT1568" s="321">
        <v>0</v>
      </c>
      <c r="AU1568" s="193"/>
      <c r="AV1568" s="193"/>
      <c r="AW1568" s="318">
        <f t="shared" si="1080"/>
        <v>9110</v>
      </c>
      <c r="AX1568" s="193"/>
      <c r="AY1568" s="318">
        <f t="shared" si="1081"/>
        <v>9110</v>
      </c>
      <c r="AZ1568" s="318">
        <f t="shared" si="1082"/>
        <v>9110</v>
      </c>
      <c r="BA1568" s="318">
        <f t="shared" si="1083"/>
        <v>0</v>
      </c>
      <c r="BB1568" s="318">
        <f t="shared" si="1084"/>
        <v>18.22</v>
      </c>
      <c r="BC1568" s="318">
        <v>0</v>
      </c>
      <c r="BD1568" s="193"/>
      <c r="BE1568" s="138">
        <v>91.1</v>
      </c>
      <c r="BF1568" s="321">
        <f t="shared" si="1085"/>
        <v>0.13664999999999999</v>
      </c>
      <c r="BG1568" s="321">
        <f t="shared" si="1086"/>
        <v>90.963349999999991</v>
      </c>
      <c r="BH1568" s="321">
        <f t="shared" si="1087"/>
        <v>91.1</v>
      </c>
      <c r="BI1568" s="322">
        <f t="shared" si="1088"/>
        <v>0</v>
      </c>
      <c r="BJ1568" s="322">
        <v>0</v>
      </c>
      <c r="BK1568" s="318">
        <f t="shared" si="1089"/>
        <v>0</v>
      </c>
      <c r="BL1568" s="193"/>
      <c r="BM1568" s="449" t="str">
        <f t="shared" si="1090"/>
        <v>Unloading no. 1534 Bill No 2026-27/00145 ,Deduction For Oil Deduction= 46028.275 ,Bardana= 0 ,F.M= 0 Brokerage/Rate Difference 0 ,Shortage = 0 ,Greenish= 0 ,Moisture= 0</v>
      </c>
      <c r="BN1568" s="193"/>
      <c r="BO1568" s="449" t="str">
        <f t="shared" si="1091"/>
        <v xml:space="preserve"> Party Condition 42  ,F.M% 0.35 ,Greenish 5 ,Moisture 5.2 ,Shortage in KG= 0  ,Oil% 39.42</v>
      </c>
      <c r="BP1568" s="318">
        <f t="shared" si="1092"/>
        <v>7719.75</v>
      </c>
      <c r="BQ1568" s="193"/>
      <c r="BR1568" s="193"/>
      <c r="BS1568" s="193"/>
      <c r="BT1568" s="193"/>
      <c r="BU1568" s="193"/>
      <c r="BV1568" s="193"/>
      <c r="BW1568" s="373"/>
      <c r="BX1568" s="27">
        <v>38.76</v>
      </c>
      <c r="BY1568" s="27">
        <v>39.06</v>
      </c>
      <c r="CO1568" s="57">
        <f t="shared" si="1070"/>
        <v>0.66000000000000369</v>
      </c>
      <c r="CP1568" s="57">
        <f t="shared" si="1071"/>
        <v>0.35999999999999943</v>
      </c>
    </row>
    <row r="1569" spans="1:94" ht="14.1" hidden="1" customHeight="1" x14ac:dyDescent="0.3">
      <c r="A1569" s="128" t="s">
        <v>3253</v>
      </c>
      <c r="B1569" s="146">
        <v>46230</v>
      </c>
      <c r="C1569" s="282">
        <v>1535</v>
      </c>
      <c r="D1569" s="128" t="s">
        <v>3357</v>
      </c>
      <c r="E1569" s="129">
        <v>46233</v>
      </c>
      <c r="F1569" s="128" t="s">
        <v>1575</v>
      </c>
      <c r="G1569" s="128" t="s">
        <v>1576</v>
      </c>
      <c r="H1569" s="128" t="s">
        <v>103</v>
      </c>
      <c r="I1569" s="136"/>
      <c r="J1569" s="138" t="s">
        <v>1146</v>
      </c>
      <c r="K1569" s="136"/>
      <c r="L1569" s="146">
        <v>46230</v>
      </c>
      <c r="M1569" s="136"/>
      <c r="N1569" s="281" t="s">
        <v>3390</v>
      </c>
      <c r="O1569" s="130">
        <v>46233</v>
      </c>
      <c r="P1569" s="138">
        <v>0</v>
      </c>
      <c r="Q1569" s="138">
        <v>150</v>
      </c>
      <c r="R1569" s="138">
        <v>30</v>
      </c>
      <c r="S1569" s="138">
        <v>180</v>
      </c>
      <c r="T1569" s="138">
        <v>180</v>
      </c>
      <c r="U1569" s="136"/>
      <c r="V1569" s="136"/>
      <c r="W1569" s="147">
        <v>90.8</v>
      </c>
      <c r="X1569" s="147">
        <v>90.7</v>
      </c>
      <c r="Y1569" s="147">
        <v>746830</v>
      </c>
      <c r="Z1569" s="236">
        <v>40.39</v>
      </c>
      <c r="AA1569" s="147">
        <v>18670.75</v>
      </c>
      <c r="AB1569" s="147">
        <v>18670.75</v>
      </c>
      <c r="AC1569" s="147">
        <v>784171.5</v>
      </c>
      <c r="AD1569" s="315">
        <f t="shared" si="1050"/>
        <v>783387.32849999995</v>
      </c>
      <c r="AE1569" s="236">
        <v>40.39</v>
      </c>
      <c r="AF1569" s="147">
        <v>42</v>
      </c>
      <c r="AG1569" s="236">
        <v>40.39</v>
      </c>
      <c r="AH1569" s="287">
        <v>3.5999999999999999E-3</v>
      </c>
      <c r="AI1569" s="287">
        <v>4.7399999999999998E-2</v>
      </c>
      <c r="AJ1569" s="287">
        <v>5.6000000000000001E-2</v>
      </c>
      <c r="AK1569" s="318">
        <f t="shared" si="1076"/>
        <v>28628.483333333319</v>
      </c>
      <c r="AL1569" s="193">
        <v>0</v>
      </c>
      <c r="AM1569" s="319">
        <v>0</v>
      </c>
      <c r="AN1569" s="319">
        <v>0</v>
      </c>
      <c r="AO1569" s="320">
        <f t="shared" si="1077"/>
        <v>0</v>
      </c>
      <c r="AP1569" s="193">
        <v>0</v>
      </c>
      <c r="AQ1569" s="318">
        <v>0</v>
      </c>
      <c r="AR1569" s="318">
        <f t="shared" si="1078"/>
        <v>28628.483333333319</v>
      </c>
      <c r="AS1569" s="318">
        <f t="shared" si="1079"/>
        <v>30060</v>
      </c>
      <c r="AT1569" s="321">
        <v>0</v>
      </c>
      <c r="AU1569" s="193"/>
      <c r="AV1569" s="193"/>
      <c r="AW1569" s="318">
        <f t="shared" si="1080"/>
        <v>9080</v>
      </c>
      <c r="AX1569" s="193"/>
      <c r="AY1569" s="318">
        <f t="shared" si="1081"/>
        <v>9080</v>
      </c>
      <c r="AZ1569" s="318">
        <f t="shared" si="1082"/>
        <v>9070</v>
      </c>
      <c r="BA1569" s="318">
        <f t="shared" si="1083"/>
        <v>10</v>
      </c>
      <c r="BB1569" s="318">
        <f t="shared" si="1084"/>
        <v>18.16</v>
      </c>
      <c r="BC1569" s="318">
        <v>0</v>
      </c>
      <c r="BD1569" s="193"/>
      <c r="BE1569" s="138">
        <v>90.8</v>
      </c>
      <c r="BF1569" s="321">
        <f t="shared" si="1085"/>
        <v>0.13619999999999999</v>
      </c>
      <c r="BG1569" s="321">
        <f t="shared" si="1086"/>
        <v>90.663799999999995</v>
      </c>
      <c r="BH1569" s="321">
        <f t="shared" si="1087"/>
        <v>90.7</v>
      </c>
      <c r="BI1569" s="322">
        <f t="shared" si="1088"/>
        <v>9.9999999999994316</v>
      </c>
      <c r="BJ1569" s="322">
        <v>0</v>
      </c>
      <c r="BK1569" s="318">
        <f t="shared" si="1089"/>
        <v>9.9999999999994316</v>
      </c>
      <c r="BL1569" s="193"/>
      <c r="BM1569" s="449" t="str">
        <f t="shared" si="1090"/>
        <v>Unloading no. 1535 Bill No 2026-27/00146 ,Deduction For Oil Deduction= 28628.4833333333 ,Bardana= 0 ,F.M= 0 Brokerage/Rate Difference 0 ,Shortage = 0 ,Greenish= 0 ,Moisture= 0</v>
      </c>
      <c r="BN1569" s="193"/>
      <c r="BO1569" s="449" t="str">
        <f t="shared" si="1091"/>
        <v xml:space="preserve"> Party Condition 42  ,F.M% 0.36 ,Greenish 4.74 ,Moisture 5.6 ,Shortage in KG= 0  ,Oil% 40.39</v>
      </c>
      <c r="BP1569" s="318">
        <f t="shared" si="1092"/>
        <v>7918.4290701947821</v>
      </c>
      <c r="BQ1569" s="193"/>
      <c r="BR1569" s="193"/>
      <c r="BS1569" s="193"/>
      <c r="BT1569" s="193"/>
      <c r="BU1569" s="193"/>
      <c r="BV1569" s="193"/>
      <c r="BW1569" s="373"/>
      <c r="BX1569" s="27">
        <v>40.04</v>
      </c>
      <c r="BY1569" s="27">
        <v>40.15</v>
      </c>
      <c r="CO1569" s="57">
        <f t="shared" si="1070"/>
        <v>0.35000000000000142</v>
      </c>
      <c r="CP1569" s="57">
        <f t="shared" si="1071"/>
        <v>0.24000000000000199</v>
      </c>
    </row>
    <row r="1570" spans="1:94" ht="14.1" hidden="1" customHeight="1" x14ac:dyDescent="0.3">
      <c r="A1570" s="128" t="s">
        <v>3253</v>
      </c>
      <c r="B1570" s="146">
        <v>46230</v>
      </c>
      <c r="C1570" s="282">
        <v>1536</v>
      </c>
      <c r="D1570" s="128" t="s">
        <v>3358</v>
      </c>
      <c r="E1570" s="129">
        <v>46233</v>
      </c>
      <c r="F1570" s="128" t="s">
        <v>1575</v>
      </c>
      <c r="G1570" s="128" t="s">
        <v>1576</v>
      </c>
      <c r="H1570" s="128" t="s">
        <v>103</v>
      </c>
      <c r="I1570" s="136"/>
      <c r="J1570" s="138" t="s">
        <v>1146</v>
      </c>
      <c r="K1570" s="136"/>
      <c r="L1570" s="146">
        <v>46230</v>
      </c>
      <c r="M1570" s="136"/>
      <c r="N1570" s="281" t="s">
        <v>3391</v>
      </c>
      <c r="O1570" s="130">
        <v>46233</v>
      </c>
      <c r="P1570" s="138">
        <v>0</v>
      </c>
      <c r="Q1570" s="138">
        <v>150</v>
      </c>
      <c r="R1570" s="138">
        <v>30</v>
      </c>
      <c r="S1570" s="138">
        <v>180</v>
      </c>
      <c r="T1570" s="138">
        <v>180</v>
      </c>
      <c r="U1570" s="136"/>
      <c r="V1570" s="136"/>
      <c r="W1570" s="147">
        <v>90.9</v>
      </c>
      <c r="X1570" s="147">
        <v>90.9</v>
      </c>
      <c r="Y1570" s="147">
        <v>747652.5</v>
      </c>
      <c r="Z1570" s="236">
        <v>40.799999999999997</v>
      </c>
      <c r="AA1570" s="147">
        <v>18691.310000000001</v>
      </c>
      <c r="AB1570" s="147">
        <v>18691.310000000001</v>
      </c>
      <c r="AC1570" s="147">
        <v>785035.13</v>
      </c>
      <c r="AD1570" s="315">
        <f t="shared" si="1050"/>
        <v>784250.09487000003</v>
      </c>
      <c r="AE1570" s="236">
        <v>40.799999999999997</v>
      </c>
      <c r="AF1570" s="147">
        <v>42</v>
      </c>
      <c r="AG1570" s="236">
        <v>40.799999999999997</v>
      </c>
      <c r="AH1570" s="287">
        <v>3.2000000000000002E-3</v>
      </c>
      <c r="AI1570" s="287">
        <v>3.8199999999999998E-2</v>
      </c>
      <c r="AJ1570" s="287">
        <v>5.3999999999999999E-2</v>
      </c>
      <c r="AK1570" s="318">
        <f t="shared" si="1076"/>
        <v>21361.500000000051</v>
      </c>
      <c r="AL1570" s="193">
        <v>0</v>
      </c>
      <c r="AM1570" s="319">
        <v>0</v>
      </c>
      <c r="AN1570" s="319">
        <v>0</v>
      </c>
      <c r="AO1570" s="320">
        <f t="shared" si="1077"/>
        <v>0</v>
      </c>
      <c r="AP1570" s="193">
        <v>0</v>
      </c>
      <c r="AQ1570" s="318">
        <v>0</v>
      </c>
      <c r="AR1570" s="318">
        <f t="shared" si="1078"/>
        <v>21361.500000000051</v>
      </c>
      <c r="AS1570" s="318">
        <f t="shared" si="1079"/>
        <v>22430</v>
      </c>
      <c r="AT1570" s="321">
        <v>0</v>
      </c>
      <c r="AU1570" s="193"/>
      <c r="AV1570" s="193"/>
      <c r="AW1570" s="318">
        <f t="shared" si="1080"/>
        <v>9090</v>
      </c>
      <c r="AX1570" s="193"/>
      <c r="AY1570" s="318">
        <f t="shared" si="1081"/>
        <v>9090</v>
      </c>
      <c r="AZ1570" s="318">
        <f t="shared" si="1082"/>
        <v>9090</v>
      </c>
      <c r="BA1570" s="318">
        <f t="shared" si="1083"/>
        <v>0</v>
      </c>
      <c r="BB1570" s="318">
        <f t="shared" si="1084"/>
        <v>18.18</v>
      </c>
      <c r="BC1570" s="318">
        <v>0</v>
      </c>
      <c r="BD1570" s="193"/>
      <c r="BE1570" s="138">
        <v>90.9</v>
      </c>
      <c r="BF1570" s="321">
        <f t="shared" si="1085"/>
        <v>0.13635</v>
      </c>
      <c r="BG1570" s="321">
        <f t="shared" si="1086"/>
        <v>90.763650000000013</v>
      </c>
      <c r="BH1570" s="321">
        <f t="shared" si="1087"/>
        <v>90.9</v>
      </c>
      <c r="BI1570" s="322">
        <f t="shared" si="1088"/>
        <v>0</v>
      </c>
      <c r="BJ1570" s="322">
        <v>0</v>
      </c>
      <c r="BK1570" s="318">
        <f t="shared" si="1089"/>
        <v>0</v>
      </c>
      <c r="BL1570" s="193"/>
      <c r="BM1570" s="449" t="str">
        <f t="shared" si="1090"/>
        <v>Unloading no. 1536 Bill No 2026-27/00147 ,Deduction For Oil Deduction= 21361.5000000001 ,Bardana= 0 ,F.M= 0 Brokerage/Rate Difference 0 ,Shortage = 0 ,Greenish= 0 ,Moisture= 0</v>
      </c>
      <c r="BN1570" s="193"/>
      <c r="BO1570" s="449" t="str">
        <f t="shared" si="1091"/>
        <v xml:space="preserve"> Party Condition 42  ,F.M% 0.32 ,Greenish 3.82 ,Moisture 5.4 ,Shortage in KG= 0  ,Oil% 40.8</v>
      </c>
      <c r="BP1570" s="318">
        <f t="shared" si="1092"/>
        <v>7989.9999999999991</v>
      </c>
      <c r="BQ1570" s="193"/>
      <c r="BR1570" s="193"/>
      <c r="BS1570" s="193"/>
      <c r="BT1570" s="193"/>
      <c r="BU1570" s="193"/>
      <c r="BV1570" s="193"/>
      <c r="BW1570" s="373"/>
      <c r="BX1570" s="27">
        <v>40.549999999999997</v>
      </c>
      <c r="BY1570" s="27">
        <v>40.43</v>
      </c>
      <c r="CO1570" s="57">
        <f t="shared" si="1070"/>
        <v>0.25</v>
      </c>
      <c r="CP1570" s="57">
        <f t="shared" si="1071"/>
        <v>0.36999999999999744</v>
      </c>
    </row>
    <row r="1571" spans="1:94" ht="14.1" hidden="1" customHeight="1" x14ac:dyDescent="0.3">
      <c r="A1571" s="128" t="s">
        <v>3253</v>
      </c>
      <c r="B1571" s="146">
        <v>46230</v>
      </c>
      <c r="C1571" s="282">
        <v>1537</v>
      </c>
      <c r="D1571" s="128" t="s">
        <v>3359</v>
      </c>
      <c r="E1571" s="129">
        <v>46233</v>
      </c>
      <c r="F1571" s="128" t="s">
        <v>1575</v>
      </c>
      <c r="G1571" s="128" t="s">
        <v>1576</v>
      </c>
      <c r="H1571" s="128" t="s">
        <v>103</v>
      </c>
      <c r="I1571" s="136"/>
      <c r="J1571" s="138" t="s">
        <v>1146</v>
      </c>
      <c r="K1571" s="136"/>
      <c r="L1571" s="146">
        <v>46230</v>
      </c>
      <c r="M1571" s="136"/>
      <c r="N1571" s="281" t="s">
        <v>3392</v>
      </c>
      <c r="O1571" s="130">
        <v>46233</v>
      </c>
      <c r="P1571" s="138">
        <v>0</v>
      </c>
      <c r="Q1571" s="138">
        <v>160</v>
      </c>
      <c r="R1571" s="138">
        <v>20</v>
      </c>
      <c r="S1571" s="138">
        <v>180</v>
      </c>
      <c r="T1571" s="138">
        <v>180</v>
      </c>
      <c r="U1571" s="136"/>
      <c r="V1571" s="136"/>
      <c r="W1571" s="147">
        <v>91.3</v>
      </c>
      <c r="X1571" s="147">
        <v>91</v>
      </c>
      <c r="Y1571" s="147">
        <v>750942.5</v>
      </c>
      <c r="Z1571" s="236">
        <v>40.409999999999997</v>
      </c>
      <c r="AA1571" s="147">
        <v>18773.560000000001</v>
      </c>
      <c r="AB1571" s="147">
        <v>18773.560000000001</v>
      </c>
      <c r="AC1571" s="147">
        <v>788489.63</v>
      </c>
      <c r="AD1571" s="315">
        <f t="shared" si="1050"/>
        <v>787701.14037000004</v>
      </c>
      <c r="AE1571" s="236">
        <v>40.409999999999997</v>
      </c>
      <c r="AF1571" s="147">
        <v>42</v>
      </c>
      <c r="AG1571" s="236">
        <v>40.409999999999997</v>
      </c>
      <c r="AH1571" s="287">
        <v>3.0000000000000001E-3</v>
      </c>
      <c r="AI1571" s="287">
        <v>0.04</v>
      </c>
      <c r="AJ1571" s="287">
        <v>5.7000000000000002E-2</v>
      </c>
      <c r="AK1571" s="318">
        <f t="shared" si="1076"/>
        <v>28428.53750000006</v>
      </c>
      <c r="AL1571" s="193">
        <v>0</v>
      </c>
      <c r="AM1571" s="319">
        <v>0</v>
      </c>
      <c r="AN1571" s="319">
        <v>0</v>
      </c>
      <c r="AO1571" s="320">
        <f t="shared" si="1077"/>
        <v>987</v>
      </c>
      <c r="AP1571" s="193">
        <v>0</v>
      </c>
      <c r="AQ1571" s="318">
        <v>0</v>
      </c>
      <c r="AR1571" s="318">
        <f t="shared" si="1078"/>
        <v>29415.53750000006</v>
      </c>
      <c r="AS1571" s="318">
        <f t="shared" si="1079"/>
        <v>30886</v>
      </c>
      <c r="AT1571" s="321">
        <v>12</v>
      </c>
      <c r="AU1571" s="193"/>
      <c r="AV1571" s="193"/>
      <c r="AW1571" s="318">
        <f t="shared" si="1080"/>
        <v>9130</v>
      </c>
      <c r="AX1571" s="193"/>
      <c r="AY1571" s="318">
        <f t="shared" si="1081"/>
        <v>9130</v>
      </c>
      <c r="AZ1571" s="318">
        <f t="shared" si="1082"/>
        <v>9100</v>
      </c>
      <c r="BA1571" s="318">
        <f t="shared" si="1083"/>
        <v>30</v>
      </c>
      <c r="BB1571" s="318">
        <f t="shared" si="1084"/>
        <v>18.260000000000002</v>
      </c>
      <c r="BC1571" s="318">
        <v>0</v>
      </c>
      <c r="BD1571" s="193"/>
      <c r="BE1571" s="138">
        <v>91.3</v>
      </c>
      <c r="BF1571" s="321">
        <f t="shared" si="1085"/>
        <v>0.13694999999999999</v>
      </c>
      <c r="BG1571" s="321">
        <f t="shared" si="1086"/>
        <v>91.163049999999998</v>
      </c>
      <c r="BH1571" s="321">
        <f t="shared" si="1087"/>
        <v>91</v>
      </c>
      <c r="BI1571" s="322">
        <f t="shared" si="1088"/>
        <v>29.999999999999716</v>
      </c>
      <c r="BJ1571" s="322">
        <v>0</v>
      </c>
      <c r="BK1571" s="318">
        <f t="shared" si="1089"/>
        <v>29.999999999999716</v>
      </c>
      <c r="BL1571" s="193"/>
      <c r="BM1571" s="449" t="str">
        <f t="shared" si="1090"/>
        <v>Unloading no. 1537 Bill No 2026-27/00148 ,Deduction For Oil Deduction= 28428.5375000001 ,Bardana= 0 ,F.M= 0 Brokerage/Rate Difference 0 ,Shortage = 987 ,Greenish= 0 ,Moisture= 0</v>
      </c>
      <c r="BN1571" s="193"/>
      <c r="BO1571" s="449" t="str">
        <f t="shared" si="1091"/>
        <v xml:space="preserve"> Party Condition 42  ,F.M% 0.3 ,Greenish 4 ,Moisture 5.7 ,Shortage in KG= 12  ,Oil% 40.41</v>
      </c>
      <c r="BP1571" s="318">
        <f t="shared" si="1092"/>
        <v>7928.867719780219</v>
      </c>
      <c r="BQ1571" s="193"/>
      <c r="BR1571" s="193"/>
      <c r="BS1571" s="193"/>
      <c r="BT1571" s="193"/>
      <c r="BU1571" s="193"/>
      <c r="BV1571" s="193"/>
      <c r="BW1571" s="373"/>
      <c r="BX1571" s="27">
        <v>40.450000000000003</v>
      </c>
      <c r="BY1571" s="27">
        <v>40.270000000000003</v>
      </c>
      <c r="CO1571" s="57">
        <f t="shared" si="1070"/>
        <v>-4.0000000000006253E-2</v>
      </c>
      <c r="CP1571" s="57">
        <f t="shared" si="1071"/>
        <v>0.13999999999999346</v>
      </c>
    </row>
    <row r="1572" spans="1:94" ht="14.1" hidden="1" customHeight="1" x14ac:dyDescent="0.3">
      <c r="A1572" s="128" t="s">
        <v>3253</v>
      </c>
      <c r="B1572" s="146">
        <v>46230</v>
      </c>
      <c r="C1572" s="282">
        <v>1538</v>
      </c>
      <c r="D1572" s="128" t="s">
        <v>3360</v>
      </c>
      <c r="E1572" s="129">
        <v>46233</v>
      </c>
      <c r="F1572" s="128" t="s">
        <v>1575</v>
      </c>
      <c r="G1572" s="128" t="s">
        <v>1576</v>
      </c>
      <c r="H1572" s="128" t="s">
        <v>103</v>
      </c>
      <c r="I1572" s="136"/>
      <c r="J1572" s="138" t="s">
        <v>1146</v>
      </c>
      <c r="K1572" s="136"/>
      <c r="L1572" s="146">
        <v>46230</v>
      </c>
      <c r="M1572" s="136"/>
      <c r="N1572" s="281" t="s">
        <v>3393</v>
      </c>
      <c r="O1572" s="130">
        <v>46233</v>
      </c>
      <c r="P1572" s="138">
        <v>0</v>
      </c>
      <c r="Q1572" s="138">
        <v>100</v>
      </c>
      <c r="R1572" s="138">
        <v>80</v>
      </c>
      <c r="S1572" s="138">
        <v>180</v>
      </c>
      <c r="T1572" s="138">
        <v>180</v>
      </c>
      <c r="U1572" s="136"/>
      <c r="V1572" s="136"/>
      <c r="W1572" s="147">
        <v>90.2</v>
      </c>
      <c r="X1572" s="147">
        <v>90.2</v>
      </c>
      <c r="Y1572" s="147">
        <v>741895</v>
      </c>
      <c r="Z1572" s="236">
        <v>40.67</v>
      </c>
      <c r="AA1572" s="147">
        <v>18547.38</v>
      </c>
      <c r="AB1572" s="147">
        <v>18547.38</v>
      </c>
      <c r="AC1572" s="147">
        <v>778989.75</v>
      </c>
      <c r="AD1572" s="315">
        <f t="shared" si="1050"/>
        <v>778210.76025000005</v>
      </c>
      <c r="AE1572" s="236">
        <v>40.67</v>
      </c>
      <c r="AF1572" s="147">
        <v>42</v>
      </c>
      <c r="AG1572" s="236">
        <v>40.67</v>
      </c>
      <c r="AH1572" s="287">
        <v>4.0000000000000001E-3</v>
      </c>
      <c r="AI1572" s="287">
        <v>3.5999999999999997E-2</v>
      </c>
      <c r="AJ1572" s="287">
        <v>5.5E-2</v>
      </c>
      <c r="AK1572" s="318">
        <f t="shared" si="1076"/>
        <v>23493.341666666638</v>
      </c>
      <c r="AL1572" s="193">
        <v>0</v>
      </c>
      <c r="AM1572" s="319">
        <v>0</v>
      </c>
      <c r="AN1572" s="319">
        <v>0</v>
      </c>
      <c r="AO1572" s="320">
        <f t="shared" si="1077"/>
        <v>0</v>
      </c>
      <c r="AP1572" s="193">
        <v>0</v>
      </c>
      <c r="AQ1572" s="318">
        <v>0</v>
      </c>
      <c r="AR1572" s="318">
        <f t="shared" si="1078"/>
        <v>23493.341666666638</v>
      </c>
      <c r="AS1572" s="318">
        <f t="shared" si="1079"/>
        <v>24668</v>
      </c>
      <c r="AT1572" s="321">
        <v>0</v>
      </c>
      <c r="AU1572" s="193"/>
      <c r="AV1572" s="193"/>
      <c r="AW1572" s="318">
        <f t="shared" si="1080"/>
        <v>9020</v>
      </c>
      <c r="AX1572" s="193"/>
      <c r="AY1572" s="318">
        <f t="shared" si="1081"/>
        <v>9020</v>
      </c>
      <c r="AZ1572" s="318">
        <f t="shared" si="1082"/>
        <v>9020</v>
      </c>
      <c r="BA1572" s="318">
        <f t="shared" si="1083"/>
        <v>0</v>
      </c>
      <c r="BB1572" s="318">
        <f t="shared" si="1084"/>
        <v>18.04</v>
      </c>
      <c r="BC1572" s="318">
        <v>0</v>
      </c>
      <c r="BD1572" s="193"/>
      <c r="BE1572" s="138">
        <v>90.2</v>
      </c>
      <c r="BF1572" s="321">
        <f t="shared" si="1085"/>
        <v>0.1353</v>
      </c>
      <c r="BG1572" s="321">
        <f t="shared" si="1086"/>
        <v>90.064700000000002</v>
      </c>
      <c r="BH1572" s="321">
        <f t="shared" si="1087"/>
        <v>90.2</v>
      </c>
      <c r="BI1572" s="322">
        <f t="shared" si="1088"/>
        <v>0</v>
      </c>
      <c r="BJ1572" s="322">
        <v>0</v>
      </c>
      <c r="BK1572" s="318">
        <f t="shared" si="1089"/>
        <v>0</v>
      </c>
      <c r="BL1572" s="193"/>
      <c r="BM1572" s="449" t="str">
        <f t="shared" si="1090"/>
        <v>Unloading no. 1538 Bill No 2026-27/00149 ,Deduction For Oil Deduction= 23493.3416666666 ,Bardana= 0 ,F.M= 0 Brokerage/Rate Difference 0 ,Shortage = 0 ,Greenish= 0 ,Moisture= 0</v>
      </c>
      <c r="BN1572" s="193"/>
      <c r="BO1572" s="449" t="str">
        <f t="shared" si="1091"/>
        <v xml:space="preserve"> Party Condition 42  ,F.M% 0.4 ,Greenish 3.6 ,Moisture 5.5 ,Shortage in KG= 0  ,Oil% 40.67</v>
      </c>
      <c r="BP1572" s="318">
        <f t="shared" si="1092"/>
        <v>7964.5416666666661</v>
      </c>
      <c r="BQ1572" s="193"/>
      <c r="BR1572" s="193"/>
      <c r="BS1572" s="193"/>
      <c r="BT1572" s="193"/>
      <c r="BU1572" s="193"/>
      <c r="BV1572" s="193"/>
      <c r="BW1572" s="373"/>
      <c r="BX1572" s="27">
        <v>40.25</v>
      </c>
      <c r="BY1572" s="27">
        <v>40.159999999999997</v>
      </c>
      <c r="CO1572" s="57">
        <f t="shared" si="1070"/>
        <v>0.42000000000000171</v>
      </c>
      <c r="CP1572" s="57">
        <f t="shared" si="1071"/>
        <v>0.51000000000000512</v>
      </c>
    </row>
    <row r="1573" spans="1:94" ht="14.1" hidden="1" customHeight="1" x14ac:dyDescent="0.3">
      <c r="A1573" s="128" t="s">
        <v>3253</v>
      </c>
      <c r="B1573" s="146">
        <v>46230</v>
      </c>
      <c r="C1573" s="282">
        <v>1539</v>
      </c>
      <c r="D1573" s="128" t="s">
        <v>3361</v>
      </c>
      <c r="E1573" s="129">
        <v>46233</v>
      </c>
      <c r="F1573" s="128" t="s">
        <v>1575</v>
      </c>
      <c r="G1573" s="128" t="s">
        <v>1576</v>
      </c>
      <c r="H1573" s="128" t="s">
        <v>103</v>
      </c>
      <c r="I1573" s="136"/>
      <c r="J1573" s="138" t="s">
        <v>1146</v>
      </c>
      <c r="K1573" s="136"/>
      <c r="L1573" s="146">
        <v>46230</v>
      </c>
      <c r="M1573" s="136"/>
      <c r="N1573" s="281" t="s">
        <v>3394</v>
      </c>
      <c r="O1573" s="130">
        <v>46233</v>
      </c>
      <c r="P1573" s="138">
        <v>0</v>
      </c>
      <c r="Q1573" s="138">
        <v>160</v>
      </c>
      <c r="R1573" s="138">
        <v>20</v>
      </c>
      <c r="S1573" s="138">
        <v>180</v>
      </c>
      <c r="T1573" s="138">
        <v>180</v>
      </c>
      <c r="U1573" s="136"/>
      <c r="V1573" s="136"/>
      <c r="W1573" s="147">
        <v>90.4</v>
      </c>
      <c r="X1573" s="147">
        <v>90.3</v>
      </c>
      <c r="Y1573" s="147">
        <v>743540</v>
      </c>
      <c r="Z1573" s="236">
        <v>40.67</v>
      </c>
      <c r="AA1573" s="147">
        <v>18588.5</v>
      </c>
      <c r="AB1573" s="147">
        <v>18588.5</v>
      </c>
      <c r="AC1573" s="147">
        <v>780717</v>
      </c>
      <c r="AD1573" s="315">
        <f t="shared" si="1050"/>
        <v>779936.28300000005</v>
      </c>
      <c r="AE1573" s="236">
        <v>40.67</v>
      </c>
      <c r="AF1573" s="147">
        <v>42</v>
      </c>
      <c r="AG1573" s="236">
        <v>40.67</v>
      </c>
      <c r="AH1573" s="287">
        <v>4.1000000000000003E-3</v>
      </c>
      <c r="AI1573" s="287">
        <v>0.04</v>
      </c>
      <c r="AJ1573" s="287">
        <v>5.3999999999999999E-2</v>
      </c>
      <c r="AK1573" s="318">
        <f t="shared" si="1076"/>
        <v>23545.433333333305</v>
      </c>
      <c r="AL1573" s="193">
        <v>0</v>
      </c>
      <c r="AM1573" s="319">
        <v>0</v>
      </c>
      <c r="AN1573" s="319">
        <v>0</v>
      </c>
      <c r="AO1573" s="320">
        <f t="shared" si="1077"/>
        <v>0</v>
      </c>
      <c r="AP1573" s="193">
        <v>0</v>
      </c>
      <c r="AQ1573" s="318">
        <v>0</v>
      </c>
      <c r="AR1573" s="318">
        <f t="shared" si="1078"/>
        <v>23545.433333333305</v>
      </c>
      <c r="AS1573" s="318">
        <f t="shared" si="1079"/>
        <v>24723</v>
      </c>
      <c r="AT1573" s="321">
        <v>0</v>
      </c>
      <c r="AU1573" s="193"/>
      <c r="AV1573" s="193"/>
      <c r="AW1573" s="318">
        <f t="shared" si="1080"/>
        <v>9040</v>
      </c>
      <c r="AX1573" s="193"/>
      <c r="AY1573" s="318">
        <f t="shared" si="1081"/>
        <v>9040</v>
      </c>
      <c r="AZ1573" s="318">
        <f t="shared" si="1082"/>
        <v>9030</v>
      </c>
      <c r="BA1573" s="318">
        <f t="shared" si="1083"/>
        <v>10</v>
      </c>
      <c r="BB1573" s="318">
        <f t="shared" si="1084"/>
        <v>18.079999999999998</v>
      </c>
      <c r="BC1573" s="318">
        <v>0</v>
      </c>
      <c r="BD1573" s="193"/>
      <c r="BE1573" s="138">
        <v>90.4</v>
      </c>
      <c r="BF1573" s="321">
        <f t="shared" si="1085"/>
        <v>0.1356</v>
      </c>
      <c r="BG1573" s="321">
        <f t="shared" si="1086"/>
        <v>90.264400000000009</v>
      </c>
      <c r="BH1573" s="321">
        <f t="shared" si="1087"/>
        <v>90.3</v>
      </c>
      <c r="BI1573" s="322">
        <f t="shared" si="1088"/>
        <v>10.000000000000853</v>
      </c>
      <c r="BJ1573" s="322">
        <v>0</v>
      </c>
      <c r="BK1573" s="318">
        <f t="shared" si="1089"/>
        <v>10.000000000000853</v>
      </c>
      <c r="BL1573" s="193"/>
      <c r="BM1573" s="449" t="str">
        <f t="shared" si="1090"/>
        <v>Unloading no. 1539 Bill No 2026-27/00150 ,Deduction For Oil Deduction= 23545.4333333333 ,Bardana= 0 ,F.M= 0 Brokerage/Rate Difference 0 ,Shortage = 0 ,Greenish= 0 ,Moisture= 0</v>
      </c>
      <c r="BN1573" s="193"/>
      <c r="BO1573" s="449" t="str">
        <f t="shared" si="1091"/>
        <v xml:space="preserve"> Party Condition 42  ,F.M% 0.41 ,Greenish 4 ,Moisture 5.4 ,Shortage in KG= 0  ,Oil% 40.67</v>
      </c>
      <c r="BP1573" s="318">
        <f t="shared" si="1092"/>
        <v>7973.3617571059431</v>
      </c>
      <c r="BQ1573" s="193"/>
      <c r="BR1573" s="193"/>
      <c r="BS1573" s="193"/>
      <c r="BT1573" s="193"/>
      <c r="BU1573" s="193"/>
      <c r="BV1573" s="193"/>
      <c r="BW1573" s="373"/>
      <c r="BX1573" s="27">
        <v>40.56</v>
      </c>
      <c r="BY1573" s="27">
        <v>40.47</v>
      </c>
      <c r="CO1573" s="57">
        <f t="shared" si="1070"/>
        <v>0.10999999999999943</v>
      </c>
      <c r="CP1573" s="57">
        <f t="shared" si="1071"/>
        <v>0.20000000000000284</v>
      </c>
    </row>
    <row r="1574" spans="1:94" ht="14.1" hidden="1" customHeight="1" x14ac:dyDescent="0.3">
      <c r="A1574" s="128" t="s">
        <v>3253</v>
      </c>
      <c r="B1574" s="146">
        <v>46230</v>
      </c>
      <c r="C1574" s="282">
        <v>1540</v>
      </c>
      <c r="D1574" s="128" t="s">
        <v>3362</v>
      </c>
      <c r="E1574" s="129">
        <v>46233</v>
      </c>
      <c r="F1574" s="128" t="s">
        <v>1575</v>
      </c>
      <c r="G1574" s="128" t="s">
        <v>1576</v>
      </c>
      <c r="H1574" s="128" t="s">
        <v>103</v>
      </c>
      <c r="I1574" s="136"/>
      <c r="J1574" s="138" t="s">
        <v>1146</v>
      </c>
      <c r="K1574" s="136"/>
      <c r="L1574" s="146">
        <v>46230</v>
      </c>
      <c r="M1574" s="136"/>
      <c r="N1574" s="281" t="s">
        <v>3395</v>
      </c>
      <c r="O1574" s="130">
        <v>46233</v>
      </c>
      <c r="P1574" s="138">
        <v>0</v>
      </c>
      <c r="Q1574" s="138">
        <v>150</v>
      </c>
      <c r="R1574" s="138">
        <v>30</v>
      </c>
      <c r="S1574" s="138">
        <v>180</v>
      </c>
      <c r="T1574" s="138">
        <v>180</v>
      </c>
      <c r="U1574" s="136"/>
      <c r="V1574" s="136"/>
      <c r="W1574" s="147">
        <v>91.2</v>
      </c>
      <c r="X1574" s="147">
        <v>91.1</v>
      </c>
      <c r="Y1574" s="147">
        <v>750120</v>
      </c>
      <c r="Z1574" s="236">
        <v>40.42</v>
      </c>
      <c r="AA1574" s="147">
        <v>18753</v>
      </c>
      <c r="AB1574" s="147">
        <v>18753</v>
      </c>
      <c r="AC1574" s="147">
        <v>787626</v>
      </c>
      <c r="AD1574" s="315">
        <f t="shared" si="1050"/>
        <v>786838.37399999995</v>
      </c>
      <c r="AE1574" s="236">
        <v>40.42</v>
      </c>
      <c r="AF1574" s="147">
        <v>42</v>
      </c>
      <c r="AG1574" s="236">
        <v>40.42</v>
      </c>
      <c r="AH1574" s="287">
        <v>3.0000000000000001E-3</v>
      </c>
      <c r="AI1574" s="287">
        <v>0.04</v>
      </c>
      <c r="AJ1574" s="287">
        <v>5.7000000000000002E-2</v>
      </c>
      <c r="AK1574" s="318">
        <f t="shared" si="1076"/>
        <v>28218.79999999997</v>
      </c>
      <c r="AL1574" s="193">
        <v>0</v>
      </c>
      <c r="AM1574" s="319">
        <v>0</v>
      </c>
      <c r="AN1574" s="319">
        <v>0</v>
      </c>
      <c r="AO1574" s="320">
        <f t="shared" si="1077"/>
        <v>0</v>
      </c>
      <c r="AP1574" s="193">
        <v>0</v>
      </c>
      <c r="AQ1574" s="318">
        <v>0</v>
      </c>
      <c r="AR1574" s="318">
        <f t="shared" si="1078"/>
        <v>28218.79999999997</v>
      </c>
      <c r="AS1574" s="318">
        <f t="shared" si="1079"/>
        <v>29630</v>
      </c>
      <c r="AT1574" s="321">
        <v>0</v>
      </c>
      <c r="AU1574" s="193"/>
      <c r="AV1574" s="193"/>
      <c r="AW1574" s="318">
        <f t="shared" si="1080"/>
        <v>9120</v>
      </c>
      <c r="AX1574" s="193"/>
      <c r="AY1574" s="318">
        <f t="shared" si="1081"/>
        <v>9120</v>
      </c>
      <c r="AZ1574" s="318">
        <f t="shared" si="1082"/>
        <v>9110</v>
      </c>
      <c r="BA1574" s="318">
        <f t="shared" si="1083"/>
        <v>10</v>
      </c>
      <c r="BB1574" s="318">
        <f t="shared" si="1084"/>
        <v>18.239999999999998</v>
      </c>
      <c r="BC1574" s="318">
        <v>0</v>
      </c>
      <c r="BD1574" s="193"/>
      <c r="BE1574" s="138">
        <v>91.2</v>
      </c>
      <c r="BF1574" s="321">
        <f t="shared" si="1085"/>
        <v>0.1368</v>
      </c>
      <c r="BG1574" s="321">
        <f t="shared" si="1086"/>
        <v>91.063200000000009</v>
      </c>
      <c r="BH1574" s="321">
        <f t="shared" si="1087"/>
        <v>91.1</v>
      </c>
      <c r="BI1574" s="322">
        <f t="shared" si="1088"/>
        <v>10.000000000000853</v>
      </c>
      <c r="BJ1574" s="322">
        <v>0</v>
      </c>
      <c r="BK1574" s="318">
        <f t="shared" si="1089"/>
        <v>10.000000000000853</v>
      </c>
      <c r="BL1574" s="193"/>
      <c r="BM1574" s="449" t="str">
        <f t="shared" si="1090"/>
        <v>Unloading no. 1540 Bill No 2026-27/00151 ,Deduction For Oil Deduction= 28218.8 ,Bardana= 0 ,F.M= 0 Brokerage/Rate Difference 0 ,Shortage = 0 ,Greenish= 0 ,Moisture= 0</v>
      </c>
      <c r="BN1574" s="193"/>
      <c r="BO1574" s="449" t="str">
        <f t="shared" si="1091"/>
        <v xml:space="preserve"> Party Condition 42  ,F.M% 0.3 ,Greenish 4 ,Moisture 5.7 ,Shortage in KG= 0  ,Oil% 40.42</v>
      </c>
      <c r="BP1574" s="318">
        <f t="shared" si="1092"/>
        <v>7924.2722283205285</v>
      </c>
      <c r="BQ1574" s="193"/>
      <c r="BR1574" s="193"/>
      <c r="BS1574" s="193"/>
      <c r="BT1574" s="193"/>
      <c r="BU1574" s="193"/>
      <c r="BV1574" s="193"/>
      <c r="BW1574" s="373"/>
      <c r="BX1574" s="27">
        <v>40.18</v>
      </c>
      <c r="BY1574" s="27">
        <v>40.06</v>
      </c>
      <c r="CO1574" s="57">
        <f t="shared" si="1070"/>
        <v>0.24000000000000199</v>
      </c>
      <c r="CP1574" s="57">
        <f t="shared" si="1071"/>
        <v>0.35999999999999943</v>
      </c>
    </row>
    <row r="1575" spans="1:94" ht="14.1" hidden="1" customHeight="1" x14ac:dyDescent="0.3">
      <c r="A1575" s="128" t="s">
        <v>3253</v>
      </c>
      <c r="B1575" s="146">
        <v>46230</v>
      </c>
      <c r="C1575" s="282">
        <v>1541</v>
      </c>
      <c r="D1575" s="128" t="s">
        <v>3363</v>
      </c>
      <c r="E1575" s="129">
        <v>46233</v>
      </c>
      <c r="F1575" s="128" t="s">
        <v>1575</v>
      </c>
      <c r="G1575" s="128" t="s">
        <v>1576</v>
      </c>
      <c r="H1575" s="128" t="s">
        <v>103</v>
      </c>
      <c r="I1575" s="136"/>
      <c r="J1575" s="138" t="s">
        <v>1146</v>
      </c>
      <c r="K1575" s="136"/>
      <c r="L1575" s="146">
        <v>46230</v>
      </c>
      <c r="M1575" s="136"/>
      <c r="N1575" s="281" t="s">
        <v>3396</v>
      </c>
      <c r="O1575" s="130">
        <v>46233</v>
      </c>
      <c r="P1575" s="138">
        <v>0</v>
      </c>
      <c r="Q1575" s="138">
        <v>160</v>
      </c>
      <c r="R1575" s="138">
        <v>30</v>
      </c>
      <c r="S1575" s="138">
        <v>190</v>
      </c>
      <c r="T1575" s="138">
        <v>190</v>
      </c>
      <c r="U1575" s="136"/>
      <c r="V1575" s="136"/>
      <c r="W1575" s="147">
        <v>95.3</v>
      </c>
      <c r="X1575" s="147">
        <v>95.2</v>
      </c>
      <c r="Y1575" s="147">
        <v>783842.5</v>
      </c>
      <c r="Z1575" s="236">
        <v>39.9</v>
      </c>
      <c r="AA1575" s="147">
        <v>19596.060000000001</v>
      </c>
      <c r="AB1575" s="147">
        <v>19596.060000000001</v>
      </c>
      <c r="AC1575" s="147">
        <v>823034.63</v>
      </c>
      <c r="AD1575" s="315">
        <f t="shared" si="1050"/>
        <v>822211.59537</v>
      </c>
      <c r="AE1575" s="236">
        <v>39.9</v>
      </c>
      <c r="AF1575" s="147">
        <v>42</v>
      </c>
      <c r="AG1575" s="236">
        <v>39.9</v>
      </c>
      <c r="AH1575" s="287">
        <v>2.8E-3</v>
      </c>
      <c r="AI1575" s="287">
        <v>3.7499999999999999E-2</v>
      </c>
      <c r="AJ1575" s="287">
        <v>5.5E-2</v>
      </c>
      <c r="AK1575" s="318">
        <f t="shared" si="1076"/>
        <v>39192.125000000022</v>
      </c>
      <c r="AL1575" s="193">
        <v>0</v>
      </c>
      <c r="AM1575" s="319">
        <v>0</v>
      </c>
      <c r="AN1575" s="319">
        <v>0</v>
      </c>
      <c r="AO1575" s="320">
        <f t="shared" si="1077"/>
        <v>0</v>
      </c>
      <c r="AP1575" s="193">
        <v>0</v>
      </c>
      <c r="AQ1575" s="318">
        <v>0</v>
      </c>
      <c r="AR1575" s="318">
        <f t="shared" si="1078"/>
        <v>39192.125000000022</v>
      </c>
      <c r="AS1575" s="318">
        <f t="shared" si="1079"/>
        <v>41152</v>
      </c>
      <c r="AT1575" s="321">
        <v>0</v>
      </c>
      <c r="AU1575" s="193"/>
      <c r="AV1575" s="193"/>
      <c r="AW1575" s="318">
        <f t="shared" si="1080"/>
        <v>9530</v>
      </c>
      <c r="AX1575" s="193"/>
      <c r="AY1575" s="318">
        <f t="shared" si="1081"/>
        <v>9530</v>
      </c>
      <c r="AZ1575" s="318">
        <f t="shared" si="1082"/>
        <v>9520</v>
      </c>
      <c r="BA1575" s="318">
        <f t="shared" si="1083"/>
        <v>10</v>
      </c>
      <c r="BB1575" s="318">
        <f t="shared" si="1084"/>
        <v>19.059999999999999</v>
      </c>
      <c r="BC1575" s="318">
        <v>0</v>
      </c>
      <c r="BD1575" s="193"/>
      <c r="BE1575" s="138">
        <v>95.3</v>
      </c>
      <c r="BF1575" s="321">
        <f t="shared" si="1085"/>
        <v>0.14294999999999999</v>
      </c>
      <c r="BG1575" s="321">
        <f t="shared" si="1086"/>
        <v>95.157049999999998</v>
      </c>
      <c r="BH1575" s="321">
        <f t="shared" si="1087"/>
        <v>95.2</v>
      </c>
      <c r="BI1575" s="322">
        <f t="shared" si="1088"/>
        <v>9.9999999999994316</v>
      </c>
      <c r="BJ1575" s="322">
        <v>0</v>
      </c>
      <c r="BK1575" s="318">
        <f t="shared" si="1089"/>
        <v>9.9999999999994316</v>
      </c>
      <c r="BL1575" s="193"/>
      <c r="BM1575" s="449" t="str">
        <f t="shared" si="1090"/>
        <v>Unloading no. 1541 Bill No 2026-27/00152 ,Deduction For Oil Deduction= 39192.125 ,Bardana= 0 ,F.M= 0 Brokerage/Rate Difference 0 ,Shortage = 0 ,Greenish= 0 ,Moisture= 0</v>
      </c>
      <c r="BN1575" s="193"/>
      <c r="BO1575" s="449" t="str">
        <f t="shared" si="1091"/>
        <v xml:space="preserve"> Party Condition 42  ,F.M% 0.28 ,Greenish 3.75 ,Moisture 5.5 ,Shortage in KG= 0  ,Oil% 39.9</v>
      </c>
      <c r="BP1575" s="318">
        <f t="shared" si="1092"/>
        <v>7821.9577205882351</v>
      </c>
      <c r="BQ1575" s="193"/>
      <c r="BR1575" s="193"/>
      <c r="BS1575" s="193"/>
      <c r="BT1575" s="193"/>
      <c r="BU1575" s="193"/>
      <c r="BV1575" s="193"/>
      <c r="BW1575" s="373"/>
      <c r="BX1575" s="27">
        <v>39.79</v>
      </c>
      <c r="BY1575" s="27">
        <v>39.61</v>
      </c>
      <c r="CO1575" s="57">
        <f t="shared" si="1070"/>
        <v>0.10999999999999943</v>
      </c>
      <c r="CP1575" s="57">
        <f t="shared" si="1071"/>
        <v>0.28999999999999915</v>
      </c>
    </row>
    <row r="1576" spans="1:94" ht="14.1" hidden="1" customHeight="1" x14ac:dyDescent="0.3">
      <c r="A1576" s="128" t="s">
        <v>3253</v>
      </c>
      <c r="B1576" s="146">
        <v>46230</v>
      </c>
      <c r="C1576" s="282">
        <v>1542</v>
      </c>
      <c r="D1576" s="128" t="s">
        <v>3364</v>
      </c>
      <c r="E1576" s="129">
        <v>46233</v>
      </c>
      <c r="F1576" s="128" t="s">
        <v>1575</v>
      </c>
      <c r="G1576" s="128" t="s">
        <v>1576</v>
      </c>
      <c r="H1576" s="128" t="s">
        <v>103</v>
      </c>
      <c r="I1576" s="136"/>
      <c r="J1576" s="138" t="s">
        <v>1146</v>
      </c>
      <c r="K1576" s="136"/>
      <c r="L1576" s="146">
        <v>46230</v>
      </c>
      <c r="M1576" s="136"/>
      <c r="N1576" s="281" t="s">
        <v>3397</v>
      </c>
      <c r="O1576" s="130">
        <v>46233</v>
      </c>
      <c r="P1576" s="138">
        <v>0</v>
      </c>
      <c r="Q1576" s="138">
        <v>150</v>
      </c>
      <c r="R1576" s="138">
        <v>45</v>
      </c>
      <c r="S1576" s="138">
        <v>195</v>
      </c>
      <c r="T1576" s="138">
        <v>195</v>
      </c>
      <c r="U1576" s="136"/>
      <c r="V1576" s="136"/>
      <c r="W1576" s="147">
        <v>98.9</v>
      </c>
      <c r="X1576" s="147">
        <v>98.9</v>
      </c>
      <c r="Y1576" s="147">
        <v>813452.5</v>
      </c>
      <c r="Z1576" s="236">
        <v>39.950000000000003</v>
      </c>
      <c r="AA1576" s="147">
        <v>20336.310000000001</v>
      </c>
      <c r="AB1576" s="147">
        <v>20336.310000000001</v>
      </c>
      <c r="AC1576" s="147">
        <v>854125.13</v>
      </c>
      <c r="AD1576" s="315">
        <f t="shared" ref="AD1576:AD1591" si="1095">SUM(AC1576-AC1576*0.1%)</f>
        <v>853271.00487000006</v>
      </c>
      <c r="AE1576" s="236">
        <v>39.950000000000003</v>
      </c>
      <c r="AF1576" s="147">
        <v>42</v>
      </c>
      <c r="AG1576" s="236">
        <v>39.950000000000003</v>
      </c>
      <c r="AH1576" s="287">
        <v>2.8E-3</v>
      </c>
      <c r="AI1576" s="287">
        <v>4.5499999999999999E-2</v>
      </c>
      <c r="AJ1576" s="287">
        <v>4.0000000000000001E-3</v>
      </c>
      <c r="AK1576" s="318">
        <f t="shared" si="1076"/>
        <v>39704.229166666613</v>
      </c>
      <c r="AL1576" s="193">
        <v>0</v>
      </c>
      <c r="AM1576" s="319">
        <v>0</v>
      </c>
      <c r="AN1576" s="319">
        <v>0</v>
      </c>
      <c r="AO1576" s="320">
        <f t="shared" si="1077"/>
        <v>0</v>
      </c>
      <c r="AP1576" s="193">
        <v>0</v>
      </c>
      <c r="AQ1576" s="318">
        <v>0</v>
      </c>
      <c r="AR1576" s="318">
        <f t="shared" si="1078"/>
        <v>39704.229166666613</v>
      </c>
      <c r="AS1576" s="318">
        <f t="shared" si="1079"/>
        <v>41689</v>
      </c>
      <c r="AT1576" s="321">
        <v>0</v>
      </c>
      <c r="AU1576" s="193"/>
      <c r="AV1576" s="193"/>
      <c r="AW1576" s="318">
        <f t="shared" si="1080"/>
        <v>9890</v>
      </c>
      <c r="AX1576" s="193"/>
      <c r="AY1576" s="318">
        <f t="shared" si="1081"/>
        <v>9890</v>
      </c>
      <c r="AZ1576" s="318">
        <f t="shared" si="1082"/>
        <v>9890</v>
      </c>
      <c r="BA1576" s="318">
        <f t="shared" si="1083"/>
        <v>0</v>
      </c>
      <c r="BB1576" s="318">
        <f t="shared" si="1084"/>
        <v>19.78</v>
      </c>
      <c r="BC1576" s="318">
        <v>0</v>
      </c>
      <c r="BD1576" s="193"/>
      <c r="BE1576" s="138">
        <v>98.9</v>
      </c>
      <c r="BF1576" s="321">
        <f t="shared" si="1085"/>
        <v>0.14835000000000001</v>
      </c>
      <c r="BG1576" s="321">
        <f t="shared" si="1086"/>
        <v>98.751650000000012</v>
      </c>
      <c r="BH1576" s="321">
        <f t="shared" si="1087"/>
        <v>98.9</v>
      </c>
      <c r="BI1576" s="322">
        <f t="shared" si="1088"/>
        <v>0</v>
      </c>
      <c r="BJ1576" s="322">
        <v>0</v>
      </c>
      <c r="BK1576" s="318">
        <f t="shared" si="1089"/>
        <v>0</v>
      </c>
      <c r="BL1576" s="193"/>
      <c r="BM1576" s="449" t="str">
        <f t="shared" si="1090"/>
        <v>Unloading no. 1542 Bill No 2026-27/00153 ,Deduction For Oil Deduction= 39704.2291666666 ,Bardana= 0 ,F.M= 0 Brokerage/Rate Difference 0 ,Shortage = 0 ,Greenish= 0 ,Moisture= 0</v>
      </c>
      <c r="BN1576" s="193"/>
      <c r="BO1576" s="449" t="str">
        <f t="shared" si="1091"/>
        <v xml:space="preserve"> Party Condition 42  ,F.M% 0.28 ,Greenish 4.55 ,Moisture 0.4 ,Shortage in KG= 0  ,Oil% 39.95</v>
      </c>
      <c r="BP1576" s="318">
        <f t="shared" si="1092"/>
        <v>7823.541666666667</v>
      </c>
      <c r="BQ1576" s="193"/>
      <c r="BR1576" s="193"/>
      <c r="BS1576" s="193"/>
      <c r="BT1576" s="193"/>
      <c r="BU1576" s="193"/>
      <c r="BV1576" s="193"/>
      <c r="BW1576" s="373"/>
      <c r="BX1576" s="27">
        <v>39.69</v>
      </c>
      <c r="BY1576" s="27">
        <v>39.61</v>
      </c>
      <c r="CO1576" s="57">
        <f t="shared" si="1070"/>
        <v>0.26000000000000512</v>
      </c>
      <c r="CP1576" s="57">
        <f t="shared" si="1071"/>
        <v>0.34000000000000341</v>
      </c>
    </row>
    <row r="1577" spans="1:94" ht="14.1" hidden="1" customHeight="1" x14ac:dyDescent="0.3">
      <c r="A1577" s="128" t="s">
        <v>3247</v>
      </c>
      <c r="B1577" s="146">
        <v>46228</v>
      </c>
      <c r="C1577" s="282">
        <v>1543</v>
      </c>
      <c r="D1577" s="128" t="s">
        <v>3365</v>
      </c>
      <c r="E1577" s="129">
        <v>46233</v>
      </c>
      <c r="F1577" s="128" t="s">
        <v>1144</v>
      </c>
      <c r="G1577" s="128" t="s">
        <v>1145</v>
      </c>
      <c r="H1577" s="128" t="s">
        <v>100</v>
      </c>
      <c r="I1577" s="136"/>
      <c r="J1577" s="138" t="s">
        <v>1146</v>
      </c>
      <c r="K1577" s="136"/>
      <c r="L1577" s="146">
        <v>46228</v>
      </c>
      <c r="M1577" s="136"/>
      <c r="N1577" s="281" t="s">
        <v>3398</v>
      </c>
      <c r="O1577" s="130">
        <v>46231</v>
      </c>
      <c r="P1577" s="138">
        <v>0</v>
      </c>
      <c r="Q1577" s="138">
        <v>500</v>
      </c>
      <c r="R1577" s="138">
        <v>100</v>
      </c>
      <c r="S1577" s="138">
        <v>600</v>
      </c>
      <c r="T1577" s="138">
        <v>600</v>
      </c>
      <c r="U1577" s="136"/>
      <c r="V1577" s="136"/>
      <c r="W1577" s="147">
        <v>306.10000000000002</v>
      </c>
      <c r="X1577" s="147">
        <v>305.7</v>
      </c>
      <c r="Y1577" s="147">
        <v>2548282.5</v>
      </c>
      <c r="Z1577" s="236">
        <v>39.42</v>
      </c>
      <c r="AA1577" s="147">
        <v>63707.06</v>
      </c>
      <c r="AB1577" s="147">
        <v>63707.06</v>
      </c>
      <c r="AC1577" s="147">
        <v>2675696.63</v>
      </c>
      <c r="AD1577" s="315">
        <f t="shared" si="1095"/>
        <v>2673020.9333699998</v>
      </c>
      <c r="AE1577" s="236">
        <v>39.42</v>
      </c>
      <c r="AF1577" s="147">
        <v>42</v>
      </c>
      <c r="AG1577" s="236">
        <v>39.42</v>
      </c>
      <c r="AH1577" s="287">
        <v>6.6E-3</v>
      </c>
      <c r="AI1577" s="287">
        <v>3.9E-2</v>
      </c>
      <c r="AJ1577" s="287">
        <v>5.1999999999999998E-2</v>
      </c>
      <c r="AK1577" s="318">
        <f t="shared" si="1076"/>
        <v>156537.35357142848</v>
      </c>
      <c r="AL1577" s="193">
        <v>0</v>
      </c>
      <c r="AM1577" s="319">
        <v>0</v>
      </c>
      <c r="AN1577" s="319">
        <v>0</v>
      </c>
      <c r="AO1577" s="320">
        <f t="shared" si="1077"/>
        <v>0</v>
      </c>
      <c r="AP1577" s="193">
        <v>0</v>
      </c>
      <c r="AQ1577" s="318">
        <v>0</v>
      </c>
      <c r="AR1577" s="318">
        <f t="shared" si="1078"/>
        <v>156537.35357142848</v>
      </c>
      <c r="AS1577" s="318">
        <f t="shared" si="1079"/>
        <v>164364</v>
      </c>
      <c r="AT1577" s="321">
        <v>0</v>
      </c>
      <c r="AU1577" s="193"/>
      <c r="AV1577" s="193"/>
      <c r="AW1577" s="318">
        <f t="shared" si="1080"/>
        <v>30610.000000000004</v>
      </c>
      <c r="AX1577" s="193"/>
      <c r="AY1577" s="318">
        <f t="shared" si="1081"/>
        <v>30610.000000000004</v>
      </c>
      <c r="AZ1577" s="318">
        <f t="shared" si="1082"/>
        <v>30570</v>
      </c>
      <c r="BA1577" s="318">
        <f t="shared" si="1083"/>
        <v>40.000000000003638</v>
      </c>
      <c r="BB1577" s="318">
        <f t="shared" si="1084"/>
        <v>61.220000000000006</v>
      </c>
      <c r="BC1577" s="318">
        <v>0</v>
      </c>
      <c r="BD1577" s="193"/>
      <c r="BE1577" s="138">
        <v>306.10000000000002</v>
      </c>
      <c r="BF1577" s="321">
        <f t="shared" si="1085"/>
        <v>0.45915</v>
      </c>
      <c r="BG1577" s="321">
        <f t="shared" si="1086"/>
        <v>305.64085</v>
      </c>
      <c r="BH1577" s="321">
        <f t="shared" si="1087"/>
        <v>305.7</v>
      </c>
      <c r="BI1577" s="322">
        <f t="shared" si="1088"/>
        <v>40.000000000003411</v>
      </c>
      <c r="BJ1577" s="322">
        <v>0</v>
      </c>
      <c r="BK1577" s="318">
        <f t="shared" si="1089"/>
        <v>40.000000000003411</v>
      </c>
      <c r="BL1577" s="193"/>
      <c r="BM1577" s="449" t="str">
        <f t="shared" si="1090"/>
        <v>Unloading no. 1543 Bill No 2026-27/530 ,Deduction For Oil Deduction= 156537.353571428 ,Bardana= 0 ,F.M= 0 Brokerage/Rate Difference 0 ,Shortage = 0 ,Greenish= 0 ,Moisture= 0</v>
      </c>
      <c r="BN1577" s="193"/>
      <c r="BO1577" s="449" t="str">
        <f t="shared" si="1091"/>
        <v xml:space="preserve"> Party Condition 42  ,F.M% 0.66 ,Greenish 3.9 ,Moisture 5.2 ,Shortage in KG= 0  ,Oil% 39.42</v>
      </c>
      <c r="BP1577" s="318">
        <f t="shared" si="1092"/>
        <v>7823.8310318239173</v>
      </c>
      <c r="BQ1577" s="193"/>
      <c r="BR1577" s="193"/>
      <c r="BS1577" s="193"/>
      <c r="BT1577" s="193"/>
      <c r="BU1577" s="193"/>
      <c r="BV1577" s="193"/>
      <c r="BW1577" s="373"/>
      <c r="BX1577" s="27">
        <v>37.33</v>
      </c>
      <c r="BY1577" s="27">
        <v>37.35</v>
      </c>
      <c r="CO1577" s="460">
        <f t="shared" si="1070"/>
        <v>2.0900000000000034</v>
      </c>
      <c r="CP1577" s="460">
        <f t="shared" si="1071"/>
        <v>2.0700000000000003</v>
      </c>
    </row>
    <row r="1578" spans="1:94" ht="14.1" hidden="1" customHeight="1" x14ac:dyDescent="0.3">
      <c r="A1578" s="128" t="s">
        <v>3247</v>
      </c>
      <c r="B1578" s="146">
        <v>46228</v>
      </c>
      <c r="C1578" s="281">
        <v>1544</v>
      </c>
      <c r="D1578" s="128" t="s">
        <v>3366</v>
      </c>
      <c r="E1578" s="129">
        <v>46234</v>
      </c>
      <c r="F1578" s="128" t="s">
        <v>1144</v>
      </c>
      <c r="G1578" s="128" t="s">
        <v>1145</v>
      </c>
      <c r="H1578" s="128" t="s">
        <v>100</v>
      </c>
      <c r="I1578" s="136"/>
      <c r="J1578" s="138" t="s">
        <v>1146</v>
      </c>
      <c r="K1578" s="136"/>
      <c r="L1578" s="146">
        <v>46228</v>
      </c>
      <c r="M1578" s="136"/>
      <c r="N1578" s="281" t="s">
        <v>3399</v>
      </c>
      <c r="O1578" s="130">
        <v>46232</v>
      </c>
      <c r="P1578" s="138">
        <v>0</v>
      </c>
      <c r="Q1578" s="138">
        <v>465</v>
      </c>
      <c r="R1578" s="138">
        <v>135</v>
      </c>
      <c r="S1578" s="138">
        <v>600</v>
      </c>
      <c r="T1578" s="138">
        <v>600</v>
      </c>
      <c r="U1578" s="136"/>
      <c r="V1578" s="136"/>
      <c r="W1578" s="147">
        <v>305.60000000000002</v>
      </c>
      <c r="X1578" s="147">
        <v>305.8</v>
      </c>
      <c r="Y1578" s="147">
        <v>2544120</v>
      </c>
      <c r="Z1578" s="236">
        <v>40.32</v>
      </c>
      <c r="AA1578" s="147">
        <v>63603</v>
      </c>
      <c r="AB1578" s="147">
        <v>63603</v>
      </c>
      <c r="AC1578" s="147">
        <v>2671326</v>
      </c>
      <c r="AD1578" s="315">
        <f t="shared" si="1095"/>
        <v>2668654.6740000001</v>
      </c>
      <c r="AE1578" s="236">
        <v>40.32</v>
      </c>
      <c r="AF1578" s="147">
        <v>42</v>
      </c>
      <c r="AG1578" s="236">
        <v>40.32</v>
      </c>
      <c r="AH1578" s="287">
        <v>6.0000000000000001E-3</v>
      </c>
      <c r="AI1578" s="287">
        <v>3.4000000000000002E-2</v>
      </c>
      <c r="AJ1578" s="287">
        <v>5.6000000000000001E-2</v>
      </c>
      <c r="AK1578" s="318">
        <f t="shared" si="1076"/>
        <v>101764.79999999999</v>
      </c>
      <c r="AL1578" s="193">
        <v>0</v>
      </c>
      <c r="AM1578" s="319">
        <v>0</v>
      </c>
      <c r="AN1578" s="319">
        <v>0</v>
      </c>
      <c r="AO1578" s="320">
        <f t="shared" si="1077"/>
        <v>0</v>
      </c>
      <c r="AP1578" s="193">
        <v>0</v>
      </c>
      <c r="AQ1578" s="318">
        <v>0</v>
      </c>
      <c r="AR1578" s="318">
        <f t="shared" si="1078"/>
        <v>101764.79999999999</v>
      </c>
      <c r="AS1578" s="318">
        <f t="shared" si="1079"/>
        <v>106853</v>
      </c>
      <c r="AT1578" s="321">
        <v>0</v>
      </c>
      <c r="AU1578" s="193"/>
      <c r="AV1578" s="193"/>
      <c r="AW1578" s="318">
        <f t="shared" si="1080"/>
        <v>30560.000000000004</v>
      </c>
      <c r="AX1578" s="193"/>
      <c r="AY1578" s="318">
        <f t="shared" si="1081"/>
        <v>30560.000000000004</v>
      </c>
      <c r="AZ1578" s="318">
        <f t="shared" si="1082"/>
        <v>30580</v>
      </c>
      <c r="BA1578" s="318">
        <f t="shared" si="1083"/>
        <v>-19.999999999996362</v>
      </c>
      <c r="BB1578" s="318">
        <f t="shared" si="1084"/>
        <v>61.120000000000005</v>
      </c>
      <c r="BC1578" s="318">
        <v>0</v>
      </c>
      <c r="BD1578" s="193"/>
      <c r="BE1578" s="138">
        <v>305.60000000000002</v>
      </c>
      <c r="BF1578" s="321">
        <f t="shared" si="1085"/>
        <v>0.45840000000000003</v>
      </c>
      <c r="BG1578" s="321">
        <f t="shared" si="1086"/>
        <v>305.14160000000004</v>
      </c>
      <c r="BH1578" s="321">
        <f t="shared" si="1087"/>
        <v>305.8</v>
      </c>
      <c r="BI1578" s="322">
        <f t="shared" si="1088"/>
        <v>-19.999999999998863</v>
      </c>
      <c r="BJ1578" s="322">
        <v>0</v>
      </c>
      <c r="BK1578" s="318">
        <f t="shared" si="1089"/>
        <v>-19.999999999998863</v>
      </c>
      <c r="BL1578" s="193"/>
      <c r="BM1578" s="449" t="str">
        <f t="shared" si="1090"/>
        <v>Unloading no. 1544 Bill No 2026-27/551 ,Deduction For Oil Deduction= 101764.8 ,Bardana= 0 ,F.M= 0 Brokerage/Rate Difference 0 ,Shortage = 0 ,Greenish= 0 ,Moisture= 0</v>
      </c>
      <c r="BN1578" s="193"/>
      <c r="BO1578" s="449" t="str">
        <f t="shared" si="1091"/>
        <v xml:space="preserve"> Party Condition 42  ,F.M% 0.6 ,Greenish 3.4 ,Moisture 5.6 ,Shortage in KG= 0  ,Oil% 40.32</v>
      </c>
      <c r="BP1578" s="318">
        <f t="shared" si="1092"/>
        <v>7986.7730542838462</v>
      </c>
      <c r="BQ1578" s="193"/>
      <c r="BR1578" s="193"/>
      <c r="BS1578" s="193"/>
      <c r="BT1578" s="193"/>
      <c r="BU1578" s="193"/>
      <c r="BV1578" s="193"/>
      <c r="BW1578" s="373"/>
      <c r="BX1578" s="458">
        <v>37.18</v>
      </c>
      <c r="BY1578" s="27">
        <v>37.1</v>
      </c>
      <c r="CO1578" s="460">
        <f t="shared" ref="CO1578:CO1592" si="1096">Z1578-BX1578</f>
        <v>3.1400000000000006</v>
      </c>
      <c r="CP1578" s="460">
        <f t="shared" ref="CP1578:CP1592" si="1097">Z1578-BY1578</f>
        <v>3.2199999999999989</v>
      </c>
    </row>
    <row r="1579" spans="1:94" ht="14.1" hidden="1" customHeight="1" x14ac:dyDescent="0.3">
      <c r="A1579" s="128" t="s">
        <v>3247</v>
      </c>
      <c r="B1579" s="146">
        <v>46228</v>
      </c>
      <c r="C1579" s="281">
        <v>1545</v>
      </c>
      <c r="D1579" s="128" t="s">
        <v>3367</v>
      </c>
      <c r="E1579" s="129">
        <v>46234</v>
      </c>
      <c r="F1579" s="128" t="s">
        <v>1144</v>
      </c>
      <c r="G1579" s="128" t="s">
        <v>1145</v>
      </c>
      <c r="H1579" s="128" t="s">
        <v>100</v>
      </c>
      <c r="I1579" s="136"/>
      <c r="J1579" s="138" t="s">
        <v>1146</v>
      </c>
      <c r="K1579" s="136"/>
      <c r="L1579" s="146">
        <v>46228</v>
      </c>
      <c r="M1579" s="136"/>
      <c r="N1579" s="281" t="s">
        <v>3400</v>
      </c>
      <c r="O1579" s="130">
        <v>46232</v>
      </c>
      <c r="P1579" s="138">
        <v>0</v>
      </c>
      <c r="Q1579" s="138">
        <v>670</v>
      </c>
      <c r="R1579" s="138">
        <v>20</v>
      </c>
      <c r="S1579" s="138">
        <v>690</v>
      </c>
      <c r="T1579" s="138">
        <v>690</v>
      </c>
      <c r="U1579" s="136"/>
      <c r="V1579" s="136"/>
      <c r="W1579" s="147">
        <v>348.2</v>
      </c>
      <c r="X1579" s="147">
        <v>348</v>
      </c>
      <c r="Y1579" s="147">
        <v>2898765</v>
      </c>
      <c r="Z1579" s="236">
        <v>40.520000000000003</v>
      </c>
      <c r="AA1579" s="147">
        <v>72469.13</v>
      </c>
      <c r="AB1579" s="147">
        <v>72469.13</v>
      </c>
      <c r="AC1579" s="147">
        <v>3043703.25</v>
      </c>
      <c r="AD1579" s="315">
        <f t="shared" si="1095"/>
        <v>3040659.5467500002</v>
      </c>
      <c r="AE1579" s="236">
        <v>40.520000000000003</v>
      </c>
      <c r="AF1579" s="147">
        <v>42</v>
      </c>
      <c r="AG1579" s="236">
        <v>40.520000000000003</v>
      </c>
      <c r="AH1579" s="287">
        <v>4.4999999999999997E-3</v>
      </c>
      <c r="AI1579" s="287">
        <v>3.2000000000000001E-2</v>
      </c>
      <c r="AJ1579" s="287">
        <v>5.1999999999999998E-2</v>
      </c>
      <c r="AK1579" s="318">
        <f t="shared" si="1076"/>
        <v>102146.95714285693</v>
      </c>
      <c r="AL1579" s="193">
        <v>0</v>
      </c>
      <c r="AM1579" s="319">
        <v>0</v>
      </c>
      <c r="AN1579" s="319">
        <v>0</v>
      </c>
      <c r="AO1579" s="320">
        <f t="shared" si="1077"/>
        <v>0</v>
      </c>
      <c r="AP1579" s="193">
        <v>0</v>
      </c>
      <c r="AQ1579" s="318">
        <v>0</v>
      </c>
      <c r="AR1579" s="318">
        <f t="shared" si="1078"/>
        <v>102146.95714285693</v>
      </c>
      <c r="AS1579" s="318">
        <f t="shared" si="1079"/>
        <v>107254</v>
      </c>
      <c r="AT1579" s="321">
        <v>0</v>
      </c>
      <c r="AU1579" s="193"/>
      <c r="AV1579" s="193"/>
      <c r="AW1579" s="318">
        <f t="shared" si="1080"/>
        <v>34820</v>
      </c>
      <c r="AX1579" s="193"/>
      <c r="AY1579" s="318">
        <f t="shared" si="1081"/>
        <v>34820</v>
      </c>
      <c r="AZ1579" s="318">
        <f t="shared" si="1082"/>
        <v>34800</v>
      </c>
      <c r="BA1579" s="318">
        <f t="shared" si="1083"/>
        <v>20</v>
      </c>
      <c r="BB1579" s="318">
        <f t="shared" si="1084"/>
        <v>69.64</v>
      </c>
      <c r="BC1579" s="318">
        <v>0</v>
      </c>
      <c r="BD1579" s="193"/>
      <c r="BE1579" s="138">
        <v>348.2</v>
      </c>
      <c r="BF1579" s="321">
        <f t="shared" si="1085"/>
        <v>0.52229999999999999</v>
      </c>
      <c r="BG1579" s="321">
        <f t="shared" si="1086"/>
        <v>347.67770000000002</v>
      </c>
      <c r="BH1579" s="321">
        <f t="shared" si="1087"/>
        <v>348</v>
      </c>
      <c r="BI1579" s="322">
        <f t="shared" si="1088"/>
        <v>19.999999999998863</v>
      </c>
      <c r="BJ1579" s="322">
        <v>0</v>
      </c>
      <c r="BK1579" s="318">
        <f t="shared" si="1089"/>
        <v>19.999999999998863</v>
      </c>
      <c r="BL1579" s="193"/>
      <c r="BM1579" s="449" t="str">
        <f t="shared" si="1090"/>
        <v>Unloading no. 1545 Bill No 2026-27/552 ,Deduction For Oil Deduction= 102146.957142857 ,Bardana= 0 ,F.M= 0 Brokerage/Rate Difference 0 ,Shortage = 0 ,Greenish= 0 ,Moisture= 0</v>
      </c>
      <c r="BN1579" s="193"/>
      <c r="BO1579" s="449" t="str">
        <f t="shared" si="1091"/>
        <v xml:space="preserve"> Party Condition 42  ,F.M% 0.45 ,Greenish 3.2 ,Moisture 5.2 ,Shortage in KG= 0  ,Oil% 40.52</v>
      </c>
      <c r="BP1579" s="318">
        <f t="shared" si="1092"/>
        <v>8036.2587438423652</v>
      </c>
      <c r="BQ1579" s="193"/>
      <c r="BR1579" s="193"/>
      <c r="BS1579" s="193"/>
      <c r="BT1579" s="193"/>
      <c r="BU1579" s="193"/>
      <c r="BV1579" s="193"/>
      <c r="BW1579" s="373"/>
      <c r="BX1579" s="458">
        <v>39.880000000000003</v>
      </c>
      <c r="BY1579" s="27">
        <v>39.81</v>
      </c>
      <c r="CO1579" s="460">
        <f t="shared" si="1096"/>
        <v>0.64000000000000057</v>
      </c>
      <c r="CP1579" s="460">
        <f t="shared" si="1097"/>
        <v>0.71000000000000085</v>
      </c>
    </row>
    <row r="1580" spans="1:94" ht="14.1" hidden="1" customHeight="1" x14ac:dyDescent="0.3">
      <c r="A1580" s="128" t="s">
        <v>3344</v>
      </c>
      <c r="B1580" s="146">
        <v>46228</v>
      </c>
      <c r="C1580" s="457">
        <v>1546</v>
      </c>
      <c r="D1580" s="128" t="s">
        <v>3368</v>
      </c>
      <c r="E1580" s="129">
        <v>46234</v>
      </c>
      <c r="F1580" s="128" t="s">
        <v>1144</v>
      </c>
      <c r="G1580" s="128" t="s">
        <v>1145</v>
      </c>
      <c r="H1580" s="128" t="s">
        <v>100</v>
      </c>
      <c r="I1580" s="136"/>
      <c r="J1580" s="138" t="s">
        <v>1146</v>
      </c>
      <c r="K1580" s="136"/>
      <c r="L1580" s="146">
        <v>46228</v>
      </c>
      <c r="M1580" s="136"/>
      <c r="N1580" s="281" t="s">
        <v>3401</v>
      </c>
      <c r="O1580" s="130">
        <v>46232</v>
      </c>
      <c r="P1580" s="138">
        <v>0</v>
      </c>
      <c r="Q1580" s="138">
        <v>140</v>
      </c>
      <c r="R1580" s="138">
        <v>160</v>
      </c>
      <c r="S1580" s="138">
        <v>300</v>
      </c>
      <c r="T1580" s="138">
        <v>300</v>
      </c>
      <c r="U1580" s="136"/>
      <c r="V1580" s="136"/>
      <c r="W1580" s="147">
        <v>153</v>
      </c>
      <c r="X1580" s="147">
        <v>153</v>
      </c>
      <c r="Y1580" s="147">
        <v>1269900</v>
      </c>
      <c r="Z1580" s="236">
        <v>40.36</v>
      </c>
      <c r="AA1580" s="147">
        <v>31747.5</v>
      </c>
      <c r="AB1580" s="147">
        <v>31747.5</v>
      </c>
      <c r="AC1580" s="147">
        <v>1333395</v>
      </c>
      <c r="AD1580" s="315">
        <f t="shared" si="1095"/>
        <v>1332061.605</v>
      </c>
      <c r="AE1580" s="236">
        <v>40.36</v>
      </c>
      <c r="AF1580" s="147">
        <v>42</v>
      </c>
      <c r="AG1580" s="236">
        <v>40.36</v>
      </c>
      <c r="AH1580" s="287">
        <v>6.1999999999999998E-3</v>
      </c>
      <c r="AI1580" s="287">
        <v>3.1E-2</v>
      </c>
      <c r="AJ1580" s="287">
        <v>5.1999999999999998E-2</v>
      </c>
      <c r="AK1580" s="318">
        <f t="shared" si="1076"/>
        <v>49586.571428571442</v>
      </c>
      <c r="AL1580" s="193">
        <v>0</v>
      </c>
      <c r="AM1580" s="319">
        <v>0</v>
      </c>
      <c r="AN1580" s="319">
        <v>0</v>
      </c>
      <c r="AO1580" s="320">
        <f t="shared" si="1077"/>
        <v>0</v>
      </c>
      <c r="AP1580" s="193">
        <v>0</v>
      </c>
      <c r="AQ1580" s="318">
        <v>0</v>
      </c>
      <c r="AR1580" s="318">
        <f t="shared" si="1078"/>
        <v>49586.571428571442</v>
      </c>
      <c r="AS1580" s="318">
        <f t="shared" si="1079"/>
        <v>52066</v>
      </c>
      <c r="AT1580" s="321">
        <v>0</v>
      </c>
      <c r="AU1580" s="193"/>
      <c r="AV1580" s="193"/>
      <c r="AW1580" s="318">
        <f t="shared" si="1080"/>
        <v>15300</v>
      </c>
      <c r="AX1580" s="193"/>
      <c r="AY1580" s="318">
        <f t="shared" si="1081"/>
        <v>15300</v>
      </c>
      <c r="AZ1580" s="318">
        <f t="shared" si="1082"/>
        <v>15300</v>
      </c>
      <c r="BA1580" s="318">
        <f t="shared" si="1083"/>
        <v>0</v>
      </c>
      <c r="BB1580" s="318">
        <f t="shared" si="1084"/>
        <v>30.6</v>
      </c>
      <c r="BC1580" s="318">
        <v>0</v>
      </c>
      <c r="BD1580" s="193"/>
      <c r="BE1580" s="138">
        <v>153</v>
      </c>
      <c r="BF1580" s="321">
        <f t="shared" si="1085"/>
        <v>0.22949999999999998</v>
      </c>
      <c r="BG1580" s="321">
        <f t="shared" si="1086"/>
        <v>152.7705</v>
      </c>
      <c r="BH1580" s="321">
        <f t="shared" si="1087"/>
        <v>153</v>
      </c>
      <c r="BI1580" s="322">
        <f t="shared" si="1088"/>
        <v>0</v>
      </c>
      <c r="BJ1580" s="322">
        <v>0</v>
      </c>
      <c r="BK1580" s="318">
        <f t="shared" si="1089"/>
        <v>0</v>
      </c>
      <c r="BL1580" s="193"/>
      <c r="BM1580" s="449" t="str">
        <f t="shared" si="1090"/>
        <v>Unloading no. 1546 Bill No 2026-27/555 ,Deduction For Oil Deduction= 49586.5714285714 ,Bardana= 0 ,F.M= 0 Brokerage/Rate Difference 0 ,Shortage = 0 ,Greenish= 0 ,Moisture= 0</v>
      </c>
      <c r="BN1580" s="193"/>
      <c r="BO1580" s="449" t="str">
        <f t="shared" si="1091"/>
        <v xml:space="preserve"> Party Condition 42  ,F.M% 0.62 ,Greenish 3.1 ,Moisture 5.2 ,Shortage in KG= 0  ,Oil% 40.36</v>
      </c>
      <c r="BP1580" s="318">
        <f t="shared" si="1092"/>
        <v>7975.9047619047624</v>
      </c>
      <c r="BQ1580" s="193"/>
      <c r="BR1580" s="193"/>
      <c r="BS1580" s="193"/>
      <c r="BT1580" s="193"/>
      <c r="BU1580" s="193"/>
      <c r="BV1580" s="193"/>
      <c r="BW1580" s="373"/>
      <c r="BX1580" s="458">
        <v>38.549999999999997</v>
      </c>
      <c r="BY1580" s="27">
        <v>38.5</v>
      </c>
      <c r="CO1580" s="460">
        <f t="shared" si="1096"/>
        <v>1.8100000000000023</v>
      </c>
      <c r="CP1580" s="460">
        <f t="shared" si="1097"/>
        <v>1.8599999999999994</v>
      </c>
    </row>
    <row r="1581" spans="1:94" ht="14.1" hidden="1" customHeight="1" x14ac:dyDescent="0.3">
      <c r="A1581" s="128" t="s">
        <v>3247</v>
      </c>
      <c r="B1581" s="146">
        <v>46228</v>
      </c>
      <c r="C1581" s="457">
        <v>1546</v>
      </c>
      <c r="D1581" s="128" t="s">
        <v>3368</v>
      </c>
      <c r="E1581" s="129">
        <v>46234</v>
      </c>
      <c r="F1581" s="128" t="s">
        <v>1144</v>
      </c>
      <c r="G1581" s="128" t="s">
        <v>1145</v>
      </c>
      <c r="H1581" s="128" t="s">
        <v>100</v>
      </c>
      <c r="I1581" s="136"/>
      <c r="J1581" s="138" t="s">
        <v>1146</v>
      </c>
      <c r="K1581" s="136"/>
      <c r="L1581" s="146">
        <v>46228</v>
      </c>
      <c r="M1581" s="136"/>
      <c r="N1581" s="281" t="s">
        <v>3401</v>
      </c>
      <c r="O1581" s="130">
        <v>46232</v>
      </c>
      <c r="P1581" s="138">
        <v>0</v>
      </c>
      <c r="Q1581" s="138">
        <v>290</v>
      </c>
      <c r="R1581" s="138">
        <v>0</v>
      </c>
      <c r="S1581" s="138">
        <v>290</v>
      </c>
      <c r="T1581" s="138">
        <v>290</v>
      </c>
      <c r="U1581" s="136"/>
      <c r="V1581" s="136"/>
      <c r="W1581" s="147">
        <v>149.4</v>
      </c>
      <c r="X1581" s="147">
        <v>149.4</v>
      </c>
      <c r="Y1581" s="147">
        <v>1243755</v>
      </c>
      <c r="Z1581" s="236">
        <v>40.36</v>
      </c>
      <c r="AA1581" s="147">
        <v>31093.88</v>
      </c>
      <c r="AB1581" s="147">
        <v>31093.88</v>
      </c>
      <c r="AC1581" s="147">
        <v>1305942.75</v>
      </c>
      <c r="AD1581" s="315">
        <f t="shared" si="1095"/>
        <v>1304636.8072500001</v>
      </c>
      <c r="AE1581" s="236">
        <v>40.36</v>
      </c>
      <c r="AF1581" s="147">
        <v>42</v>
      </c>
      <c r="AG1581" s="236">
        <v>40.36</v>
      </c>
      <c r="AH1581" s="287">
        <v>6.1999999999999998E-3</v>
      </c>
      <c r="AI1581" s="287">
        <v>3.1E-2</v>
      </c>
      <c r="AJ1581" s="287">
        <v>5.1999999999999998E-2</v>
      </c>
      <c r="AK1581" s="318">
        <f t="shared" si="1076"/>
        <v>48565.671428571441</v>
      </c>
      <c r="AL1581" s="193">
        <v>0</v>
      </c>
      <c r="AM1581" s="319">
        <v>0</v>
      </c>
      <c r="AN1581" s="319">
        <v>0</v>
      </c>
      <c r="AO1581" s="320">
        <f t="shared" si="1077"/>
        <v>0</v>
      </c>
      <c r="AP1581" s="193">
        <v>0</v>
      </c>
      <c r="AQ1581" s="318">
        <v>0</v>
      </c>
      <c r="AR1581" s="318">
        <f t="shared" si="1078"/>
        <v>48565.671428571441</v>
      </c>
      <c r="AS1581" s="318">
        <f t="shared" si="1079"/>
        <v>50994</v>
      </c>
      <c r="AT1581" s="321">
        <v>0</v>
      </c>
      <c r="AU1581" s="193"/>
      <c r="AV1581" s="193"/>
      <c r="AW1581" s="318">
        <f t="shared" si="1080"/>
        <v>14940</v>
      </c>
      <c r="AX1581" s="193"/>
      <c r="AY1581" s="318">
        <f t="shared" si="1081"/>
        <v>14940</v>
      </c>
      <c r="AZ1581" s="318">
        <f t="shared" si="1082"/>
        <v>14940</v>
      </c>
      <c r="BA1581" s="318">
        <f t="shared" si="1083"/>
        <v>0</v>
      </c>
      <c r="BB1581" s="318">
        <f t="shared" si="1084"/>
        <v>29.88</v>
      </c>
      <c r="BC1581" s="318">
        <v>0</v>
      </c>
      <c r="BD1581" s="193"/>
      <c r="BE1581" s="138">
        <v>149.4</v>
      </c>
      <c r="BF1581" s="321">
        <f t="shared" si="1085"/>
        <v>0.22409999999999999</v>
      </c>
      <c r="BG1581" s="321">
        <f t="shared" si="1086"/>
        <v>149.17590000000001</v>
      </c>
      <c r="BH1581" s="321">
        <f t="shared" si="1087"/>
        <v>149.4</v>
      </c>
      <c r="BI1581" s="322">
        <f t="shared" si="1088"/>
        <v>0</v>
      </c>
      <c r="BJ1581" s="322">
        <v>0</v>
      </c>
      <c r="BK1581" s="318">
        <f t="shared" si="1089"/>
        <v>0</v>
      </c>
      <c r="BL1581" s="193"/>
      <c r="BM1581" s="449" t="str">
        <f t="shared" si="1090"/>
        <v>Unloading no. 1546 Bill No 2026-27/555 ,Deduction For Oil Deduction= 48565.6714285714 ,Bardana= 0 ,F.M= 0 Brokerage/Rate Difference 0 ,Shortage = 0 ,Greenish= 0 ,Moisture= 0</v>
      </c>
      <c r="BN1581" s="193"/>
      <c r="BO1581" s="449" t="str">
        <f t="shared" si="1091"/>
        <v xml:space="preserve"> Party Condition 42  ,F.M% 0.62 ,Greenish 3.1 ,Moisture 5.2 ,Shortage in KG= 0  ,Oil% 40.36</v>
      </c>
      <c r="BP1581" s="318">
        <f t="shared" si="1092"/>
        <v>7999.9285714285706</v>
      </c>
      <c r="BQ1581" s="193"/>
      <c r="BR1581" s="193"/>
      <c r="BS1581" s="193"/>
      <c r="BT1581" s="193"/>
      <c r="BU1581" s="193"/>
      <c r="BV1581" s="193"/>
      <c r="BW1581" s="373"/>
      <c r="BX1581" s="458">
        <v>38.549999999999997</v>
      </c>
      <c r="BY1581" s="27">
        <v>38.5</v>
      </c>
      <c r="CO1581" s="460">
        <f t="shared" si="1096"/>
        <v>1.8100000000000023</v>
      </c>
      <c r="CP1581" s="460">
        <f t="shared" si="1097"/>
        <v>1.8599999999999994</v>
      </c>
    </row>
    <row r="1582" spans="1:94" ht="14.1" hidden="1" customHeight="1" x14ac:dyDescent="0.3">
      <c r="A1582" s="128" t="s">
        <v>3344</v>
      </c>
      <c r="B1582" s="146">
        <v>46228</v>
      </c>
      <c r="C1582" s="281">
        <v>1547</v>
      </c>
      <c r="D1582" s="163" t="s">
        <v>3369</v>
      </c>
      <c r="E1582" s="129">
        <v>46234</v>
      </c>
      <c r="F1582" s="128" t="s">
        <v>1144</v>
      </c>
      <c r="G1582" s="128" t="s">
        <v>1145</v>
      </c>
      <c r="H1582" s="128" t="s">
        <v>100</v>
      </c>
      <c r="I1582" s="136"/>
      <c r="J1582" s="138" t="s">
        <v>1146</v>
      </c>
      <c r="K1582" s="136"/>
      <c r="L1582" s="146">
        <v>46228</v>
      </c>
      <c r="M1582" s="136"/>
      <c r="N1582" s="281" t="s">
        <v>3402</v>
      </c>
      <c r="O1582" s="130">
        <v>46232</v>
      </c>
      <c r="P1582" s="138">
        <v>0</v>
      </c>
      <c r="Q1582" s="138">
        <v>510</v>
      </c>
      <c r="R1582" s="138">
        <v>80</v>
      </c>
      <c r="S1582" s="138">
        <v>590</v>
      </c>
      <c r="T1582" s="138">
        <v>590</v>
      </c>
      <c r="U1582" s="136"/>
      <c r="V1582" s="136"/>
      <c r="W1582" s="147">
        <v>301.39999999999998</v>
      </c>
      <c r="X1582" s="147">
        <v>301.7</v>
      </c>
      <c r="Y1582" s="147">
        <v>2501620</v>
      </c>
      <c r="Z1582" s="236">
        <v>40.14</v>
      </c>
      <c r="AA1582" s="147">
        <v>62540.5</v>
      </c>
      <c r="AB1582" s="147">
        <v>62540.5</v>
      </c>
      <c r="AC1582" s="147">
        <v>2626701</v>
      </c>
      <c r="AD1582" s="315">
        <f t="shared" si="1095"/>
        <v>2624074.2990000001</v>
      </c>
      <c r="AE1582" s="236">
        <v>40.14</v>
      </c>
      <c r="AF1582" s="147">
        <v>42</v>
      </c>
      <c r="AG1582" s="236">
        <v>40.14</v>
      </c>
      <c r="AH1582" s="287">
        <v>6.7999999999999996E-3</v>
      </c>
      <c r="AI1582" s="287">
        <v>3.4000000000000002E-2</v>
      </c>
      <c r="AJ1582" s="287">
        <v>0.05</v>
      </c>
      <c r="AK1582" s="318">
        <f t="shared" si="1076"/>
        <v>110786.02857142854</v>
      </c>
      <c r="AL1582" s="193">
        <v>0</v>
      </c>
      <c r="AM1582" s="319">
        <v>0</v>
      </c>
      <c r="AN1582" s="319">
        <v>0</v>
      </c>
      <c r="AO1582" s="320">
        <f t="shared" si="1077"/>
        <v>0</v>
      </c>
      <c r="AP1582" s="193">
        <v>0</v>
      </c>
      <c r="AQ1582" s="318">
        <v>0</v>
      </c>
      <c r="AR1582" s="318">
        <f t="shared" si="1078"/>
        <v>110786.02857142854</v>
      </c>
      <c r="AS1582" s="318">
        <f t="shared" si="1079"/>
        <v>116325</v>
      </c>
      <c r="AT1582" s="321">
        <v>0</v>
      </c>
      <c r="AU1582" s="193"/>
      <c r="AV1582" s="193"/>
      <c r="AW1582" s="318">
        <f t="shared" si="1080"/>
        <v>30139.999999999996</v>
      </c>
      <c r="AX1582" s="193"/>
      <c r="AY1582" s="318">
        <f t="shared" si="1081"/>
        <v>30139.999999999996</v>
      </c>
      <c r="AZ1582" s="318">
        <f t="shared" si="1082"/>
        <v>30170</v>
      </c>
      <c r="BA1582" s="318">
        <f t="shared" si="1083"/>
        <v>-30.000000000003638</v>
      </c>
      <c r="BB1582" s="318">
        <f t="shared" si="1084"/>
        <v>60.279999999999994</v>
      </c>
      <c r="BC1582" s="318">
        <v>0</v>
      </c>
      <c r="BD1582" s="193"/>
      <c r="BE1582" s="138">
        <v>301.39999999999998</v>
      </c>
      <c r="BF1582" s="321">
        <f t="shared" si="1085"/>
        <v>0.45209999999999995</v>
      </c>
      <c r="BG1582" s="321">
        <f t="shared" si="1086"/>
        <v>300.9479</v>
      </c>
      <c r="BH1582" s="321">
        <f t="shared" si="1087"/>
        <v>301.7</v>
      </c>
      <c r="BI1582" s="322">
        <f t="shared" si="1088"/>
        <v>-30.000000000001137</v>
      </c>
      <c r="BJ1582" s="322">
        <v>0</v>
      </c>
      <c r="BK1582" s="318">
        <f t="shared" si="1089"/>
        <v>-30.000000000001137</v>
      </c>
      <c r="BL1582" s="193"/>
      <c r="BM1582" s="449" t="str">
        <f t="shared" si="1090"/>
        <v>Unloading no. 1547 Bill No 2026-27/558 ,Deduction For Oil Deduction= 110786.028571429 ,Bardana= 0 ,F.M= 0 Brokerage/Rate Difference 0 ,Shortage = 0 ,Greenish= 0 ,Moisture= 0</v>
      </c>
      <c r="BN1582" s="193"/>
      <c r="BO1582" s="449" t="str">
        <f t="shared" si="1091"/>
        <v xml:space="preserve"> Party Condition 42  ,F.M% 0.68 ,Greenish 3.4 ,Moisture 5 ,Shortage in KG= 0  ,Oil% 40.14</v>
      </c>
      <c r="BP1582" s="318">
        <f t="shared" si="1092"/>
        <v>7924.5408400018941</v>
      </c>
      <c r="BQ1582" s="193"/>
      <c r="BR1582" s="193"/>
      <c r="BS1582" s="193"/>
      <c r="BT1582" s="193"/>
      <c r="BU1582" s="193"/>
      <c r="BV1582" s="193"/>
      <c r="BW1582" s="373"/>
      <c r="BX1582" s="458">
        <v>37.770000000000003</v>
      </c>
      <c r="BY1582" s="27">
        <v>37.71</v>
      </c>
      <c r="CO1582" s="460">
        <f t="shared" si="1096"/>
        <v>2.3699999999999974</v>
      </c>
      <c r="CP1582" s="460">
        <f t="shared" si="1097"/>
        <v>2.4299999999999997</v>
      </c>
    </row>
    <row r="1583" spans="1:94" ht="14.1" hidden="1" customHeight="1" x14ac:dyDescent="0.3">
      <c r="A1583" s="128" t="s">
        <v>3344</v>
      </c>
      <c r="B1583" s="146">
        <v>46228</v>
      </c>
      <c r="C1583" s="281">
        <v>1548</v>
      </c>
      <c r="D1583" s="128" t="s">
        <v>3370</v>
      </c>
      <c r="E1583" s="129">
        <v>46234</v>
      </c>
      <c r="F1583" s="128" t="s">
        <v>1144</v>
      </c>
      <c r="G1583" s="128" t="s">
        <v>1145</v>
      </c>
      <c r="H1583" s="128" t="s">
        <v>100</v>
      </c>
      <c r="I1583" s="136"/>
      <c r="J1583" s="138" t="s">
        <v>1146</v>
      </c>
      <c r="K1583" s="136"/>
      <c r="L1583" s="146">
        <v>46228</v>
      </c>
      <c r="M1583" s="136"/>
      <c r="N1583" s="281" t="s">
        <v>3403</v>
      </c>
      <c r="O1583" s="130">
        <v>46232</v>
      </c>
      <c r="P1583" s="138">
        <v>0</v>
      </c>
      <c r="Q1583" s="138">
        <v>550</v>
      </c>
      <c r="R1583" s="138">
        <v>50</v>
      </c>
      <c r="S1583" s="138">
        <v>600</v>
      </c>
      <c r="T1583" s="138">
        <v>600</v>
      </c>
      <c r="U1583" s="136"/>
      <c r="V1583" s="136"/>
      <c r="W1583" s="147">
        <v>304.5</v>
      </c>
      <c r="X1583" s="147">
        <v>303.89999999999998</v>
      </c>
      <c r="Y1583" s="147">
        <v>2527350</v>
      </c>
      <c r="Z1583" s="236">
        <v>40.89</v>
      </c>
      <c r="AA1583" s="147">
        <v>63183.75</v>
      </c>
      <c r="AB1583" s="147">
        <v>63183.75</v>
      </c>
      <c r="AC1583" s="147">
        <v>2653717.5</v>
      </c>
      <c r="AD1583" s="315">
        <f t="shared" si="1095"/>
        <v>2651063.7825000002</v>
      </c>
      <c r="AE1583" s="236">
        <v>40.89</v>
      </c>
      <c r="AF1583" s="147">
        <v>42</v>
      </c>
      <c r="AG1583" s="236">
        <v>40.89</v>
      </c>
      <c r="AH1583" s="287">
        <v>4.1000000000000003E-3</v>
      </c>
      <c r="AI1583" s="287">
        <v>3.5999999999999997E-2</v>
      </c>
      <c r="AJ1583" s="287">
        <v>5.2999999999999999E-2</v>
      </c>
      <c r="AK1583" s="318">
        <f t="shared" si="1076"/>
        <v>66794.249999999971</v>
      </c>
      <c r="AL1583" s="193">
        <v>0</v>
      </c>
      <c r="AM1583" s="319">
        <v>0</v>
      </c>
      <c r="AN1583" s="319">
        <v>0</v>
      </c>
      <c r="AO1583" s="320">
        <f t="shared" si="1077"/>
        <v>0</v>
      </c>
      <c r="AP1583" s="193">
        <v>0</v>
      </c>
      <c r="AQ1583" s="318">
        <v>0</v>
      </c>
      <c r="AR1583" s="318">
        <f t="shared" si="1078"/>
        <v>66794.249999999971</v>
      </c>
      <c r="AS1583" s="318">
        <f t="shared" si="1079"/>
        <v>70134</v>
      </c>
      <c r="AT1583" s="321">
        <v>0</v>
      </c>
      <c r="AU1583" s="193"/>
      <c r="AV1583" s="193"/>
      <c r="AW1583" s="318">
        <f t="shared" si="1080"/>
        <v>30450</v>
      </c>
      <c r="AX1583" s="193"/>
      <c r="AY1583" s="318">
        <f t="shared" si="1081"/>
        <v>30450</v>
      </c>
      <c r="AZ1583" s="318">
        <f t="shared" si="1082"/>
        <v>30389.999999999996</v>
      </c>
      <c r="BA1583" s="318">
        <f t="shared" si="1083"/>
        <v>60.000000000003638</v>
      </c>
      <c r="BB1583" s="318">
        <f t="shared" si="1084"/>
        <v>60.9</v>
      </c>
      <c r="BC1583" s="318">
        <v>0</v>
      </c>
      <c r="BD1583" s="193"/>
      <c r="BE1583" s="138">
        <v>304.5</v>
      </c>
      <c r="BF1583" s="321">
        <f t="shared" si="1085"/>
        <v>0.45674999999999999</v>
      </c>
      <c r="BG1583" s="321">
        <f t="shared" si="1086"/>
        <v>304.04325</v>
      </c>
      <c r="BH1583" s="321">
        <f t="shared" si="1087"/>
        <v>303.89999999999998</v>
      </c>
      <c r="BI1583" s="322">
        <f t="shared" si="1088"/>
        <v>60.000000000002274</v>
      </c>
      <c r="BJ1583" s="322">
        <v>0</v>
      </c>
      <c r="BK1583" s="318">
        <f t="shared" si="1089"/>
        <v>60.000000000002274</v>
      </c>
      <c r="BL1583" s="193"/>
      <c r="BM1583" s="449" t="str">
        <f t="shared" si="1090"/>
        <v>Unloading no. 1548 Bill No 2026-27/559 ,Deduction For Oil Deduction= 66794.25 ,Bardana= 0 ,F.M= 0 Brokerage/Rate Difference 0 ,Shortage = 0 ,Greenish= 0 ,Moisture= 0</v>
      </c>
      <c r="BN1583" s="193"/>
      <c r="BO1583" s="449" t="str">
        <f t="shared" si="1091"/>
        <v xml:space="preserve"> Party Condition 42  ,F.M% 0.41 ,Greenish 3.6 ,Moisture 5.3 ,Shortage in KG= 0  ,Oil% 40.89</v>
      </c>
      <c r="BP1583" s="318">
        <f t="shared" si="1092"/>
        <v>8096.5967423494576</v>
      </c>
      <c r="BQ1583" s="193"/>
      <c r="BR1583" s="193"/>
      <c r="BS1583" s="193"/>
      <c r="BT1583" s="193"/>
      <c r="BU1583" s="193"/>
      <c r="BV1583" s="193"/>
      <c r="BW1583" s="373"/>
      <c r="BX1583" s="458">
        <v>40.549999999999997</v>
      </c>
      <c r="BY1583" s="27">
        <v>40.51</v>
      </c>
      <c r="CO1583" s="57">
        <f t="shared" si="1096"/>
        <v>0.34000000000000341</v>
      </c>
      <c r="CP1583" s="57">
        <f t="shared" si="1097"/>
        <v>0.38000000000000256</v>
      </c>
    </row>
    <row r="1584" spans="1:94" ht="14.1" hidden="1" customHeight="1" x14ac:dyDescent="0.3">
      <c r="A1584" s="128" t="s">
        <v>3247</v>
      </c>
      <c r="B1584" s="146">
        <v>46228</v>
      </c>
      <c r="C1584" s="281">
        <v>1549</v>
      </c>
      <c r="D1584" s="128" t="s">
        <v>3371</v>
      </c>
      <c r="E1584" s="129">
        <v>46234</v>
      </c>
      <c r="F1584" s="128" t="s">
        <v>1144</v>
      </c>
      <c r="G1584" s="128" t="s">
        <v>1145</v>
      </c>
      <c r="H1584" s="128" t="s">
        <v>100</v>
      </c>
      <c r="I1584" s="136"/>
      <c r="J1584" s="138" t="s">
        <v>1146</v>
      </c>
      <c r="K1584" s="136"/>
      <c r="L1584" s="146">
        <v>46228</v>
      </c>
      <c r="M1584" s="136"/>
      <c r="N1584" s="281" t="s">
        <v>3404</v>
      </c>
      <c r="O1584" s="130">
        <v>46232</v>
      </c>
      <c r="P1584" s="138">
        <v>0</v>
      </c>
      <c r="Q1584" s="138">
        <v>550</v>
      </c>
      <c r="R1584" s="138">
        <v>50</v>
      </c>
      <c r="S1584" s="138">
        <v>600</v>
      </c>
      <c r="T1584" s="138">
        <v>600</v>
      </c>
      <c r="U1584" s="136"/>
      <c r="V1584" s="136"/>
      <c r="W1584" s="147">
        <v>304.8</v>
      </c>
      <c r="X1584" s="147">
        <v>304.39999999999998</v>
      </c>
      <c r="Y1584" s="147">
        <v>2537460</v>
      </c>
      <c r="Z1584" s="236">
        <v>41.06</v>
      </c>
      <c r="AA1584" s="147">
        <v>63436.5</v>
      </c>
      <c r="AB1584" s="147">
        <v>63436.5</v>
      </c>
      <c r="AC1584" s="147">
        <v>2664333</v>
      </c>
      <c r="AD1584" s="315">
        <f t="shared" si="1095"/>
        <v>2661668.6669999999</v>
      </c>
      <c r="AE1584" s="236">
        <v>41.06</v>
      </c>
      <c r="AF1584" s="147">
        <v>42</v>
      </c>
      <c r="AG1584" s="236">
        <v>41.06</v>
      </c>
      <c r="AH1584" s="287">
        <v>2.7000000000000001E-3</v>
      </c>
      <c r="AI1584" s="287">
        <v>0.03</v>
      </c>
      <c r="AJ1584" s="287">
        <v>0.05</v>
      </c>
      <c r="AK1584" s="318">
        <f t="shared" si="1076"/>
        <v>56790.771428571294</v>
      </c>
      <c r="AL1584" s="193">
        <v>0</v>
      </c>
      <c r="AM1584" s="319">
        <v>0</v>
      </c>
      <c r="AN1584" s="319">
        <v>0</v>
      </c>
      <c r="AO1584" s="320">
        <f t="shared" si="1077"/>
        <v>0</v>
      </c>
      <c r="AP1584" s="193">
        <v>0</v>
      </c>
      <c r="AQ1584" s="318">
        <v>0</v>
      </c>
      <c r="AR1584" s="318">
        <f t="shared" si="1078"/>
        <v>56790.771428571294</v>
      </c>
      <c r="AS1584" s="318">
        <f t="shared" si="1079"/>
        <v>59630</v>
      </c>
      <c r="AT1584" s="321">
        <v>0</v>
      </c>
      <c r="AU1584" s="193"/>
      <c r="AV1584" s="193"/>
      <c r="AW1584" s="318">
        <f t="shared" si="1080"/>
        <v>30480</v>
      </c>
      <c r="AX1584" s="193"/>
      <c r="AY1584" s="318">
        <f t="shared" si="1081"/>
        <v>30480</v>
      </c>
      <c r="AZ1584" s="318">
        <f t="shared" si="1082"/>
        <v>30439.999999999996</v>
      </c>
      <c r="BA1584" s="318">
        <f t="shared" si="1083"/>
        <v>40.000000000003638</v>
      </c>
      <c r="BB1584" s="318">
        <f t="shared" si="1084"/>
        <v>60.96</v>
      </c>
      <c r="BC1584" s="318">
        <v>0</v>
      </c>
      <c r="BD1584" s="193"/>
      <c r="BE1584" s="138">
        <v>304.8</v>
      </c>
      <c r="BF1584" s="321">
        <f t="shared" si="1085"/>
        <v>0.4572</v>
      </c>
      <c r="BG1584" s="321">
        <f t="shared" si="1086"/>
        <v>304.34280000000001</v>
      </c>
      <c r="BH1584" s="321">
        <f t="shared" si="1087"/>
        <v>304.39999999999998</v>
      </c>
      <c r="BI1584" s="322">
        <f t="shared" si="1088"/>
        <v>40.000000000003411</v>
      </c>
      <c r="BJ1584" s="322">
        <v>0</v>
      </c>
      <c r="BK1584" s="318">
        <f t="shared" si="1089"/>
        <v>40.000000000003411</v>
      </c>
      <c r="BL1584" s="193"/>
      <c r="BM1584" s="449" t="str">
        <f t="shared" si="1090"/>
        <v>Unloading no. 1549 Bill No 2026-27/554 ,Deduction For Oil Deduction= 56790.7714285713 ,Bardana= 0 ,F.M= 0 Brokerage/Rate Difference 0 ,Shortage = 0 ,Greenish= 0 ,Moisture= 0</v>
      </c>
      <c r="BN1584" s="193"/>
      <c r="BO1584" s="449" t="str">
        <f t="shared" si="1091"/>
        <v xml:space="preserve"> Party Condition 42  ,F.M% 0.27 ,Greenish 3 ,Moisture 5 ,Shortage in KG= 0  ,Oil% 41.06</v>
      </c>
      <c r="BP1584" s="318">
        <f t="shared" si="1092"/>
        <v>8149.3732870283475</v>
      </c>
      <c r="BQ1584" s="193"/>
      <c r="BR1584" s="193"/>
      <c r="BS1584" s="193"/>
      <c r="BT1584" s="193"/>
      <c r="BU1584" s="193"/>
      <c r="BV1584" s="193"/>
      <c r="BW1584" s="373"/>
      <c r="BX1584" s="458">
        <v>40.74</v>
      </c>
      <c r="BY1584" s="27">
        <v>40.72</v>
      </c>
      <c r="CO1584" s="57">
        <f t="shared" si="1096"/>
        <v>0.32000000000000028</v>
      </c>
      <c r="CP1584" s="57">
        <f t="shared" si="1097"/>
        <v>0.34000000000000341</v>
      </c>
    </row>
    <row r="1585" spans="1:94" ht="14.1" hidden="1" customHeight="1" x14ac:dyDescent="0.3">
      <c r="A1585" s="128" t="s">
        <v>3344</v>
      </c>
      <c r="B1585" s="146">
        <v>46228</v>
      </c>
      <c r="C1585" s="281">
        <v>1550</v>
      </c>
      <c r="D1585" s="128" t="s">
        <v>3372</v>
      </c>
      <c r="E1585" s="129">
        <v>46234</v>
      </c>
      <c r="F1585" s="128" t="s">
        <v>1144</v>
      </c>
      <c r="G1585" s="128" t="s">
        <v>1145</v>
      </c>
      <c r="H1585" s="128" t="s">
        <v>100</v>
      </c>
      <c r="I1585" s="136"/>
      <c r="J1585" s="138" t="s">
        <v>1146</v>
      </c>
      <c r="K1585" s="136"/>
      <c r="L1585" s="146">
        <v>46228</v>
      </c>
      <c r="M1585" s="136"/>
      <c r="N1585" s="281" t="s">
        <v>3405</v>
      </c>
      <c r="O1585" s="130">
        <v>46232</v>
      </c>
      <c r="P1585" s="138">
        <v>0</v>
      </c>
      <c r="Q1585" s="138">
        <v>500</v>
      </c>
      <c r="R1585" s="138">
        <v>100</v>
      </c>
      <c r="S1585" s="138">
        <v>600</v>
      </c>
      <c r="T1585" s="138">
        <v>600</v>
      </c>
      <c r="U1585" s="136"/>
      <c r="V1585" s="136"/>
      <c r="W1585" s="147">
        <v>303.3</v>
      </c>
      <c r="X1585" s="147">
        <v>302.8</v>
      </c>
      <c r="Y1585" s="147">
        <v>2517390</v>
      </c>
      <c r="Z1585" s="236">
        <v>40.96</v>
      </c>
      <c r="AA1585" s="147">
        <v>62934.75</v>
      </c>
      <c r="AB1585" s="147">
        <v>62934.75</v>
      </c>
      <c r="AC1585" s="147">
        <v>2643259.5</v>
      </c>
      <c r="AD1585" s="315">
        <f t="shared" si="1095"/>
        <v>2640616.2404999998</v>
      </c>
      <c r="AE1585" s="236">
        <v>40.96</v>
      </c>
      <c r="AF1585" s="147">
        <v>42</v>
      </c>
      <c r="AG1585" s="236">
        <v>40.96</v>
      </c>
      <c r="AH1585" s="287">
        <v>4.7999999999999996E-3</v>
      </c>
      <c r="AI1585" s="287">
        <v>3.6200000000000003E-2</v>
      </c>
      <c r="AJ1585" s="287">
        <v>5.3999999999999999E-2</v>
      </c>
      <c r="AK1585" s="318">
        <f t="shared" si="1076"/>
        <v>62335.37142857138</v>
      </c>
      <c r="AL1585" s="193">
        <v>0</v>
      </c>
      <c r="AM1585" s="319">
        <v>0</v>
      </c>
      <c r="AN1585" s="319">
        <v>0</v>
      </c>
      <c r="AO1585" s="320">
        <f t="shared" si="1077"/>
        <v>0</v>
      </c>
      <c r="AP1585" s="193">
        <v>0</v>
      </c>
      <c r="AQ1585" s="318">
        <v>0</v>
      </c>
      <c r="AR1585" s="318">
        <f t="shared" si="1078"/>
        <v>62335.37142857138</v>
      </c>
      <c r="AS1585" s="318">
        <f t="shared" si="1079"/>
        <v>65452</v>
      </c>
      <c r="AT1585" s="321">
        <v>0</v>
      </c>
      <c r="AU1585" s="193"/>
      <c r="AV1585" s="193"/>
      <c r="AW1585" s="318">
        <f t="shared" si="1080"/>
        <v>30330</v>
      </c>
      <c r="AX1585" s="193"/>
      <c r="AY1585" s="318">
        <f t="shared" si="1081"/>
        <v>30330</v>
      </c>
      <c r="AZ1585" s="318">
        <f t="shared" si="1082"/>
        <v>30280</v>
      </c>
      <c r="BA1585" s="318">
        <f t="shared" si="1083"/>
        <v>50</v>
      </c>
      <c r="BB1585" s="318">
        <f t="shared" si="1084"/>
        <v>60.66</v>
      </c>
      <c r="BC1585" s="318">
        <v>0</v>
      </c>
      <c r="BD1585" s="193"/>
      <c r="BE1585" s="138">
        <v>303.3</v>
      </c>
      <c r="BF1585" s="321">
        <f t="shared" si="1085"/>
        <v>0.45494999999999997</v>
      </c>
      <c r="BG1585" s="321">
        <f t="shared" si="1086"/>
        <v>302.84505000000001</v>
      </c>
      <c r="BH1585" s="321">
        <f t="shared" si="1087"/>
        <v>302.8</v>
      </c>
      <c r="BI1585" s="322">
        <f t="shared" si="1088"/>
        <v>50</v>
      </c>
      <c r="BJ1585" s="322">
        <v>0</v>
      </c>
      <c r="BK1585" s="318">
        <f t="shared" si="1089"/>
        <v>50</v>
      </c>
      <c r="BL1585" s="193"/>
      <c r="BM1585" s="449" t="str">
        <f t="shared" si="1090"/>
        <v>Unloading no. 1550 Bill No 2026-27/557 ,Deduction For Oil Deduction= 62335.3714285714 ,Bardana= 0 ,F.M= 0 Brokerage/Rate Difference 0 ,Shortage = 0 ,Greenish= 0 ,Moisture= 0</v>
      </c>
      <c r="BN1585" s="193"/>
      <c r="BO1585" s="449" t="str">
        <f t="shared" si="1091"/>
        <v xml:space="preserve"> Party Condition 42  ,F.M% 0.48 ,Greenish 3.62 ,Moisture 5.4 ,Shortage in KG= 0  ,Oil% 40.96</v>
      </c>
      <c r="BP1585" s="318">
        <f t="shared" si="1092"/>
        <v>8107.8422343838465</v>
      </c>
      <c r="BQ1585" s="193"/>
      <c r="BR1585" s="193"/>
      <c r="BS1585" s="193"/>
      <c r="BT1585" s="193"/>
      <c r="BU1585" s="193"/>
      <c r="BV1585" s="193"/>
      <c r="BW1585" s="193"/>
      <c r="BX1585" s="138">
        <v>40.99</v>
      </c>
      <c r="BY1585" s="147">
        <v>40.92</v>
      </c>
      <c r="CO1585" s="57">
        <f t="shared" si="1096"/>
        <v>-3.0000000000001137E-2</v>
      </c>
      <c r="CP1585" s="57">
        <f t="shared" si="1097"/>
        <v>3.9999999999999147E-2</v>
      </c>
    </row>
    <row r="1586" spans="1:94" ht="14.1" hidden="1" customHeight="1" x14ac:dyDescent="0.3">
      <c r="A1586" s="128" t="s">
        <v>3250</v>
      </c>
      <c r="B1586" s="146">
        <v>46226</v>
      </c>
      <c r="C1586" s="281">
        <v>1551</v>
      </c>
      <c r="D1586" s="128" t="s">
        <v>3373</v>
      </c>
      <c r="E1586" s="129">
        <v>46234</v>
      </c>
      <c r="F1586" s="128" t="s">
        <v>3299</v>
      </c>
      <c r="G1586" s="128" t="s">
        <v>2630</v>
      </c>
      <c r="H1586" s="128" t="s">
        <v>1508</v>
      </c>
      <c r="I1586" s="136"/>
      <c r="J1586" s="138" t="s">
        <v>2499</v>
      </c>
      <c r="K1586" s="136"/>
      <c r="L1586" s="146">
        <v>46226</v>
      </c>
      <c r="M1586" s="136"/>
      <c r="N1586" s="281">
        <v>187</v>
      </c>
      <c r="O1586" s="130">
        <v>46231</v>
      </c>
      <c r="P1586" s="138">
        <v>0</v>
      </c>
      <c r="Q1586" s="138">
        <v>400</v>
      </c>
      <c r="R1586" s="138">
        <v>154</v>
      </c>
      <c r="S1586" s="138">
        <v>554</v>
      </c>
      <c r="T1586" s="138">
        <v>554</v>
      </c>
      <c r="U1586" s="136"/>
      <c r="V1586" s="136"/>
      <c r="W1586" s="147">
        <v>329.2</v>
      </c>
      <c r="X1586" s="147">
        <v>329.3</v>
      </c>
      <c r="Y1586" s="147">
        <v>2712608</v>
      </c>
      <c r="Z1586" s="236">
        <v>38.1</v>
      </c>
      <c r="AA1586" s="147">
        <v>67815.199999999997</v>
      </c>
      <c r="AB1586" s="147">
        <v>67815.199999999997</v>
      </c>
      <c r="AC1586" s="147">
        <v>2848238.4</v>
      </c>
      <c r="AD1586" s="315">
        <f t="shared" si="1095"/>
        <v>2845390.1615999998</v>
      </c>
      <c r="AE1586" s="236">
        <v>38.1</v>
      </c>
      <c r="AF1586" s="147">
        <v>42</v>
      </c>
      <c r="AG1586" s="236">
        <v>38.1</v>
      </c>
      <c r="AH1586" s="287">
        <v>6.4999999999999997E-3</v>
      </c>
      <c r="AI1586" s="287">
        <v>3.3000000000000002E-2</v>
      </c>
      <c r="AJ1586" s="287">
        <v>5.3999999999999999E-2</v>
      </c>
      <c r="AK1586" s="318">
        <f t="shared" si="1076"/>
        <v>251885.02857142847</v>
      </c>
      <c r="AL1586" s="193">
        <v>0</v>
      </c>
      <c r="AM1586" s="319">
        <v>0</v>
      </c>
      <c r="AN1586" s="319">
        <v>0</v>
      </c>
      <c r="AO1586" s="320">
        <f t="shared" si="1077"/>
        <v>0</v>
      </c>
      <c r="AP1586" s="193">
        <v>0</v>
      </c>
      <c r="AQ1586" s="318">
        <v>0</v>
      </c>
      <c r="AR1586" s="318">
        <f t="shared" si="1078"/>
        <v>251885.02857142847</v>
      </c>
      <c r="AS1586" s="318">
        <f t="shared" si="1079"/>
        <v>264479</v>
      </c>
      <c r="AT1586" s="321">
        <v>0</v>
      </c>
      <c r="AU1586" s="193"/>
      <c r="AV1586" s="193"/>
      <c r="AW1586" s="318">
        <f t="shared" si="1080"/>
        <v>32920</v>
      </c>
      <c r="AX1586" s="193"/>
      <c r="AY1586" s="318">
        <f t="shared" si="1081"/>
        <v>32920</v>
      </c>
      <c r="AZ1586" s="318">
        <f t="shared" si="1082"/>
        <v>32930</v>
      </c>
      <c r="BA1586" s="318">
        <f t="shared" si="1083"/>
        <v>-10</v>
      </c>
      <c r="BB1586" s="318">
        <f t="shared" si="1084"/>
        <v>65.84</v>
      </c>
      <c r="BC1586" s="318">
        <v>0</v>
      </c>
      <c r="BD1586" s="193"/>
      <c r="BE1586" s="138">
        <v>329.2</v>
      </c>
      <c r="BF1586" s="321">
        <f t="shared" si="1085"/>
        <v>0.49379999999999996</v>
      </c>
      <c r="BG1586" s="321">
        <f t="shared" si="1086"/>
        <v>328.70619999999997</v>
      </c>
      <c r="BH1586" s="321">
        <f t="shared" si="1087"/>
        <v>329.3</v>
      </c>
      <c r="BI1586" s="322">
        <f t="shared" si="1088"/>
        <v>-10.000000000002274</v>
      </c>
      <c r="BJ1586" s="322">
        <v>0</v>
      </c>
      <c r="BK1586" s="318">
        <f t="shared" si="1089"/>
        <v>-10.000000000002274</v>
      </c>
      <c r="BL1586" s="193"/>
      <c r="BM1586" s="449" t="str">
        <f t="shared" si="1090"/>
        <v>Unloading no. 1551 Bill No 187 ,Deduction For Oil Deduction= 251885.028571428 ,Bardana= 0 ,F.M= 0 Brokerage/Rate Difference 0 ,Shortage = 0 ,Greenish= 0 ,Moisture= 0</v>
      </c>
      <c r="BN1586" s="193"/>
      <c r="BO1586" s="449" t="str">
        <f t="shared" si="1091"/>
        <v xml:space="preserve"> Party Condition 42  ,F.M% 0.65 ,Greenish 3.3 ,Moisture 5.4 ,Shortage in KG= 0  ,Oil% 38.1</v>
      </c>
      <c r="BP1586" s="318">
        <f t="shared" si="1092"/>
        <v>7472.5872196434002</v>
      </c>
      <c r="BQ1586" s="193"/>
      <c r="BR1586" s="193"/>
      <c r="BS1586" s="193"/>
      <c r="BT1586" s="193"/>
      <c r="BU1586" s="193"/>
      <c r="BV1586" s="193"/>
      <c r="BW1586" s="193"/>
      <c r="BX1586" s="138">
        <v>37.92</v>
      </c>
      <c r="BY1586" s="138">
        <v>37.74</v>
      </c>
      <c r="CO1586" s="57">
        <f t="shared" si="1096"/>
        <v>0.17999999999999972</v>
      </c>
      <c r="CP1586" s="57">
        <f t="shared" si="1097"/>
        <v>0.35999999999999943</v>
      </c>
    </row>
    <row r="1587" spans="1:94" ht="14.1" hidden="1" customHeight="1" x14ac:dyDescent="0.3">
      <c r="A1587" s="128" t="s">
        <v>3345</v>
      </c>
      <c r="B1587" s="146">
        <v>46225</v>
      </c>
      <c r="C1587" s="281">
        <v>1552</v>
      </c>
      <c r="D1587" s="128" t="s">
        <v>3374</v>
      </c>
      <c r="E1587" s="129">
        <v>46234</v>
      </c>
      <c r="F1587" s="128" t="s">
        <v>2497</v>
      </c>
      <c r="G1587" s="128" t="s">
        <v>2498</v>
      </c>
      <c r="H1587" s="128" t="s">
        <v>100</v>
      </c>
      <c r="I1587" s="136"/>
      <c r="J1587" s="138" t="s">
        <v>1146</v>
      </c>
      <c r="K1587" s="136"/>
      <c r="L1587" s="146">
        <v>46225</v>
      </c>
      <c r="M1587" s="136"/>
      <c r="N1587" s="281" t="s">
        <v>3406</v>
      </c>
      <c r="O1587" s="130">
        <v>46234</v>
      </c>
      <c r="P1587" s="138">
        <v>0</v>
      </c>
      <c r="Q1587" s="138">
        <v>130</v>
      </c>
      <c r="R1587" s="138">
        <v>22</v>
      </c>
      <c r="S1587" s="138">
        <v>152</v>
      </c>
      <c r="T1587" s="138">
        <v>152</v>
      </c>
      <c r="U1587" s="136"/>
      <c r="V1587" s="136"/>
      <c r="W1587" s="147">
        <v>92</v>
      </c>
      <c r="X1587" s="147">
        <v>91.9</v>
      </c>
      <c r="Y1587" s="147">
        <v>763600</v>
      </c>
      <c r="Z1587" s="236">
        <v>40.71</v>
      </c>
      <c r="AA1587" s="147">
        <v>19090</v>
      </c>
      <c r="AB1587" s="147">
        <v>19090</v>
      </c>
      <c r="AC1587" s="147">
        <v>801780</v>
      </c>
      <c r="AD1587" s="315">
        <f t="shared" si="1095"/>
        <v>800978.22</v>
      </c>
      <c r="AE1587" s="236">
        <v>40.71</v>
      </c>
      <c r="AF1587" s="147">
        <v>42</v>
      </c>
      <c r="AG1587" s="236">
        <v>40.71</v>
      </c>
      <c r="AH1587" s="287">
        <v>2.8E-3</v>
      </c>
      <c r="AI1587" s="287">
        <v>3.5900000000000001E-2</v>
      </c>
      <c r="AJ1587" s="287">
        <v>5.7000000000000002E-2</v>
      </c>
      <c r="AK1587" s="318">
        <f t="shared" si="1076"/>
        <v>23453.428571428554</v>
      </c>
      <c r="AL1587" s="193">
        <v>0</v>
      </c>
      <c r="AM1587" s="319">
        <v>0</v>
      </c>
      <c r="AN1587" s="319">
        <v>0</v>
      </c>
      <c r="AO1587" s="320">
        <f t="shared" si="1077"/>
        <v>0</v>
      </c>
      <c r="AP1587" s="193">
        <v>0</v>
      </c>
      <c r="AQ1587" s="318">
        <v>0</v>
      </c>
      <c r="AR1587" s="318">
        <f t="shared" si="1078"/>
        <v>23453.428571428554</v>
      </c>
      <c r="AS1587" s="318">
        <f t="shared" si="1079"/>
        <v>24626</v>
      </c>
      <c r="AT1587" s="321">
        <v>0</v>
      </c>
      <c r="AU1587" s="193"/>
      <c r="AV1587" s="193"/>
      <c r="AW1587" s="318">
        <f t="shared" si="1080"/>
        <v>9200</v>
      </c>
      <c r="AX1587" s="193"/>
      <c r="AY1587" s="318">
        <f t="shared" si="1081"/>
        <v>9200</v>
      </c>
      <c r="AZ1587" s="318">
        <f t="shared" si="1082"/>
        <v>9190</v>
      </c>
      <c r="BA1587" s="318">
        <f t="shared" si="1083"/>
        <v>10</v>
      </c>
      <c r="BB1587" s="318">
        <f t="shared" si="1084"/>
        <v>18.399999999999999</v>
      </c>
      <c r="BC1587" s="318">
        <v>0</v>
      </c>
      <c r="BD1587" s="193"/>
      <c r="BE1587" s="138">
        <v>92</v>
      </c>
      <c r="BF1587" s="321">
        <f t="shared" si="1085"/>
        <v>0.13799999999999998</v>
      </c>
      <c r="BG1587" s="321">
        <f t="shared" si="1086"/>
        <v>91.861999999999995</v>
      </c>
      <c r="BH1587" s="321">
        <f t="shared" si="1087"/>
        <v>91.9</v>
      </c>
      <c r="BI1587" s="322">
        <f t="shared" si="1088"/>
        <v>9.9999999999994316</v>
      </c>
      <c r="BJ1587" s="322">
        <v>0</v>
      </c>
      <c r="BK1587" s="318">
        <f t="shared" si="1089"/>
        <v>9.9999999999994316</v>
      </c>
      <c r="BL1587" s="193"/>
      <c r="BM1587" s="449" t="str">
        <f t="shared" si="1090"/>
        <v>Unloading no. 1552 Bill No HA/26-27/0558 ,Deduction For Oil Deduction= 23453.4285714286 ,Bardana= 0 ,F.M= 0 Brokerage/Rate Difference 0 ,Shortage = 0 ,Greenish= 0 ,Moisture= 0</v>
      </c>
      <c r="BN1587" s="193"/>
      <c r="BO1587" s="449" t="str">
        <f t="shared" si="1091"/>
        <v xml:space="preserve"> Party Condition 42  ,F.M% 0.28 ,Greenish 3.59 ,Moisture 5.7 ,Shortage in KG= 0  ,Oil% 40.71</v>
      </c>
      <c r="BP1587" s="318">
        <f t="shared" si="1092"/>
        <v>8053.8255868179695</v>
      </c>
      <c r="BQ1587" s="193"/>
      <c r="BR1587" s="193"/>
      <c r="BS1587" s="193"/>
      <c r="BT1587" s="193"/>
      <c r="BU1587" s="193"/>
      <c r="BV1587" s="193"/>
      <c r="BW1587" s="193"/>
      <c r="BX1587" s="138">
        <v>40.4</v>
      </c>
      <c r="BY1587" s="138">
        <v>40.39</v>
      </c>
      <c r="CO1587" s="57">
        <f t="shared" si="1096"/>
        <v>0.31000000000000227</v>
      </c>
      <c r="CP1587" s="57">
        <f t="shared" si="1097"/>
        <v>0.32000000000000028</v>
      </c>
    </row>
    <row r="1588" spans="1:94" ht="14.1" hidden="1" customHeight="1" x14ac:dyDescent="0.3">
      <c r="A1588" s="128" t="s">
        <v>3345</v>
      </c>
      <c r="B1588" s="146">
        <v>46225</v>
      </c>
      <c r="C1588" s="281">
        <v>1553</v>
      </c>
      <c r="D1588" s="128" t="s">
        <v>3375</v>
      </c>
      <c r="E1588" s="129">
        <v>46234</v>
      </c>
      <c r="F1588" s="128" t="s">
        <v>2497</v>
      </c>
      <c r="G1588" s="128" t="s">
        <v>2498</v>
      </c>
      <c r="H1588" s="128" t="s">
        <v>100</v>
      </c>
      <c r="I1588" s="136"/>
      <c r="J1588" s="138" t="s">
        <v>1146</v>
      </c>
      <c r="K1588" s="136"/>
      <c r="L1588" s="146">
        <v>46225</v>
      </c>
      <c r="M1588" s="136"/>
      <c r="N1588" s="281" t="s">
        <v>3407</v>
      </c>
      <c r="O1588" s="130">
        <v>46234</v>
      </c>
      <c r="P1588" s="138">
        <v>0</v>
      </c>
      <c r="Q1588" s="138">
        <v>140</v>
      </c>
      <c r="R1588" s="138">
        <v>12</v>
      </c>
      <c r="S1588" s="138">
        <v>152</v>
      </c>
      <c r="T1588" s="138">
        <v>152</v>
      </c>
      <c r="U1588" s="136"/>
      <c r="V1588" s="136"/>
      <c r="W1588" s="461">
        <v>90.7</v>
      </c>
      <c r="X1588" s="147">
        <v>90.6</v>
      </c>
      <c r="Y1588" s="147">
        <v>752810</v>
      </c>
      <c r="Z1588" s="236">
        <v>40.51</v>
      </c>
      <c r="AA1588" s="147">
        <v>18820.25</v>
      </c>
      <c r="AB1588" s="147">
        <v>18820.25</v>
      </c>
      <c r="AC1588" s="147">
        <v>790450.5</v>
      </c>
      <c r="AD1588" s="315">
        <f t="shared" si="1095"/>
        <v>789660.04949999996</v>
      </c>
      <c r="AE1588" s="236">
        <v>40.51</v>
      </c>
      <c r="AF1588" s="147">
        <v>42</v>
      </c>
      <c r="AG1588" s="236">
        <v>40.51</v>
      </c>
      <c r="AH1588" s="287">
        <v>3.0000000000000001E-3</v>
      </c>
      <c r="AI1588" s="287">
        <v>0.04</v>
      </c>
      <c r="AJ1588" s="287">
        <v>5.8000000000000003E-2</v>
      </c>
      <c r="AK1588" s="318">
        <f t="shared" si="1076"/>
        <v>26706.830952380988</v>
      </c>
      <c r="AL1588" s="193">
        <v>0</v>
      </c>
      <c r="AM1588" s="319">
        <v>0</v>
      </c>
      <c r="AN1588" s="319">
        <v>0</v>
      </c>
      <c r="AO1588" s="320">
        <f t="shared" si="1077"/>
        <v>0</v>
      </c>
      <c r="AP1588" s="193">
        <v>0</v>
      </c>
      <c r="AQ1588" s="318">
        <v>0</v>
      </c>
      <c r="AR1588" s="318">
        <f t="shared" si="1078"/>
        <v>26706.830952380988</v>
      </c>
      <c r="AS1588" s="318">
        <f t="shared" si="1079"/>
        <v>28042</v>
      </c>
      <c r="AT1588" s="321">
        <v>0</v>
      </c>
      <c r="AU1588" s="193"/>
      <c r="AV1588" s="193"/>
      <c r="AW1588" s="318">
        <f t="shared" si="1080"/>
        <v>9070</v>
      </c>
      <c r="AX1588" s="193"/>
      <c r="AY1588" s="318">
        <f t="shared" si="1081"/>
        <v>9070</v>
      </c>
      <c r="AZ1588" s="318">
        <f t="shared" si="1082"/>
        <v>9060</v>
      </c>
      <c r="BA1588" s="318">
        <f t="shared" si="1083"/>
        <v>10</v>
      </c>
      <c r="BB1588" s="318">
        <f t="shared" si="1084"/>
        <v>18.14</v>
      </c>
      <c r="BC1588" s="318">
        <v>0</v>
      </c>
      <c r="BD1588" s="193"/>
      <c r="BE1588" s="138">
        <v>90.7</v>
      </c>
      <c r="BF1588" s="321">
        <f t="shared" si="1085"/>
        <v>0.13605</v>
      </c>
      <c r="BG1588" s="321">
        <f t="shared" si="1086"/>
        <v>90.563950000000006</v>
      </c>
      <c r="BH1588" s="321">
        <f t="shared" si="1087"/>
        <v>90.6</v>
      </c>
      <c r="BI1588" s="322">
        <f t="shared" si="1088"/>
        <v>10.000000000000853</v>
      </c>
      <c r="BJ1588" s="322">
        <v>0</v>
      </c>
      <c r="BK1588" s="318">
        <f t="shared" si="1089"/>
        <v>10.000000000000853</v>
      </c>
      <c r="BL1588" s="193"/>
      <c r="BM1588" s="449" t="str">
        <f t="shared" si="1090"/>
        <v>Unloading no. 1553 Bill No HA/26-27/0559 ,Deduction For Oil Deduction= 26706.830952381 ,Bardana= 0 ,F.M= 0 Brokerage/Rate Difference 0 ,Shortage = 0 ,Greenish= 0 ,Moisture= 0</v>
      </c>
      <c r="BN1588" s="193"/>
      <c r="BO1588" s="449" t="str">
        <f t="shared" si="1091"/>
        <v xml:space="preserve"> Party Condition 42  ,F.M% 0.3 ,Greenish 4 ,Moisture 5.8 ,Shortage in KG= 0  ,Oil% 40.51</v>
      </c>
      <c r="BP1588" s="318">
        <f t="shared" si="1092"/>
        <v>8014.3837643225061</v>
      </c>
      <c r="BQ1588" s="193"/>
      <c r="BR1588" s="193"/>
      <c r="BS1588" s="193"/>
      <c r="BT1588" s="193"/>
      <c r="BU1588" s="193"/>
      <c r="BV1588" s="193"/>
      <c r="BW1588" s="193"/>
      <c r="BX1588" s="138">
        <v>40.119999999999997</v>
      </c>
      <c r="BY1588" s="138">
        <v>40.08</v>
      </c>
      <c r="CO1588" s="57">
        <f t="shared" si="1096"/>
        <v>0.39000000000000057</v>
      </c>
      <c r="CP1588" s="57">
        <f t="shared" si="1097"/>
        <v>0.42999999999999972</v>
      </c>
    </row>
    <row r="1589" spans="1:94" ht="14.1" hidden="1" customHeight="1" x14ac:dyDescent="0.3">
      <c r="A1589" s="128" t="s">
        <v>3345</v>
      </c>
      <c r="B1589" s="146">
        <v>46225</v>
      </c>
      <c r="C1589" s="281">
        <v>1554</v>
      </c>
      <c r="D1589" s="128" t="s">
        <v>3376</v>
      </c>
      <c r="E1589" s="129">
        <v>46234</v>
      </c>
      <c r="F1589" s="128" t="s">
        <v>2497</v>
      </c>
      <c r="G1589" s="128" t="s">
        <v>2498</v>
      </c>
      <c r="H1589" s="128" t="s">
        <v>100</v>
      </c>
      <c r="I1589" s="136"/>
      <c r="J1589" s="138" t="s">
        <v>1146</v>
      </c>
      <c r="K1589" s="136"/>
      <c r="L1589" s="146">
        <v>46225</v>
      </c>
      <c r="M1589" s="136"/>
      <c r="N1589" s="281" t="s">
        <v>3408</v>
      </c>
      <c r="O1589" s="130">
        <v>46234</v>
      </c>
      <c r="P1589" s="138">
        <v>0</v>
      </c>
      <c r="Q1589" s="138">
        <v>140</v>
      </c>
      <c r="R1589" s="138">
        <v>12</v>
      </c>
      <c r="S1589" s="138">
        <v>152</v>
      </c>
      <c r="T1589" s="138">
        <v>152</v>
      </c>
      <c r="U1589" s="136"/>
      <c r="V1589" s="136"/>
      <c r="W1589" s="147">
        <v>91</v>
      </c>
      <c r="X1589" s="147">
        <v>90.8</v>
      </c>
      <c r="Y1589" s="147">
        <v>755300</v>
      </c>
      <c r="Z1589" s="236">
        <v>39.17</v>
      </c>
      <c r="AA1589" s="147">
        <v>18882.5</v>
      </c>
      <c r="AB1589" s="147">
        <v>18882.5</v>
      </c>
      <c r="AC1589" s="147">
        <v>793065</v>
      </c>
      <c r="AD1589" s="315">
        <f t="shared" si="1095"/>
        <v>792271.93500000006</v>
      </c>
      <c r="AE1589" s="236">
        <v>39.17</v>
      </c>
      <c r="AF1589" s="147">
        <v>42</v>
      </c>
      <c r="AG1589" s="236">
        <v>39.17</v>
      </c>
      <c r="AH1589" s="287">
        <v>3.2000000000000002E-3</v>
      </c>
      <c r="AI1589" s="287">
        <v>3.4599999999999999E-2</v>
      </c>
      <c r="AJ1589" s="287">
        <v>5.8000000000000003E-2</v>
      </c>
      <c r="AK1589" s="318">
        <f t="shared" si="1076"/>
        <v>50892.833333333307</v>
      </c>
      <c r="AL1589" s="193">
        <v>0</v>
      </c>
      <c r="AM1589" s="319">
        <v>0</v>
      </c>
      <c r="AN1589" s="319">
        <v>0</v>
      </c>
      <c r="AO1589" s="320">
        <f t="shared" si="1077"/>
        <v>0</v>
      </c>
      <c r="AP1589" s="193">
        <v>0</v>
      </c>
      <c r="AQ1589" s="318">
        <v>0</v>
      </c>
      <c r="AR1589" s="318">
        <f t="shared" si="1078"/>
        <v>50892.833333333307</v>
      </c>
      <c r="AS1589" s="318">
        <f t="shared" si="1079"/>
        <v>53437</v>
      </c>
      <c r="AT1589" s="321">
        <v>0</v>
      </c>
      <c r="AU1589" s="193"/>
      <c r="AV1589" s="193"/>
      <c r="AW1589" s="318">
        <f t="shared" si="1080"/>
        <v>9100</v>
      </c>
      <c r="AX1589" s="193"/>
      <c r="AY1589" s="318">
        <f t="shared" si="1081"/>
        <v>9100</v>
      </c>
      <c r="AZ1589" s="318">
        <f t="shared" si="1082"/>
        <v>9080</v>
      </c>
      <c r="BA1589" s="318">
        <f t="shared" si="1083"/>
        <v>20</v>
      </c>
      <c r="BB1589" s="318">
        <f t="shared" si="1084"/>
        <v>18.2</v>
      </c>
      <c r="BC1589" s="318">
        <v>0</v>
      </c>
      <c r="BD1589" s="193"/>
      <c r="BE1589" s="138">
        <v>91</v>
      </c>
      <c r="BF1589" s="321">
        <f t="shared" si="1085"/>
        <v>0.13650000000000001</v>
      </c>
      <c r="BG1589" s="321">
        <f t="shared" si="1086"/>
        <v>90.863500000000002</v>
      </c>
      <c r="BH1589" s="321">
        <f t="shared" si="1087"/>
        <v>90.8</v>
      </c>
      <c r="BI1589" s="322">
        <f t="shared" si="1088"/>
        <v>20.000000000000284</v>
      </c>
      <c r="BJ1589" s="322">
        <v>0</v>
      </c>
      <c r="BK1589" s="318">
        <f t="shared" si="1089"/>
        <v>20.000000000000284</v>
      </c>
      <c r="BL1589" s="193"/>
      <c r="BM1589" s="449" t="str">
        <f t="shared" si="1090"/>
        <v>Unloading no. 1554 Bill No HA/26-27/0560 ,Deduction For Oil Deduction= 50892.8333333333 ,Bardana= 0 ,F.M= 0 Brokerage/Rate Difference 0 ,Shortage = 0 ,Greenish= 0 ,Moisture= 0</v>
      </c>
      <c r="BN1589" s="193"/>
      <c r="BO1589" s="449" t="str">
        <f t="shared" si="1091"/>
        <v xml:space="preserve"> Party Condition 42  ,F.M% 0.32 ,Greenish 3.46 ,Moisture 5.8 ,Shortage in KG= 0  ,Oil% 39.17</v>
      </c>
      <c r="BP1589" s="318">
        <f t="shared" si="1092"/>
        <v>7757.7881791483123</v>
      </c>
      <c r="BQ1589" s="193"/>
      <c r="BR1589" s="193"/>
      <c r="BS1589" s="193"/>
      <c r="BT1589" s="193"/>
      <c r="BU1589" s="193"/>
      <c r="BV1589" s="193"/>
      <c r="BW1589" s="193"/>
      <c r="BX1589" s="138">
        <v>38.42</v>
      </c>
      <c r="BY1589" s="138">
        <v>38.119999999999997</v>
      </c>
      <c r="CO1589" s="460">
        <f t="shared" si="1096"/>
        <v>0.75</v>
      </c>
      <c r="CP1589" s="460">
        <f t="shared" si="1097"/>
        <v>1.0500000000000043</v>
      </c>
    </row>
    <row r="1590" spans="1:94" ht="14.1" hidden="1" customHeight="1" x14ac:dyDescent="0.3">
      <c r="A1590" s="128" t="s">
        <v>3345</v>
      </c>
      <c r="B1590" s="146">
        <v>46225</v>
      </c>
      <c r="C1590" s="281">
        <v>1555</v>
      </c>
      <c r="D1590" s="128" t="s">
        <v>3377</v>
      </c>
      <c r="E1590" s="129">
        <v>46234</v>
      </c>
      <c r="F1590" s="128" t="s">
        <v>2497</v>
      </c>
      <c r="G1590" s="128" t="s">
        <v>2498</v>
      </c>
      <c r="H1590" s="128" t="s">
        <v>100</v>
      </c>
      <c r="I1590" s="136"/>
      <c r="J1590" s="138" t="s">
        <v>1146</v>
      </c>
      <c r="K1590" s="136"/>
      <c r="L1590" s="146">
        <v>46225</v>
      </c>
      <c r="M1590" s="136"/>
      <c r="N1590" s="281" t="s">
        <v>3409</v>
      </c>
      <c r="O1590" s="130">
        <v>46234</v>
      </c>
      <c r="P1590" s="138">
        <v>0</v>
      </c>
      <c r="Q1590" s="138">
        <v>130</v>
      </c>
      <c r="R1590" s="138">
        <v>22</v>
      </c>
      <c r="S1590" s="138">
        <v>152</v>
      </c>
      <c r="T1590" s="138">
        <v>152</v>
      </c>
      <c r="U1590" s="136"/>
      <c r="V1590" s="136"/>
      <c r="W1590" s="147">
        <v>90.4</v>
      </c>
      <c r="X1590" s="147">
        <v>90.3</v>
      </c>
      <c r="Y1590" s="147">
        <v>750320</v>
      </c>
      <c r="Z1590" s="236">
        <v>39.15</v>
      </c>
      <c r="AA1590" s="147">
        <v>18758</v>
      </c>
      <c r="AB1590" s="147">
        <v>18758</v>
      </c>
      <c r="AC1590" s="147">
        <v>787836</v>
      </c>
      <c r="AD1590" s="315">
        <f t="shared" si="1095"/>
        <v>787048.16399999999</v>
      </c>
      <c r="AE1590" s="236">
        <v>39.15</v>
      </c>
      <c r="AF1590" s="147">
        <v>42</v>
      </c>
      <c r="AG1590" s="236">
        <v>39.15</v>
      </c>
      <c r="AH1590" s="287">
        <v>2.7000000000000001E-3</v>
      </c>
      <c r="AI1590" s="287">
        <v>4.3200000000000002E-2</v>
      </c>
      <c r="AJ1590" s="287">
        <v>0.06</v>
      </c>
      <c r="AK1590" s="318">
        <f t="shared" si="1076"/>
        <v>50914.571428571457</v>
      </c>
      <c r="AL1590" s="193">
        <v>0</v>
      </c>
      <c r="AM1590" s="319">
        <v>0</v>
      </c>
      <c r="AN1590" s="319">
        <v>0</v>
      </c>
      <c r="AO1590" s="320">
        <f t="shared" si="1077"/>
        <v>0</v>
      </c>
      <c r="AP1590" s="193">
        <v>0</v>
      </c>
      <c r="AQ1590" s="318">
        <v>0</v>
      </c>
      <c r="AR1590" s="318">
        <f t="shared" si="1078"/>
        <v>50914.571428571457</v>
      </c>
      <c r="AS1590" s="318">
        <f t="shared" si="1079"/>
        <v>53460</v>
      </c>
      <c r="AT1590" s="321">
        <v>0</v>
      </c>
      <c r="AU1590" s="193"/>
      <c r="AV1590" s="193"/>
      <c r="AW1590" s="318">
        <f t="shared" si="1080"/>
        <v>9040</v>
      </c>
      <c r="AX1590" s="193"/>
      <c r="AY1590" s="318">
        <f t="shared" si="1081"/>
        <v>9040</v>
      </c>
      <c r="AZ1590" s="318">
        <f t="shared" si="1082"/>
        <v>9030</v>
      </c>
      <c r="BA1590" s="318">
        <f t="shared" si="1083"/>
        <v>10</v>
      </c>
      <c r="BB1590" s="318">
        <f t="shared" si="1084"/>
        <v>18.079999999999998</v>
      </c>
      <c r="BC1590" s="318">
        <v>0</v>
      </c>
      <c r="BD1590" s="193"/>
      <c r="BE1590" s="138">
        <v>90.4</v>
      </c>
      <c r="BF1590" s="321">
        <f t="shared" si="1085"/>
        <v>0.1356</v>
      </c>
      <c r="BG1590" s="321">
        <f t="shared" si="1086"/>
        <v>90.264400000000009</v>
      </c>
      <c r="BH1590" s="321">
        <f t="shared" si="1087"/>
        <v>90.3</v>
      </c>
      <c r="BI1590" s="322">
        <f t="shared" si="1088"/>
        <v>10.000000000000853</v>
      </c>
      <c r="BJ1590" s="322">
        <v>0</v>
      </c>
      <c r="BK1590" s="318">
        <f t="shared" si="1089"/>
        <v>10.000000000000853</v>
      </c>
      <c r="BL1590" s="193"/>
      <c r="BM1590" s="449" t="str">
        <f t="shared" si="1090"/>
        <v>Unloading no. 1555 Bill No HA/26-27/0561 ,Deduction For Oil Deduction= 50914.5714285715 ,Bardana= 0 ,F.M= 0 Brokerage/Rate Difference 0 ,Shortage = 0 ,Greenish= 0 ,Moisture= 0</v>
      </c>
      <c r="BN1590" s="193"/>
      <c r="BO1590" s="449" t="str">
        <f t="shared" si="1091"/>
        <v xml:space="preserve"> Party Condition 42  ,F.M% 0.27 ,Greenish 4.32 ,Moisture 6 ,Shortage in KG= 0  ,Oil% 39.15</v>
      </c>
      <c r="BP1590" s="318">
        <f t="shared" si="1092"/>
        <v>7745.3535832937823</v>
      </c>
      <c r="BQ1590" s="193"/>
      <c r="BR1590" s="193"/>
      <c r="BS1590" s="193"/>
      <c r="BT1590" s="193"/>
      <c r="BU1590" s="193"/>
      <c r="BV1590" s="193"/>
      <c r="BW1590" s="193"/>
      <c r="BX1590" s="138">
        <v>38.700000000000003</v>
      </c>
      <c r="BY1590" s="138">
        <v>38.5</v>
      </c>
      <c r="CO1590" s="57">
        <f t="shared" si="1096"/>
        <v>0.44999999999999574</v>
      </c>
      <c r="CP1590" s="57">
        <f t="shared" si="1097"/>
        <v>0.64999999999999858</v>
      </c>
    </row>
    <row r="1591" spans="1:94" ht="14.1" hidden="1" customHeight="1" x14ac:dyDescent="0.3">
      <c r="A1591" s="128" t="s">
        <v>3345</v>
      </c>
      <c r="B1591" s="146">
        <v>46225</v>
      </c>
      <c r="C1591" s="281">
        <v>1556</v>
      </c>
      <c r="D1591" s="128" t="s">
        <v>3378</v>
      </c>
      <c r="E1591" s="129">
        <v>46234</v>
      </c>
      <c r="F1591" s="128" t="s">
        <v>2497</v>
      </c>
      <c r="G1591" s="128" t="s">
        <v>2498</v>
      </c>
      <c r="H1591" s="128" t="s">
        <v>100</v>
      </c>
      <c r="I1591" s="136"/>
      <c r="J1591" s="138" t="s">
        <v>1146</v>
      </c>
      <c r="K1591" s="136"/>
      <c r="L1591" s="146">
        <v>46225</v>
      </c>
      <c r="M1591" s="136"/>
      <c r="N1591" s="281" t="s">
        <v>3410</v>
      </c>
      <c r="O1591" s="130">
        <v>46234</v>
      </c>
      <c r="P1591" s="138">
        <v>0</v>
      </c>
      <c r="Q1591" s="138">
        <v>140</v>
      </c>
      <c r="R1591" s="138">
        <v>12</v>
      </c>
      <c r="S1591" s="138">
        <v>152</v>
      </c>
      <c r="T1591" s="138">
        <v>152</v>
      </c>
      <c r="U1591" s="136"/>
      <c r="V1591" s="136"/>
      <c r="W1591" s="147">
        <v>90.7</v>
      </c>
      <c r="X1591" s="147">
        <v>90.6</v>
      </c>
      <c r="Y1591" s="147">
        <v>752810</v>
      </c>
      <c r="Z1591" s="236">
        <v>39.94</v>
      </c>
      <c r="AA1591" s="147">
        <v>18820.25</v>
      </c>
      <c r="AB1591" s="147">
        <v>18820.25</v>
      </c>
      <c r="AC1591" s="147">
        <v>790450.5</v>
      </c>
      <c r="AD1591" s="315">
        <f t="shared" si="1095"/>
        <v>789660.04949999996</v>
      </c>
      <c r="AE1591" s="236">
        <v>39.94</v>
      </c>
      <c r="AF1591" s="147">
        <v>42</v>
      </c>
      <c r="AG1591" s="236">
        <v>39.94</v>
      </c>
      <c r="AH1591" s="287">
        <v>2.8E-3</v>
      </c>
      <c r="AI1591" s="287">
        <v>4.5199999999999997E-2</v>
      </c>
      <c r="AJ1591" s="287">
        <v>0.06</v>
      </c>
      <c r="AK1591" s="318">
        <f t="shared" si="1076"/>
        <v>36923.538095238138</v>
      </c>
      <c r="AL1591" s="193">
        <v>0</v>
      </c>
      <c r="AM1591" s="319">
        <v>0</v>
      </c>
      <c r="AN1591" s="319">
        <v>0</v>
      </c>
      <c r="AO1591" s="320">
        <f t="shared" si="1077"/>
        <v>0</v>
      </c>
      <c r="AP1591" s="193">
        <v>0</v>
      </c>
      <c r="AQ1591" s="318">
        <v>0</v>
      </c>
      <c r="AR1591" s="318">
        <f t="shared" si="1078"/>
        <v>36923.538095238138</v>
      </c>
      <c r="AS1591" s="318">
        <f t="shared" si="1079"/>
        <v>38770</v>
      </c>
      <c r="AT1591" s="321">
        <v>0</v>
      </c>
      <c r="AU1591" s="193"/>
      <c r="AV1591" s="193"/>
      <c r="AW1591" s="318">
        <f t="shared" si="1080"/>
        <v>9070</v>
      </c>
      <c r="AX1591" s="193"/>
      <c r="AY1591" s="318">
        <f t="shared" si="1081"/>
        <v>9070</v>
      </c>
      <c r="AZ1591" s="318">
        <f t="shared" si="1082"/>
        <v>9060</v>
      </c>
      <c r="BA1591" s="318">
        <f t="shared" si="1083"/>
        <v>10</v>
      </c>
      <c r="BB1591" s="318">
        <f t="shared" si="1084"/>
        <v>18.14</v>
      </c>
      <c r="BC1591" s="318">
        <v>0</v>
      </c>
      <c r="BD1591" s="193"/>
      <c r="BE1591" s="138">
        <v>90.7</v>
      </c>
      <c r="BF1591" s="321">
        <f t="shared" si="1085"/>
        <v>0.13605</v>
      </c>
      <c r="BG1591" s="321">
        <f t="shared" si="1086"/>
        <v>90.563950000000006</v>
      </c>
      <c r="BH1591" s="321">
        <f t="shared" si="1087"/>
        <v>90.6</v>
      </c>
      <c r="BI1591" s="322">
        <f t="shared" si="1088"/>
        <v>10.000000000000853</v>
      </c>
      <c r="BJ1591" s="322">
        <v>0</v>
      </c>
      <c r="BK1591" s="318">
        <f t="shared" si="1089"/>
        <v>10.000000000000853</v>
      </c>
      <c r="BL1591" s="193"/>
      <c r="BM1591" s="449" t="str">
        <f t="shared" si="1090"/>
        <v>Unloading no. 1556 Bill No HA/26-27/0562 ,Deduction For Oil Deduction= 36923.5380952381 ,Bardana= 0 ,F.M= 0 Brokerage/Rate Difference 0 ,Shortage = 0 ,Greenish= 0 ,Moisture= 0</v>
      </c>
      <c r="BN1591" s="193"/>
      <c r="BO1591" s="449" t="str">
        <f t="shared" si="1091"/>
        <v xml:space="preserve"> Party Condition 42  ,F.M% 0.28 ,Greenish 4.52 ,Moisture 6 ,Shortage in KG= 0  ,Oil% 39.94</v>
      </c>
      <c r="BP1591" s="318">
        <f t="shared" si="1092"/>
        <v>7901.6165773152525</v>
      </c>
      <c r="BQ1591" s="193"/>
      <c r="BR1591" s="193"/>
      <c r="BS1591" s="193"/>
      <c r="BT1591" s="193"/>
      <c r="BU1591" s="193"/>
      <c r="BV1591" s="193"/>
      <c r="BW1591" s="193"/>
      <c r="BX1591" s="138">
        <v>39.6</v>
      </c>
      <c r="BY1591" s="138">
        <v>39.39</v>
      </c>
      <c r="CO1591" s="57">
        <f t="shared" si="1096"/>
        <v>0.33999999999999631</v>
      </c>
      <c r="CP1591" s="57">
        <f t="shared" si="1097"/>
        <v>0.54999999999999716</v>
      </c>
    </row>
    <row r="1592" spans="1:94" ht="14.1" hidden="1" customHeight="1" x14ac:dyDescent="0.3">
      <c r="A1592" s="128" t="s">
        <v>3344</v>
      </c>
      <c r="B1592" s="146">
        <v>46228</v>
      </c>
      <c r="C1592" s="281">
        <v>1557</v>
      </c>
      <c r="D1592" s="128" t="s">
        <v>3379</v>
      </c>
      <c r="E1592" s="129">
        <v>46234</v>
      </c>
      <c r="F1592" s="128" t="s">
        <v>1144</v>
      </c>
      <c r="G1592" s="128" t="s">
        <v>1145</v>
      </c>
      <c r="H1592" s="128" t="s">
        <v>100</v>
      </c>
      <c r="I1592" s="136"/>
      <c r="J1592" s="138" t="s">
        <v>1146</v>
      </c>
      <c r="K1592" s="136"/>
      <c r="L1592" s="146">
        <v>46228</v>
      </c>
      <c r="M1592" s="136"/>
      <c r="N1592" s="281" t="s">
        <v>3411</v>
      </c>
      <c r="O1592" s="130">
        <v>46232</v>
      </c>
      <c r="P1592" s="138">
        <v>0</v>
      </c>
      <c r="Q1592" s="138">
        <v>700</v>
      </c>
      <c r="R1592" s="138">
        <v>125</v>
      </c>
      <c r="S1592" s="138">
        <v>825</v>
      </c>
      <c r="T1592" s="138">
        <v>825</v>
      </c>
      <c r="U1592" s="136"/>
      <c r="V1592" s="136"/>
      <c r="W1592" s="147">
        <v>420.5</v>
      </c>
      <c r="X1592" s="147">
        <v>421.1</v>
      </c>
      <c r="Y1592" s="147">
        <v>3490150</v>
      </c>
      <c r="Z1592" s="236">
        <v>39.270000000000003</v>
      </c>
      <c r="AA1592" s="147">
        <v>87253.75</v>
      </c>
      <c r="AB1592" s="147">
        <v>87253.75</v>
      </c>
      <c r="AC1592" s="147">
        <v>3664657.5</v>
      </c>
      <c r="AD1592" s="315">
        <f>SUM(AC1592-AC1592*0.1%)</f>
        <v>3660992.8424999998</v>
      </c>
      <c r="AE1592" s="236">
        <v>39.270000000000003</v>
      </c>
      <c r="AF1592" s="147">
        <v>42</v>
      </c>
      <c r="AG1592" s="236">
        <v>39.270000000000003</v>
      </c>
      <c r="AH1592" s="287">
        <v>6.7000000000000002E-3</v>
      </c>
      <c r="AI1592" s="287">
        <v>3.2000000000000001E-2</v>
      </c>
      <c r="AJ1592" s="287">
        <v>5.1999999999999998E-2</v>
      </c>
      <c r="AK1592" s="318">
        <f t="shared" si="1076"/>
        <v>226859.74999999971</v>
      </c>
      <c r="AL1592" s="193">
        <v>0</v>
      </c>
      <c r="AM1592" s="319">
        <v>0</v>
      </c>
      <c r="AN1592" s="319">
        <v>0</v>
      </c>
      <c r="AO1592" s="320">
        <f t="shared" si="1077"/>
        <v>0</v>
      </c>
      <c r="AP1592" s="193">
        <v>0</v>
      </c>
      <c r="AQ1592" s="318">
        <v>0</v>
      </c>
      <c r="AR1592" s="318">
        <f t="shared" si="1078"/>
        <v>226859.74999999971</v>
      </c>
      <c r="AS1592" s="318">
        <f t="shared" si="1079"/>
        <v>238203</v>
      </c>
      <c r="AT1592" s="321">
        <v>0</v>
      </c>
      <c r="AU1592" s="193"/>
      <c r="AV1592" s="193"/>
      <c r="AW1592" s="318">
        <f t="shared" si="1080"/>
        <v>42050</v>
      </c>
      <c r="AX1592" s="193"/>
      <c r="AY1592" s="318">
        <f t="shared" si="1081"/>
        <v>42050</v>
      </c>
      <c r="AZ1592" s="318">
        <f t="shared" si="1082"/>
        <v>42110</v>
      </c>
      <c r="BA1592" s="318">
        <f t="shared" si="1083"/>
        <v>-60</v>
      </c>
      <c r="BB1592" s="318">
        <f t="shared" si="1084"/>
        <v>84.1</v>
      </c>
      <c r="BC1592" s="318">
        <v>0</v>
      </c>
      <c r="BD1592" s="193"/>
      <c r="BE1592" s="138">
        <v>420.5</v>
      </c>
      <c r="BF1592" s="321">
        <f t="shared" si="1085"/>
        <v>0.63074999999999992</v>
      </c>
      <c r="BG1592" s="321">
        <f t="shared" si="1086"/>
        <v>419.86925000000002</v>
      </c>
      <c r="BH1592" s="321">
        <f t="shared" si="1087"/>
        <v>421.1</v>
      </c>
      <c r="BI1592" s="322">
        <f t="shared" si="1088"/>
        <v>-60.000000000002274</v>
      </c>
      <c r="BJ1592" s="322">
        <v>0</v>
      </c>
      <c r="BK1592" s="318">
        <f t="shared" si="1089"/>
        <v>-60.000000000002274</v>
      </c>
      <c r="BL1592" s="193"/>
      <c r="BM1592" s="449" t="str">
        <f t="shared" si="1090"/>
        <v>Unloading no. 1557 Bill No 2026-278/560 ,Deduction For Oil Deduction= 226859.75 ,Bardana= 0 ,F.M= 0 Brokerage/Rate Difference 0 ,Shortage = 0 ,Greenish= 0 ,Moisture= 0</v>
      </c>
      <c r="BN1592" s="193"/>
      <c r="BO1592" s="449" t="str">
        <f t="shared" si="1091"/>
        <v xml:space="preserve"> Party Condition 42  ,F.M% 0.67 ,Greenish 3.2 ,Moisture 5.2 ,Shortage in KG= 0  ,Oil% 39.27</v>
      </c>
      <c r="BP1592" s="318">
        <f t="shared" si="1092"/>
        <v>7749.4425314652108</v>
      </c>
      <c r="BQ1592" s="193"/>
      <c r="BR1592" s="193"/>
      <c r="BS1592" s="193"/>
      <c r="BT1592" s="193"/>
      <c r="BU1592" s="193"/>
      <c r="BV1592" s="193"/>
      <c r="BW1592" s="193"/>
      <c r="BX1592" s="138">
        <v>38.270000000000003</v>
      </c>
      <c r="BY1592" s="138">
        <v>38.22</v>
      </c>
      <c r="CO1592" s="460">
        <f t="shared" si="1096"/>
        <v>1</v>
      </c>
      <c r="CP1592" s="460">
        <f t="shared" si="1097"/>
        <v>1.0500000000000043</v>
      </c>
    </row>
    <row r="1593" spans="1:94" ht="14.1" hidden="1" customHeight="1" x14ac:dyDescent="0.3">
      <c r="A1593" s="128" t="s">
        <v>3344</v>
      </c>
      <c r="B1593" s="146">
        <v>46228</v>
      </c>
      <c r="C1593" s="281">
        <v>1558</v>
      </c>
      <c r="D1593" s="128" t="s">
        <v>3412</v>
      </c>
      <c r="E1593" s="130">
        <v>46235</v>
      </c>
      <c r="F1593" s="128" t="s">
        <v>1144</v>
      </c>
      <c r="G1593" s="128" t="s">
        <v>1145</v>
      </c>
      <c r="H1593" s="128" t="s">
        <v>100</v>
      </c>
      <c r="I1593" s="136"/>
      <c r="J1593" s="138" t="s">
        <v>1146</v>
      </c>
      <c r="K1593" s="136"/>
      <c r="L1593" s="146">
        <v>46228</v>
      </c>
      <c r="M1593" s="136"/>
      <c r="N1593" s="281" t="s">
        <v>3432</v>
      </c>
      <c r="O1593" s="130">
        <v>46233</v>
      </c>
      <c r="P1593" s="138">
        <v>0</v>
      </c>
      <c r="Q1593" s="138">
        <v>395</v>
      </c>
      <c r="R1593" s="138">
        <v>210</v>
      </c>
      <c r="S1593" s="138">
        <v>605</v>
      </c>
      <c r="T1593" s="138">
        <v>605</v>
      </c>
      <c r="U1593" s="136"/>
      <c r="V1593" s="136"/>
      <c r="W1593" s="147">
        <v>306.89999999999998</v>
      </c>
      <c r="X1593" s="147">
        <v>307.2</v>
      </c>
      <c r="Y1593" s="147">
        <v>2547270</v>
      </c>
      <c r="Z1593" s="327">
        <v>38.33</v>
      </c>
      <c r="AA1593" s="147">
        <v>63681.75</v>
      </c>
      <c r="AB1593" s="147">
        <v>63681.75</v>
      </c>
      <c r="AC1593" s="147">
        <v>2674633.5</v>
      </c>
      <c r="AD1593" s="315">
        <f t="shared" ref="AD1593:AD1656" si="1098">SUM(AC1593-AC1593*0.1%)</f>
        <v>2671958.8665</v>
      </c>
      <c r="AE1593" s="327">
        <v>38.33</v>
      </c>
      <c r="AF1593" s="147">
        <v>42</v>
      </c>
      <c r="AG1593" s="327">
        <v>38.33</v>
      </c>
      <c r="AH1593" s="287">
        <v>3.0000000000000001E-3</v>
      </c>
      <c r="AI1593" s="287">
        <v>3.3500000000000002E-2</v>
      </c>
      <c r="AJ1593" s="287">
        <v>5.3999999999999999E-2</v>
      </c>
      <c r="AK1593" s="318">
        <f t="shared" ref="AK1593:AK1612" si="1099">+IF(AF1593=42,IF(MIN(AE1593,AG1593)&lt;AF1593,Y1593*((AF1593-MIN(AE1593,AG1593))/AF1593)),IF(MIN(AE1593,AG1593)&lt;AF1593,Y1593*((AF1593-MIN(AE1593,AG1593))/AF1593),0))</f>
        <v>222582.87857142868</v>
      </c>
      <c r="AL1593" s="193">
        <v>0</v>
      </c>
      <c r="AM1593" s="319">
        <v>0</v>
      </c>
      <c r="AN1593" s="319">
        <v>0</v>
      </c>
      <c r="AO1593" s="320">
        <f t="shared" ref="AO1593:AO1612" si="1100">AT1593*Y1593/AW1593</f>
        <v>0</v>
      </c>
      <c r="AP1593" s="193">
        <v>0</v>
      </c>
      <c r="AQ1593" s="318">
        <v>0</v>
      </c>
      <c r="AR1593" s="318">
        <f t="shared" ref="AR1593:AR1612" si="1101">SUM(AK1593:AQ1593)</f>
        <v>222582.87857142868</v>
      </c>
      <c r="AS1593" s="318">
        <f t="shared" ref="AS1593:AS1612" si="1102">ROUND(AR1593*1.05,0)</f>
        <v>233712</v>
      </c>
      <c r="AT1593" s="321">
        <v>0</v>
      </c>
      <c r="AU1593" s="462"/>
      <c r="AV1593" s="193"/>
      <c r="AW1593" s="318">
        <f t="shared" ref="AW1593:AW1612" si="1103">W1593*100</f>
        <v>30689.999999999996</v>
      </c>
      <c r="AX1593" s="193"/>
      <c r="AY1593" s="318">
        <f t="shared" ref="AY1593:AY1612" si="1104">+AW1593+AX1593</f>
        <v>30689.999999999996</v>
      </c>
      <c r="AZ1593" s="318">
        <f t="shared" ref="AZ1593:AZ1612" si="1105">X1593*100</f>
        <v>30720</v>
      </c>
      <c r="BA1593" s="318">
        <f t="shared" ref="BA1593:BA1612" si="1106">AY1593-AZ1593</f>
        <v>-30.000000000003638</v>
      </c>
      <c r="BB1593" s="318">
        <f t="shared" ref="BB1593:BB1612" si="1107">AW1593*2/1000</f>
        <v>61.379999999999995</v>
      </c>
      <c r="BC1593" s="318">
        <v>0</v>
      </c>
      <c r="BD1593" s="193"/>
      <c r="BE1593" s="147">
        <v>306.89999999999998</v>
      </c>
      <c r="BF1593" s="321">
        <f t="shared" ref="BF1593:BF1610" si="1108">+BE1593*0.15/100</f>
        <v>0.46034999999999998</v>
      </c>
      <c r="BG1593" s="321">
        <f t="shared" ref="BG1593:BG1610" si="1109">BE1593-BF1593</f>
        <v>306.43964999999997</v>
      </c>
      <c r="BH1593" s="321">
        <f t="shared" ref="BH1593:BH1610" si="1110">X1593</f>
        <v>307.2</v>
      </c>
      <c r="BI1593" s="322">
        <f t="shared" ref="BI1593:BI1610" si="1111">(BE1593-BH1593)*100</f>
        <v>-30.000000000001137</v>
      </c>
      <c r="BJ1593" s="322">
        <v>0</v>
      </c>
      <c r="BK1593" s="318">
        <f t="shared" ref="BK1593:BK1610" si="1112">BI1593</f>
        <v>-30.000000000001137</v>
      </c>
      <c r="BL1593" s="193"/>
      <c r="BM1593" s="449" t="str">
        <f t="shared" ref="BM1593:BM1610" si="1113">+$C$1&amp;" "&amp;C1593 &amp;" "&amp;$N$1&amp;" "&amp;N1593&amp;" "&amp;$BM$1&amp;" "&amp;$AK$1&amp;" "&amp;AK1593&amp;" "&amp;$AL$1&amp;" "&amp;AL1593&amp;" "&amp;$AM$1&amp;" "&amp;AM1593&amp;" "&amp;$AN$1&amp;" "&amp;AN1593&amp;" "&amp;$AO$1&amp;" "&amp;AO1593&amp;" "&amp;$AP$1&amp;" "&amp;AP1593&amp;" "&amp;$AQ$1&amp;" "&amp;AQ1593</f>
        <v>Unloading no. 1558 Bill No 2026-27/565 ,Deduction For Oil Deduction= 222582.878571429 ,Bardana= 0 ,F.M= 0 Brokerage/Rate Difference 0 ,Shortage = 0 ,Greenish= 0 ,Moisture= 0</v>
      </c>
      <c r="BN1593" s="193"/>
      <c r="BO1593" s="449" t="str">
        <f t="shared" ref="BO1593:BO1610" si="1114">+" "&amp;$AF$1&amp;" "&amp;AF1593&amp;" "&amp;" "&amp;$AH$1&amp;" "&amp;AH1593*100&amp;" "&amp;$AI$1&amp;" "&amp;AI1593*100&amp;" "&amp;$AJ$1&amp;" "&amp;AJ1593*100&amp;" ,"&amp;$AT$1&amp;" "&amp;AT1593&amp;" "&amp;IF(AE1593&gt;AG1593," ,Oil%"&amp;" "&amp;AG1593," ,Oil%"&amp;" "&amp;AE1593)</f>
        <v xml:space="preserve"> Party Condition 42  ,F.M% 0.3 ,Greenish 3.35 ,Moisture 5.4 ,Shortage in KG= 0  ,Oil% 38.33</v>
      </c>
      <c r="BP1593" s="318">
        <f t="shared" ref="BP1593:BP1610" si="1115">(Y1593-AR1593)/X1593</f>
        <v>7567.3408900669638</v>
      </c>
      <c r="BQ1593" s="193"/>
      <c r="BR1593" s="193"/>
      <c r="BS1593" s="193"/>
      <c r="BT1593" s="193"/>
      <c r="BU1593" s="193"/>
      <c r="BV1593" s="193"/>
      <c r="BW1593" s="193"/>
      <c r="BX1593" s="147">
        <v>37.76</v>
      </c>
      <c r="BY1593" s="147">
        <v>37.78</v>
      </c>
      <c r="CO1593" s="460">
        <f t="shared" ref="CO1593:CO1612" si="1116">Z1593-BX1593</f>
        <v>0.57000000000000028</v>
      </c>
      <c r="CP1593" s="460">
        <f t="shared" ref="CP1593:CP1612" si="1117">Z1593-BY1593</f>
        <v>0.54999999999999716</v>
      </c>
    </row>
    <row r="1594" spans="1:94" ht="14.1" hidden="1" customHeight="1" x14ac:dyDescent="0.3">
      <c r="A1594" s="128" t="s">
        <v>3344</v>
      </c>
      <c r="B1594" s="146">
        <v>46228</v>
      </c>
      <c r="C1594" s="281">
        <v>1559</v>
      </c>
      <c r="D1594" s="128" t="s">
        <v>3413</v>
      </c>
      <c r="E1594" s="130">
        <v>46235</v>
      </c>
      <c r="F1594" s="128" t="s">
        <v>1144</v>
      </c>
      <c r="G1594" s="128" t="s">
        <v>1145</v>
      </c>
      <c r="H1594" s="128" t="s">
        <v>100</v>
      </c>
      <c r="I1594" s="136"/>
      <c r="J1594" s="138" t="s">
        <v>1146</v>
      </c>
      <c r="K1594" s="136"/>
      <c r="L1594" s="146">
        <v>46228</v>
      </c>
      <c r="M1594" s="136"/>
      <c r="N1594" s="281" t="s">
        <v>3433</v>
      </c>
      <c r="O1594" s="130">
        <v>46233</v>
      </c>
      <c r="P1594" s="138">
        <v>0</v>
      </c>
      <c r="Q1594" s="138">
        <v>600</v>
      </c>
      <c r="R1594" s="138">
        <v>230</v>
      </c>
      <c r="S1594" s="138">
        <v>830</v>
      </c>
      <c r="T1594" s="138">
        <v>830</v>
      </c>
      <c r="U1594" s="136"/>
      <c r="V1594" s="136"/>
      <c r="W1594" s="147">
        <v>419</v>
      </c>
      <c r="X1594" s="147">
        <v>418.7</v>
      </c>
      <c r="Y1594" s="147">
        <v>3477700</v>
      </c>
      <c r="Z1594" s="327">
        <v>38.96</v>
      </c>
      <c r="AA1594" s="147">
        <v>86942.5</v>
      </c>
      <c r="AB1594" s="147">
        <v>86942.5</v>
      </c>
      <c r="AC1594" s="147">
        <v>3651585</v>
      </c>
      <c r="AD1594" s="315">
        <f t="shared" si="1098"/>
        <v>3647933.415</v>
      </c>
      <c r="AE1594" s="327">
        <v>38.96</v>
      </c>
      <c r="AF1594" s="147">
        <v>42</v>
      </c>
      <c r="AG1594" s="327">
        <v>38.96</v>
      </c>
      <c r="AH1594" s="287">
        <v>4.0000000000000001E-3</v>
      </c>
      <c r="AI1594" s="287">
        <v>3.49E-2</v>
      </c>
      <c r="AJ1594" s="287">
        <v>0.05</v>
      </c>
      <c r="AK1594" s="318">
        <f t="shared" si="1099"/>
        <v>251719.23809523805</v>
      </c>
      <c r="AL1594" s="193">
        <v>0</v>
      </c>
      <c r="AM1594" s="319">
        <v>0</v>
      </c>
      <c r="AN1594" s="319">
        <v>0</v>
      </c>
      <c r="AO1594" s="320">
        <f t="shared" si="1100"/>
        <v>0</v>
      </c>
      <c r="AP1594" s="193">
        <v>0</v>
      </c>
      <c r="AQ1594" s="318">
        <v>0</v>
      </c>
      <c r="AR1594" s="318">
        <f t="shared" si="1101"/>
        <v>251719.23809523805</v>
      </c>
      <c r="AS1594" s="318">
        <f t="shared" si="1102"/>
        <v>264305</v>
      </c>
      <c r="AT1594" s="321">
        <v>0</v>
      </c>
      <c r="AU1594" s="462"/>
      <c r="AV1594" s="193"/>
      <c r="AW1594" s="318">
        <f t="shared" si="1103"/>
        <v>41900</v>
      </c>
      <c r="AX1594" s="193"/>
      <c r="AY1594" s="318">
        <f t="shared" si="1104"/>
        <v>41900</v>
      </c>
      <c r="AZ1594" s="318">
        <f t="shared" si="1105"/>
        <v>41870</v>
      </c>
      <c r="BA1594" s="318">
        <f t="shared" si="1106"/>
        <v>30</v>
      </c>
      <c r="BB1594" s="318">
        <f t="shared" si="1107"/>
        <v>83.8</v>
      </c>
      <c r="BC1594" s="318">
        <v>0</v>
      </c>
      <c r="BD1594" s="193"/>
      <c r="BE1594" s="147">
        <v>419</v>
      </c>
      <c r="BF1594" s="321">
        <f t="shared" si="1108"/>
        <v>0.62849999999999995</v>
      </c>
      <c r="BG1594" s="321">
        <f t="shared" si="1109"/>
        <v>418.37150000000003</v>
      </c>
      <c r="BH1594" s="321">
        <f t="shared" si="1110"/>
        <v>418.7</v>
      </c>
      <c r="BI1594" s="322">
        <f t="shared" si="1111"/>
        <v>30.000000000001137</v>
      </c>
      <c r="BJ1594" s="322">
        <v>0</v>
      </c>
      <c r="BK1594" s="318">
        <f t="shared" si="1112"/>
        <v>30.000000000001137</v>
      </c>
      <c r="BL1594" s="193"/>
      <c r="BM1594" s="449" t="str">
        <f t="shared" si="1113"/>
        <v>Unloading no. 1559 Bill No 2026-27/567 ,Deduction For Oil Deduction= 251719.238095238 ,Bardana= 0 ,F.M= 0 Brokerage/Rate Difference 0 ,Shortage = 0 ,Greenish= 0 ,Moisture= 0</v>
      </c>
      <c r="BN1594" s="193"/>
      <c r="BO1594" s="449" t="str">
        <f t="shared" si="1114"/>
        <v xml:space="preserve"> Party Condition 42  ,F.M% 0.4 ,Greenish 3.49 ,Moisture 5 ,Shortage in KG= 0  ,Oil% 38.96</v>
      </c>
      <c r="BP1594" s="318">
        <f t="shared" si="1115"/>
        <v>7704.7546259965657</v>
      </c>
      <c r="BQ1594" s="193"/>
      <c r="BR1594" s="193"/>
      <c r="BS1594" s="193"/>
      <c r="BT1594" s="193"/>
      <c r="BU1594" s="193"/>
      <c r="BV1594" s="193"/>
      <c r="BW1594" s="193"/>
      <c r="BX1594" s="147">
        <v>38.06</v>
      </c>
      <c r="BY1594" s="147">
        <v>37.83</v>
      </c>
      <c r="CO1594" s="460">
        <f t="shared" si="1116"/>
        <v>0.89999999999999858</v>
      </c>
      <c r="CP1594" s="460">
        <f t="shared" si="1117"/>
        <v>1.1300000000000026</v>
      </c>
    </row>
    <row r="1595" spans="1:94" ht="14.1" hidden="1" customHeight="1" x14ac:dyDescent="0.3">
      <c r="A1595" s="128" t="s">
        <v>3344</v>
      </c>
      <c r="B1595" s="146">
        <v>46228</v>
      </c>
      <c r="C1595" s="281">
        <v>1560</v>
      </c>
      <c r="D1595" s="128" t="s">
        <v>3414</v>
      </c>
      <c r="E1595" s="130">
        <v>46235</v>
      </c>
      <c r="F1595" s="128" t="s">
        <v>1144</v>
      </c>
      <c r="G1595" s="128" t="s">
        <v>1145</v>
      </c>
      <c r="H1595" s="128" t="s">
        <v>100</v>
      </c>
      <c r="I1595" s="136"/>
      <c r="J1595" s="138" t="s">
        <v>1146</v>
      </c>
      <c r="K1595" s="136"/>
      <c r="L1595" s="146">
        <v>46228</v>
      </c>
      <c r="M1595" s="136"/>
      <c r="N1595" s="281" t="s">
        <v>3434</v>
      </c>
      <c r="O1595" s="130">
        <v>46233</v>
      </c>
      <c r="P1595" s="138">
        <v>0</v>
      </c>
      <c r="Q1595" s="138">
        <v>386</v>
      </c>
      <c r="R1595" s="138">
        <v>200</v>
      </c>
      <c r="S1595" s="138">
        <v>586</v>
      </c>
      <c r="T1595" s="138">
        <v>586</v>
      </c>
      <c r="U1595" s="136"/>
      <c r="V1595" s="136"/>
      <c r="W1595" s="147">
        <v>302.10000000000002</v>
      </c>
      <c r="X1595" s="147">
        <v>302.10000000000002</v>
      </c>
      <c r="Y1595" s="147">
        <v>2507430</v>
      </c>
      <c r="Z1595" s="327">
        <v>40.17</v>
      </c>
      <c r="AA1595" s="147">
        <v>62685.75</v>
      </c>
      <c r="AB1595" s="147">
        <v>62685.75</v>
      </c>
      <c r="AC1595" s="147">
        <v>2632801.5</v>
      </c>
      <c r="AD1595" s="315">
        <f t="shared" si="1098"/>
        <v>2630168.6984999999</v>
      </c>
      <c r="AE1595" s="327">
        <v>40.17</v>
      </c>
      <c r="AF1595" s="147">
        <v>42</v>
      </c>
      <c r="AG1595" s="327">
        <v>40.17</v>
      </c>
      <c r="AH1595" s="287">
        <v>7.0000000000000001E-3</v>
      </c>
      <c r="AI1595" s="287">
        <v>3.6499999999999998E-2</v>
      </c>
      <c r="AJ1595" s="287">
        <v>5.7000000000000002E-2</v>
      </c>
      <c r="AK1595" s="318">
        <f t="shared" si="1099"/>
        <v>109252.30714285704</v>
      </c>
      <c r="AL1595" s="193">
        <v>0</v>
      </c>
      <c r="AM1595" s="319">
        <v>0</v>
      </c>
      <c r="AN1595" s="319">
        <v>0</v>
      </c>
      <c r="AO1595" s="320">
        <f t="shared" si="1100"/>
        <v>0</v>
      </c>
      <c r="AP1595" s="193">
        <v>0</v>
      </c>
      <c r="AQ1595" s="318">
        <v>0</v>
      </c>
      <c r="AR1595" s="318">
        <f t="shared" si="1101"/>
        <v>109252.30714285704</v>
      </c>
      <c r="AS1595" s="318">
        <f t="shared" si="1102"/>
        <v>114715</v>
      </c>
      <c r="AT1595" s="321">
        <v>0</v>
      </c>
      <c r="AU1595" s="462"/>
      <c r="AV1595" s="193"/>
      <c r="AW1595" s="318">
        <f t="shared" si="1103"/>
        <v>30210.000000000004</v>
      </c>
      <c r="AX1595" s="193"/>
      <c r="AY1595" s="318">
        <f t="shared" si="1104"/>
        <v>30210.000000000004</v>
      </c>
      <c r="AZ1595" s="318">
        <f t="shared" si="1105"/>
        <v>30210.000000000004</v>
      </c>
      <c r="BA1595" s="318">
        <f t="shared" si="1106"/>
        <v>0</v>
      </c>
      <c r="BB1595" s="318">
        <f t="shared" si="1107"/>
        <v>60.420000000000009</v>
      </c>
      <c r="BC1595" s="318">
        <v>0</v>
      </c>
      <c r="BD1595" s="193"/>
      <c r="BE1595" s="147">
        <v>302.10000000000002</v>
      </c>
      <c r="BF1595" s="321">
        <f t="shared" si="1108"/>
        <v>0.45315000000000005</v>
      </c>
      <c r="BG1595" s="321">
        <f t="shared" si="1109"/>
        <v>301.64685000000003</v>
      </c>
      <c r="BH1595" s="321">
        <f t="shared" si="1110"/>
        <v>302.10000000000002</v>
      </c>
      <c r="BI1595" s="322">
        <f t="shared" si="1111"/>
        <v>0</v>
      </c>
      <c r="BJ1595" s="322">
        <v>0</v>
      </c>
      <c r="BK1595" s="318">
        <f t="shared" si="1112"/>
        <v>0</v>
      </c>
      <c r="BL1595" s="193"/>
      <c r="BM1595" s="449" t="str">
        <f t="shared" si="1113"/>
        <v>Unloading no. 1560 Bill No 2026-27/564 ,Deduction For Oil Deduction= 109252.307142857 ,Bardana= 0 ,F.M= 0 Brokerage/Rate Difference 0 ,Shortage = 0 ,Greenish= 0 ,Moisture= 0</v>
      </c>
      <c r="BN1595" s="193"/>
      <c r="BO1595" s="449" t="str">
        <f t="shared" si="1114"/>
        <v xml:space="preserve"> Party Condition 42  ,F.M% 0.7 ,Greenish 3.65 ,Moisture 5.7 ,Shortage in KG= 0  ,Oil% 40.17</v>
      </c>
      <c r="BP1595" s="318">
        <f t="shared" si="1115"/>
        <v>7938.3571428571431</v>
      </c>
      <c r="BQ1595" s="193"/>
      <c r="BR1595" s="193"/>
      <c r="BS1595" s="193"/>
      <c r="BT1595" s="193"/>
      <c r="BU1595" s="193"/>
      <c r="BV1595" s="193"/>
      <c r="BW1595" s="193"/>
      <c r="BX1595" s="147">
        <v>38.08</v>
      </c>
      <c r="BY1595" s="147">
        <v>37.78</v>
      </c>
      <c r="CO1595" s="460">
        <f t="shared" si="1116"/>
        <v>2.0900000000000034</v>
      </c>
      <c r="CP1595" s="460">
        <f t="shared" si="1117"/>
        <v>2.3900000000000006</v>
      </c>
    </row>
    <row r="1596" spans="1:94" ht="14.1" hidden="1" customHeight="1" x14ac:dyDescent="0.3">
      <c r="A1596" s="128" t="s">
        <v>3344</v>
      </c>
      <c r="B1596" s="146">
        <v>46228</v>
      </c>
      <c r="C1596" s="281">
        <v>1561</v>
      </c>
      <c r="D1596" s="128" t="s">
        <v>3415</v>
      </c>
      <c r="E1596" s="130">
        <v>46235</v>
      </c>
      <c r="F1596" s="128" t="s">
        <v>1144</v>
      </c>
      <c r="G1596" s="128" t="s">
        <v>1145</v>
      </c>
      <c r="H1596" s="128" t="s">
        <v>100</v>
      </c>
      <c r="I1596" s="136"/>
      <c r="J1596" s="138" t="s">
        <v>1146</v>
      </c>
      <c r="K1596" s="136"/>
      <c r="L1596" s="146">
        <v>46228</v>
      </c>
      <c r="M1596" s="136"/>
      <c r="N1596" s="281" t="s">
        <v>3435</v>
      </c>
      <c r="O1596" s="130">
        <v>46233</v>
      </c>
      <c r="P1596" s="138">
        <v>0</v>
      </c>
      <c r="Q1596" s="138">
        <v>454</v>
      </c>
      <c r="R1596" s="138">
        <v>150</v>
      </c>
      <c r="S1596" s="138">
        <v>604</v>
      </c>
      <c r="T1596" s="138">
        <v>604</v>
      </c>
      <c r="U1596" s="136"/>
      <c r="V1596" s="136"/>
      <c r="W1596" s="147">
        <v>304.39999999999998</v>
      </c>
      <c r="X1596" s="147">
        <v>304.3</v>
      </c>
      <c r="Y1596" s="147">
        <v>2526520</v>
      </c>
      <c r="Z1596" s="327">
        <v>38.64</v>
      </c>
      <c r="AA1596" s="147">
        <v>63163</v>
      </c>
      <c r="AB1596" s="147">
        <v>63163</v>
      </c>
      <c r="AC1596" s="147">
        <v>2652846</v>
      </c>
      <c r="AD1596" s="315">
        <f t="shared" si="1098"/>
        <v>2650193.1540000001</v>
      </c>
      <c r="AE1596" s="327">
        <v>38.64</v>
      </c>
      <c r="AF1596" s="147">
        <v>42</v>
      </c>
      <c r="AG1596" s="327">
        <v>38.64</v>
      </c>
      <c r="AH1596" s="287">
        <v>5.0000000000000001E-3</v>
      </c>
      <c r="AI1596" s="287">
        <v>3.4500000000000003E-2</v>
      </c>
      <c r="AJ1596" s="287">
        <v>5.3999999999999999E-2</v>
      </c>
      <c r="AK1596" s="318">
        <f t="shared" si="1099"/>
        <v>202121.59999999998</v>
      </c>
      <c r="AL1596" s="193">
        <v>0</v>
      </c>
      <c r="AM1596" s="319">
        <v>0</v>
      </c>
      <c r="AN1596" s="319">
        <v>0</v>
      </c>
      <c r="AO1596" s="320">
        <f t="shared" si="1100"/>
        <v>0</v>
      </c>
      <c r="AP1596" s="193">
        <v>0</v>
      </c>
      <c r="AQ1596" s="318">
        <v>0</v>
      </c>
      <c r="AR1596" s="318">
        <f t="shared" si="1101"/>
        <v>202121.59999999998</v>
      </c>
      <c r="AS1596" s="318">
        <f t="shared" si="1102"/>
        <v>212228</v>
      </c>
      <c r="AT1596" s="321">
        <v>0</v>
      </c>
      <c r="AU1596" s="462"/>
      <c r="AV1596" s="193"/>
      <c r="AW1596" s="318">
        <f t="shared" si="1103"/>
        <v>30439.999999999996</v>
      </c>
      <c r="AX1596" s="193"/>
      <c r="AY1596" s="318">
        <f t="shared" si="1104"/>
        <v>30439.999999999996</v>
      </c>
      <c r="AZ1596" s="318">
        <f t="shared" si="1105"/>
        <v>30430</v>
      </c>
      <c r="BA1596" s="318">
        <f t="shared" si="1106"/>
        <v>9.999999999996362</v>
      </c>
      <c r="BB1596" s="318">
        <f t="shared" si="1107"/>
        <v>60.879999999999995</v>
      </c>
      <c r="BC1596" s="318">
        <v>0</v>
      </c>
      <c r="BD1596" s="193"/>
      <c r="BE1596" s="147">
        <v>304.39999999999998</v>
      </c>
      <c r="BF1596" s="321">
        <f t="shared" si="1108"/>
        <v>0.45659999999999995</v>
      </c>
      <c r="BG1596" s="321">
        <f t="shared" si="1109"/>
        <v>303.9434</v>
      </c>
      <c r="BH1596" s="321">
        <f t="shared" si="1110"/>
        <v>304.3</v>
      </c>
      <c r="BI1596" s="322">
        <f t="shared" si="1111"/>
        <v>9.9999999999965894</v>
      </c>
      <c r="BJ1596" s="322">
        <v>0</v>
      </c>
      <c r="BK1596" s="318">
        <f t="shared" si="1112"/>
        <v>9.9999999999965894</v>
      </c>
      <c r="BL1596" s="193"/>
      <c r="BM1596" s="449" t="str">
        <f t="shared" si="1113"/>
        <v>Unloading no. 1561 Bill No 2026-27/563 ,Deduction For Oil Deduction= 202121.6 ,Bardana= 0 ,F.M= 0 Brokerage/Rate Difference 0 ,Shortage = 0 ,Greenish= 0 ,Moisture= 0</v>
      </c>
      <c r="BN1596" s="193"/>
      <c r="BO1596" s="449" t="str">
        <f t="shared" si="1114"/>
        <v xml:space="preserve"> Party Condition 42  ,F.M% 0.5 ,Greenish 3.45 ,Moisture 5.4 ,Shortage in KG= 0  ,Oil% 38.64</v>
      </c>
      <c r="BP1596" s="318">
        <f t="shared" si="1115"/>
        <v>7638.5093657574753</v>
      </c>
      <c r="BQ1596" s="193"/>
      <c r="BR1596" s="193"/>
      <c r="BS1596" s="193"/>
      <c r="BT1596" s="193"/>
      <c r="BU1596" s="193"/>
      <c r="BV1596" s="193"/>
      <c r="BW1596" s="193"/>
      <c r="BX1596" s="147">
        <v>38.130000000000003</v>
      </c>
      <c r="BY1596" s="147">
        <v>38.049999999999997</v>
      </c>
      <c r="CO1596" s="460">
        <f t="shared" si="1116"/>
        <v>0.50999999999999801</v>
      </c>
      <c r="CP1596" s="460">
        <f t="shared" si="1117"/>
        <v>0.59000000000000341</v>
      </c>
    </row>
    <row r="1597" spans="1:94" ht="14.1" hidden="1" customHeight="1" x14ac:dyDescent="0.3">
      <c r="A1597" s="128" t="s">
        <v>3344</v>
      </c>
      <c r="B1597" s="146">
        <v>46228</v>
      </c>
      <c r="C1597" s="281">
        <v>1562</v>
      </c>
      <c r="D1597" s="128" t="s">
        <v>3416</v>
      </c>
      <c r="E1597" s="130">
        <v>46235</v>
      </c>
      <c r="F1597" s="128" t="s">
        <v>1144</v>
      </c>
      <c r="G1597" s="128" t="s">
        <v>1145</v>
      </c>
      <c r="H1597" s="128" t="s">
        <v>100</v>
      </c>
      <c r="I1597" s="136"/>
      <c r="J1597" s="138" t="s">
        <v>1146</v>
      </c>
      <c r="K1597" s="136"/>
      <c r="L1597" s="146">
        <v>46228</v>
      </c>
      <c r="M1597" s="136"/>
      <c r="N1597" s="281" t="s">
        <v>3436</v>
      </c>
      <c r="O1597" s="130">
        <v>46233</v>
      </c>
      <c r="P1597" s="138">
        <v>0</v>
      </c>
      <c r="Q1597" s="138">
        <v>573</v>
      </c>
      <c r="R1597" s="138">
        <v>200</v>
      </c>
      <c r="S1597" s="138">
        <v>773</v>
      </c>
      <c r="T1597" s="138">
        <v>773</v>
      </c>
      <c r="U1597" s="136"/>
      <c r="V1597" s="136"/>
      <c r="W1597" s="147">
        <v>392</v>
      </c>
      <c r="X1597" s="147">
        <v>391.4</v>
      </c>
      <c r="Y1597" s="147">
        <v>3253600</v>
      </c>
      <c r="Z1597" s="327">
        <v>40.03</v>
      </c>
      <c r="AA1597" s="147">
        <v>81340</v>
      </c>
      <c r="AB1597" s="147">
        <v>81340</v>
      </c>
      <c r="AC1597" s="147">
        <v>3416280</v>
      </c>
      <c r="AD1597" s="315">
        <f t="shared" si="1098"/>
        <v>3412863.72</v>
      </c>
      <c r="AE1597" s="327">
        <v>40.03</v>
      </c>
      <c r="AF1597" s="147">
        <v>42</v>
      </c>
      <c r="AG1597" s="327">
        <v>40.03</v>
      </c>
      <c r="AH1597" s="287">
        <v>4.7999999999999996E-3</v>
      </c>
      <c r="AI1597" s="287">
        <v>0.05</v>
      </c>
      <c r="AJ1597" s="287">
        <v>5.3999999999999999E-2</v>
      </c>
      <c r="AK1597" s="318">
        <f t="shared" si="1099"/>
        <v>152609.33333333326</v>
      </c>
      <c r="AL1597" s="193">
        <v>0</v>
      </c>
      <c r="AM1597" s="319">
        <v>0</v>
      </c>
      <c r="AN1597" s="319">
        <v>0</v>
      </c>
      <c r="AO1597" s="320">
        <f t="shared" si="1100"/>
        <v>0</v>
      </c>
      <c r="AP1597" s="193">
        <v>0</v>
      </c>
      <c r="AQ1597" s="318">
        <v>0</v>
      </c>
      <c r="AR1597" s="318">
        <f t="shared" si="1101"/>
        <v>152609.33333333326</v>
      </c>
      <c r="AS1597" s="318">
        <f t="shared" si="1102"/>
        <v>160240</v>
      </c>
      <c r="AT1597" s="321">
        <v>0</v>
      </c>
      <c r="AU1597" s="462"/>
      <c r="AV1597" s="193"/>
      <c r="AW1597" s="318">
        <f t="shared" si="1103"/>
        <v>39200</v>
      </c>
      <c r="AX1597" s="193"/>
      <c r="AY1597" s="318">
        <f t="shared" si="1104"/>
        <v>39200</v>
      </c>
      <c r="AZ1597" s="318">
        <f t="shared" si="1105"/>
        <v>39140</v>
      </c>
      <c r="BA1597" s="318">
        <f t="shared" si="1106"/>
        <v>60</v>
      </c>
      <c r="BB1597" s="318">
        <f t="shared" si="1107"/>
        <v>78.400000000000006</v>
      </c>
      <c r="BC1597" s="318">
        <v>0</v>
      </c>
      <c r="BD1597" s="193"/>
      <c r="BE1597" s="147">
        <v>392</v>
      </c>
      <c r="BF1597" s="321">
        <f t="shared" si="1108"/>
        <v>0.58799999999999997</v>
      </c>
      <c r="BG1597" s="321">
        <f t="shared" si="1109"/>
        <v>391.41199999999998</v>
      </c>
      <c r="BH1597" s="321">
        <f t="shared" si="1110"/>
        <v>391.4</v>
      </c>
      <c r="BI1597" s="322">
        <f t="shared" si="1111"/>
        <v>60.000000000002274</v>
      </c>
      <c r="BJ1597" s="322">
        <v>0</v>
      </c>
      <c r="BK1597" s="318">
        <f t="shared" si="1112"/>
        <v>60.000000000002274</v>
      </c>
      <c r="BL1597" s="193"/>
      <c r="BM1597" s="449" t="str">
        <f t="shared" si="1113"/>
        <v>Unloading no. 1562 Bill No 2026-27/562 ,Deduction For Oil Deduction= 152609.333333333 ,Bardana= 0 ,F.M= 0 Brokerage/Rate Difference 0 ,Shortage = 0 ,Greenish= 0 ,Moisture= 0</v>
      </c>
      <c r="BN1597" s="193"/>
      <c r="BO1597" s="449" t="str">
        <f t="shared" si="1114"/>
        <v xml:space="preserve"> Party Condition 42  ,F.M% 0.48 ,Greenish 5 ,Moisture 5.4 ,Shortage in KG= 0  ,Oil% 40.03</v>
      </c>
      <c r="BP1597" s="318">
        <f t="shared" si="1115"/>
        <v>7922.8172372679282</v>
      </c>
      <c r="BQ1597" s="193"/>
      <c r="BR1597" s="193"/>
      <c r="BS1597" s="193"/>
      <c r="BT1597" s="193"/>
      <c r="BU1597" s="193"/>
      <c r="BV1597" s="193"/>
      <c r="BW1597" s="193"/>
      <c r="BX1597" s="147">
        <v>38.25</v>
      </c>
      <c r="BY1597" s="147">
        <v>38.01</v>
      </c>
      <c r="CO1597" s="460">
        <f t="shared" si="1116"/>
        <v>1.7800000000000011</v>
      </c>
      <c r="CP1597" s="460">
        <f t="shared" si="1117"/>
        <v>2.0200000000000031</v>
      </c>
    </row>
    <row r="1598" spans="1:94" ht="14.1" hidden="1" customHeight="1" x14ac:dyDescent="0.3">
      <c r="A1598" s="128" t="s">
        <v>3345</v>
      </c>
      <c r="B1598" s="146">
        <v>46225</v>
      </c>
      <c r="C1598" s="281">
        <v>1563</v>
      </c>
      <c r="D1598" s="128" t="s">
        <v>3417</v>
      </c>
      <c r="E1598" s="130">
        <v>46235</v>
      </c>
      <c r="F1598" s="128" t="s">
        <v>2497</v>
      </c>
      <c r="G1598" s="128" t="s">
        <v>2498</v>
      </c>
      <c r="H1598" s="128" t="s">
        <v>100</v>
      </c>
      <c r="I1598" s="136"/>
      <c r="J1598" s="138" t="s">
        <v>1146</v>
      </c>
      <c r="K1598" s="136"/>
      <c r="L1598" s="146">
        <v>46225</v>
      </c>
      <c r="M1598" s="136"/>
      <c r="N1598" s="281" t="s">
        <v>3437</v>
      </c>
      <c r="O1598" s="130">
        <v>46235</v>
      </c>
      <c r="P1598" s="138">
        <v>0</v>
      </c>
      <c r="Q1598" s="138">
        <v>120</v>
      </c>
      <c r="R1598" s="138">
        <v>32</v>
      </c>
      <c r="S1598" s="138">
        <v>152</v>
      </c>
      <c r="T1598" s="138">
        <v>152</v>
      </c>
      <c r="U1598" s="136"/>
      <c r="V1598" s="136"/>
      <c r="W1598" s="147">
        <v>91.4</v>
      </c>
      <c r="X1598" s="147">
        <v>91.3</v>
      </c>
      <c r="Y1598" s="147">
        <v>758620</v>
      </c>
      <c r="Z1598" s="327">
        <v>40.619999999999997</v>
      </c>
      <c r="AA1598" s="147">
        <v>18965.5</v>
      </c>
      <c r="AB1598" s="147">
        <v>18965.5</v>
      </c>
      <c r="AC1598" s="147">
        <v>796551</v>
      </c>
      <c r="AD1598" s="315">
        <f t="shared" si="1098"/>
        <v>795754.44900000002</v>
      </c>
      <c r="AE1598" s="327">
        <v>40.619999999999997</v>
      </c>
      <c r="AF1598" s="147">
        <v>42</v>
      </c>
      <c r="AG1598" s="327">
        <v>40.619999999999997</v>
      </c>
      <c r="AH1598" s="287">
        <v>2E-3</v>
      </c>
      <c r="AI1598" s="287">
        <v>0.05</v>
      </c>
      <c r="AJ1598" s="287">
        <v>5.2999999999999999E-2</v>
      </c>
      <c r="AK1598" s="318">
        <f t="shared" si="1099"/>
        <v>24926.08571428576</v>
      </c>
      <c r="AL1598" s="193">
        <v>0</v>
      </c>
      <c r="AM1598" s="319">
        <v>0</v>
      </c>
      <c r="AN1598" s="319">
        <v>0</v>
      </c>
      <c r="AO1598" s="320">
        <f t="shared" si="1100"/>
        <v>0</v>
      </c>
      <c r="AP1598" s="193">
        <v>0</v>
      </c>
      <c r="AQ1598" s="318">
        <v>0</v>
      </c>
      <c r="AR1598" s="318">
        <f t="shared" si="1101"/>
        <v>24926.08571428576</v>
      </c>
      <c r="AS1598" s="318">
        <f t="shared" si="1102"/>
        <v>26172</v>
      </c>
      <c r="AT1598" s="321">
        <v>0</v>
      </c>
      <c r="AU1598" s="462"/>
      <c r="AV1598" s="193"/>
      <c r="AW1598" s="318">
        <f t="shared" si="1103"/>
        <v>9140</v>
      </c>
      <c r="AX1598" s="193"/>
      <c r="AY1598" s="318">
        <f t="shared" si="1104"/>
        <v>9140</v>
      </c>
      <c r="AZ1598" s="318">
        <f t="shared" si="1105"/>
        <v>9130</v>
      </c>
      <c r="BA1598" s="318">
        <f t="shared" si="1106"/>
        <v>10</v>
      </c>
      <c r="BB1598" s="318">
        <f t="shared" si="1107"/>
        <v>18.28</v>
      </c>
      <c r="BC1598" s="318">
        <v>0</v>
      </c>
      <c r="BD1598" s="193"/>
      <c r="BE1598" s="147">
        <v>91.4</v>
      </c>
      <c r="BF1598" s="321">
        <f t="shared" si="1108"/>
        <v>0.1371</v>
      </c>
      <c r="BG1598" s="321">
        <f t="shared" si="1109"/>
        <v>91.262900000000002</v>
      </c>
      <c r="BH1598" s="321">
        <f t="shared" si="1110"/>
        <v>91.3</v>
      </c>
      <c r="BI1598" s="322">
        <f t="shared" si="1111"/>
        <v>10.000000000000853</v>
      </c>
      <c r="BJ1598" s="322">
        <v>0</v>
      </c>
      <c r="BK1598" s="318">
        <f t="shared" si="1112"/>
        <v>10.000000000000853</v>
      </c>
      <c r="BL1598" s="193"/>
      <c r="BM1598" s="449" t="str">
        <f t="shared" si="1113"/>
        <v>Unloading no. 1563 Bill No HA/26-27/0563 ,Deduction For Oil Deduction= 24926.0857142858 ,Bardana= 0 ,F.M= 0 Brokerage/Rate Difference 0 ,Shortage = 0 ,Greenish= 0 ,Moisture= 0</v>
      </c>
      <c r="BN1598" s="193"/>
      <c r="BO1598" s="449" t="str">
        <f t="shared" si="1114"/>
        <v xml:space="preserve"> Party Condition 42  ,F.M% 0.2 ,Greenish 5 ,Moisture 5.3 ,Shortage in KG= 0  ,Oil% 40.62</v>
      </c>
      <c r="BP1598" s="318">
        <f t="shared" si="1115"/>
        <v>8036.0779220779223</v>
      </c>
      <c r="BQ1598" s="193"/>
      <c r="BR1598" s="193"/>
      <c r="BS1598" s="193"/>
      <c r="BT1598" s="193"/>
      <c r="BU1598" s="193"/>
      <c r="BV1598" s="193"/>
      <c r="BW1598" s="193"/>
      <c r="BX1598" s="147">
        <v>40.06</v>
      </c>
      <c r="BY1598" s="147">
        <v>39.840000000000003</v>
      </c>
      <c r="CO1598" s="460">
        <f t="shared" si="1116"/>
        <v>0.55999999999999517</v>
      </c>
      <c r="CP1598" s="460">
        <f t="shared" si="1117"/>
        <v>0.77999999999999403</v>
      </c>
    </row>
    <row r="1599" spans="1:94" ht="14.1" hidden="1" customHeight="1" x14ac:dyDescent="0.3">
      <c r="A1599" s="128" t="s">
        <v>3345</v>
      </c>
      <c r="B1599" s="146">
        <v>46225</v>
      </c>
      <c r="C1599" s="281">
        <v>1564</v>
      </c>
      <c r="D1599" s="128" t="s">
        <v>3418</v>
      </c>
      <c r="E1599" s="130">
        <v>46235</v>
      </c>
      <c r="F1599" s="128" t="s">
        <v>2497</v>
      </c>
      <c r="G1599" s="128" t="s">
        <v>2498</v>
      </c>
      <c r="H1599" s="128" t="s">
        <v>100</v>
      </c>
      <c r="I1599" s="136"/>
      <c r="J1599" s="138" t="s">
        <v>1146</v>
      </c>
      <c r="K1599" s="136"/>
      <c r="L1599" s="146">
        <v>46225</v>
      </c>
      <c r="M1599" s="136"/>
      <c r="N1599" s="281" t="s">
        <v>3438</v>
      </c>
      <c r="O1599" s="130">
        <v>46235</v>
      </c>
      <c r="P1599" s="138">
        <v>0</v>
      </c>
      <c r="Q1599" s="138">
        <v>120</v>
      </c>
      <c r="R1599" s="138">
        <v>32</v>
      </c>
      <c r="S1599" s="138">
        <v>152</v>
      </c>
      <c r="T1599" s="138">
        <v>152</v>
      </c>
      <c r="U1599" s="136"/>
      <c r="V1599" s="136"/>
      <c r="W1599" s="147">
        <v>92.2</v>
      </c>
      <c r="X1599" s="147">
        <v>92.1</v>
      </c>
      <c r="Y1599" s="147">
        <v>765260</v>
      </c>
      <c r="Z1599" s="327">
        <v>40.119999999999997</v>
      </c>
      <c r="AA1599" s="147">
        <v>19131.5</v>
      </c>
      <c r="AB1599" s="147">
        <v>19131.5</v>
      </c>
      <c r="AC1599" s="147">
        <v>803523</v>
      </c>
      <c r="AD1599" s="315">
        <f t="shared" si="1098"/>
        <v>802719.47699999996</v>
      </c>
      <c r="AE1599" s="327">
        <v>40.119999999999997</v>
      </c>
      <c r="AF1599" s="147">
        <v>42</v>
      </c>
      <c r="AG1599" s="327">
        <v>40.119999999999997</v>
      </c>
      <c r="AH1599" s="287">
        <v>2.5999999999999999E-3</v>
      </c>
      <c r="AI1599" s="287">
        <v>4.36E-2</v>
      </c>
      <c r="AJ1599" s="287">
        <v>5.8000000000000003E-2</v>
      </c>
      <c r="AK1599" s="318">
        <f t="shared" si="1099"/>
        <v>34254.495238095282</v>
      </c>
      <c r="AL1599" s="193">
        <v>0</v>
      </c>
      <c r="AM1599" s="319">
        <v>0</v>
      </c>
      <c r="AN1599" s="319">
        <v>0</v>
      </c>
      <c r="AO1599" s="320">
        <f t="shared" si="1100"/>
        <v>0</v>
      </c>
      <c r="AP1599" s="193">
        <v>0</v>
      </c>
      <c r="AQ1599" s="318">
        <v>0</v>
      </c>
      <c r="AR1599" s="318">
        <f t="shared" si="1101"/>
        <v>34254.495238095282</v>
      </c>
      <c r="AS1599" s="318">
        <f t="shared" si="1102"/>
        <v>35967</v>
      </c>
      <c r="AT1599" s="321">
        <v>0</v>
      </c>
      <c r="AU1599" s="462"/>
      <c r="AV1599" s="193"/>
      <c r="AW1599" s="318">
        <f t="shared" si="1103"/>
        <v>9220</v>
      </c>
      <c r="AX1599" s="193"/>
      <c r="AY1599" s="318">
        <f t="shared" si="1104"/>
        <v>9220</v>
      </c>
      <c r="AZ1599" s="318">
        <f t="shared" si="1105"/>
        <v>9210</v>
      </c>
      <c r="BA1599" s="318">
        <f t="shared" si="1106"/>
        <v>10</v>
      </c>
      <c r="BB1599" s="318">
        <f t="shared" si="1107"/>
        <v>18.440000000000001</v>
      </c>
      <c r="BC1599" s="318">
        <v>0</v>
      </c>
      <c r="BD1599" s="193"/>
      <c r="BE1599" s="147">
        <v>92.2</v>
      </c>
      <c r="BF1599" s="321">
        <f t="shared" si="1108"/>
        <v>0.13830000000000001</v>
      </c>
      <c r="BG1599" s="321">
        <f t="shared" si="1109"/>
        <v>92.061700000000002</v>
      </c>
      <c r="BH1599" s="321">
        <f t="shared" si="1110"/>
        <v>92.1</v>
      </c>
      <c r="BI1599" s="322">
        <f t="shared" si="1111"/>
        <v>10.000000000000853</v>
      </c>
      <c r="BJ1599" s="322">
        <v>0</v>
      </c>
      <c r="BK1599" s="318">
        <f t="shared" si="1112"/>
        <v>10.000000000000853</v>
      </c>
      <c r="BL1599" s="193"/>
      <c r="BM1599" s="449" t="str">
        <f t="shared" si="1113"/>
        <v>Unloading no. 1564 Bill No HA/26-27/0564 ,Deduction For Oil Deduction= 34254.4952380953 ,Bardana= 0 ,F.M= 0 Brokerage/Rate Difference 0 ,Shortage = 0 ,Greenish= 0 ,Moisture= 0</v>
      </c>
      <c r="BN1599" s="193"/>
      <c r="BO1599" s="449" t="str">
        <f t="shared" si="1114"/>
        <v xml:space="preserve"> Party Condition 42  ,F.M% 0.26 ,Greenish 4.36 ,Moisture 5.8 ,Shortage in KG= 0  ,Oil% 40.12</v>
      </c>
      <c r="BP1599" s="318">
        <f t="shared" si="1115"/>
        <v>7937.0847422573806</v>
      </c>
      <c r="BQ1599" s="193"/>
      <c r="BR1599" s="193"/>
      <c r="BS1599" s="193"/>
      <c r="BT1599" s="193"/>
      <c r="BU1599" s="193"/>
      <c r="BV1599" s="193"/>
      <c r="BW1599" s="193"/>
      <c r="BX1599" s="147">
        <v>39.67</v>
      </c>
      <c r="BY1599" s="147">
        <v>39.5</v>
      </c>
      <c r="CO1599" s="460">
        <f t="shared" si="1116"/>
        <v>0.44999999999999574</v>
      </c>
      <c r="CP1599" s="460">
        <f t="shared" si="1117"/>
        <v>0.61999999999999744</v>
      </c>
    </row>
    <row r="1600" spans="1:94" ht="14.1" hidden="1" customHeight="1" x14ac:dyDescent="0.3">
      <c r="A1600" s="128" t="s">
        <v>3345</v>
      </c>
      <c r="B1600" s="146">
        <v>46225</v>
      </c>
      <c r="C1600" s="281">
        <v>1565</v>
      </c>
      <c r="D1600" s="128" t="s">
        <v>3419</v>
      </c>
      <c r="E1600" s="130">
        <v>46235</v>
      </c>
      <c r="F1600" s="128" t="s">
        <v>2497</v>
      </c>
      <c r="G1600" s="128" t="s">
        <v>2498</v>
      </c>
      <c r="H1600" s="128" t="s">
        <v>100</v>
      </c>
      <c r="I1600" s="136"/>
      <c r="J1600" s="138" t="s">
        <v>1146</v>
      </c>
      <c r="K1600" s="136"/>
      <c r="L1600" s="146">
        <v>46225</v>
      </c>
      <c r="M1600" s="136"/>
      <c r="N1600" s="281" t="s">
        <v>3439</v>
      </c>
      <c r="O1600" s="130">
        <v>46235</v>
      </c>
      <c r="P1600" s="138">
        <v>0</v>
      </c>
      <c r="Q1600" s="138">
        <v>120</v>
      </c>
      <c r="R1600" s="138">
        <v>32</v>
      </c>
      <c r="S1600" s="138">
        <v>152</v>
      </c>
      <c r="T1600" s="138">
        <v>152</v>
      </c>
      <c r="U1600" s="136"/>
      <c r="V1600" s="136"/>
      <c r="W1600" s="147">
        <v>90.8</v>
      </c>
      <c r="X1600" s="147">
        <v>90.7</v>
      </c>
      <c r="Y1600" s="147">
        <v>753640</v>
      </c>
      <c r="Z1600" s="327">
        <v>40.729999999999997</v>
      </c>
      <c r="AA1600" s="147">
        <v>18841</v>
      </c>
      <c r="AB1600" s="147">
        <v>18841</v>
      </c>
      <c r="AC1600" s="147">
        <v>791322</v>
      </c>
      <c r="AD1600" s="315">
        <f t="shared" si="1098"/>
        <v>790530.67799999996</v>
      </c>
      <c r="AE1600" s="327">
        <v>40.729999999999997</v>
      </c>
      <c r="AF1600" s="147">
        <v>42</v>
      </c>
      <c r="AG1600" s="327">
        <v>40.729999999999997</v>
      </c>
      <c r="AH1600" s="287">
        <v>3.0000000000000001E-3</v>
      </c>
      <c r="AI1600" s="287">
        <v>3.4700000000000002E-2</v>
      </c>
      <c r="AJ1600" s="287">
        <v>5.2999999999999999E-2</v>
      </c>
      <c r="AK1600" s="318">
        <f t="shared" si="1099"/>
        <v>22788.638095238151</v>
      </c>
      <c r="AL1600" s="193">
        <v>0</v>
      </c>
      <c r="AM1600" s="319">
        <v>0</v>
      </c>
      <c r="AN1600" s="319">
        <v>0</v>
      </c>
      <c r="AO1600" s="320">
        <f t="shared" si="1100"/>
        <v>0</v>
      </c>
      <c r="AP1600" s="193">
        <v>0</v>
      </c>
      <c r="AQ1600" s="318">
        <v>0</v>
      </c>
      <c r="AR1600" s="318">
        <f t="shared" si="1101"/>
        <v>22788.638095238151</v>
      </c>
      <c r="AS1600" s="318">
        <f t="shared" si="1102"/>
        <v>23928</v>
      </c>
      <c r="AT1600" s="321">
        <v>0</v>
      </c>
      <c r="AU1600" s="462"/>
      <c r="AV1600" s="193"/>
      <c r="AW1600" s="318">
        <f t="shared" si="1103"/>
        <v>9080</v>
      </c>
      <c r="AX1600" s="193"/>
      <c r="AY1600" s="318">
        <f t="shared" si="1104"/>
        <v>9080</v>
      </c>
      <c r="AZ1600" s="318">
        <f t="shared" si="1105"/>
        <v>9070</v>
      </c>
      <c r="BA1600" s="318">
        <f t="shared" si="1106"/>
        <v>10</v>
      </c>
      <c r="BB1600" s="318">
        <f t="shared" si="1107"/>
        <v>18.16</v>
      </c>
      <c r="BC1600" s="318">
        <v>0</v>
      </c>
      <c r="BD1600" s="193"/>
      <c r="BE1600" s="147">
        <v>90.8</v>
      </c>
      <c r="BF1600" s="321">
        <f t="shared" si="1108"/>
        <v>0.13619999999999999</v>
      </c>
      <c r="BG1600" s="321">
        <f t="shared" si="1109"/>
        <v>90.663799999999995</v>
      </c>
      <c r="BH1600" s="321">
        <f t="shared" si="1110"/>
        <v>90.7</v>
      </c>
      <c r="BI1600" s="322">
        <f t="shared" si="1111"/>
        <v>9.9999999999994316</v>
      </c>
      <c r="BJ1600" s="322">
        <v>0</v>
      </c>
      <c r="BK1600" s="318">
        <f t="shared" si="1112"/>
        <v>9.9999999999994316</v>
      </c>
      <c r="BL1600" s="193"/>
      <c r="BM1600" s="449" t="str">
        <f t="shared" si="1113"/>
        <v>Unloading no. 1565 Bill No HA/26-27/0565 ,Deduction For Oil Deduction= 22788.6380952382 ,Bardana= 0 ,F.M= 0 Brokerage/Rate Difference 0 ,Shortage = 0 ,Greenish= 0 ,Moisture= 0</v>
      </c>
      <c r="BN1600" s="193"/>
      <c r="BO1600" s="449" t="str">
        <f t="shared" si="1114"/>
        <v xml:space="preserve"> Party Condition 42  ,F.M% 0.3 ,Greenish 3.47 ,Moisture 5.3 ,Shortage in KG= 0  ,Oil% 40.73</v>
      </c>
      <c r="BP1600" s="318">
        <f t="shared" si="1115"/>
        <v>8057.8981466897667</v>
      </c>
      <c r="BQ1600" s="193"/>
      <c r="BR1600" s="193"/>
      <c r="BS1600" s="193"/>
      <c r="BT1600" s="193"/>
      <c r="BU1600" s="193"/>
      <c r="BV1600" s="193"/>
      <c r="BW1600" s="193"/>
      <c r="BX1600" s="147">
        <v>40.700000000000003</v>
      </c>
      <c r="BY1600" s="147">
        <v>40.520000000000003</v>
      </c>
      <c r="CO1600" s="460">
        <f t="shared" si="1116"/>
        <v>2.9999999999994031E-2</v>
      </c>
      <c r="CP1600" s="460">
        <f t="shared" si="1117"/>
        <v>0.20999999999999375</v>
      </c>
    </row>
    <row r="1601" spans="1:94" ht="14.1" hidden="1" customHeight="1" x14ac:dyDescent="0.3">
      <c r="A1601" s="128" t="s">
        <v>3344</v>
      </c>
      <c r="B1601" s="146">
        <v>46228</v>
      </c>
      <c r="C1601" s="281">
        <v>1566</v>
      </c>
      <c r="D1601" s="128" t="s">
        <v>3420</v>
      </c>
      <c r="E1601" s="130">
        <v>46235</v>
      </c>
      <c r="F1601" s="128" t="s">
        <v>1144</v>
      </c>
      <c r="G1601" s="128" t="s">
        <v>1145</v>
      </c>
      <c r="H1601" s="128" t="s">
        <v>100</v>
      </c>
      <c r="I1601" s="136"/>
      <c r="J1601" s="138" t="s">
        <v>1146</v>
      </c>
      <c r="K1601" s="136"/>
      <c r="L1601" s="146">
        <v>46228</v>
      </c>
      <c r="M1601" s="136"/>
      <c r="N1601" s="281" t="s">
        <v>3440</v>
      </c>
      <c r="O1601" s="130">
        <v>46233</v>
      </c>
      <c r="P1601" s="138">
        <v>0</v>
      </c>
      <c r="Q1601" s="138">
        <v>100</v>
      </c>
      <c r="R1601" s="138">
        <v>543</v>
      </c>
      <c r="S1601" s="138">
        <v>643</v>
      </c>
      <c r="T1601" s="138">
        <v>643</v>
      </c>
      <c r="U1601" s="136"/>
      <c r="V1601" s="136"/>
      <c r="W1601" s="147">
        <v>350.2</v>
      </c>
      <c r="X1601" s="147">
        <v>348.4</v>
      </c>
      <c r="Y1601" s="147">
        <v>2906660</v>
      </c>
      <c r="Z1601" s="327">
        <v>39.020000000000003</v>
      </c>
      <c r="AA1601" s="147">
        <v>72666.5</v>
      </c>
      <c r="AB1601" s="147">
        <v>72666.5</v>
      </c>
      <c r="AC1601" s="147">
        <v>3051993</v>
      </c>
      <c r="AD1601" s="315">
        <f t="shared" si="1098"/>
        <v>3048941.0070000002</v>
      </c>
      <c r="AE1601" s="327">
        <v>39.020000000000003</v>
      </c>
      <c r="AF1601" s="147">
        <v>42</v>
      </c>
      <c r="AG1601" s="327">
        <v>39.020000000000003</v>
      </c>
      <c r="AH1601" s="287">
        <v>4.7000000000000002E-3</v>
      </c>
      <c r="AI1601" s="287">
        <v>3.4000000000000002E-2</v>
      </c>
      <c r="AJ1601" s="287">
        <v>0.05</v>
      </c>
      <c r="AK1601" s="318">
        <f t="shared" si="1099"/>
        <v>206234.44761904739</v>
      </c>
      <c r="AL1601" s="193">
        <v>0</v>
      </c>
      <c r="AM1601" s="319">
        <v>0</v>
      </c>
      <c r="AN1601" s="319">
        <v>0</v>
      </c>
      <c r="AO1601" s="320">
        <f t="shared" si="1100"/>
        <v>9130</v>
      </c>
      <c r="AP1601" s="193">
        <v>0</v>
      </c>
      <c r="AQ1601" s="318">
        <v>0</v>
      </c>
      <c r="AR1601" s="318">
        <f t="shared" si="1101"/>
        <v>215364.44761904739</v>
      </c>
      <c r="AS1601" s="318">
        <f t="shared" si="1102"/>
        <v>226133</v>
      </c>
      <c r="AT1601" s="321">
        <v>110</v>
      </c>
      <c r="AU1601" s="462"/>
      <c r="AV1601" s="193"/>
      <c r="AW1601" s="318">
        <f t="shared" si="1103"/>
        <v>35020</v>
      </c>
      <c r="AX1601" s="193"/>
      <c r="AY1601" s="318">
        <f t="shared" si="1104"/>
        <v>35020</v>
      </c>
      <c r="AZ1601" s="318">
        <f t="shared" si="1105"/>
        <v>34840</v>
      </c>
      <c r="BA1601" s="318">
        <f t="shared" si="1106"/>
        <v>180</v>
      </c>
      <c r="BB1601" s="318">
        <f t="shared" si="1107"/>
        <v>70.040000000000006</v>
      </c>
      <c r="BC1601" s="318">
        <v>0</v>
      </c>
      <c r="BD1601" s="193"/>
      <c r="BE1601" s="147">
        <v>350.2</v>
      </c>
      <c r="BF1601" s="321">
        <f t="shared" si="1108"/>
        <v>0.52529999999999999</v>
      </c>
      <c r="BG1601" s="321">
        <f t="shared" si="1109"/>
        <v>349.67469999999997</v>
      </c>
      <c r="BH1601" s="321">
        <f t="shared" si="1110"/>
        <v>348.4</v>
      </c>
      <c r="BI1601" s="322">
        <f t="shared" si="1111"/>
        <v>180.00000000000114</v>
      </c>
      <c r="BJ1601" s="322">
        <v>0</v>
      </c>
      <c r="BK1601" s="318">
        <f t="shared" si="1112"/>
        <v>180.00000000000114</v>
      </c>
      <c r="BL1601" s="193"/>
      <c r="BM1601" s="449" t="str">
        <f t="shared" si="1113"/>
        <v>Unloading no. 1566 Bill No 2026-27/568 ,Deduction For Oil Deduction= 206234.447619047 ,Bardana= 0 ,F.M= 0 Brokerage/Rate Difference 0 ,Shortage = 9130 ,Greenish= 0 ,Moisture= 0</v>
      </c>
      <c r="BN1601" s="193"/>
      <c r="BO1601" s="449" t="str">
        <f t="shared" si="1114"/>
        <v xml:space="preserve"> Party Condition 42  ,F.M% 0.47 ,Greenish 3.4 ,Moisture 5 ,Shortage in KG= 110  ,Oil% 39.02</v>
      </c>
      <c r="BP1601" s="318">
        <f t="shared" si="1115"/>
        <v>7724.7289103930907</v>
      </c>
      <c r="BQ1601" s="193"/>
      <c r="BR1601" s="193"/>
      <c r="BS1601" s="193"/>
      <c r="BT1601" s="193"/>
      <c r="BU1601" s="193"/>
      <c r="BV1601" s="193"/>
      <c r="BW1601" s="193"/>
      <c r="BX1601" s="147">
        <v>37.520000000000003</v>
      </c>
      <c r="BY1601" s="147">
        <v>37.22</v>
      </c>
      <c r="CO1601" s="460">
        <f t="shared" si="1116"/>
        <v>1.5</v>
      </c>
      <c r="CP1601" s="460">
        <f t="shared" si="1117"/>
        <v>1.8000000000000043</v>
      </c>
    </row>
    <row r="1602" spans="1:94" ht="14.1" hidden="1" customHeight="1" x14ac:dyDescent="0.3">
      <c r="A1602" s="128" t="s">
        <v>3345</v>
      </c>
      <c r="B1602" s="146">
        <v>46225</v>
      </c>
      <c r="C1602" s="281">
        <v>1567</v>
      </c>
      <c r="D1602" s="128" t="s">
        <v>3421</v>
      </c>
      <c r="E1602" s="130">
        <v>46235</v>
      </c>
      <c r="F1602" s="128" t="s">
        <v>2497</v>
      </c>
      <c r="G1602" s="128" t="s">
        <v>2498</v>
      </c>
      <c r="H1602" s="128" t="s">
        <v>100</v>
      </c>
      <c r="I1602" s="136"/>
      <c r="J1602" s="138" t="s">
        <v>1146</v>
      </c>
      <c r="K1602" s="136"/>
      <c r="L1602" s="146">
        <v>46225</v>
      </c>
      <c r="M1602" s="136"/>
      <c r="N1602" s="281" t="s">
        <v>3441</v>
      </c>
      <c r="O1602" s="130">
        <v>46235</v>
      </c>
      <c r="P1602" s="138">
        <v>0</v>
      </c>
      <c r="Q1602" s="138">
        <v>130</v>
      </c>
      <c r="R1602" s="138">
        <v>22</v>
      </c>
      <c r="S1602" s="138">
        <v>152</v>
      </c>
      <c r="T1602" s="138">
        <v>152</v>
      </c>
      <c r="U1602" s="136"/>
      <c r="V1602" s="136"/>
      <c r="W1602" s="147">
        <v>92.3</v>
      </c>
      <c r="X1602" s="147">
        <v>92.1</v>
      </c>
      <c r="Y1602" s="147">
        <v>766090</v>
      </c>
      <c r="Z1602" s="327">
        <v>40.22</v>
      </c>
      <c r="AA1602" s="147">
        <v>19152.25</v>
      </c>
      <c r="AB1602" s="147">
        <v>19152.25</v>
      </c>
      <c r="AC1602" s="147">
        <v>804394.5</v>
      </c>
      <c r="AD1602" s="315">
        <f t="shared" si="1098"/>
        <v>803590.10549999995</v>
      </c>
      <c r="AE1602" s="327">
        <v>40.22</v>
      </c>
      <c r="AF1602" s="147">
        <v>42</v>
      </c>
      <c r="AG1602" s="327">
        <v>40.22</v>
      </c>
      <c r="AH1602" s="287">
        <v>2.7000000000000001E-3</v>
      </c>
      <c r="AI1602" s="287">
        <v>3.95E-2</v>
      </c>
      <c r="AJ1602" s="287">
        <v>5.8000000000000003E-2</v>
      </c>
      <c r="AK1602" s="318">
        <f t="shared" si="1099"/>
        <v>32467.62380952383</v>
      </c>
      <c r="AL1602" s="193">
        <v>0</v>
      </c>
      <c r="AM1602" s="319">
        <v>0</v>
      </c>
      <c r="AN1602" s="319">
        <v>0</v>
      </c>
      <c r="AO1602" s="320">
        <f t="shared" si="1100"/>
        <v>0</v>
      </c>
      <c r="AP1602" s="193">
        <v>0</v>
      </c>
      <c r="AQ1602" s="318">
        <v>0</v>
      </c>
      <c r="AR1602" s="318">
        <f t="shared" si="1101"/>
        <v>32467.62380952383</v>
      </c>
      <c r="AS1602" s="318">
        <f t="shared" si="1102"/>
        <v>34091</v>
      </c>
      <c r="AT1602" s="321">
        <v>0</v>
      </c>
      <c r="AU1602" s="462"/>
      <c r="AV1602" s="193"/>
      <c r="AW1602" s="318">
        <f t="shared" si="1103"/>
        <v>9230</v>
      </c>
      <c r="AX1602" s="193"/>
      <c r="AY1602" s="318">
        <f t="shared" si="1104"/>
        <v>9230</v>
      </c>
      <c r="AZ1602" s="318">
        <f t="shared" si="1105"/>
        <v>9210</v>
      </c>
      <c r="BA1602" s="318">
        <f t="shared" si="1106"/>
        <v>20</v>
      </c>
      <c r="BB1602" s="318">
        <f t="shared" si="1107"/>
        <v>18.46</v>
      </c>
      <c r="BC1602" s="318">
        <v>0</v>
      </c>
      <c r="BD1602" s="193"/>
      <c r="BE1602" s="147">
        <v>92.3</v>
      </c>
      <c r="BF1602" s="321">
        <f t="shared" si="1108"/>
        <v>0.13844999999999999</v>
      </c>
      <c r="BG1602" s="321">
        <f t="shared" si="1109"/>
        <v>92.161549999999991</v>
      </c>
      <c r="BH1602" s="321">
        <f t="shared" si="1110"/>
        <v>92.1</v>
      </c>
      <c r="BI1602" s="322">
        <f t="shared" si="1111"/>
        <v>20.000000000000284</v>
      </c>
      <c r="BJ1602" s="322">
        <v>0</v>
      </c>
      <c r="BK1602" s="318">
        <f t="shared" si="1112"/>
        <v>20.000000000000284</v>
      </c>
      <c r="BL1602" s="193"/>
      <c r="BM1602" s="449" t="str">
        <f t="shared" si="1113"/>
        <v>Unloading no. 1567 Bill No HA/26-27/0566 ,Deduction For Oil Deduction= 32467.6238095238 ,Bardana= 0 ,F.M= 0 Brokerage/Rate Difference 0 ,Shortage = 0 ,Greenish= 0 ,Moisture= 0</v>
      </c>
      <c r="BN1602" s="193"/>
      <c r="BO1602" s="449" t="str">
        <f t="shared" si="1114"/>
        <v xml:space="preserve"> Party Condition 42  ,F.M% 0.27 ,Greenish 3.95 ,Moisture 5.8 ,Shortage in KG= 0  ,Oil% 40.22</v>
      </c>
      <c r="BP1602" s="318">
        <f t="shared" si="1115"/>
        <v>7965.4981128173304</v>
      </c>
      <c r="BQ1602" s="193"/>
      <c r="BR1602" s="193"/>
      <c r="BS1602" s="193"/>
      <c r="BT1602" s="193"/>
      <c r="BU1602" s="193"/>
      <c r="BV1602" s="193"/>
      <c r="BW1602" s="193"/>
      <c r="BX1602" s="147">
        <v>40</v>
      </c>
      <c r="BY1602" s="147">
        <v>39.96</v>
      </c>
      <c r="CO1602" s="460">
        <f t="shared" si="1116"/>
        <v>0.21999999999999886</v>
      </c>
      <c r="CP1602" s="460">
        <f t="shared" si="1117"/>
        <v>0.25999999999999801</v>
      </c>
    </row>
    <row r="1603" spans="1:94" ht="14.1" hidden="1" customHeight="1" x14ac:dyDescent="0.3">
      <c r="A1603" s="128" t="s">
        <v>3345</v>
      </c>
      <c r="B1603" s="146">
        <v>46225</v>
      </c>
      <c r="C1603" s="281">
        <v>1568</v>
      </c>
      <c r="D1603" s="128" t="s">
        <v>3422</v>
      </c>
      <c r="E1603" s="130">
        <v>46235</v>
      </c>
      <c r="F1603" s="128" t="s">
        <v>2497</v>
      </c>
      <c r="G1603" s="128" t="s">
        <v>2498</v>
      </c>
      <c r="H1603" s="128" t="s">
        <v>100</v>
      </c>
      <c r="I1603" s="136"/>
      <c r="J1603" s="138" t="s">
        <v>1146</v>
      </c>
      <c r="K1603" s="136"/>
      <c r="L1603" s="146">
        <v>46225</v>
      </c>
      <c r="M1603" s="136"/>
      <c r="N1603" s="281" t="s">
        <v>3442</v>
      </c>
      <c r="O1603" s="130">
        <v>46235</v>
      </c>
      <c r="P1603" s="138">
        <v>0</v>
      </c>
      <c r="Q1603" s="138">
        <v>120</v>
      </c>
      <c r="R1603" s="138">
        <v>32</v>
      </c>
      <c r="S1603" s="138">
        <v>152</v>
      </c>
      <c r="T1603" s="138">
        <v>152</v>
      </c>
      <c r="U1603" s="136"/>
      <c r="V1603" s="136"/>
      <c r="W1603" s="147">
        <v>90.9</v>
      </c>
      <c r="X1603" s="147">
        <v>90.8</v>
      </c>
      <c r="Y1603" s="147">
        <v>754470</v>
      </c>
      <c r="Z1603" s="327">
        <v>39.950000000000003</v>
      </c>
      <c r="AA1603" s="147">
        <v>18861.75</v>
      </c>
      <c r="AB1603" s="147">
        <v>18861.75</v>
      </c>
      <c r="AC1603" s="147">
        <v>792193.5</v>
      </c>
      <c r="AD1603" s="315">
        <f t="shared" si="1098"/>
        <v>791401.30649999995</v>
      </c>
      <c r="AE1603" s="327">
        <v>39.950000000000003</v>
      </c>
      <c r="AF1603" s="147">
        <v>42</v>
      </c>
      <c r="AG1603" s="327">
        <v>39.950000000000003</v>
      </c>
      <c r="AH1603" s="287">
        <v>3.3999999999999998E-3</v>
      </c>
      <c r="AI1603" s="287">
        <v>3.2000000000000001E-2</v>
      </c>
      <c r="AJ1603" s="287">
        <v>5.8999999999999997E-2</v>
      </c>
      <c r="AK1603" s="318">
        <f t="shared" si="1099"/>
        <v>36825.321428571377</v>
      </c>
      <c r="AL1603" s="193">
        <v>0</v>
      </c>
      <c r="AM1603" s="319">
        <v>0</v>
      </c>
      <c r="AN1603" s="319">
        <v>0</v>
      </c>
      <c r="AO1603" s="320">
        <f t="shared" si="1100"/>
        <v>0</v>
      </c>
      <c r="AP1603" s="193">
        <v>0</v>
      </c>
      <c r="AQ1603" s="318">
        <v>0</v>
      </c>
      <c r="AR1603" s="318">
        <f t="shared" si="1101"/>
        <v>36825.321428571377</v>
      </c>
      <c r="AS1603" s="318">
        <f t="shared" si="1102"/>
        <v>38667</v>
      </c>
      <c r="AT1603" s="321">
        <v>0</v>
      </c>
      <c r="AU1603" s="462"/>
      <c r="AV1603" s="193"/>
      <c r="AW1603" s="318">
        <f t="shared" si="1103"/>
        <v>9090</v>
      </c>
      <c r="AX1603" s="193"/>
      <c r="AY1603" s="318">
        <f t="shared" si="1104"/>
        <v>9090</v>
      </c>
      <c r="AZ1603" s="318">
        <f t="shared" si="1105"/>
        <v>9080</v>
      </c>
      <c r="BA1603" s="318">
        <f t="shared" si="1106"/>
        <v>10</v>
      </c>
      <c r="BB1603" s="318">
        <f t="shared" si="1107"/>
        <v>18.18</v>
      </c>
      <c r="BC1603" s="318">
        <v>0</v>
      </c>
      <c r="BD1603" s="193"/>
      <c r="BE1603" s="147">
        <v>90.9</v>
      </c>
      <c r="BF1603" s="321">
        <f t="shared" si="1108"/>
        <v>0.13635</v>
      </c>
      <c r="BG1603" s="321">
        <f t="shared" si="1109"/>
        <v>90.763650000000013</v>
      </c>
      <c r="BH1603" s="321">
        <f t="shared" si="1110"/>
        <v>90.8</v>
      </c>
      <c r="BI1603" s="322">
        <f t="shared" si="1111"/>
        <v>10.000000000000853</v>
      </c>
      <c r="BJ1603" s="322">
        <v>0</v>
      </c>
      <c r="BK1603" s="318">
        <f t="shared" si="1112"/>
        <v>10.000000000000853</v>
      </c>
      <c r="BL1603" s="193"/>
      <c r="BM1603" s="449" t="str">
        <f t="shared" si="1113"/>
        <v>Unloading no. 1568 Bill No HA/26-27/0567 ,Deduction For Oil Deduction= 36825.3214285714 ,Bardana= 0 ,F.M= 0 Brokerage/Rate Difference 0 ,Shortage = 0 ,Greenish= 0 ,Moisture= 0</v>
      </c>
      <c r="BN1603" s="193"/>
      <c r="BO1603" s="449" t="str">
        <f t="shared" si="1114"/>
        <v xml:space="preserve"> Party Condition 42  ,F.M% 0.34 ,Greenish 3.2 ,Moisture 5.9 ,Shortage in KG= 0  ,Oil% 39.95</v>
      </c>
      <c r="BP1603" s="318">
        <f t="shared" si="1115"/>
        <v>7903.575755191946</v>
      </c>
      <c r="BQ1603" s="193"/>
      <c r="BR1603" s="193"/>
      <c r="BS1603" s="193"/>
      <c r="BT1603" s="193"/>
      <c r="BU1603" s="193"/>
      <c r="BV1603" s="193"/>
      <c r="BW1603" s="193"/>
      <c r="BX1603" s="147">
        <v>39.82</v>
      </c>
      <c r="BY1603" s="147">
        <v>39.590000000000003</v>
      </c>
      <c r="CO1603" s="460">
        <f t="shared" si="1116"/>
        <v>0.13000000000000256</v>
      </c>
      <c r="CP1603" s="460">
        <f t="shared" si="1117"/>
        <v>0.35999999999999943</v>
      </c>
    </row>
    <row r="1604" spans="1:94" ht="14.1" hidden="1" customHeight="1" x14ac:dyDescent="0.3">
      <c r="A1604" s="128" t="s">
        <v>3345</v>
      </c>
      <c r="B1604" s="146">
        <v>46225</v>
      </c>
      <c r="C1604" s="281">
        <v>1569</v>
      </c>
      <c r="D1604" s="128" t="s">
        <v>3423</v>
      </c>
      <c r="E1604" s="130">
        <v>46235</v>
      </c>
      <c r="F1604" s="128" t="s">
        <v>2497</v>
      </c>
      <c r="G1604" s="128" t="s">
        <v>2498</v>
      </c>
      <c r="H1604" s="128" t="s">
        <v>100</v>
      </c>
      <c r="I1604" s="136"/>
      <c r="J1604" s="138" t="s">
        <v>1146</v>
      </c>
      <c r="K1604" s="136"/>
      <c r="L1604" s="146">
        <v>46225</v>
      </c>
      <c r="M1604" s="136"/>
      <c r="N1604" s="281" t="s">
        <v>3443</v>
      </c>
      <c r="O1604" s="130">
        <v>46235</v>
      </c>
      <c r="P1604" s="138">
        <v>0</v>
      </c>
      <c r="Q1604" s="138">
        <v>120</v>
      </c>
      <c r="R1604" s="138">
        <v>25</v>
      </c>
      <c r="S1604" s="138">
        <v>145</v>
      </c>
      <c r="T1604" s="138">
        <v>145</v>
      </c>
      <c r="U1604" s="136"/>
      <c r="V1604" s="136"/>
      <c r="W1604" s="147">
        <v>87.7</v>
      </c>
      <c r="X1604" s="147">
        <v>87.6</v>
      </c>
      <c r="Y1604" s="147">
        <v>727910</v>
      </c>
      <c r="Z1604" s="327">
        <v>40.24</v>
      </c>
      <c r="AA1604" s="147">
        <v>18197.75</v>
      </c>
      <c r="AB1604" s="147">
        <v>18197.75</v>
      </c>
      <c r="AC1604" s="147">
        <v>764305.5</v>
      </c>
      <c r="AD1604" s="315">
        <f t="shared" si="1098"/>
        <v>763541.19449999998</v>
      </c>
      <c r="AE1604" s="327">
        <v>40.24</v>
      </c>
      <c r="AF1604" s="147">
        <v>42</v>
      </c>
      <c r="AG1604" s="327">
        <v>40.24</v>
      </c>
      <c r="AH1604" s="287">
        <v>3.0000000000000001E-3</v>
      </c>
      <c r="AI1604" s="287">
        <v>0.05</v>
      </c>
      <c r="AJ1604" s="287">
        <v>5.8000000000000003E-2</v>
      </c>
      <c r="AK1604" s="318">
        <f t="shared" si="1099"/>
        <v>30502.895238095203</v>
      </c>
      <c r="AL1604" s="193">
        <v>0</v>
      </c>
      <c r="AM1604" s="319">
        <v>0</v>
      </c>
      <c r="AN1604" s="319">
        <v>0</v>
      </c>
      <c r="AO1604" s="320">
        <f t="shared" si="1100"/>
        <v>0</v>
      </c>
      <c r="AP1604" s="193">
        <v>0</v>
      </c>
      <c r="AQ1604" s="318">
        <v>0</v>
      </c>
      <c r="AR1604" s="318">
        <f t="shared" si="1101"/>
        <v>30502.895238095203</v>
      </c>
      <c r="AS1604" s="318">
        <f t="shared" si="1102"/>
        <v>32028</v>
      </c>
      <c r="AT1604" s="321">
        <v>0</v>
      </c>
      <c r="AU1604" s="462"/>
      <c r="AV1604" s="193"/>
      <c r="AW1604" s="318">
        <f t="shared" si="1103"/>
        <v>8770</v>
      </c>
      <c r="AX1604" s="193"/>
      <c r="AY1604" s="318">
        <f t="shared" si="1104"/>
        <v>8770</v>
      </c>
      <c r="AZ1604" s="318">
        <f t="shared" si="1105"/>
        <v>8760</v>
      </c>
      <c r="BA1604" s="318">
        <f t="shared" si="1106"/>
        <v>10</v>
      </c>
      <c r="BB1604" s="318">
        <f t="shared" si="1107"/>
        <v>17.54</v>
      </c>
      <c r="BC1604" s="318">
        <v>0</v>
      </c>
      <c r="BD1604" s="193"/>
      <c r="BE1604" s="147">
        <v>87.7</v>
      </c>
      <c r="BF1604" s="321">
        <f t="shared" si="1108"/>
        <v>0.13155</v>
      </c>
      <c r="BG1604" s="321">
        <f t="shared" si="1109"/>
        <v>87.568449999999999</v>
      </c>
      <c r="BH1604" s="321">
        <f t="shared" si="1110"/>
        <v>87.6</v>
      </c>
      <c r="BI1604" s="322">
        <f t="shared" si="1111"/>
        <v>10.000000000000853</v>
      </c>
      <c r="BJ1604" s="322">
        <v>0</v>
      </c>
      <c r="BK1604" s="318">
        <f t="shared" si="1112"/>
        <v>10.000000000000853</v>
      </c>
      <c r="BL1604" s="193"/>
      <c r="BM1604" s="449" t="str">
        <f t="shared" si="1113"/>
        <v>Unloading no. 1569 Bill No HA/26-27/0568 ,Deduction For Oil Deduction= 30502.8952380952 ,Bardana= 0 ,F.M= 0 Brokerage/Rate Difference 0 ,Shortage = 0 ,Greenish= 0 ,Moisture= 0</v>
      </c>
      <c r="BN1604" s="193"/>
      <c r="BO1604" s="449" t="str">
        <f t="shared" si="1114"/>
        <v xml:space="preserve"> Party Condition 42  ,F.M% 0.3 ,Greenish 5 ,Moisture 5.8 ,Shortage in KG= 0  ,Oil% 40.24</v>
      </c>
      <c r="BP1604" s="318">
        <f t="shared" si="1115"/>
        <v>7961.2683191998267</v>
      </c>
      <c r="BQ1604" s="193"/>
      <c r="BR1604" s="193"/>
      <c r="BS1604" s="193"/>
      <c r="BT1604" s="193"/>
      <c r="BU1604" s="193"/>
      <c r="BV1604" s="193"/>
      <c r="BW1604" s="193"/>
      <c r="BX1604" s="147">
        <v>39.909999999999997</v>
      </c>
      <c r="BY1604" s="147">
        <v>39.61</v>
      </c>
      <c r="CO1604" s="460">
        <f t="shared" si="1116"/>
        <v>0.3300000000000054</v>
      </c>
      <c r="CP1604" s="460">
        <f t="shared" si="1117"/>
        <v>0.63000000000000256</v>
      </c>
    </row>
    <row r="1605" spans="1:94" ht="14.1" hidden="1" customHeight="1" x14ac:dyDescent="0.3">
      <c r="A1605" s="128" t="s">
        <v>3250</v>
      </c>
      <c r="B1605" s="129">
        <v>46226</v>
      </c>
      <c r="C1605" s="281">
        <v>1570</v>
      </c>
      <c r="D1605" s="128" t="s">
        <v>3424</v>
      </c>
      <c r="E1605" s="130">
        <v>46236</v>
      </c>
      <c r="F1605" s="128" t="s">
        <v>3299</v>
      </c>
      <c r="G1605" s="128" t="s">
        <v>2630</v>
      </c>
      <c r="H1605" s="128" t="s">
        <v>1508</v>
      </c>
      <c r="I1605" s="136"/>
      <c r="J1605" s="138" t="s">
        <v>2499</v>
      </c>
      <c r="K1605" s="136"/>
      <c r="L1605" s="146">
        <v>46226</v>
      </c>
      <c r="M1605" s="136"/>
      <c r="N1605" s="281">
        <v>190</v>
      </c>
      <c r="O1605" s="129">
        <v>46233</v>
      </c>
      <c r="P1605" s="138">
        <v>0</v>
      </c>
      <c r="Q1605" s="138">
        <v>30</v>
      </c>
      <c r="R1605" s="138">
        <v>810</v>
      </c>
      <c r="S1605" s="138">
        <v>840</v>
      </c>
      <c r="T1605" s="138">
        <v>840</v>
      </c>
      <c r="U1605" s="136"/>
      <c r="V1605" s="136"/>
      <c r="W1605" s="147">
        <v>400.8</v>
      </c>
      <c r="X1605" s="147">
        <v>400.5</v>
      </c>
      <c r="Y1605" s="445">
        <v>3302592</v>
      </c>
      <c r="Z1605" s="236">
        <v>39.21</v>
      </c>
      <c r="AA1605" s="390">
        <v>82564.800000000003</v>
      </c>
      <c r="AB1605" s="147">
        <v>82564.800000000003</v>
      </c>
      <c r="AC1605" s="147">
        <v>3467721.6</v>
      </c>
      <c r="AD1605" s="315">
        <f t="shared" si="1098"/>
        <v>3464253.8784000003</v>
      </c>
      <c r="AE1605" s="236">
        <v>39.21</v>
      </c>
      <c r="AF1605" s="147">
        <v>42</v>
      </c>
      <c r="AG1605" s="236">
        <v>39.21</v>
      </c>
      <c r="AH1605" s="287">
        <v>3.8E-3</v>
      </c>
      <c r="AI1605" s="287">
        <v>0.05</v>
      </c>
      <c r="AJ1605" s="287">
        <v>5.0999999999999997E-2</v>
      </c>
      <c r="AK1605" s="318">
        <f t="shared" si="1099"/>
        <v>219386.4685714285</v>
      </c>
      <c r="AL1605" s="193">
        <v>0</v>
      </c>
      <c r="AM1605" s="319">
        <v>0</v>
      </c>
      <c r="AN1605" s="319">
        <v>0</v>
      </c>
      <c r="AO1605" s="320">
        <f t="shared" si="1100"/>
        <v>0</v>
      </c>
      <c r="AP1605" s="193">
        <v>0</v>
      </c>
      <c r="AQ1605" s="318">
        <v>0</v>
      </c>
      <c r="AR1605" s="318">
        <f t="shared" si="1101"/>
        <v>219386.4685714285</v>
      </c>
      <c r="AS1605" s="318">
        <f t="shared" si="1102"/>
        <v>230356</v>
      </c>
      <c r="AT1605" s="321">
        <v>0</v>
      </c>
      <c r="AU1605" s="462"/>
      <c r="AV1605" s="193"/>
      <c r="AW1605" s="318">
        <f t="shared" si="1103"/>
        <v>40080</v>
      </c>
      <c r="AX1605" s="193"/>
      <c r="AY1605" s="318">
        <f t="shared" si="1104"/>
        <v>40080</v>
      </c>
      <c r="AZ1605" s="318">
        <f t="shared" si="1105"/>
        <v>40050</v>
      </c>
      <c r="BA1605" s="318">
        <f t="shared" si="1106"/>
        <v>30</v>
      </c>
      <c r="BB1605" s="318">
        <f t="shared" si="1107"/>
        <v>80.16</v>
      </c>
      <c r="BC1605" s="318">
        <v>0</v>
      </c>
      <c r="BD1605" s="193"/>
      <c r="BE1605" s="147">
        <v>400.8</v>
      </c>
      <c r="BF1605" s="321">
        <f t="shared" si="1108"/>
        <v>0.60119999999999996</v>
      </c>
      <c r="BG1605" s="321">
        <f t="shared" si="1109"/>
        <v>400.19880000000001</v>
      </c>
      <c r="BH1605" s="321">
        <f t="shared" si="1110"/>
        <v>400.5</v>
      </c>
      <c r="BI1605" s="322">
        <f t="shared" si="1111"/>
        <v>30.000000000001137</v>
      </c>
      <c r="BJ1605" s="322">
        <v>0</v>
      </c>
      <c r="BK1605" s="318">
        <f t="shared" si="1112"/>
        <v>30.000000000001137</v>
      </c>
      <c r="BL1605" s="193"/>
      <c r="BM1605" s="449" t="str">
        <f t="shared" si="1113"/>
        <v>Unloading no. 1570 Bill No 190 ,Deduction For Oil Deduction= 219386.468571429 ,Bardana= 0 ,F.M= 0 Brokerage/Rate Difference 0 ,Shortage = 0 ,Greenish= 0 ,Moisture= 0</v>
      </c>
      <c r="BN1605" s="193"/>
      <c r="BO1605" s="449" t="str">
        <f t="shared" si="1114"/>
        <v xml:space="preserve"> Party Condition 42  ,F.M% 0.38 ,Greenish 5 ,Moisture 5.1 ,Shortage in KG= 0  ,Oil% 39.21</v>
      </c>
      <c r="BP1605" s="318">
        <f t="shared" si="1115"/>
        <v>7698.3908400214013</v>
      </c>
      <c r="BQ1605" s="193"/>
      <c r="BR1605" s="193"/>
      <c r="BS1605" s="193"/>
      <c r="BT1605" s="193"/>
      <c r="BU1605" s="193"/>
      <c r="BV1605" s="193"/>
      <c r="BW1605" s="193"/>
      <c r="BX1605" s="138">
        <v>39.630000000000003</v>
      </c>
      <c r="BY1605" s="138">
        <v>39.61</v>
      </c>
      <c r="CO1605" s="460">
        <f t="shared" si="1116"/>
        <v>-0.42000000000000171</v>
      </c>
      <c r="CP1605" s="460">
        <f t="shared" si="1117"/>
        <v>-0.39999999999999858</v>
      </c>
    </row>
    <row r="1606" spans="1:94" ht="14.1" hidden="1" customHeight="1" x14ac:dyDescent="0.3">
      <c r="A1606" s="128" t="s">
        <v>3250</v>
      </c>
      <c r="B1606" s="129">
        <v>46226</v>
      </c>
      <c r="C1606" s="281">
        <v>1571</v>
      </c>
      <c r="D1606" s="128" t="s">
        <v>3425</v>
      </c>
      <c r="E1606" s="130">
        <v>46236</v>
      </c>
      <c r="F1606" s="128" t="s">
        <v>3299</v>
      </c>
      <c r="G1606" s="128" t="s">
        <v>2630</v>
      </c>
      <c r="H1606" s="128" t="s">
        <v>1508</v>
      </c>
      <c r="I1606" s="136"/>
      <c r="J1606" s="138" t="s">
        <v>2499</v>
      </c>
      <c r="K1606" s="136"/>
      <c r="L1606" s="146">
        <v>46226</v>
      </c>
      <c r="M1606" s="136"/>
      <c r="N1606" s="281">
        <v>188</v>
      </c>
      <c r="O1606" s="129">
        <v>46233</v>
      </c>
      <c r="P1606" s="138">
        <v>0</v>
      </c>
      <c r="Q1606" s="138">
        <v>20</v>
      </c>
      <c r="R1606" s="138">
        <v>500</v>
      </c>
      <c r="S1606" s="138">
        <v>520</v>
      </c>
      <c r="T1606" s="138">
        <v>520</v>
      </c>
      <c r="U1606" s="136"/>
      <c r="V1606" s="136"/>
      <c r="W1606" s="147">
        <v>245.8</v>
      </c>
      <c r="X1606" s="147">
        <v>245.7</v>
      </c>
      <c r="Y1606" s="445">
        <v>2025392</v>
      </c>
      <c r="Z1606" s="236">
        <v>37.83</v>
      </c>
      <c r="AA1606" s="390">
        <v>50634.8</v>
      </c>
      <c r="AB1606" s="147">
        <v>50634.8</v>
      </c>
      <c r="AC1606" s="147">
        <v>2126661.6</v>
      </c>
      <c r="AD1606" s="315">
        <f t="shared" si="1098"/>
        <v>2124534.9383999999</v>
      </c>
      <c r="AE1606" s="236">
        <v>37.83</v>
      </c>
      <c r="AF1606" s="147">
        <v>42</v>
      </c>
      <c r="AG1606" s="236">
        <v>37.83</v>
      </c>
      <c r="AH1606" s="287">
        <v>3.0000000000000001E-3</v>
      </c>
      <c r="AI1606" s="287">
        <v>4.8000000000000001E-2</v>
      </c>
      <c r="AJ1606" s="287">
        <v>5.6000000000000001E-2</v>
      </c>
      <c r="AK1606" s="318">
        <f t="shared" si="1099"/>
        <v>201092.49142857152</v>
      </c>
      <c r="AL1606" s="193">
        <v>0</v>
      </c>
      <c r="AM1606" s="319">
        <v>0</v>
      </c>
      <c r="AN1606" s="319">
        <v>0</v>
      </c>
      <c r="AO1606" s="320">
        <f t="shared" si="1100"/>
        <v>0</v>
      </c>
      <c r="AP1606" s="193">
        <v>0</v>
      </c>
      <c r="AQ1606" s="318">
        <v>0</v>
      </c>
      <c r="AR1606" s="318">
        <f t="shared" si="1101"/>
        <v>201092.49142857152</v>
      </c>
      <c r="AS1606" s="318">
        <f t="shared" si="1102"/>
        <v>211147</v>
      </c>
      <c r="AT1606" s="321">
        <v>0</v>
      </c>
      <c r="AU1606" s="462"/>
      <c r="AV1606" s="193"/>
      <c r="AW1606" s="318">
        <f t="shared" si="1103"/>
        <v>24580</v>
      </c>
      <c r="AX1606" s="193"/>
      <c r="AY1606" s="318">
        <f t="shared" si="1104"/>
        <v>24580</v>
      </c>
      <c r="AZ1606" s="318">
        <f t="shared" si="1105"/>
        <v>24570</v>
      </c>
      <c r="BA1606" s="318">
        <f t="shared" si="1106"/>
        <v>10</v>
      </c>
      <c r="BB1606" s="318">
        <f t="shared" si="1107"/>
        <v>49.16</v>
      </c>
      <c r="BC1606" s="318">
        <v>0</v>
      </c>
      <c r="BD1606" s="193"/>
      <c r="BE1606" s="147">
        <v>245.8</v>
      </c>
      <c r="BF1606" s="321">
        <f t="shared" si="1108"/>
        <v>0.36869999999999997</v>
      </c>
      <c r="BG1606" s="321">
        <f t="shared" si="1109"/>
        <v>245.43130000000002</v>
      </c>
      <c r="BH1606" s="321">
        <f t="shared" si="1110"/>
        <v>245.7</v>
      </c>
      <c r="BI1606" s="322">
        <f t="shared" si="1111"/>
        <v>10.000000000002274</v>
      </c>
      <c r="BJ1606" s="322">
        <v>0</v>
      </c>
      <c r="BK1606" s="318">
        <f t="shared" si="1112"/>
        <v>10.000000000002274</v>
      </c>
      <c r="BL1606" s="193"/>
      <c r="BM1606" s="449" t="str">
        <f t="shared" si="1113"/>
        <v>Unloading no. 1571 Bill No 188 ,Deduction For Oil Deduction= 201092.491428572 ,Bardana= 0 ,F.M= 0 Brokerage/Rate Difference 0 ,Shortage = 0 ,Greenish= 0 ,Moisture= 0</v>
      </c>
      <c r="BN1606" s="193"/>
      <c r="BO1606" s="449" t="str">
        <f t="shared" si="1114"/>
        <v xml:space="preserve"> Party Condition 42  ,F.M% 0.3 ,Greenish 4.8 ,Moisture 5.6 ,Shortage in KG= 0  ,Oil% 37.83</v>
      </c>
      <c r="BP1606" s="318">
        <f t="shared" si="1115"/>
        <v>7424.9064247921388</v>
      </c>
      <c r="BQ1606" s="193"/>
      <c r="BR1606" s="193"/>
      <c r="BS1606" s="193"/>
      <c r="BT1606" s="193"/>
      <c r="BU1606" s="193"/>
      <c r="BV1606" s="193"/>
      <c r="BW1606" s="193"/>
      <c r="BX1606" s="138">
        <v>38.6</v>
      </c>
      <c r="BY1606" s="138">
        <v>38.56</v>
      </c>
      <c r="CO1606" s="460">
        <f t="shared" si="1116"/>
        <v>-0.77000000000000313</v>
      </c>
      <c r="CP1606" s="460">
        <f t="shared" si="1117"/>
        <v>-0.73000000000000398</v>
      </c>
    </row>
    <row r="1607" spans="1:94" ht="14.1" hidden="1" customHeight="1" x14ac:dyDescent="0.3">
      <c r="A1607" s="128" t="s">
        <v>3344</v>
      </c>
      <c r="B1607" s="129">
        <v>46228</v>
      </c>
      <c r="C1607" s="281">
        <v>1572</v>
      </c>
      <c r="D1607" s="128" t="s">
        <v>3426</v>
      </c>
      <c r="E1607" s="130">
        <v>46236</v>
      </c>
      <c r="F1607" s="128" t="s">
        <v>1144</v>
      </c>
      <c r="G1607" s="128" t="s">
        <v>1145</v>
      </c>
      <c r="H1607" s="128" t="s">
        <v>100</v>
      </c>
      <c r="I1607" s="136"/>
      <c r="J1607" s="138" t="s">
        <v>1146</v>
      </c>
      <c r="K1607" s="136"/>
      <c r="L1607" s="146">
        <v>46228</v>
      </c>
      <c r="M1607" s="136"/>
      <c r="N1607" s="281" t="s">
        <v>3444</v>
      </c>
      <c r="O1607" s="129">
        <v>46233</v>
      </c>
      <c r="P1607" s="138">
        <v>0</v>
      </c>
      <c r="Q1607" s="138">
        <v>550</v>
      </c>
      <c r="R1607" s="138">
        <v>50</v>
      </c>
      <c r="S1607" s="138">
        <v>600</v>
      </c>
      <c r="T1607" s="138">
        <v>600</v>
      </c>
      <c r="U1607" s="136"/>
      <c r="V1607" s="136"/>
      <c r="W1607" s="147">
        <v>308.10000000000002</v>
      </c>
      <c r="X1607" s="147">
        <v>308.5</v>
      </c>
      <c r="Y1607" s="445">
        <v>2557230</v>
      </c>
      <c r="Z1607" s="236">
        <v>40.159999999999997</v>
      </c>
      <c r="AA1607" s="390">
        <v>63930.75</v>
      </c>
      <c r="AB1607" s="147">
        <v>63930.75</v>
      </c>
      <c r="AC1607" s="147">
        <v>2685091.5</v>
      </c>
      <c r="AD1607" s="315">
        <f t="shared" si="1098"/>
        <v>2682406.4084999999</v>
      </c>
      <c r="AE1607" s="236">
        <v>40.159999999999997</v>
      </c>
      <c r="AF1607" s="147">
        <v>42</v>
      </c>
      <c r="AG1607" s="236">
        <v>40.159999999999997</v>
      </c>
      <c r="AH1607" s="287">
        <v>4.0000000000000001E-3</v>
      </c>
      <c r="AI1607" s="287">
        <v>3.5000000000000003E-2</v>
      </c>
      <c r="AJ1607" s="287">
        <v>5.7000000000000002E-2</v>
      </c>
      <c r="AK1607" s="318">
        <f t="shared" si="1099"/>
        <v>112031.02857142877</v>
      </c>
      <c r="AL1607" s="193">
        <v>0</v>
      </c>
      <c r="AM1607" s="319">
        <v>0</v>
      </c>
      <c r="AN1607" s="319">
        <v>0</v>
      </c>
      <c r="AO1607" s="320">
        <f t="shared" si="1100"/>
        <v>0</v>
      </c>
      <c r="AP1607" s="193">
        <v>0</v>
      </c>
      <c r="AQ1607" s="318">
        <v>0</v>
      </c>
      <c r="AR1607" s="318">
        <f t="shared" si="1101"/>
        <v>112031.02857142877</v>
      </c>
      <c r="AS1607" s="318">
        <f t="shared" si="1102"/>
        <v>117633</v>
      </c>
      <c r="AT1607" s="321">
        <v>0</v>
      </c>
      <c r="AU1607" s="462"/>
      <c r="AV1607" s="193"/>
      <c r="AW1607" s="318">
        <f t="shared" si="1103"/>
        <v>30810.000000000004</v>
      </c>
      <c r="AX1607" s="193"/>
      <c r="AY1607" s="318">
        <f t="shared" si="1104"/>
        <v>30810.000000000004</v>
      </c>
      <c r="AZ1607" s="318">
        <f t="shared" si="1105"/>
        <v>30850</v>
      </c>
      <c r="BA1607" s="318">
        <f t="shared" si="1106"/>
        <v>-39.999999999996362</v>
      </c>
      <c r="BB1607" s="318">
        <f t="shared" si="1107"/>
        <v>61.620000000000005</v>
      </c>
      <c r="BC1607" s="318">
        <v>0</v>
      </c>
      <c r="BD1607" s="193"/>
      <c r="BE1607" s="147">
        <v>308.10000000000002</v>
      </c>
      <c r="BF1607" s="321">
        <f t="shared" si="1108"/>
        <v>0.46215000000000006</v>
      </c>
      <c r="BG1607" s="321">
        <f t="shared" si="1109"/>
        <v>307.63785000000001</v>
      </c>
      <c r="BH1607" s="321">
        <f t="shared" si="1110"/>
        <v>308.5</v>
      </c>
      <c r="BI1607" s="322">
        <f t="shared" si="1111"/>
        <v>-39.999999999997726</v>
      </c>
      <c r="BJ1607" s="322">
        <v>0</v>
      </c>
      <c r="BK1607" s="318">
        <f t="shared" si="1112"/>
        <v>-39.999999999997726</v>
      </c>
      <c r="BL1607" s="193"/>
      <c r="BM1607" s="449" t="str">
        <f t="shared" si="1113"/>
        <v>Unloading no. 1572 Bill No 2026-27/566 ,Deduction For Oil Deduction= 112031.028571429 ,Bardana= 0 ,F.M= 0 Brokerage/Rate Difference 0 ,Shortage = 0 ,Greenish= 0 ,Moisture= 0</v>
      </c>
      <c r="BN1607" s="193"/>
      <c r="BO1607" s="449" t="str">
        <f t="shared" si="1114"/>
        <v xml:space="preserve"> Party Condition 42  ,F.M% 0.4 ,Greenish 3.5 ,Moisture 5.7 ,Shortage in KG= 0  ,Oil% 40.16</v>
      </c>
      <c r="BP1607" s="318">
        <f t="shared" si="1115"/>
        <v>7926.0906691363734</v>
      </c>
      <c r="BQ1607" s="193"/>
      <c r="BR1607" s="193"/>
      <c r="BS1607" s="193"/>
      <c r="BT1607" s="193"/>
      <c r="BU1607" s="193"/>
      <c r="BV1607" s="193"/>
      <c r="BW1607" s="193"/>
      <c r="BX1607" s="138">
        <v>38.380000000000003</v>
      </c>
      <c r="BY1607" s="138">
        <v>38.369999999999997</v>
      </c>
      <c r="CO1607" s="460">
        <f t="shared" si="1116"/>
        <v>1.779999999999994</v>
      </c>
      <c r="CP1607" s="460">
        <f t="shared" si="1117"/>
        <v>1.7899999999999991</v>
      </c>
    </row>
    <row r="1608" spans="1:94" ht="14.1" hidden="1" customHeight="1" x14ac:dyDescent="0.3">
      <c r="A1608" s="128" t="s">
        <v>3250</v>
      </c>
      <c r="B1608" s="129">
        <v>46226</v>
      </c>
      <c r="C1608" s="281">
        <v>1573</v>
      </c>
      <c r="D1608" s="128" t="s">
        <v>3427</v>
      </c>
      <c r="E1608" s="130">
        <v>46236</v>
      </c>
      <c r="F1608" s="128" t="s">
        <v>3299</v>
      </c>
      <c r="G1608" s="128" t="s">
        <v>2630</v>
      </c>
      <c r="H1608" s="128" t="s">
        <v>1508</v>
      </c>
      <c r="I1608" s="136"/>
      <c r="J1608" s="138" t="s">
        <v>2499</v>
      </c>
      <c r="K1608" s="136"/>
      <c r="L1608" s="146">
        <v>46226</v>
      </c>
      <c r="M1608" s="136"/>
      <c r="N1608" s="281">
        <v>189</v>
      </c>
      <c r="O1608" s="129">
        <v>46233</v>
      </c>
      <c r="P1608" s="138">
        <v>0</v>
      </c>
      <c r="Q1608" s="138">
        <v>25</v>
      </c>
      <c r="R1608" s="138">
        <v>720</v>
      </c>
      <c r="S1608" s="138">
        <v>745</v>
      </c>
      <c r="T1608" s="138">
        <v>745</v>
      </c>
      <c r="U1608" s="136"/>
      <c r="V1608" s="136"/>
      <c r="W1608" s="147">
        <v>354</v>
      </c>
      <c r="X1608" s="147">
        <v>353.9</v>
      </c>
      <c r="Y1608" s="445">
        <v>2916960</v>
      </c>
      <c r="Z1608" s="236">
        <v>39.17</v>
      </c>
      <c r="AA1608" s="390">
        <v>72924</v>
      </c>
      <c r="AB1608" s="147">
        <v>72924</v>
      </c>
      <c r="AC1608" s="147">
        <v>3062808</v>
      </c>
      <c r="AD1608" s="315">
        <f t="shared" si="1098"/>
        <v>3059745.1919999998</v>
      </c>
      <c r="AE1608" s="236">
        <v>39.17</v>
      </c>
      <c r="AF1608" s="147">
        <v>42</v>
      </c>
      <c r="AG1608" s="236">
        <v>39.17</v>
      </c>
      <c r="AH1608" s="287">
        <v>4.1000000000000003E-3</v>
      </c>
      <c r="AI1608" s="287">
        <v>3.4500000000000003E-2</v>
      </c>
      <c r="AJ1608" s="287">
        <v>5.3999999999999999E-2</v>
      </c>
      <c r="AK1608" s="318">
        <f t="shared" si="1099"/>
        <v>196547.54285714275</v>
      </c>
      <c r="AL1608" s="193">
        <v>0</v>
      </c>
      <c r="AM1608" s="319">
        <v>0</v>
      </c>
      <c r="AN1608" s="319">
        <v>0</v>
      </c>
      <c r="AO1608" s="320">
        <f t="shared" si="1100"/>
        <v>0</v>
      </c>
      <c r="AP1608" s="193">
        <v>0</v>
      </c>
      <c r="AQ1608" s="318">
        <v>0</v>
      </c>
      <c r="AR1608" s="318">
        <f t="shared" si="1101"/>
        <v>196547.54285714275</v>
      </c>
      <c r="AS1608" s="318">
        <f t="shared" si="1102"/>
        <v>206375</v>
      </c>
      <c r="AT1608" s="321">
        <v>0</v>
      </c>
      <c r="AU1608" s="462"/>
      <c r="AV1608" s="193"/>
      <c r="AW1608" s="318">
        <f t="shared" si="1103"/>
        <v>35400</v>
      </c>
      <c r="AX1608" s="193"/>
      <c r="AY1608" s="318">
        <f t="shared" si="1104"/>
        <v>35400</v>
      </c>
      <c r="AZ1608" s="318">
        <f t="shared" si="1105"/>
        <v>35390</v>
      </c>
      <c r="BA1608" s="318">
        <f t="shared" si="1106"/>
        <v>10</v>
      </c>
      <c r="BB1608" s="318">
        <f t="shared" si="1107"/>
        <v>70.8</v>
      </c>
      <c r="BC1608" s="318">
        <v>0</v>
      </c>
      <c r="BD1608" s="193"/>
      <c r="BE1608" s="147">
        <v>354</v>
      </c>
      <c r="BF1608" s="321">
        <f t="shared" si="1108"/>
        <v>0.53100000000000003</v>
      </c>
      <c r="BG1608" s="321">
        <f t="shared" si="1109"/>
        <v>353.46899999999999</v>
      </c>
      <c r="BH1608" s="321">
        <f t="shared" si="1110"/>
        <v>353.9</v>
      </c>
      <c r="BI1608" s="322">
        <f t="shared" si="1111"/>
        <v>10.000000000002274</v>
      </c>
      <c r="BJ1608" s="322">
        <v>0</v>
      </c>
      <c r="BK1608" s="318">
        <f t="shared" si="1112"/>
        <v>10.000000000002274</v>
      </c>
      <c r="BL1608" s="193"/>
      <c r="BM1608" s="449" t="str">
        <f t="shared" si="1113"/>
        <v>Unloading no. 1573 Bill No 189 ,Deduction For Oil Deduction= 196547.542857143 ,Bardana= 0 ,F.M= 0 Brokerage/Rate Difference 0 ,Shortage = 0 ,Greenish= 0 ,Moisture= 0</v>
      </c>
      <c r="BN1608" s="193"/>
      <c r="BO1608" s="449" t="str">
        <f t="shared" si="1114"/>
        <v xml:space="preserve"> Party Condition 42  ,F.M% 0.41 ,Greenish 3.45 ,Moisture 5.4 ,Shortage in KG= 0  ,Oil% 39.17</v>
      </c>
      <c r="BP1608" s="318">
        <f t="shared" si="1115"/>
        <v>7686.9524078634004</v>
      </c>
      <c r="BQ1608" s="193"/>
      <c r="BR1608" s="193"/>
      <c r="BS1608" s="193"/>
      <c r="BT1608" s="193"/>
      <c r="BU1608" s="193"/>
      <c r="BV1608" s="193"/>
      <c r="BW1608" s="193"/>
      <c r="BX1608" s="138">
        <v>39.68</v>
      </c>
      <c r="BY1608" s="138">
        <v>39.590000000000003</v>
      </c>
      <c r="CO1608" s="460">
        <f t="shared" si="1116"/>
        <v>-0.50999999999999801</v>
      </c>
      <c r="CP1608" s="460">
        <f t="shared" si="1117"/>
        <v>-0.42000000000000171</v>
      </c>
    </row>
    <row r="1609" spans="1:94" ht="14.1" hidden="1" customHeight="1" x14ac:dyDescent="0.3">
      <c r="A1609" s="128" t="s">
        <v>3344</v>
      </c>
      <c r="B1609" s="129">
        <v>46228</v>
      </c>
      <c r="C1609" s="281">
        <v>1574</v>
      </c>
      <c r="D1609" s="128" t="s">
        <v>3428</v>
      </c>
      <c r="E1609" s="130">
        <v>46236</v>
      </c>
      <c r="F1609" s="128" t="s">
        <v>1144</v>
      </c>
      <c r="G1609" s="128" t="s">
        <v>1145</v>
      </c>
      <c r="H1609" s="128" t="s">
        <v>100</v>
      </c>
      <c r="I1609" s="136"/>
      <c r="J1609" s="138" t="s">
        <v>1146</v>
      </c>
      <c r="K1609" s="136"/>
      <c r="L1609" s="146">
        <v>46228</v>
      </c>
      <c r="M1609" s="136"/>
      <c r="N1609" s="281" t="s">
        <v>3445</v>
      </c>
      <c r="O1609" s="129">
        <v>46234</v>
      </c>
      <c r="P1609" s="138">
        <v>0</v>
      </c>
      <c r="Q1609" s="138">
        <v>450</v>
      </c>
      <c r="R1609" s="138">
        <v>86</v>
      </c>
      <c r="S1609" s="138">
        <v>536</v>
      </c>
      <c r="T1609" s="138">
        <v>536</v>
      </c>
      <c r="U1609" s="136"/>
      <c r="V1609" s="136"/>
      <c r="W1609" s="147">
        <v>272.60000000000002</v>
      </c>
      <c r="X1609" s="147">
        <v>271.7</v>
      </c>
      <c r="Y1609" s="445">
        <v>2262580</v>
      </c>
      <c r="Z1609" s="236">
        <v>41.26</v>
      </c>
      <c r="AA1609" s="390">
        <v>56564.5</v>
      </c>
      <c r="AB1609" s="147">
        <v>56564.5</v>
      </c>
      <c r="AC1609" s="147">
        <v>2375709</v>
      </c>
      <c r="AD1609" s="315">
        <f t="shared" si="1098"/>
        <v>2373333.2910000002</v>
      </c>
      <c r="AE1609" s="236">
        <v>41.26</v>
      </c>
      <c r="AF1609" s="147">
        <v>42</v>
      </c>
      <c r="AG1609" s="236">
        <v>41.26</v>
      </c>
      <c r="AH1609" s="287">
        <v>5.0000000000000001E-3</v>
      </c>
      <c r="AI1609" s="287">
        <v>4.3999999999999997E-2</v>
      </c>
      <c r="AJ1609" s="287">
        <v>5.6000000000000001E-2</v>
      </c>
      <c r="AK1609" s="318">
        <f t="shared" si="1099"/>
        <v>39864.504761904871</v>
      </c>
      <c r="AL1609" s="193">
        <v>0</v>
      </c>
      <c r="AM1609" s="319">
        <v>0</v>
      </c>
      <c r="AN1609" s="319">
        <v>0</v>
      </c>
      <c r="AO1609" s="320">
        <f t="shared" si="1100"/>
        <v>2987.9999999999995</v>
      </c>
      <c r="AP1609" s="193">
        <v>0</v>
      </c>
      <c r="AQ1609" s="318">
        <v>0</v>
      </c>
      <c r="AR1609" s="318">
        <f t="shared" si="1101"/>
        <v>42852.504761904871</v>
      </c>
      <c r="AS1609" s="318">
        <f t="shared" si="1102"/>
        <v>44995</v>
      </c>
      <c r="AT1609" s="321">
        <v>36</v>
      </c>
      <c r="AU1609" s="462"/>
      <c r="AV1609" s="193"/>
      <c r="AW1609" s="318">
        <f t="shared" si="1103"/>
        <v>27260.000000000004</v>
      </c>
      <c r="AX1609" s="193"/>
      <c r="AY1609" s="318">
        <f t="shared" si="1104"/>
        <v>27260.000000000004</v>
      </c>
      <c r="AZ1609" s="318">
        <f t="shared" si="1105"/>
        <v>27170</v>
      </c>
      <c r="BA1609" s="318">
        <f t="shared" si="1106"/>
        <v>90.000000000003638</v>
      </c>
      <c r="BB1609" s="318">
        <f t="shared" si="1107"/>
        <v>54.52000000000001</v>
      </c>
      <c r="BC1609" s="318">
        <v>0</v>
      </c>
      <c r="BD1609" s="193"/>
      <c r="BE1609" s="147">
        <v>272.60000000000002</v>
      </c>
      <c r="BF1609" s="321">
        <f t="shared" si="1108"/>
        <v>0.40889999999999999</v>
      </c>
      <c r="BG1609" s="321">
        <f t="shared" si="1109"/>
        <v>272.19110000000001</v>
      </c>
      <c r="BH1609" s="321">
        <f t="shared" si="1110"/>
        <v>271.7</v>
      </c>
      <c r="BI1609" s="322">
        <f t="shared" si="1111"/>
        <v>90.000000000003411</v>
      </c>
      <c r="BJ1609" s="322">
        <v>0</v>
      </c>
      <c r="BK1609" s="318">
        <f t="shared" si="1112"/>
        <v>90.000000000003411</v>
      </c>
      <c r="BL1609" s="193"/>
      <c r="BM1609" s="449" t="str">
        <f t="shared" si="1113"/>
        <v>Unloading no. 1574 Bill No 2026-27/571 ,Deduction For Oil Deduction= 39864.5047619049 ,Bardana= 0 ,F.M= 0 Brokerage/Rate Difference 0 ,Shortage = 2988 ,Greenish= 0 ,Moisture= 0</v>
      </c>
      <c r="BN1609" s="193"/>
      <c r="BO1609" s="449" t="str">
        <f t="shared" si="1114"/>
        <v xml:space="preserve"> Party Condition 42  ,F.M% 0.5 ,Greenish 4.4 ,Moisture 5.6 ,Shortage in KG= 36  ,Oil% 41.26</v>
      </c>
      <c r="BP1609" s="318">
        <f t="shared" si="1115"/>
        <v>8169.7736298788923</v>
      </c>
      <c r="BQ1609" s="193"/>
      <c r="BR1609" s="193"/>
      <c r="BS1609" s="193"/>
      <c r="BT1609" s="193"/>
      <c r="BU1609" s="193"/>
      <c r="BV1609" s="193"/>
      <c r="BW1609" s="193"/>
      <c r="BX1609" s="138">
        <v>40.72</v>
      </c>
      <c r="BY1609" s="138">
        <v>40.619999999999997</v>
      </c>
      <c r="CO1609" s="460">
        <f t="shared" si="1116"/>
        <v>0.53999999999999915</v>
      </c>
      <c r="CP1609" s="460">
        <f t="shared" si="1117"/>
        <v>0.64000000000000057</v>
      </c>
    </row>
    <row r="1610" spans="1:94" ht="14.1" hidden="1" customHeight="1" x14ac:dyDescent="0.3">
      <c r="A1610" s="128" t="s">
        <v>3344</v>
      </c>
      <c r="B1610" s="129">
        <v>46228</v>
      </c>
      <c r="C1610" s="281">
        <v>1575</v>
      </c>
      <c r="D1610" s="128" t="s">
        <v>3429</v>
      </c>
      <c r="E1610" s="130">
        <v>46236</v>
      </c>
      <c r="F1610" s="128" t="s">
        <v>1144</v>
      </c>
      <c r="G1610" s="128" t="s">
        <v>1145</v>
      </c>
      <c r="H1610" s="128" t="s">
        <v>100</v>
      </c>
      <c r="I1610" s="136"/>
      <c r="J1610" s="138" t="s">
        <v>1146</v>
      </c>
      <c r="K1610" s="136"/>
      <c r="L1610" s="146">
        <v>46228</v>
      </c>
      <c r="M1610" s="136"/>
      <c r="N1610" s="281" t="s">
        <v>3446</v>
      </c>
      <c r="O1610" s="129">
        <v>46234</v>
      </c>
      <c r="P1610" s="138">
        <v>0</v>
      </c>
      <c r="Q1610" s="138">
        <v>590</v>
      </c>
      <c r="R1610" s="138">
        <v>75</v>
      </c>
      <c r="S1610" s="138">
        <v>665</v>
      </c>
      <c r="T1610" s="138">
        <v>665</v>
      </c>
      <c r="U1610" s="136"/>
      <c r="V1610" s="136"/>
      <c r="W1610" s="147">
        <v>346.15</v>
      </c>
      <c r="X1610" s="147">
        <v>345.7</v>
      </c>
      <c r="Y1610" s="445">
        <v>2873045</v>
      </c>
      <c r="Z1610" s="236">
        <v>39.450000000000003</v>
      </c>
      <c r="AA1610" s="390">
        <v>71826.13</v>
      </c>
      <c r="AB1610" s="147">
        <v>71826.13</v>
      </c>
      <c r="AC1610" s="147">
        <v>3016697.25</v>
      </c>
      <c r="AD1610" s="315">
        <f t="shared" si="1098"/>
        <v>3013680.5527499998</v>
      </c>
      <c r="AE1610" s="236">
        <v>39.450000000000003</v>
      </c>
      <c r="AF1610" s="147">
        <v>42</v>
      </c>
      <c r="AG1610" s="236">
        <v>39.450000000000003</v>
      </c>
      <c r="AH1610" s="287">
        <v>6.0000000000000001E-3</v>
      </c>
      <c r="AI1610" s="287">
        <v>4.9000000000000002E-2</v>
      </c>
      <c r="AJ1610" s="287">
        <v>0.06</v>
      </c>
      <c r="AK1610" s="318">
        <f t="shared" si="1099"/>
        <v>174434.8749999998</v>
      </c>
      <c r="AL1610" s="193">
        <v>0</v>
      </c>
      <c r="AM1610" s="319">
        <v>0</v>
      </c>
      <c r="AN1610" s="319">
        <v>0</v>
      </c>
      <c r="AO1610" s="320">
        <f t="shared" si="1100"/>
        <v>0</v>
      </c>
      <c r="AP1610" s="193">
        <v>0</v>
      </c>
      <c r="AQ1610" s="318">
        <v>0</v>
      </c>
      <c r="AR1610" s="318">
        <f t="shared" si="1101"/>
        <v>174434.8749999998</v>
      </c>
      <c r="AS1610" s="318">
        <f t="shared" si="1102"/>
        <v>183157</v>
      </c>
      <c r="AT1610" s="321">
        <v>0</v>
      </c>
      <c r="AU1610" s="462"/>
      <c r="AV1610" s="193"/>
      <c r="AW1610" s="318">
        <f t="shared" si="1103"/>
        <v>34615</v>
      </c>
      <c r="AX1610" s="193"/>
      <c r="AY1610" s="318">
        <f t="shared" si="1104"/>
        <v>34615</v>
      </c>
      <c r="AZ1610" s="318">
        <f t="shared" si="1105"/>
        <v>34570</v>
      </c>
      <c r="BA1610" s="318">
        <f t="shared" si="1106"/>
        <v>45</v>
      </c>
      <c r="BB1610" s="318">
        <f t="shared" si="1107"/>
        <v>69.23</v>
      </c>
      <c r="BC1610" s="318">
        <v>0</v>
      </c>
      <c r="BD1610" s="193"/>
      <c r="BE1610" s="147">
        <v>346.15</v>
      </c>
      <c r="BF1610" s="321">
        <f t="shared" si="1108"/>
        <v>0.51922499999999994</v>
      </c>
      <c r="BG1610" s="321">
        <f t="shared" si="1109"/>
        <v>345.63077499999997</v>
      </c>
      <c r="BH1610" s="321">
        <f t="shared" si="1110"/>
        <v>345.7</v>
      </c>
      <c r="BI1610" s="322">
        <f t="shared" si="1111"/>
        <v>44.999999999998863</v>
      </c>
      <c r="BJ1610" s="322">
        <v>0</v>
      </c>
      <c r="BK1610" s="318">
        <f t="shared" si="1112"/>
        <v>44.999999999998863</v>
      </c>
      <c r="BL1610" s="193"/>
      <c r="BM1610" s="449" t="str">
        <f t="shared" si="1113"/>
        <v>Unloading no. 1575 Bill No 2026-27/570 ,Deduction For Oil Deduction= 174434.875 ,Bardana= 0 ,F.M= 0 Brokerage/Rate Difference 0 ,Shortage = 0 ,Greenish= 0 ,Moisture= 0</v>
      </c>
      <c r="BN1610" s="193"/>
      <c r="BO1610" s="449" t="str">
        <f t="shared" si="1114"/>
        <v xml:space="preserve"> Party Condition 42  ,F.M% 0.6 ,Greenish 4.9 ,Moisture 6 ,Shortage in KG= 0  ,Oil% 39.45</v>
      </c>
      <c r="BP1610" s="318">
        <f t="shared" si="1115"/>
        <v>7806.2196268440848</v>
      </c>
      <c r="BQ1610" s="193"/>
      <c r="BR1610" s="193"/>
      <c r="BS1610" s="193"/>
      <c r="BT1610" s="193"/>
      <c r="BU1610" s="193"/>
      <c r="BV1610" s="193"/>
      <c r="BW1610" s="193"/>
      <c r="BX1610" s="138">
        <v>39.6</v>
      </c>
      <c r="BY1610" s="138">
        <v>39.54</v>
      </c>
      <c r="CO1610" s="460">
        <f t="shared" si="1116"/>
        <v>-0.14999999999999858</v>
      </c>
      <c r="CP1610" s="460">
        <f t="shared" si="1117"/>
        <v>-8.9999999999996305E-2</v>
      </c>
    </row>
    <row r="1611" spans="1:94" ht="14.1" hidden="1" customHeight="1" x14ac:dyDescent="0.3">
      <c r="A1611" s="128" t="s">
        <v>3344</v>
      </c>
      <c r="B1611" s="129">
        <v>46228</v>
      </c>
      <c r="C1611" s="281">
        <v>1576</v>
      </c>
      <c r="D1611" s="128" t="s">
        <v>3430</v>
      </c>
      <c r="E1611" s="130">
        <v>46236</v>
      </c>
      <c r="F1611" s="128" t="s">
        <v>1144</v>
      </c>
      <c r="G1611" s="128" t="s">
        <v>1145</v>
      </c>
      <c r="H1611" s="128" t="s">
        <v>100</v>
      </c>
      <c r="I1611" s="136"/>
      <c r="J1611" s="138" t="s">
        <v>1146</v>
      </c>
      <c r="K1611" s="136"/>
      <c r="L1611" s="146">
        <v>46228</v>
      </c>
      <c r="M1611" s="136"/>
      <c r="N1611" s="281" t="s">
        <v>3447</v>
      </c>
      <c r="O1611" s="129">
        <v>46234</v>
      </c>
      <c r="P1611" s="138">
        <v>0</v>
      </c>
      <c r="Q1611" s="138">
        <v>450</v>
      </c>
      <c r="R1611" s="138">
        <v>65</v>
      </c>
      <c r="S1611" s="138">
        <v>515</v>
      </c>
      <c r="T1611" s="138">
        <v>515</v>
      </c>
      <c r="U1611" s="136"/>
      <c r="V1611" s="136"/>
      <c r="W1611" s="147">
        <v>260.8</v>
      </c>
      <c r="X1611" s="147">
        <v>260.5</v>
      </c>
      <c r="Y1611" s="445">
        <v>2164640</v>
      </c>
      <c r="Z1611" s="236">
        <v>40.700000000000003</v>
      </c>
      <c r="AA1611" s="390">
        <v>54116</v>
      </c>
      <c r="AB1611" s="147">
        <v>54116</v>
      </c>
      <c r="AC1611" s="147">
        <v>2272872</v>
      </c>
      <c r="AD1611" s="315">
        <f t="shared" si="1098"/>
        <v>2270599.128</v>
      </c>
      <c r="AE1611" s="236">
        <v>40.700000000000003</v>
      </c>
      <c r="AF1611" s="147">
        <v>42</v>
      </c>
      <c r="AG1611" s="236">
        <v>40.700000000000003</v>
      </c>
      <c r="AH1611" s="287">
        <v>6.0000000000000001E-3</v>
      </c>
      <c r="AI1611" s="287">
        <v>4.4400000000000002E-2</v>
      </c>
      <c r="AJ1611" s="287">
        <v>5.5E-2</v>
      </c>
      <c r="AK1611" s="318">
        <f t="shared" si="1099"/>
        <v>67000.761904761763</v>
      </c>
      <c r="AL1611" s="193">
        <v>0</v>
      </c>
      <c r="AM1611" s="319">
        <v>0</v>
      </c>
      <c r="AN1611" s="319">
        <v>0</v>
      </c>
      <c r="AO1611" s="320">
        <f t="shared" si="1100"/>
        <v>0</v>
      </c>
      <c r="AP1611" s="193">
        <v>0</v>
      </c>
      <c r="AQ1611" s="318">
        <v>0</v>
      </c>
      <c r="AR1611" s="318">
        <f t="shared" si="1101"/>
        <v>67000.761904761763</v>
      </c>
      <c r="AS1611" s="318">
        <f t="shared" si="1102"/>
        <v>70351</v>
      </c>
      <c r="AT1611" s="321">
        <v>0</v>
      </c>
      <c r="AU1611" s="462"/>
      <c r="AV1611" s="193"/>
      <c r="AW1611" s="318">
        <f t="shared" si="1103"/>
        <v>26080</v>
      </c>
      <c r="AX1611" s="193"/>
      <c r="AY1611" s="318">
        <f t="shared" si="1104"/>
        <v>26080</v>
      </c>
      <c r="AZ1611" s="318">
        <f t="shared" si="1105"/>
        <v>26050</v>
      </c>
      <c r="BA1611" s="318">
        <f t="shared" si="1106"/>
        <v>30</v>
      </c>
      <c r="BB1611" s="318">
        <f t="shared" si="1107"/>
        <v>52.16</v>
      </c>
      <c r="BC1611" s="318">
        <v>0</v>
      </c>
      <c r="BD1611" s="193"/>
      <c r="BE1611" s="147">
        <v>260.8</v>
      </c>
      <c r="BF1611" s="321">
        <f t="shared" ref="BF1611:BF1612" si="1118">+BE1611*0.15/100</f>
        <v>0.39119999999999999</v>
      </c>
      <c r="BG1611" s="321">
        <f t="shared" ref="BG1611:BG1612" si="1119">BE1611-BF1611</f>
        <v>260.40879999999999</v>
      </c>
      <c r="BH1611" s="321">
        <f t="shared" ref="BH1611:BH1612" si="1120">X1611</f>
        <v>260.5</v>
      </c>
      <c r="BI1611" s="322">
        <f t="shared" ref="BI1611:BI1612" si="1121">(BE1611-BH1611)*100</f>
        <v>30.000000000001137</v>
      </c>
      <c r="BJ1611" s="322">
        <v>0</v>
      </c>
      <c r="BK1611" s="318">
        <f t="shared" ref="BK1611:BK1612" si="1122">BI1611</f>
        <v>30.000000000001137</v>
      </c>
      <c r="BL1611" s="193"/>
      <c r="BM1611" s="449" t="str">
        <f t="shared" ref="BM1611:BM1612" si="1123">+$C$1&amp;" "&amp;C1611 &amp;" "&amp;$N$1&amp;" "&amp;N1611&amp;" "&amp;$BM$1&amp;" "&amp;$AK$1&amp;" "&amp;AK1611&amp;" "&amp;$AL$1&amp;" "&amp;AL1611&amp;" "&amp;$AM$1&amp;" "&amp;AM1611&amp;" "&amp;$AN$1&amp;" "&amp;AN1611&amp;" "&amp;$AO$1&amp;" "&amp;AO1611&amp;" "&amp;$AP$1&amp;" "&amp;AP1611&amp;" "&amp;$AQ$1&amp;" "&amp;AQ1611</f>
        <v>Unloading no. 1576 Bill No 2026-27/572 ,Deduction For Oil Deduction= 67000.7619047618 ,Bardana= 0 ,F.M= 0 Brokerage/Rate Difference 0 ,Shortage = 0 ,Greenish= 0 ,Moisture= 0</v>
      </c>
      <c r="BN1611" s="193"/>
      <c r="BO1611" s="449" t="str">
        <f t="shared" ref="BO1611:BO1612" si="1124">+" "&amp;$AF$1&amp;" "&amp;AF1611&amp;" "&amp;" "&amp;$AH$1&amp;" "&amp;AH1611*100&amp;" "&amp;$AI$1&amp;" "&amp;AI1611*100&amp;" "&amp;$AJ$1&amp;" "&amp;AJ1611*100&amp;" ,"&amp;$AT$1&amp;" "&amp;AT1611&amp;" "&amp;IF(AE1611&gt;AG1611," ,Oil%"&amp;" "&amp;AG1611," ,Oil%"&amp;" "&amp;AE1611)</f>
        <v xml:space="preserve"> Party Condition 42  ,F.M% 0.6 ,Greenish 4.44 ,Moisture 5.5 ,Shortage in KG= 0  ,Oil% 40.7</v>
      </c>
      <c r="BP1611" s="318">
        <f t="shared" ref="BP1611:BP1612" si="1125">(Y1611-AR1611)/X1611</f>
        <v>8052.3579197513945</v>
      </c>
      <c r="BQ1611" s="193"/>
      <c r="BR1611" s="193"/>
      <c r="BS1611" s="193"/>
      <c r="BT1611" s="193"/>
      <c r="BU1611" s="193"/>
      <c r="BV1611" s="193"/>
      <c r="BW1611" s="193"/>
      <c r="BX1611" s="138">
        <v>40.9</v>
      </c>
      <c r="BY1611" s="138">
        <v>40.71</v>
      </c>
      <c r="CO1611" s="460">
        <f t="shared" si="1116"/>
        <v>-0.19999999999999574</v>
      </c>
      <c r="CP1611" s="460">
        <f t="shared" si="1117"/>
        <v>-9.9999999999980105E-3</v>
      </c>
    </row>
    <row r="1612" spans="1:94" ht="14.1" hidden="1" customHeight="1" x14ac:dyDescent="0.3">
      <c r="A1612" s="174" t="s">
        <v>3344</v>
      </c>
      <c r="B1612" s="231">
        <v>46228</v>
      </c>
      <c r="C1612" s="284">
        <v>1577</v>
      </c>
      <c r="D1612" s="174" t="s">
        <v>3431</v>
      </c>
      <c r="E1612" s="175">
        <v>46236</v>
      </c>
      <c r="F1612" s="174" t="s">
        <v>1144</v>
      </c>
      <c r="G1612" s="174" t="s">
        <v>1145</v>
      </c>
      <c r="H1612" s="174" t="s">
        <v>100</v>
      </c>
      <c r="I1612" s="176"/>
      <c r="J1612" s="275" t="s">
        <v>1146</v>
      </c>
      <c r="K1612" s="176"/>
      <c r="L1612" s="376">
        <v>46228</v>
      </c>
      <c r="M1612" s="176"/>
      <c r="N1612" s="284" t="s">
        <v>3448</v>
      </c>
      <c r="O1612" s="231">
        <v>46234</v>
      </c>
      <c r="P1612" s="275">
        <v>0</v>
      </c>
      <c r="Q1612" s="275">
        <v>348</v>
      </c>
      <c r="R1612" s="275">
        <v>170</v>
      </c>
      <c r="S1612" s="275">
        <v>518</v>
      </c>
      <c r="T1612" s="275">
        <v>518</v>
      </c>
      <c r="U1612" s="176"/>
      <c r="V1612" s="176"/>
      <c r="W1612" s="178">
        <v>263.3</v>
      </c>
      <c r="X1612" s="178">
        <v>262.60000000000002</v>
      </c>
      <c r="Y1612" s="446">
        <v>2185390</v>
      </c>
      <c r="Z1612" s="280">
        <v>41.08</v>
      </c>
      <c r="AA1612" s="448">
        <v>54634.75</v>
      </c>
      <c r="AB1612" s="178">
        <v>54634.75</v>
      </c>
      <c r="AC1612" s="178">
        <v>2294659.5</v>
      </c>
      <c r="AD1612" s="339">
        <f t="shared" si="1098"/>
        <v>2292364.8404999999</v>
      </c>
      <c r="AE1612" s="280">
        <v>41.08</v>
      </c>
      <c r="AF1612" s="178">
        <v>42</v>
      </c>
      <c r="AG1612" s="280">
        <v>41.08</v>
      </c>
      <c r="AH1612" s="308">
        <v>6.3E-3</v>
      </c>
      <c r="AI1612" s="308">
        <v>4.5100000000000001E-2</v>
      </c>
      <c r="AJ1612" s="308">
        <v>5.3999999999999999E-2</v>
      </c>
      <c r="AK1612" s="342">
        <f t="shared" si="1099"/>
        <v>47870.447619047707</v>
      </c>
      <c r="AL1612" s="335">
        <v>0</v>
      </c>
      <c r="AM1612" s="343">
        <v>0</v>
      </c>
      <c r="AN1612" s="343">
        <v>0</v>
      </c>
      <c r="AO1612" s="344">
        <f t="shared" si="1100"/>
        <v>1411</v>
      </c>
      <c r="AP1612" s="335">
        <v>0</v>
      </c>
      <c r="AQ1612" s="342">
        <v>0</v>
      </c>
      <c r="AR1612" s="342">
        <f t="shared" si="1101"/>
        <v>49281.447619047707</v>
      </c>
      <c r="AS1612" s="342">
        <f t="shared" si="1102"/>
        <v>51746</v>
      </c>
      <c r="AT1612" s="345">
        <v>17</v>
      </c>
      <c r="AU1612" s="463"/>
      <c r="AV1612" s="335"/>
      <c r="AW1612" s="342">
        <f t="shared" si="1103"/>
        <v>26330</v>
      </c>
      <c r="AX1612" s="335"/>
      <c r="AY1612" s="342">
        <f t="shared" si="1104"/>
        <v>26330</v>
      </c>
      <c r="AZ1612" s="342">
        <f t="shared" si="1105"/>
        <v>26260.000000000004</v>
      </c>
      <c r="BA1612" s="342">
        <f t="shared" si="1106"/>
        <v>69.999999999996362</v>
      </c>
      <c r="BB1612" s="342">
        <f t="shared" si="1107"/>
        <v>52.66</v>
      </c>
      <c r="BC1612" s="342">
        <v>0</v>
      </c>
      <c r="BD1612" s="335"/>
      <c r="BE1612" s="178">
        <v>263.3</v>
      </c>
      <c r="BF1612" s="345">
        <f t="shared" si="1118"/>
        <v>0.39494999999999997</v>
      </c>
      <c r="BG1612" s="345">
        <f t="shared" si="1119"/>
        <v>262.90505000000002</v>
      </c>
      <c r="BH1612" s="345">
        <f t="shared" si="1120"/>
        <v>262.60000000000002</v>
      </c>
      <c r="BI1612" s="346">
        <f t="shared" si="1121"/>
        <v>69.999999999998863</v>
      </c>
      <c r="BJ1612" s="346">
        <v>0</v>
      </c>
      <c r="BK1612" s="342">
        <f t="shared" si="1122"/>
        <v>69.999999999998863</v>
      </c>
      <c r="BL1612" s="335"/>
      <c r="BM1612" s="453" t="str">
        <f t="shared" si="1123"/>
        <v>Unloading no. 1577 Bill No 2026-27/573 ,Deduction For Oil Deduction= 47870.4476190477 ,Bardana= 0 ,F.M= 0 Brokerage/Rate Difference 0 ,Shortage = 1411 ,Greenish= 0 ,Moisture= 0</v>
      </c>
      <c r="BN1612" s="335"/>
      <c r="BO1612" s="453" t="str">
        <f t="shared" si="1124"/>
        <v xml:space="preserve"> Party Condition 42  ,F.M% 0.63 ,Greenish 4.51 ,Moisture 5.4 ,Shortage in KG= 17  ,Oil% 41.08</v>
      </c>
      <c r="BP1612" s="342">
        <f t="shared" si="1125"/>
        <v>8134.4575490516081</v>
      </c>
      <c r="BQ1612" s="335"/>
      <c r="BR1612" s="335"/>
      <c r="BS1612" s="335"/>
      <c r="BT1612" s="335"/>
      <c r="BU1612" s="335"/>
      <c r="BV1612" s="335"/>
      <c r="BW1612" s="335"/>
      <c r="BX1612" s="275">
        <v>40.92</v>
      </c>
      <c r="BY1612" s="275">
        <v>40.76</v>
      </c>
      <c r="CO1612" s="460">
        <f t="shared" si="1116"/>
        <v>0.15999999999999659</v>
      </c>
      <c r="CP1612" s="460">
        <f t="shared" si="1117"/>
        <v>0.32000000000000028</v>
      </c>
    </row>
    <row r="1613" spans="1:94" ht="14.1" hidden="1" customHeight="1" x14ac:dyDescent="0.3">
      <c r="A1613" s="281" t="s">
        <v>3449</v>
      </c>
      <c r="B1613" s="129">
        <v>46237</v>
      </c>
      <c r="C1613" s="281">
        <v>1578</v>
      </c>
      <c r="D1613" s="281" t="s">
        <v>3453</v>
      </c>
      <c r="E1613" s="129">
        <v>46240</v>
      </c>
      <c r="F1613" s="281" t="s">
        <v>3299</v>
      </c>
      <c r="G1613" s="281" t="s">
        <v>2630</v>
      </c>
      <c r="H1613" s="281" t="s">
        <v>1508</v>
      </c>
      <c r="I1613" s="466"/>
      <c r="J1613" s="281" t="s">
        <v>2499</v>
      </c>
      <c r="K1613" s="466"/>
      <c r="L1613" s="465">
        <v>46237</v>
      </c>
      <c r="M1613" s="466"/>
      <c r="N1613" s="281">
        <v>194</v>
      </c>
      <c r="O1613" s="129">
        <v>46239</v>
      </c>
      <c r="P1613" s="281">
        <v>0</v>
      </c>
      <c r="Q1613" s="281">
        <v>400</v>
      </c>
      <c r="R1613" s="281">
        <v>201</v>
      </c>
      <c r="S1613" s="281">
        <v>601</v>
      </c>
      <c r="T1613" s="281">
        <v>601</v>
      </c>
      <c r="U1613" s="466"/>
      <c r="V1613" s="466"/>
      <c r="W1613" s="147">
        <v>337.6</v>
      </c>
      <c r="X1613" s="147">
        <v>337.4</v>
      </c>
      <c r="Y1613" s="147">
        <v>2785200</v>
      </c>
      <c r="Z1613" s="236">
        <v>38.67</v>
      </c>
      <c r="AA1613" s="147">
        <v>69630</v>
      </c>
      <c r="AB1613" s="147">
        <v>69630</v>
      </c>
      <c r="AC1613" s="147">
        <v>2924460</v>
      </c>
      <c r="AD1613" s="321">
        <f t="shared" si="1098"/>
        <v>2921535.54</v>
      </c>
      <c r="AE1613" s="236">
        <v>38.67</v>
      </c>
      <c r="AF1613" s="147">
        <v>42</v>
      </c>
      <c r="AG1613" s="236">
        <v>38.67</v>
      </c>
      <c r="AH1613" s="287">
        <v>9.4999999999999998E-3</v>
      </c>
      <c r="AI1613" s="287">
        <v>4.5999999999999999E-2</v>
      </c>
      <c r="AJ1613" s="287">
        <v>5.3999999999999999E-2</v>
      </c>
      <c r="AK1613" s="318">
        <f t="shared" ref="AK1613" si="1126">+IF(AF1613=42,IF(MIN(AE1613,AG1613)&lt;AF1613,Y1613*((AF1613-MIN(AE1613,AG1613))/AF1613)),IF(MIN(AE1613,AG1613)&lt;AF1613,Y1613*((AF1613-MIN(AE1613,AG1613))/AF1613),0))</f>
        <v>220826.57142857133</v>
      </c>
      <c r="AL1613" s="468">
        <v>0</v>
      </c>
      <c r="AM1613" s="315">
        <v>0</v>
      </c>
      <c r="AN1613" s="315">
        <v>0</v>
      </c>
      <c r="AO1613" s="469">
        <f t="shared" ref="AO1613" si="1127">AT1613*Y1613/AW1613</f>
        <v>0</v>
      </c>
      <c r="AP1613" s="468">
        <v>0</v>
      </c>
      <c r="AQ1613" s="318">
        <v>0</v>
      </c>
      <c r="AR1613" s="318">
        <f t="shared" ref="AR1613" si="1128">SUM(AK1613:AQ1613)</f>
        <v>220826.57142857133</v>
      </c>
      <c r="AS1613" s="318">
        <f t="shared" ref="AS1613" si="1129">ROUND(AR1613*1.05,0)</f>
        <v>231868</v>
      </c>
      <c r="AT1613" s="321">
        <v>0</v>
      </c>
      <c r="AU1613" s="464"/>
      <c r="AV1613" s="449"/>
      <c r="AW1613" s="318">
        <f t="shared" ref="AW1613:AW1632" si="1130">W1613*100</f>
        <v>33760</v>
      </c>
      <c r="AX1613" s="467"/>
      <c r="AY1613" s="318">
        <f t="shared" ref="AY1613:AY1632" si="1131">+AW1613+AX1613</f>
        <v>33760</v>
      </c>
      <c r="AZ1613" s="318">
        <f t="shared" ref="AZ1613:AZ1632" si="1132">X1613*100</f>
        <v>33740</v>
      </c>
      <c r="BA1613" s="318">
        <f t="shared" ref="BA1613:BA1632" si="1133">AY1613-AZ1613</f>
        <v>20</v>
      </c>
      <c r="BB1613" s="318">
        <f t="shared" ref="BB1613:BB1632" si="1134">AW1613*2/1000</f>
        <v>67.52</v>
      </c>
      <c r="BC1613" s="318">
        <v>0</v>
      </c>
      <c r="BD1613" s="467"/>
      <c r="BE1613" s="147">
        <v>337.6</v>
      </c>
      <c r="BF1613" s="321">
        <f t="shared" ref="BF1613:BF1632" si="1135">+BE1613*0.15/100</f>
        <v>0.50639999999999996</v>
      </c>
      <c r="BG1613" s="321">
        <f t="shared" ref="BG1613:BG1632" si="1136">BE1613-BF1613</f>
        <v>337.09360000000004</v>
      </c>
      <c r="BH1613" s="321">
        <f t="shared" ref="BH1613:BH1632" si="1137">X1613</f>
        <v>337.4</v>
      </c>
      <c r="BI1613" s="322">
        <f t="shared" ref="BI1613:BI1632" si="1138">(BE1613-BH1613)*100</f>
        <v>20.000000000004547</v>
      </c>
      <c r="BJ1613" s="322">
        <v>0</v>
      </c>
      <c r="BK1613" s="318">
        <f t="shared" ref="BK1613:BK1632" si="1139">BI1613</f>
        <v>20.000000000004547</v>
      </c>
      <c r="BL1613" s="449"/>
      <c r="BM1613" s="449" t="str">
        <f t="shared" ref="BM1613:BM1632" si="1140">+$C$1&amp;" "&amp;C1613 &amp;" "&amp;$N$1&amp;" "&amp;N1613&amp;" "&amp;$BM$1&amp;" "&amp;$AK$1&amp;" "&amp;AK1613&amp;" "&amp;$AL$1&amp;" "&amp;AL1613&amp;" "&amp;$AM$1&amp;" "&amp;AM1613&amp;" "&amp;$AN$1&amp;" "&amp;AN1613&amp;" "&amp;$AO$1&amp;" "&amp;AO1613&amp;" "&amp;$AP$1&amp;" "&amp;AP1613&amp;" "&amp;$AQ$1&amp;" "&amp;AQ1613</f>
        <v>Unloading no. 1578 Bill No 194 ,Deduction For Oil Deduction= 220826.571428571 ,Bardana= 0 ,F.M= 0 Brokerage/Rate Difference 0 ,Shortage = 0 ,Greenish= 0 ,Moisture= 0</v>
      </c>
      <c r="BN1613" s="449"/>
      <c r="BO1613" s="449" t="str">
        <f t="shared" ref="BO1613:BO1632" si="1141">+" "&amp;$AF$1&amp;" "&amp;AF1613&amp;" "&amp;" "&amp;$AH$1&amp;" "&amp;AH1613*100&amp;" "&amp;$AI$1&amp;" "&amp;AI1613*100&amp;" "&amp;$AJ$1&amp;" "&amp;AJ1613*100&amp;" ,"&amp;$AT$1&amp;" "&amp;AT1613&amp;" "&amp;IF(AE1613&gt;AG1613," ,Oil%"&amp;" "&amp;AG1613," ,Oil%"&amp;" "&amp;AE1613)</f>
        <v xml:space="preserve"> Party Condition 42  ,F.M% 0.95 ,Greenish 4.6 ,Moisture 5.4 ,Shortage in KG= 0  ,Oil% 38.67</v>
      </c>
      <c r="BP1613" s="464">
        <f t="shared" ref="BP1613:BP1632" si="1142">(Y1613-AR1613)/X1613</f>
        <v>7600.3954610890005</v>
      </c>
      <c r="BQ1613" s="449"/>
      <c r="BR1613" s="449"/>
      <c r="BS1613" s="449"/>
      <c r="BT1613" s="449"/>
      <c r="BU1613" s="449"/>
      <c r="BV1613" s="449"/>
      <c r="BW1613" s="449"/>
      <c r="BX1613" s="147">
        <v>38.369999999999997</v>
      </c>
      <c r="BY1613" s="147">
        <v>38.5</v>
      </c>
      <c r="CO1613" s="460">
        <f t="shared" ref="CO1613:CO1615" si="1143">Z1613-BX1613</f>
        <v>0.30000000000000426</v>
      </c>
      <c r="CP1613" s="460">
        <f t="shared" ref="CP1613:CP1615" si="1144">Z1613-BY1613</f>
        <v>0.17000000000000171</v>
      </c>
    </row>
    <row r="1614" spans="1:94" ht="14.1" hidden="1" customHeight="1" x14ac:dyDescent="0.3">
      <c r="A1614" s="281" t="s">
        <v>3449</v>
      </c>
      <c r="B1614" s="129">
        <v>46237</v>
      </c>
      <c r="C1614" s="281">
        <v>1579</v>
      </c>
      <c r="D1614" s="281" t="s">
        <v>3454</v>
      </c>
      <c r="E1614" s="129">
        <v>46240</v>
      </c>
      <c r="F1614" s="281" t="s">
        <v>3299</v>
      </c>
      <c r="G1614" s="281" t="s">
        <v>2630</v>
      </c>
      <c r="H1614" s="281" t="s">
        <v>1508</v>
      </c>
      <c r="I1614" s="466"/>
      <c r="J1614" s="281" t="s">
        <v>2499</v>
      </c>
      <c r="K1614" s="466"/>
      <c r="L1614" s="465">
        <v>46237</v>
      </c>
      <c r="M1614" s="466"/>
      <c r="N1614" s="281">
        <v>195</v>
      </c>
      <c r="O1614" s="129">
        <v>46239</v>
      </c>
      <c r="P1614" s="281">
        <v>0</v>
      </c>
      <c r="Q1614" s="281">
        <v>420</v>
      </c>
      <c r="R1614" s="281">
        <v>210</v>
      </c>
      <c r="S1614" s="281">
        <v>630</v>
      </c>
      <c r="T1614" s="281">
        <v>630</v>
      </c>
      <c r="U1614" s="466"/>
      <c r="V1614" s="466"/>
      <c r="W1614" s="147">
        <v>331.5</v>
      </c>
      <c r="X1614" s="147">
        <v>331.4</v>
      </c>
      <c r="Y1614" s="147">
        <v>2734875</v>
      </c>
      <c r="Z1614" s="236">
        <v>38.840000000000003</v>
      </c>
      <c r="AA1614" s="147">
        <v>68371.88</v>
      </c>
      <c r="AB1614" s="147">
        <v>68371.88</v>
      </c>
      <c r="AC1614" s="147">
        <v>2871618.75</v>
      </c>
      <c r="AD1614" s="321">
        <f t="shared" si="1098"/>
        <v>2868747.1312500001</v>
      </c>
      <c r="AE1614" s="236">
        <v>38.840000000000003</v>
      </c>
      <c r="AF1614" s="147">
        <v>42</v>
      </c>
      <c r="AG1614" s="236">
        <v>38.840000000000003</v>
      </c>
      <c r="AH1614" s="287">
        <v>6.0000000000000001E-3</v>
      </c>
      <c r="AI1614" s="287">
        <v>0.04</v>
      </c>
      <c r="AJ1614" s="287">
        <v>5.6000000000000001E-2</v>
      </c>
      <c r="AK1614" s="318">
        <f t="shared" ref="AK1614:AK1632" si="1145">+IF(AF1614=42,IF(MIN(AE1614,AG1614)&lt;AF1614,Y1614*((AF1614-MIN(AE1614,AG1614))/AF1614)),IF(MIN(AE1614,AG1614)&lt;AF1614,Y1614*((AF1614-MIN(AE1614,AG1614))/AF1614),0))</f>
        <v>205766.78571428551</v>
      </c>
      <c r="AL1614" s="468">
        <v>0</v>
      </c>
      <c r="AM1614" s="315">
        <v>0</v>
      </c>
      <c r="AN1614" s="315">
        <v>0</v>
      </c>
      <c r="AO1614" s="469">
        <f t="shared" ref="AO1614:AO1632" si="1146">AT1614*Y1614/AW1614</f>
        <v>0</v>
      </c>
      <c r="AP1614" s="468">
        <v>0</v>
      </c>
      <c r="AQ1614" s="318">
        <v>0</v>
      </c>
      <c r="AR1614" s="318">
        <f t="shared" ref="AR1614:AR1632" si="1147">SUM(AK1614:AQ1614)</f>
        <v>205766.78571428551</v>
      </c>
      <c r="AS1614" s="318">
        <f t="shared" ref="AS1614:AS1632" si="1148">ROUND(AR1614*1.05,0)</f>
        <v>216055</v>
      </c>
      <c r="AT1614" s="321">
        <v>0</v>
      </c>
      <c r="AU1614" s="464"/>
      <c r="AV1614" s="449"/>
      <c r="AW1614" s="318">
        <f t="shared" si="1130"/>
        <v>33150</v>
      </c>
      <c r="AX1614" s="467"/>
      <c r="AY1614" s="318">
        <f t="shared" si="1131"/>
        <v>33150</v>
      </c>
      <c r="AZ1614" s="318">
        <f t="shared" si="1132"/>
        <v>33140</v>
      </c>
      <c r="BA1614" s="318">
        <f t="shared" si="1133"/>
        <v>10</v>
      </c>
      <c r="BB1614" s="318">
        <f t="shared" si="1134"/>
        <v>66.3</v>
      </c>
      <c r="BC1614" s="318">
        <v>0</v>
      </c>
      <c r="BD1614" s="467"/>
      <c r="BE1614" s="147">
        <v>331.5</v>
      </c>
      <c r="BF1614" s="321">
        <f t="shared" si="1135"/>
        <v>0.49725000000000003</v>
      </c>
      <c r="BG1614" s="321">
        <f t="shared" si="1136"/>
        <v>331.00274999999999</v>
      </c>
      <c r="BH1614" s="321">
        <f t="shared" si="1137"/>
        <v>331.4</v>
      </c>
      <c r="BI1614" s="322">
        <f t="shared" si="1138"/>
        <v>10.000000000002274</v>
      </c>
      <c r="BJ1614" s="322">
        <v>0</v>
      </c>
      <c r="BK1614" s="318">
        <f t="shared" si="1139"/>
        <v>10.000000000002274</v>
      </c>
      <c r="BL1614" s="449"/>
      <c r="BM1614" s="449" t="str">
        <f t="shared" si="1140"/>
        <v>Unloading no. 1579 Bill No 195 ,Deduction For Oil Deduction= 205766.785714286 ,Bardana= 0 ,F.M= 0 Brokerage/Rate Difference 0 ,Shortage = 0 ,Greenish= 0 ,Moisture= 0</v>
      </c>
      <c r="BN1614" s="449"/>
      <c r="BO1614" s="449" t="str">
        <f t="shared" si="1141"/>
        <v xml:space="preserve"> Party Condition 42  ,F.M% 0.6 ,Greenish 4 ,Moisture 5.6 ,Shortage in KG= 0  ,Oil% 38.84</v>
      </c>
      <c r="BP1614" s="464">
        <f t="shared" si="1142"/>
        <v>7631.5878524010704</v>
      </c>
      <c r="BQ1614" s="449"/>
      <c r="BR1614" s="449"/>
      <c r="BS1614" s="449"/>
      <c r="BT1614" s="449"/>
      <c r="BU1614" s="449"/>
      <c r="BV1614" s="449"/>
      <c r="BW1614" s="449"/>
      <c r="BX1614" s="147">
        <v>38.520000000000003</v>
      </c>
      <c r="BY1614" s="147">
        <v>38.409999999999997</v>
      </c>
      <c r="CO1614" s="460">
        <f t="shared" si="1143"/>
        <v>0.32000000000000028</v>
      </c>
      <c r="CP1614" s="460">
        <f t="shared" si="1144"/>
        <v>0.43000000000000682</v>
      </c>
    </row>
    <row r="1615" spans="1:94" ht="14.1" hidden="1" customHeight="1" x14ac:dyDescent="0.3">
      <c r="A1615" s="281" t="s">
        <v>3449</v>
      </c>
      <c r="B1615" s="129">
        <v>46237</v>
      </c>
      <c r="C1615" s="281">
        <v>1580</v>
      </c>
      <c r="D1615" s="281" t="s">
        <v>3455</v>
      </c>
      <c r="E1615" s="129">
        <v>46240</v>
      </c>
      <c r="F1615" s="281" t="s">
        <v>3299</v>
      </c>
      <c r="G1615" s="281" t="s">
        <v>2630</v>
      </c>
      <c r="H1615" s="281" t="s">
        <v>1508</v>
      </c>
      <c r="I1615" s="466"/>
      <c r="J1615" s="281" t="s">
        <v>2499</v>
      </c>
      <c r="K1615" s="466"/>
      <c r="L1615" s="465">
        <v>46237</v>
      </c>
      <c r="M1615" s="466"/>
      <c r="N1615" s="281">
        <v>193</v>
      </c>
      <c r="O1615" s="129">
        <v>46239</v>
      </c>
      <c r="P1615" s="281">
        <v>0</v>
      </c>
      <c r="Q1615" s="281">
        <v>400</v>
      </c>
      <c r="R1615" s="281">
        <v>175</v>
      </c>
      <c r="S1615" s="281">
        <v>575</v>
      </c>
      <c r="T1615" s="281">
        <v>575</v>
      </c>
      <c r="U1615" s="466"/>
      <c r="V1615" s="466"/>
      <c r="W1615" s="147">
        <v>341.9</v>
      </c>
      <c r="X1615" s="147">
        <v>341.6</v>
      </c>
      <c r="Y1615" s="147">
        <v>2820675</v>
      </c>
      <c r="Z1615" s="236">
        <v>38.450000000000003</v>
      </c>
      <c r="AA1615" s="147">
        <v>70516.88</v>
      </c>
      <c r="AB1615" s="147">
        <v>70516.88</v>
      </c>
      <c r="AC1615" s="147">
        <v>2961708.75</v>
      </c>
      <c r="AD1615" s="321">
        <f t="shared" si="1098"/>
        <v>2958747.0412499998</v>
      </c>
      <c r="AE1615" s="236">
        <v>38.450000000000003</v>
      </c>
      <c r="AF1615" s="147">
        <v>42</v>
      </c>
      <c r="AG1615" s="236">
        <v>38.450000000000003</v>
      </c>
      <c r="AH1615" s="287">
        <v>6.7999999999999996E-3</v>
      </c>
      <c r="AI1615" s="287">
        <v>0.04</v>
      </c>
      <c r="AJ1615" s="287">
        <v>5.0999999999999997E-2</v>
      </c>
      <c r="AK1615" s="318">
        <f t="shared" si="1145"/>
        <v>238414.19642857125</v>
      </c>
      <c r="AL1615" s="468">
        <v>0</v>
      </c>
      <c r="AM1615" s="315">
        <v>0</v>
      </c>
      <c r="AN1615" s="315">
        <v>0</v>
      </c>
      <c r="AO1615" s="469">
        <f t="shared" si="1146"/>
        <v>0</v>
      </c>
      <c r="AP1615" s="468">
        <v>0</v>
      </c>
      <c r="AQ1615" s="318">
        <v>0</v>
      </c>
      <c r="AR1615" s="318">
        <f t="shared" si="1147"/>
        <v>238414.19642857125</v>
      </c>
      <c r="AS1615" s="318">
        <f t="shared" si="1148"/>
        <v>250335</v>
      </c>
      <c r="AT1615" s="321">
        <v>0</v>
      </c>
      <c r="AU1615" s="464"/>
      <c r="AV1615" s="449"/>
      <c r="AW1615" s="318">
        <f t="shared" si="1130"/>
        <v>34190</v>
      </c>
      <c r="AX1615" s="467"/>
      <c r="AY1615" s="318">
        <f t="shared" si="1131"/>
        <v>34190</v>
      </c>
      <c r="AZ1615" s="318">
        <f t="shared" si="1132"/>
        <v>34160</v>
      </c>
      <c r="BA1615" s="318">
        <f t="shared" si="1133"/>
        <v>30</v>
      </c>
      <c r="BB1615" s="318">
        <f t="shared" si="1134"/>
        <v>68.38</v>
      </c>
      <c r="BC1615" s="318">
        <v>0</v>
      </c>
      <c r="BD1615" s="467"/>
      <c r="BE1615" s="147">
        <v>341.9</v>
      </c>
      <c r="BF1615" s="321">
        <f t="shared" si="1135"/>
        <v>0.51284999999999992</v>
      </c>
      <c r="BG1615" s="321">
        <f t="shared" si="1136"/>
        <v>341.38714999999996</v>
      </c>
      <c r="BH1615" s="321">
        <f t="shared" si="1137"/>
        <v>341.6</v>
      </c>
      <c r="BI1615" s="322">
        <f t="shared" si="1138"/>
        <v>29.999999999995453</v>
      </c>
      <c r="BJ1615" s="322">
        <v>0</v>
      </c>
      <c r="BK1615" s="318">
        <f t="shared" si="1139"/>
        <v>29.999999999995453</v>
      </c>
      <c r="BL1615" s="449"/>
      <c r="BM1615" s="449" t="str">
        <f t="shared" si="1140"/>
        <v>Unloading no. 1580 Bill No 193 ,Deduction For Oil Deduction= 238414.196428571 ,Bardana= 0 ,F.M= 0 Brokerage/Rate Difference 0 ,Shortage = 0 ,Greenish= 0 ,Moisture= 0</v>
      </c>
      <c r="BN1615" s="449"/>
      <c r="BO1615" s="449" t="str">
        <f t="shared" si="1141"/>
        <v xml:space="preserve"> Party Condition 42  ,F.M% 0.68 ,Greenish 4 ,Moisture 5.1 ,Shortage in KG= 0  ,Oil% 38.45</v>
      </c>
      <c r="BP1615" s="464">
        <f t="shared" si="1142"/>
        <v>7559.3114858648378</v>
      </c>
      <c r="BQ1615" s="449"/>
      <c r="BR1615" s="449"/>
      <c r="BS1615" s="449"/>
      <c r="BT1615" s="449"/>
      <c r="BU1615" s="449"/>
      <c r="BV1615" s="449"/>
      <c r="BW1615" s="449"/>
      <c r="BX1615" s="147">
        <v>38.54</v>
      </c>
      <c r="BY1615" s="147">
        <v>38.659999999999997</v>
      </c>
      <c r="CO1615" s="460">
        <f t="shared" si="1143"/>
        <v>-8.9999999999996305E-2</v>
      </c>
      <c r="CP1615" s="460">
        <f t="shared" si="1144"/>
        <v>-0.20999999999999375</v>
      </c>
    </row>
    <row r="1616" spans="1:94" ht="14.1" hidden="1" customHeight="1" x14ac:dyDescent="0.3">
      <c r="A1616" s="281" t="s">
        <v>3449</v>
      </c>
      <c r="B1616" s="129">
        <v>46237</v>
      </c>
      <c r="C1616" s="281">
        <v>1581</v>
      </c>
      <c r="D1616" s="281" t="s">
        <v>3456</v>
      </c>
      <c r="E1616" s="129">
        <v>46241</v>
      </c>
      <c r="F1616" s="281" t="s">
        <v>3299</v>
      </c>
      <c r="G1616" s="281" t="s">
        <v>2630</v>
      </c>
      <c r="H1616" s="281" t="s">
        <v>1508</v>
      </c>
      <c r="I1616" s="466"/>
      <c r="J1616" s="281" t="s">
        <v>2499</v>
      </c>
      <c r="K1616" s="466"/>
      <c r="L1616" s="465">
        <v>46237</v>
      </c>
      <c r="M1616" s="466"/>
      <c r="N1616" s="281">
        <v>198</v>
      </c>
      <c r="O1616" s="129">
        <v>46240</v>
      </c>
      <c r="P1616" s="281">
        <v>0</v>
      </c>
      <c r="Q1616" s="281">
        <v>515</v>
      </c>
      <c r="R1616" s="281">
        <v>100</v>
      </c>
      <c r="S1616" s="281">
        <v>615</v>
      </c>
      <c r="T1616" s="281">
        <v>615</v>
      </c>
      <c r="U1616" s="466"/>
      <c r="V1616" s="466"/>
      <c r="W1616" s="147">
        <v>298.8</v>
      </c>
      <c r="X1616" s="147">
        <v>299</v>
      </c>
      <c r="Y1616" s="196">
        <f>2489004-23904</f>
        <v>2465100</v>
      </c>
      <c r="Z1616" s="236">
        <v>39.53</v>
      </c>
      <c r="AA1616" s="147">
        <v>62225.1</v>
      </c>
      <c r="AB1616" s="147">
        <v>62225.1</v>
      </c>
      <c r="AC1616" s="147">
        <v>2613454.2000000002</v>
      </c>
      <c r="AD1616" s="321">
        <f t="shared" si="1098"/>
        <v>2610840.7458000001</v>
      </c>
      <c r="AE1616" s="236">
        <v>39.53</v>
      </c>
      <c r="AF1616" s="147">
        <v>42</v>
      </c>
      <c r="AG1616" s="236">
        <v>39.53</v>
      </c>
      <c r="AH1616" s="287">
        <v>6.4999999999999997E-3</v>
      </c>
      <c r="AI1616" s="287">
        <v>0.04</v>
      </c>
      <c r="AJ1616" s="287">
        <v>5.3999999999999999E-2</v>
      </c>
      <c r="AK1616" s="318">
        <f t="shared" si="1145"/>
        <v>144971.35714285707</v>
      </c>
      <c r="AL1616" s="467">
        <v>0</v>
      </c>
      <c r="AM1616" s="321">
        <v>0</v>
      </c>
      <c r="AN1616" s="321">
        <v>0</v>
      </c>
      <c r="AO1616" s="318">
        <f t="shared" si="1146"/>
        <v>0</v>
      </c>
      <c r="AP1616" s="467">
        <v>0</v>
      </c>
      <c r="AQ1616" s="318">
        <v>0</v>
      </c>
      <c r="AR1616" s="318">
        <f t="shared" si="1147"/>
        <v>144971.35714285707</v>
      </c>
      <c r="AS1616" s="318">
        <f t="shared" si="1148"/>
        <v>152220</v>
      </c>
      <c r="AT1616" s="321">
        <v>0</v>
      </c>
      <c r="AU1616" s="464"/>
      <c r="AV1616" s="449"/>
      <c r="AW1616" s="318">
        <f t="shared" si="1130"/>
        <v>29880</v>
      </c>
      <c r="AX1616" s="467"/>
      <c r="AY1616" s="318">
        <f t="shared" si="1131"/>
        <v>29880</v>
      </c>
      <c r="AZ1616" s="318">
        <f t="shared" si="1132"/>
        <v>29900</v>
      </c>
      <c r="BA1616" s="318">
        <f t="shared" si="1133"/>
        <v>-20</v>
      </c>
      <c r="BB1616" s="318">
        <f t="shared" si="1134"/>
        <v>59.76</v>
      </c>
      <c r="BC1616" s="318">
        <v>0</v>
      </c>
      <c r="BD1616" s="467"/>
      <c r="BE1616" s="147">
        <v>298.8</v>
      </c>
      <c r="BF1616" s="321">
        <f t="shared" si="1135"/>
        <v>0.44819999999999999</v>
      </c>
      <c r="BG1616" s="321">
        <f t="shared" si="1136"/>
        <v>298.35180000000003</v>
      </c>
      <c r="BH1616" s="321">
        <f t="shared" si="1137"/>
        <v>299</v>
      </c>
      <c r="BI1616" s="322">
        <f t="shared" si="1138"/>
        <v>-19.999999999998863</v>
      </c>
      <c r="BJ1616" s="322">
        <v>0</v>
      </c>
      <c r="BK1616" s="318">
        <f t="shared" si="1139"/>
        <v>-19.999999999998863</v>
      </c>
      <c r="BL1616" s="449"/>
      <c r="BM1616" s="449" t="str">
        <f t="shared" si="1140"/>
        <v>Unloading no. 1581 Bill No 198 ,Deduction For Oil Deduction= 144971.357142857 ,Bardana= 0 ,F.M= 0 Brokerage/Rate Difference 0 ,Shortage = 0 ,Greenish= 0 ,Moisture= 0</v>
      </c>
      <c r="BN1616" s="449"/>
      <c r="BO1616" s="449" t="str">
        <f t="shared" si="1141"/>
        <v xml:space="preserve"> Party Condition 42  ,F.M% 0.65 ,Greenish 4 ,Moisture 5.4 ,Shortage in KG= 0  ,Oil% 39.53</v>
      </c>
      <c r="BP1616" s="464">
        <f t="shared" si="1142"/>
        <v>7759.627568084089</v>
      </c>
      <c r="BQ1616" s="449"/>
      <c r="BR1616" s="449"/>
      <c r="BS1616" s="449"/>
      <c r="BT1616" s="449"/>
      <c r="BU1616" s="449"/>
      <c r="BV1616" s="449"/>
      <c r="BW1616" s="449"/>
      <c r="BX1616" s="147">
        <v>39.549999999999997</v>
      </c>
      <c r="BY1616" s="147">
        <v>39.520000000000003</v>
      </c>
      <c r="CO1616" s="460">
        <f t="shared" ref="CO1616:CO1617" si="1149">Z1616-BX1616</f>
        <v>-1.9999999999996021E-2</v>
      </c>
      <c r="CP1616" s="460">
        <f t="shared" ref="CP1616:CP1617" si="1150">Z1616-BY1616</f>
        <v>9.9999999999980105E-3</v>
      </c>
    </row>
    <row r="1617" spans="1:94" ht="14.1" hidden="1" customHeight="1" x14ac:dyDescent="0.3">
      <c r="A1617" s="281" t="s">
        <v>3449</v>
      </c>
      <c r="B1617" s="129">
        <v>46237</v>
      </c>
      <c r="C1617" s="281">
        <v>1582</v>
      </c>
      <c r="D1617" s="281" t="s">
        <v>3457</v>
      </c>
      <c r="E1617" s="129">
        <v>46241</v>
      </c>
      <c r="F1617" s="281" t="s">
        <v>3299</v>
      </c>
      <c r="G1617" s="281" t="s">
        <v>2630</v>
      </c>
      <c r="H1617" s="281" t="s">
        <v>1508</v>
      </c>
      <c r="I1617" s="466"/>
      <c r="J1617" s="281" t="s">
        <v>2499</v>
      </c>
      <c r="K1617" s="466"/>
      <c r="L1617" s="465">
        <v>46237</v>
      </c>
      <c r="M1617" s="466"/>
      <c r="N1617" s="281">
        <v>196</v>
      </c>
      <c r="O1617" s="129">
        <v>46240</v>
      </c>
      <c r="P1617" s="281">
        <v>0</v>
      </c>
      <c r="Q1617" s="281">
        <v>115</v>
      </c>
      <c r="R1617" s="281">
        <v>500</v>
      </c>
      <c r="S1617" s="281">
        <v>615</v>
      </c>
      <c r="T1617" s="281">
        <v>615</v>
      </c>
      <c r="U1617" s="466"/>
      <c r="V1617" s="466"/>
      <c r="W1617" s="147">
        <v>291.89999999999998</v>
      </c>
      <c r="X1617" s="147">
        <v>291.39999999999998</v>
      </c>
      <c r="Y1617" s="196">
        <f>2431527-23352</f>
        <v>2408175</v>
      </c>
      <c r="Z1617" s="236">
        <v>39.369999999999997</v>
      </c>
      <c r="AA1617" s="147">
        <v>60788.18</v>
      </c>
      <c r="AB1617" s="147">
        <v>60788.18</v>
      </c>
      <c r="AC1617" s="147">
        <v>2553103.35</v>
      </c>
      <c r="AD1617" s="321">
        <f t="shared" si="1098"/>
        <v>2550550.2466500001</v>
      </c>
      <c r="AE1617" s="236">
        <v>39.369999999999997</v>
      </c>
      <c r="AF1617" s="147">
        <v>42</v>
      </c>
      <c r="AG1617" s="236">
        <v>39.369999999999997</v>
      </c>
      <c r="AH1617" s="287">
        <v>6.0000000000000001E-3</v>
      </c>
      <c r="AI1617" s="287">
        <v>7.8E-2</v>
      </c>
      <c r="AJ1617" s="287">
        <v>5.5E-2</v>
      </c>
      <c r="AK1617" s="318">
        <f t="shared" si="1145"/>
        <v>150797.62500000015</v>
      </c>
      <c r="AL1617" s="467">
        <v>0</v>
      </c>
      <c r="AM1617" s="321">
        <v>0</v>
      </c>
      <c r="AN1617" s="321">
        <v>0</v>
      </c>
      <c r="AO1617" s="318">
        <f t="shared" si="1146"/>
        <v>0</v>
      </c>
      <c r="AP1617" s="467">
        <v>0</v>
      </c>
      <c r="AQ1617" s="318">
        <v>0</v>
      </c>
      <c r="AR1617" s="318">
        <f t="shared" si="1147"/>
        <v>150797.62500000015</v>
      </c>
      <c r="AS1617" s="318">
        <f t="shared" si="1148"/>
        <v>158338</v>
      </c>
      <c r="AT1617" s="321">
        <v>0</v>
      </c>
      <c r="AU1617" s="464"/>
      <c r="AV1617" s="449"/>
      <c r="AW1617" s="318">
        <f t="shared" si="1130"/>
        <v>29189.999999999996</v>
      </c>
      <c r="AX1617" s="467"/>
      <c r="AY1617" s="318">
        <f t="shared" si="1131"/>
        <v>29189.999999999996</v>
      </c>
      <c r="AZ1617" s="318">
        <f t="shared" si="1132"/>
        <v>29139.999999999996</v>
      </c>
      <c r="BA1617" s="318">
        <f t="shared" si="1133"/>
        <v>50</v>
      </c>
      <c r="BB1617" s="318">
        <f t="shared" si="1134"/>
        <v>58.379999999999995</v>
      </c>
      <c r="BC1617" s="318">
        <v>0</v>
      </c>
      <c r="BD1617" s="467"/>
      <c r="BE1617" s="147">
        <v>291.89999999999998</v>
      </c>
      <c r="BF1617" s="321">
        <f t="shared" si="1135"/>
        <v>0.43784999999999996</v>
      </c>
      <c r="BG1617" s="321">
        <f t="shared" si="1136"/>
        <v>291.46214999999995</v>
      </c>
      <c r="BH1617" s="321">
        <f t="shared" si="1137"/>
        <v>291.39999999999998</v>
      </c>
      <c r="BI1617" s="322">
        <f t="shared" si="1138"/>
        <v>50</v>
      </c>
      <c r="BJ1617" s="322">
        <v>0</v>
      </c>
      <c r="BK1617" s="318">
        <f t="shared" si="1139"/>
        <v>50</v>
      </c>
      <c r="BL1617" s="449"/>
      <c r="BM1617" s="449" t="str">
        <f t="shared" si="1140"/>
        <v>Unloading no. 1582 Bill No 196 ,Deduction For Oil Deduction= 150797.625 ,Bardana= 0 ,F.M= 0 Brokerage/Rate Difference 0 ,Shortage = 0 ,Greenish= 0 ,Moisture= 0</v>
      </c>
      <c r="BN1617" s="449"/>
      <c r="BO1617" s="449" t="str">
        <f t="shared" si="1141"/>
        <v xml:space="preserve"> Party Condition 42  ,F.M% 0.6 ,Greenish 7.8 ,Moisture 5.5 ,Shortage in KG= 0  ,Oil% 39.37</v>
      </c>
      <c r="BP1617" s="464">
        <f t="shared" si="1142"/>
        <v>7746.6622340425538</v>
      </c>
      <c r="BQ1617" s="449"/>
      <c r="BR1617" s="449"/>
      <c r="BS1617" s="449"/>
      <c r="BT1617" s="449"/>
      <c r="BU1617" s="449"/>
      <c r="BV1617" s="449"/>
      <c r="BW1617" s="449"/>
      <c r="BX1617" s="147">
        <v>39.700000000000003</v>
      </c>
      <c r="BY1617" s="147">
        <v>39.58</v>
      </c>
      <c r="CO1617" s="460">
        <f t="shared" si="1149"/>
        <v>-0.3300000000000054</v>
      </c>
      <c r="CP1617" s="460">
        <f t="shared" si="1150"/>
        <v>-0.21000000000000085</v>
      </c>
    </row>
    <row r="1618" spans="1:94" ht="14.1" hidden="1" customHeight="1" x14ac:dyDescent="0.3">
      <c r="A1618" s="281" t="s">
        <v>3449</v>
      </c>
      <c r="B1618" s="129">
        <v>46237</v>
      </c>
      <c r="C1618" s="281">
        <v>1583</v>
      </c>
      <c r="D1618" s="281" t="s">
        <v>3458</v>
      </c>
      <c r="E1618" s="129">
        <v>46241</v>
      </c>
      <c r="F1618" s="281" t="s">
        <v>3299</v>
      </c>
      <c r="G1618" s="281" t="s">
        <v>2630</v>
      </c>
      <c r="H1618" s="281" t="s">
        <v>1508</v>
      </c>
      <c r="I1618" s="466"/>
      <c r="J1618" s="281" t="s">
        <v>2499</v>
      </c>
      <c r="K1618" s="466"/>
      <c r="L1618" s="465">
        <v>46237</v>
      </c>
      <c r="M1618" s="466"/>
      <c r="N1618" s="281">
        <v>199</v>
      </c>
      <c r="O1618" s="129">
        <v>46240</v>
      </c>
      <c r="P1618" s="281">
        <v>0</v>
      </c>
      <c r="Q1618" s="281">
        <v>450</v>
      </c>
      <c r="R1618" s="281">
        <v>113</v>
      </c>
      <c r="S1618" s="281">
        <v>563</v>
      </c>
      <c r="T1618" s="281">
        <v>563</v>
      </c>
      <c r="U1618" s="466"/>
      <c r="V1618" s="466"/>
      <c r="W1618" s="147">
        <v>274.8</v>
      </c>
      <c r="X1618" s="147">
        <v>274.3</v>
      </c>
      <c r="Y1618" s="196">
        <f>2289084-21984</f>
        <v>2267100</v>
      </c>
      <c r="Z1618" s="236">
        <v>39.020000000000003</v>
      </c>
      <c r="AA1618" s="147">
        <v>57227.1</v>
      </c>
      <c r="AB1618" s="147">
        <v>57227.1</v>
      </c>
      <c r="AC1618" s="147">
        <v>2403538.2000000002</v>
      </c>
      <c r="AD1618" s="321">
        <f t="shared" si="1098"/>
        <v>2401134.6618000004</v>
      </c>
      <c r="AE1618" s="280">
        <v>39.020000000000003</v>
      </c>
      <c r="AF1618" s="178">
        <v>42</v>
      </c>
      <c r="AG1618" s="280">
        <v>39.020000000000003</v>
      </c>
      <c r="AH1618" s="287">
        <v>7.0000000000000001E-3</v>
      </c>
      <c r="AI1618" s="287">
        <v>0.05</v>
      </c>
      <c r="AJ1618" s="287">
        <v>5.3999999999999999E-2</v>
      </c>
      <c r="AK1618" s="318">
        <f t="shared" si="1145"/>
        <v>160856.14285714269</v>
      </c>
      <c r="AL1618" s="467">
        <v>0</v>
      </c>
      <c r="AM1618" s="321">
        <v>0</v>
      </c>
      <c r="AN1618" s="321">
        <v>0</v>
      </c>
      <c r="AO1618" s="318">
        <f t="shared" si="1146"/>
        <v>0</v>
      </c>
      <c r="AP1618" s="467">
        <v>0</v>
      </c>
      <c r="AQ1618" s="318">
        <v>0</v>
      </c>
      <c r="AR1618" s="318">
        <f t="shared" si="1147"/>
        <v>160856.14285714269</v>
      </c>
      <c r="AS1618" s="318">
        <f t="shared" si="1148"/>
        <v>168899</v>
      </c>
      <c r="AT1618" s="321">
        <v>0</v>
      </c>
      <c r="AU1618" s="464"/>
      <c r="AV1618" s="449"/>
      <c r="AW1618" s="318">
        <f t="shared" si="1130"/>
        <v>27480</v>
      </c>
      <c r="AX1618" s="467"/>
      <c r="AY1618" s="318">
        <f t="shared" si="1131"/>
        <v>27480</v>
      </c>
      <c r="AZ1618" s="318">
        <f t="shared" si="1132"/>
        <v>27430</v>
      </c>
      <c r="BA1618" s="318">
        <f t="shared" si="1133"/>
        <v>50</v>
      </c>
      <c r="BB1618" s="318">
        <f t="shared" si="1134"/>
        <v>54.96</v>
      </c>
      <c r="BC1618" s="318">
        <v>0</v>
      </c>
      <c r="BD1618" s="467"/>
      <c r="BE1618" s="147">
        <v>274.8</v>
      </c>
      <c r="BF1618" s="321">
        <f t="shared" si="1135"/>
        <v>0.41220000000000001</v>
      </c>
      <c r="BG1618" s="321">
        <f t="shared" si="1136"/>
        <v>274.38780000000003</v>
      </c>
      <c r="BH1618" s="321">
        <f t="shared" si="1137"/>
        <v>274.3</v>
      </c>
      <c r="BI1618" s="322">
        <f t="shared" si="1138"/>
        <v>50</v>
      </c>
      <c r="BJ1618" s="322">
        <v>0</v>
      </c>
      <c r="BK1618" s="318">
        <f t="shared" si="1139"/>
        <v>50</v>
      </c>
      <c r="BL1618" s="449"/>
      <c r="BM1618" s="449" t="str">
        <f t="shared" si="1140"/>
        <v>Unloading no. 1583 Bill No 199 ,Deduction For Oil Deduction= 160856.142857143 ,Bardana= 0 ,F.M= 0 Brokerage/Rate Difference 0 ,Shortage = 0 ,Greenish= 0 ,Moisture= 0</v>
      </c>
      <c r="BN1618" s="449"/>
      <c r="BO1618" s="449" t="str">
        <f t="shared" si="1141"/>
        <v xml:space="preserve"> Party Condition 42  ,F.M% 0.7 ,Greenish 5 ,Moisture 5.4 ,Shortage in KG= 0  ,Oil% 39.02</v>
      </c>
      <c r="BP1618" s="464">
        <f t="shared" si="1142"/>
        <v>7678.6141346804852</v>
      </c>
      <c r="BQ1618" s="449"/>
      <c r="BR1618" s="449"/>
      <c r="BS1618" s="449"/>
      <c r="BT1618" s="449"/>
      <c r="BU1618" s="449"/>
      <c r="BV1618" s="449"/>
      <c r="BW1618" s="449"/>
      <c r="BX1618" s="147">
        <v>38.869999999999997</v>
      </c>
      <c r="BY1618" s="147">
        <v>38.86</v>
      </c>
      <c r="CO1618" s="460">
        <f t="shared" ref="CO1618" si="1151">Z1618-BX1618</f>
        <v>0.15000000000000568</v>
      </c>
      <c r="CP1618" s="460">
        <f t="shared" ref="CP1618" si="1152">Z1618-BY1618</f>
        <v>0.16000000000000369</v>
      </c>
    </row>
    <row r="1619" spans="1:94" ht="14.1" hidden="1" customHeight="1" x14ac:dyDescent="0.3">
      <c r="A1619" s="281" t="s">
        <v>3450</v>
      </c>
      <c r="B1619" s="130">
        <v>46240</v>
      </c>
      <c r="C1619" s="281">
        <v>1584</v>
      </c>
      <c r="D1619" s="281" t="s">
        <v>3459</v>
      </c>
      <c r="E1619" s="129">
        <v>46242</v>
      </c>
      <c r="F1619" s="281" t="s">
        <v>98</v>
      </c>
      <c r="G1619" s="281" t="s">
        <v>99</v>
      </c>
      <c r="H1619" s="281" t="s">
        <v>199</v>
      </c>
      <c r="I1619" s="466"/>
      <c r="J1619" s="281" t="s">
        <v>1146</v>
      </c>
      <c r="K1619" s="466"/>
      <c r="L1619" s="465">
        <v>46240</v>
      </c>
      <c r="M1619" s="466"/>
      <c r="N1619" s="281">
        <v>152</v>
      </c>
      <c r="O1619" s="129">
        <v>46241</v>
      </c>
      <c r="P1619" s="281">
        <v>0</v>
      </c>
      <c r="Q1619" s="281">
        <v>260</v>
      </c>
      <c r="R1619" s="281">
        <v>127</v>
      </c>
      <c r="S1619" s="281">
        <v>387</v>
      </c>
      <c r="T1619" s="281">
        <v>387</v>
      </c>
      <c r="U1619" s="466"/>
      <c r="V1619" s="466"/>
      <c r="W1619" s="147">
        <v>237.1</v>
      </c>
      <c r="X1619" s="147">
        <v>236.7</v>
      </c>
      <c r="Y1619" s="147">
        <v>1982156</v>
      </c>
      <c r="Z1619" s="147"/>
      <c r="AA1619" s="147">
        <v>49553.9</v>
      </c>
      <c r="AB1619" s="147">
        <v>49553.9</v>
      </c>
      <c r="AC1619" s="147">
        <v>2081263.8</v>
      </c>
      <c r="AD1619" s="470">
        <f t="shared" si="1098"/>
        <v>2079182.5362</v>
      </c>
      <c r="AE1619" s="147">
        <v>40.950000000000003</v>
      </c>
      <c r="AF1619" s="147">
        <v>42</v>
      </c>
      <c r="AG1619" s="147">
        <v>40.869999999999997</v>
      </c>
      <c r="AH1619" s="395">
        <v>2E-3</v>
      </c>
      <c r="AI1619" s="287">
        <v>3.2500000000000001E-2</v>
      </c>
      <c r="AJ1619" s="287">
        <v>5.8999999999999997E-2</v>
      </c>
      <c r="AK1619" s="318">
        <f t="shared" si="1145"/>
        <v>53329.435238095357</v>
      </c>
      <c r="AL1619" s="467">
        <v>0</v>
      </c>
      <c r="AM1619" s="321">
        <v>0</v>
      </c>
      <c r="AN1619" s="321">
        <v>0</v>
      </c>
      <c r="AO1619" s="318">
        <f t="shared" si="1146"/>
        <v>0</v>
      </c>
      <c r="AP1619" s="467">
        <v>0</v>
      </c>
      <c r="AQ1619" s="318">
        <v>0</v>
      </c>
      <c r="AR1619" s="318">
        <f t="shared" si="1147"/>
        <v>53329.435238095357</v>
      </c>
      <c r="AS1619" s="318">
        <f t="shared" si="1148"/>
        <v>55996</v>
      </c>
      <c r="AT1619" s="321">
        <v>0</v>
      </c>
      <c r="AU1619" s="464"/>
      <c r="AV1619" s="449"/>
      <c r="AW1619" s="318">
        <f t="shared" si="1130"/>
        <v>23710</v>
      </c>
      <c r="AX1619" s="467"/>
      <c r="AY1619" s="318">
        <f t="shared" si="1131"/>
        <v>23710</v>
      </c>
      <c r="AZ1619" s="318">
        <f t="shared" si="1132"/>
        <v>23670</v>
      </c>
      <c r="BA1619" s="318">
        <f t="shared" si="1133"/>
        <v>40</v>
      </c>
      <c r="BB1619" s="318">
        <f t="shared" si="1134"/>
        <v>47.42</v>
      </c>
      <c r="BC1619" s="318">
        <v>0</v>
      </c>
      <c r="BD1619" s="467"/>
      <c r="BE1619" s="147">
        <v>237.1</v>
      </c>
      <c r="BF1619" s="321">
        <f t="shared" si="1135"/>
        <v>0.35564999999999997</v>
      </c>
      <c r="BG1619" s="321">
        <f t="shared" si="1136"/>
        <v>236.74435</v>
      </c>
      <c r="BH1619" s="321">
        <f t="shared" si="1137"/>
        <v>236.7</v>
      </c>
      <c r="BI1619" s="322">
        <f t="shared" si="1138"/>
        <v>40.000000000000568</v>
      </c>
      <c r="BJ1619" s="322">
        <v>0</v>
      </c>
      <c r="BK1619" s="318">
        <f t="shared" si="1139"/>
        <v>40.000000000000568</v>
      </c>
      <c r="BL1619" s="449"/>
      <c r="BM1619" s="449" t="str">
        <f t="shared" si="1140"/>
        <v>Unloading no. 1584 Bill No 152 ,Deduction For Oil Deduction= 53329.4352380954 ,Bardana= 0 ,F.M= 0 Brokerage/Rate Difference 0 ,Shortage = 0 ,Greenish= 0 ,Moisture= 0</v>
      </c>
      <c r="BN1619" s="449"/>
      <c r="BO1619" s="449" t="str">
        <f t="shared" si="1141"/>
        <v xml:space="preserve"> Party Condition 42  ,F.M% 0.2 ,Greenish 3.25 ,Moisture 5.9 ,Shortage in KG= 0  ,Oil% 40.87</v>
      </c>
      <c r="BP1619" s="464">
        <f t="shared" si="1142"/>
        <v>8148.8236787575188</v>
      </c>
      <c r="BQ1619" s="449"/>
      <c r="BR1619" s="449"/>
      <c r="BS1619" s="449"/>
      <c r="BT1619" s="449"/>
      <c r="BU1619" s="449"/>
      <c r="BV1619" s="449"/>
      <c r="BW1619" s="449"/>
      <c r="BX1619" s="147">
        <v>40.950000000000003</v>
      </c>
      <c r="BY1619" s="147">
        <v>40.869999999999997</v>
      </c>
      <c r="CO1619" s="460">
        <f t="shared" ref="CO1619:CO1632" si="1153">Z1619-BX1619</f>
        <v>-40.950000000000003</v>
      </c>
      <c r="CP1619" s="460">
        <f t="shared" ref="CP1619:CP1632" si="1154">Z1619-BY1619</f>
        <v>-40.869999999999997</v>
      </c>
    </row>
    <row r="1620" spans="1:94" ht="14.1" hidden="1" customHeight="1" x14ac:dyDescent="0.3">
      <c r="A1620" s="281" t="s">
        <v>3449</v>
      </c>
      <c r="B1620" s="130">
        <v>46237</v>
      </c>
      <c r="C1620" s="281">
        <v>1585</v>
      </c>
      <c r="D1620" s="281" t="s">
        <v>3460</v>
      </c>
      <c r="E1620" s="129">
        <v>46242</v>
      </c>
      <c r="F1620" s="281" t="s">
        <v>3299</v>
      </c>
      <c r="G1620" s="281" t="s">
        <v>2630</v>
      </c>
      <c r="H1620" s="281" t="s">
        <v>1508</v>
      </c>
      <c r="I1620" s="466"/>
      <c r="J1620" s="281" t="s">
        <v>1146</v>
      </c>
      <c r="K1620" s="466"/>
      <c r="L1620" s="465">
        <v>46237</v>
      </c>
      <c r="M1620" s="466"/>
      <c r="N1620" s="281">
        <v>205</v>
      </c>
      <c r="O1620" s="129">
        <v>46241</v>
      </c>
      <c r="P1620" s="281">
        <v>0</v>
      </c>
      <c r="Q1620" s="281">
        <v>300</v>
      </c>
      <c r="R1620" s="281">
        <v>125</v>
      </c>
      <c r="S1620" s="281">
        <v>425</v>
      </c>
      <c r="T1620" s="281">
        <v>425</v>
      </c>
      <c r="U1620" s="466"/>
      <c r="V1620" s="466"/>
      <c r="W1620" s="147">
        <v>255.5</v>
      </c>
      <c r="X1620" s="147">
        <v>255.7</v>
      </c>
      <c r="Y1620" s="196">
        <f>2128315-20440</f>
        <v>2107875</v>
      </c>
      <c r="Z1620" s="236">
        <v>40.24</v>
      </c>
      <c r="AA1620" s="147">
        <v>53207.88</v>
      </c>
      <c r="AB1620" s="147">
        <v>53207.88</v>
      </c>
      <c r="AC1620" s="147">
        <v>2234730.75</v>
      </c>
      <c r="AD1620" s="470">
        <f t="shared" si="1098"/>
        <v>2232496.0192499999</v>
      </c>
      <c r="AE1620" s="236">
        <v>40.24</v>
      </c>
      <c r="AF1620" s="147">
        <v>42</v>
      </c>
      <c r="AG1620" s="236">
        <v>40.24</v>
      </c>
      <c r="AH1620" s="395">
        <v>7.0000000000000001E-3</v>
      </c>
      <c r="AI1620" s="287">
        <v>5.1999999999999998E-2</v>
      </c>
      <c r="AJ1620" s="287">
        <v>5.3999999999999999E-2</v>
      </c>
      <c r="AK1620" s="318">
        <f t="shared" si="1145"/>
        <v>88329.999999999898</v>
      </c>
      <c r="AL1620" s="467">
        <v>0</v>
      </c>
      <c r="AM1620" s="321">
        <v>0</v>
      </c>
      <c r="AN1620" s="321">
        <v>0</v>
      </c>
      <c r="AO1620" s="318">
        <f t="shared" si="1146"/>
        <v>0</v>
      </c>
      <c r="AP1620" s="467">
        <v>0</v>
      </c>
      <c r="AQ1620" s="318">
        <v>0</v>
      </c>
      <c r="AR1620" s="318">
        <f t="shared" si="1147"/>
        <v>88329.999999999898</v>
      </c>
      <c r="AS1620" s="318">
        <f t="shared" si="1148"/>
        <v>92746</v>
      </c>
      <c r="AT1620" s="321">
        <v>0</v>
      </c>
      <c r="AU1620" s="464"/>
      <c r="AV1620" s="449"/>
      <c r="AW1620" s="318">
        <f t="shared" si="1130"/>
        <v>25550</v>
      </c>
      <c r="AX1620" s="467"/>
      <c r="AY1620" s="318">
        <f t="shared" si="1131"/>
        <v>25550</v>
      </c>
      <c r="AZ1620" s="318">
        <f t="shared" si="1132"/>
        <v>25570</v>
      </c>
      <c r="BA1620" s="318">
        <f t="shared" si="1133"/>
        <v>-20</v>
      </c>
      <c r="BB1620" s="318">
        <f t="shared" si="1134"/>
        <v>51.1</v>
      </c>
      <c r="BC1620" s="318">
        <v>0</v>
      </c>
      <c r="BD1620" s="467"/>
      <c r="BE1620" s="147">
        <v>255.5</v>
      </c>
      <c r="BF1620" s="321">
        <f t="shared" si="1135"/>
        <v>0.38324999999999998</v>
      </c>
      <c r="BG1620" s="321">
        <f t="shared" si="1136"/>
        <v>255.11675</v>
      </c>
      <c r="BH1620" s="321">
        <f t="shared" si="1137"/>
        <v>255.7</v>
      </c>
      <c r="BI1620" s="322">
        <f t="shared" si="1138"/>
        <v>-19.999999999998863</v>
      </c>
      <c r="BJ1620" s="322">
        <v>0</v>
      </c>
      <c r="BK1620" s="318">
        <f t="shared" si="1139"/>
        <v>-19.999999999998863</v>
      </c>
      <c r="BL1620" s="449"/>
      <c r="BM1620" s="449" t="str">
        <f t="shared" si="1140"/>
        <v>Unloading no. 1585 Bill No 205 ,Deduction For Oil Deduction= 88329.9999999999 ,Bardana= 0 ,F.M= 0 Brokerage/Rate Difference 0 ,Shortage = 0 ,Greenish= 0 ,Moisture= 0</v>
      </c>
      <c r="BN1620" s="449"/>
      <c r="BO1620" s="449" t="str">
        <f t="shared" si="1141"/>
        <v xml:space="preserve"> Party Condition 42  ,F.M% 0.7 ,Greenish 5.2 ,Moisture 5.4 ,Shortage in KG= 0  ,Oil% 40.24</v>
      </c>
      <c r="BP1620" s="464">
        <f t="shared" si="1142"/>
        <v>7898.1032459913968</v>
      </c>
      <c r="BQ1620" s="449"/>
      <c r="BR1620" s="449"/>
      <c r="BS1620" s="449"/>
      <c r="BT1620" s="449"/>
      <c r="BU1620" s="449"/>
      <c r="BV1620" s="449"/>
      <c r="BW1620" s="449"/>
      <c r="BX1620" s="147">
        <v>40.04</v>
      </c>
      <c r="BY1620" s="147">
        <v>39.869999999999997</v>
      </c>
      <c r="CO1620" s="460">
        <f t="shared" si="1153"/>
        <v>0.20000000000000284</v>
      </c>
      <c r="CP1620" s="460">
        <f t="shared" si="1154"/>
        <v>0.37000000000000455</v>
      </c>
    </row>
    <row r="1621" spans="1:94" ht="14.1" hidden="1" customHeight="1" x14ac:dyDescent="0.3">
      <c r="A1621" s="281" t="s">
        <v>3451</v>
      </c>
      <c r="B1621" s="130">
        <v>46240</v>
      </c>
      <c r="C1621" s="281">
        <v>1586</v>
      </c>
      <c r="D1621" s="281" t="s">
        <v>3461</v>
      </c>
      <c r="E1621" s="129">
        <v>46242</v>
      </c>
      <c r="F1621" s="281" t="s">
        <v>3299</v>
      </c>
      <c r="G1621" s="281" t="s">
        <v>2630</v>
      </c>
      <c r="H1621" s="281" t="s">
        <v>1508</v>
      </c>
      <c r="I1621" s="466"/>
      <c r="J1621" s="281" t="s">
        <v>1146</v>
      </c>
      <c r="K1621" s="466"/>
      <c r="L1621" s="465">
        <v>46240</v>
      </c>
      <c r="M1621" s="466"/>
      <c r="N1621" s="281">
        <v>207</v>
      </c>
      <c r="O1621" s="129">
        <v>46241</v>
      </c>
      <c r="P1621" s="281">
        <v>0</v>
      </c>
      <c r="Q1621" s="281">
        <v>420</v>
      </c>
      <c r="R1621" s="281">
        <v>140</v>
      </c>
      <c r="S1621" s="281">
        <v>560</v>
      </c>
      <c r="T1621" s="281">
        <v>560</v>
      </c>
      <c r="U1621" s="466"/>
      <c r="V1621" s="466"/>
      <c r="W1621" s="147">
        <v>326</v>
      </c>
      <c r="X1621" s="147">
        <v>325.8</v>
      </c>
      <c r="Y1621" s="196">
        <f>2715580-26080</f>
        <v>2689500</v>
      </c>
      <c r="Z1621" s="236">
        <v>39.270000000000003</v>
      </c>
      <c r="AA1621" s="147">
        <v>67889.5</v>
      </c>
      <c r="AB1621" s="147">
        <v>67889.5</v>
      </c>
      <c r="AC1621" s="147">
        <v>2851359</v>
      </c>
      <c r="AD1621" s="470">
        <f t="shared" si="1098"/>
        <v>2848507.6409999998</v>
      </c>
      <c r="AE1621" s="236">
        <v>39.270000000000003</v>
      </c>
      <c r="AF1621" s="147">
        <v>42</v>
      </c>
      <c r="AG1621" s="236">
        <v>39.270000000000003</v>
      </c>
      <c r="AH1621" s="395">
        <v>8.0000000000000002E-3</v>
      </c>
      <c r="AI1621" s="287">
        <v>0.04</v>
      </c>
      <c r="AJ1621" s="287">
        <v>5.7000000000000002E-2</v>
      </c>
      <c r="AK1621" s="318">
        <f t="shared" si="1145"/>
        <v>174817.4999999998</v>
      </c>
      <c r="AL1621" s="467">
        <v>0</v>
      </c>
      <c r="AM1621" s="321">
        <v>0</v>
      </c>
      <c r="AN1621" s="321">
        <v>0</v>
      </c>
      <c r="AO1621" s="318">
        <f t="shared" si="1146"/>
        <v>0</v>
      </c>
      <c r="AP1621" s="467">
        <v>0</v>
      </c>
      <c r="AQ1621" s="318">
        <v>0</v>
      </c>
      <c r="AR1621" s="318">
        <f t="shared" si="1147"/>
        <v>174817.4999999998</v>
      </c>
      <c r="AS1621" s="318">
        <f t="shared" si="1148"/>
        <v>183558</v>
      </c>
      <c r="AT1621" s="321">
        <v>0</v>
      </c>
      <c r="AU1621" s="464"/>
      <c r="AV1621" s="449"/>
      <c r="AW1621" s="318">
        <f t="shared" si="1130"/>
        <v>32600</v>
      </c>
      <c r="AX1621" s="467"/>
      <c r="AY1621" s="318">
        <f t="shared" si="1131"/>
        <v>32600</v>
      </c>
      <c r="AZ1621" s="318">
        <f t="shared" si="1132"/>
        <v>32580</v>
      </c>
      <c r="BA1621" s="318">
        <f t="shared" si="1133"/>
        <v>20</v>
      </c>
      <c r="BB1621" s="318">
        <f t="shared" si="1134"/>
        <v>65.2</v>
      </c>
      <c r="BC1621" s="318">
        <v>0</v>
      </c>
      <c r="BD1621" s="467"/>
      <c r="BE1621" s="147">
        <v>326</v>
      </c>
      <c r="BF1621" s="321">
        <f t="shared" si="1135"/>
        <v>0.48899999999999999</v>
      </c>
      <c r="BG1621" s="321">
        <f t="shared" si="1136"/>
        <v>325.51100000000002</v>
      </c>
      <c r="BH1621" s="321">
        <f t="shared" si="1137"/>
        <v>325.8</v>
      </c>
      <c r="BI1621" s="322">
        <f t="shared" si="1138"/>
        <v>19.999999999998863</v>
      </c>
      <c r="BJ1621" s="322">
        <v>0</v>
      </c>
      <c r="BK1621" s="318">
        <f t="shared" si="1139"/>
        <v>19.999999999998863</v>
      </c>
      <c r="BL1621" s="449"/>
      <c r="BM1621" s="449" t="str">
        <f t="shared" si="1140"/>
        <v>Unloading no. 1586 Bill No 207 ,Deduction For Oil Deduction= 174817.5 ,Bardana= 0 ,F.M= 0 Brokerage/Rate Difference 0 ,Shortage = 0 ,Greenish= 0 ,Moisture= 0</v>
      </c>
      <c r="BN1621" s="449"/>
      <c r="BO1621" s="449" t="str">
        <f t="shared" si="1141"/>
        <v xml:space="preserve"> Party Condition 42  ,F.M% 0.8 ,Greenish 4 ,Moisture 5.7 ,Shortage in KG= 0  ,Oil% 39.27</v>
      </c>
      <c r="BP1621" s="464">
        <f t="shared" si="1142"/>
        <v>7718.4852670349901</v>
      </c>
      <c r="BQ1621" s="449"/>
      <c r="BR1621" s="449"/>
      <c r="BS1621" s="449"/>
      <c r="BT1621" s="449"/>
      <c r="BU1621" s="449"/>
      <c r="BV1621" s="449"/>
      <c r="BW1621" s="449"/>
      <c r="BX1621" s="147">
        <v>38.86</v>
      </c>
      <c r="BY1621" s="147">
        <v>38.880000000000003</v>
      </c>
      <c r="CO1621" s="460">
        <f t="shared" si="1153"/>
        <v>0.41000000000000369</v>
      </c>
      <c r="CP1621" s="460">
        <f t="shared" si="1154"/>
        <v>0.39000000000000057</v>
      </c>
    </row>
    <row r="1622" spans="1:94" ht="14.1" hidden="1" customHeight="1" x14ac:dyDescent="0.3">
      <c r="A1622" s="281" t="s">
        <v>3449</v>
      </c>
      <c r="B1622" s="130">
        <v>46237</v>
      </c>
      <c r="C1622" s="281">
        <v>1587</v>
      </c>
      <c r="D1622" s="281" t="s">
        <v>3462</v>
      </c>
      <c r="E1622" s="129">
        <v>46242</v>
      </c>
      <c r="F1622" s="281" t="s">
        <v>3299</v>
      </c>
      <c r="G1622" s="281" t="s">
        <v>2630</v>
      </c>
      <c r="H1622" s="281" t="s">
        <v>1508</v>
      </c>
      <c r="I1622" s="466"/>
      <c r="J1622" s="281" t="s">
        <v>1146</v>
      </c>
      <c r="K1622" s="466"/>
      <c r="L1622" s="465">
        <v>46237</v>
      </c>
      <c r="M1622" s="466"/>
      <c r="N1622" s="281">
        <v>204</v>
      </c>
      <c r="O1622" s="129">
        <v>46241</v>
      </c>
      <c r="P1622" s="281">
        <v>0</v>
      </c>
      <c r="Q1622" s="281">
        <v>171</v>
      </c>
      <c r="R1622" s="281">
        <v>250</v>
      </c>
      <c r="S1622" s="281">
        <v>421</v>
      </c>
      <c r="T1622" s="281">
        <v>421</v>
      </c>
      <c r="U1622" s="466"/>
      <c r="V1622" s="466"/>
      <c r="W1622" s="147">
        <v>254.4</v>
      </c>
      <c r="X1622" s="147">
        <v>254.5</v>
      </c>
      <c r="Y1622" s="196">
        <f>2119152-20352</f>
        <v>2098800</v>
      </c>
      <c r="Z1622" s="236">
        <v>40.06</v>
      </c>
      <c r="AA1622" s="147">
        <v>52978.8</v>
      </c>
      <c r="AB1622" s="147">
        <v>52978.8</v>
      </c>
      <c r="AC1622" s="147">
        <v>2225109.6</v>
      </c>
      <c r="AD1622" s="470">
        <f t="shared" si="1098"/>
        <v>2222884.4904</v>
      </c>
      <c r="AE1622" s="236">
        <v>40.06</v>
      </c>
      <c r="AF1622" s="147">
        <v>42</v>
      </c>
      <c r="AG1622" s="236">
        <v>40.06</v>
      </c>
      <c r="AH1622" s="395">
        <v>6.4999999999999997E-3</v>
      </c>
      <c r="AI1622" s="287">
        <v>6.0999999999999999E-2</v>
      </c>
      <c r="AJ1622" s="287">
        <v>0.05</v>
      </c>
      <c r="AK1622" s="318">
        <f t="shared" si="1145"/>
        <v>96944.571428571318</v>
      </c>
      <c r="AL1622" s="467">
        <v>0</v>
      </c>
      <c r="AM1622" s="321">
        <v>0</v>
      </c>
      <c r="AN1622" s="321">
        <v>0</v>
      </c>
      <c r="AO1622" s="318">
        <f t="shared" si="1146"/>
        <v>0</v>
      </c>
      <c r="AP1622" s="467">
        <v>0</v>
      </c>
      <c r="AQ1622" s="318">
        <v>0</v>
      </c>
      <c r="AR1622" s="318">
        <f t="shared" si="1147"/>
        <v>96944.571428571318</v>
      </c>
      <c r="AS1622" s="318">
        <f t="shared" si="1148"/>
        <v>101792</v>
      </c>
      <c r="AT1622" s="321">
        <v>0</v>
      </c>
      <c r="AU1622" s="464"/>
      <c r="AV1622" s="449"/>
      <c r="AW1622" s="318">
        <f t="shared" si="1130"/>
        <v>25440</v>
      </c>
      <c r="AX1622" s="467"/>
      <c r="AY1622" s="318">
        <f t="shared" si="1131"/>
        <v>25440</v>
      </c>
      <c r="AZ1622" s="318">
        <f t="shared" si="1132"/>
        <v>25450</v>
      </c>
      <c r="BA1622" s="318">
        <f t="shared" si="1133"/>
        <v>-10</v>
      </c>
      <c r="BB1622" s="318">
        <f t="shared" si="1134"/>
        <v>50.88</v>
      </c>
      <c r="BC1622" s="318">
        <v>0</v>
      </c>
      <c r="BD1622" s="467"/>
      <c r="BE1622" s="147">
        <v>254.4</v>
      </c>
      <c r="BF1622" s="321">
        <f t="shared" si="1135"/>
        <v>0.38159999999999994</v>
      </c>
      <c r="BG1622" s="321">
        <f t="shared" si="1136"/>
        <v>254.01840000000001</v>
      </c>
      <c r="BH1622" s="321">
        <f t="shared" si="1137"/>
        <v>254.5</v>
      </c>
      <c r="BI1622" s="322">
        <f t="shared" si="1138"/>
        <v>-9.9999999999994316</v>
      </c>
      <c r="BJ1622" s="322">
        <v>0</v>
      </c>
      <c r="BK1622" s="318">
        <f t="shared" si="1139"/>
        <v>-9.9999999999994316</v>
      </c>
      <c r="BL1622" s="449"/>
      <c r="BM1622" s="449" t="str">
        <f t="shared" si="1140"/>
        <v>Unloading no. 1587 Bill No 204 ,Deduction For Oil Deduction= 96944.5714285713 ,Bardana= 0 ,F.M= 0 Brokerage/Rate Difference 0 ,Shortage = 0 ,Greenish= 0 ,Moisture= 0</v>
      </c>
      <c r="BN1622" s="449"/>
      <c r="BO1622" s="449" t="str">
        <f t="shared" si="1141"/>
        <v xml:space="preserve"> Party Condition 42  ,F.M% 0.65 ,Greenish 6.1 ,Moisture 5 ,Shortage in KG= 0  ,Oil% 40.06</v>
      </c>
      <c r="BP1622" s="464">
        <f t="shared" si="1142"/>
        <v>7865.836654504631</v>
      </c>
      <c r="BQ1622" s="449"/>
      <c r="BR1622" s="449"/>
      <c r="BS1622" s="449"/>
      <c r="BT1622" s="449"/>
      <c r="BU1622" s="449"/>
      <c r="BV1622" s="449"/>
      <c r="BW1622" s="449"/>
      <c r="BX1622" s="147">
        <v>39.92</v>
      </c>
      <c r="BY1622" s="147">
        <v>39.9</v>
      </c>
      <c r="CO1622" s="460">
        <f t="shared" si="1153"/>
        <v>0.14000000000000057</v>
      </c>
      <c r="CP1622" s="460">
        <f t="shared" si="1154"/>
        <v>0.16000000000000369</v>
      </c>
    </row>
    <row r="1623" spans="1:94" ht="14.1" hidden="1" customHeight="1" x14ac:dyDescent="0.3">
      <c r="A1623" s="281" t="s">
        <v>3449</v>
      </c>
      <c r="B1623" s="130">
        <v>46237</v>
      </c>
      <c r="C1623" s="281">
        <v>1588</v>
      </c>
      <c r="D1623" s="281" t="s">
        <v>3463</v>
      </c>
      <c r="E1623" s="129">
        <v>46242</v>
      </c>
      <c r="F1623" s="281" t="s">
        <v>3299</v>
      </c>
      <c r="G1623" s="281" t="s">
        <v>2630</v>
      </c>
      <c r="H1623" s="281" t="s">
        <v>1508</v>
      </c>
      <c r="I1623" s="466"/>
      <c r="J1623" s="281" t="s">
        <v>1146</v>
      </c>
      <c r="K1623" s="466"/>
      <c r="L1623" s="465">
        <v>46237</v>
      </c>
      <c r="M1623" s="466"/>
      <c r="N1623" s="281">
        <v>197</v>
      </c>
      <c r="O1623" s="129">
        <v>46240</v>
      </c>
      <c r="P1623" s="281">
        <v>0</v>
      </c>
      <c r="Q1623" s="281">
        <v>450</v>
      </c>
      <c r="R1623" s="281">
        <v>170</v>
      </c>
      <c r="S1623" s="281">
        <v>620</v>
      </c>
      <c r="T1623" s="281">
        <v>620</v>
      </c>
      <c r="U1623" s="466"/>
      <c r="V1623" s="466"/>
      <c r="W1623" s="147">
        <v>302.60000000000002</v>
      </c>
      <c r="X1623" s="147">
        <v>302.2</v>
      </c>
      <c r="Y1623" s="196">
        <f>2520658-24208</f>
        <v>2496450</v>
      </c>
      <c r="Z1623" s="236">
        <v>38.520000000000003</v>
      </c>
      <c r="AA1623" s="147">
        <v>63016.45</v>
      </c>
      <c r="AB1623" s="147">
        <v>63016.45</v>
      </c>
      <c r="AC1623" s="147">
        <v>2646690.9</v>
      </c>
      <c r="AD1623" s="470">
        <f t="shared" si="1098"/>
        <v>2644044.2091000001</v>
      </c>
      <c r="AE1623" s="236">
        <v>38.520000000000003</v>
      </c>
      <c r="AF1623" s="147">
        <v>42</v>
      </c>
      <c r="AG1623" s="236">
        <v>38.520000000000003</v>
      </c>
      <c r="AH1623" s="395">
        <v>7.0000000000000001E-3</v>
      </c>
      <c r="AI1623" s="287">
        <v>3.2000000000000001E-2</v>
      </c>
      <c r="AJ1623" s="287">
        <v>5.3999999999999999E-2</v>
      </c>
      <c r="AK1623" s="318">
        <f t="shared" si="1145"/>
        <v>206848.71428571409</v>
      </c>
      <c r="AL1623" s="467">
        <v>0</v>
      </c>
      <c r="AM1623" s="321">
        <v>0</v>
      </c>
      <c r="AN1623" s="321">
        <v>0</v>
      </c>
      <c r="AO1623" s="318">
        <f t="shared" si="1146"/>
        <v>0</v>
      </c>
      <c r="AP1623" s="467">
        <v>0</v>
      </c>
      <c r="AQ1623" s="318">
        <v>0</v>
      </c>
      <c r="AR1623" s="318">
        <f t="shared" si="1147"/>
        <v>206848.71428571409</v>
      </c>
      <c r="AS1623" s="318">
        <f t="shared" si="1148"/>
        <v>217191</v>
      </c>
      <c r="AT1623" s="321">
        <v>0</v>
      </c>
      <c r="AU1623" s="464"/>
      <c r="AV1623" s="449"/>
      <c r="AW1623" s="318">
        <f t="shared" si="1130"/>
        <v>30260.000000000004</v>
      </c>
      <c r="AX1623" s="467"/>
      <c r="AY1623" s="318">
        <f t="shared" si="1131"/>
        <v>30260.000000000004</v>
      </c>
      <c r="AZ1623" s="318">
        <f t="shared" si="1132"/>
        <v>30220</v>
      </c>
      <c r="BA1623" s="318">
        <f t="shared" si="1133"/>
        <v>40.000000000003638</v>
      </c>
      <c r="BB1623" s="318">
        <f t="shared" si="1134"/>
        <v>60.52000000000001</v>
      </c>
      <c r="BC1623" s="318">
        <v>0</v>
      </c>
      <c r="BD1623" s="467"/>
      <c r="BE1623" s="147">
        <v>302.60000000000002</v>
      </c>
      <c r="BF1623" s="321">
        <f t="shared" si="1135"/>
        <v>0.45390000000000003</v>
      </c>
      <c r="BG1623" s="321">
        <f t="shared" si="1136"/>
        <v>302.14610000000005</v>
      </c>
      <c r="BH1623" s="321">
        <f t="shared" si="1137"/>
        <v>302.2</v>
      </c>
      <c r="BI1623" s="322">
        <f t="shared" si="1138"/>
        <v>40.000000000003411</v>
      </c>
      <c r="BJ1623" s="322">
        <v>0</v>
      </c>
      <c r="BK1623" s="318">
        <f t="shared" si="1139"/>
        <v>40.000000000003411</v>
      </c>
      <c r="BL1623" s="449"/>
      <c r="BM1623" s="449" t="str">
        <f t="shared" si="1140"/>
        <v>Unloading no. 1588 Bill No 197 ,Deduction For Oil Deduction= 206848.714285714 ,Bardana= 0 ,F.M= 0 Brokerage/Rate Difference 0 ,Shortage = 0 ,Greenish= 0 ,Moisture= 0</v>
      </c>
      <c r="BN1623" s="449"/>
      <c r="BO1623" s="449" t="str">
        <f t="shared" si="1141"/>
        <v xml:space="preserve"> Party Condition 42  ,F.M% 0.7 ,Greenish 3.2 ,Moisture 5.4 ,Shortage in KG= 0  ,Oil% 38.52</v>
      </c>
      <c r="BP1623" s="464">
        <f t="shared" si="1142"/>
        <v>7576.4436985912835</v>
      </c>
      <c r="BQ1623" s="449"/>
      <c r="BR1623" s="449"/>
      <c r="BS1623" s="449"/>
      <c r="BT1623" s="449"/>
      <c r="BU1623" s="449"/>
      <c r="BV1623" s="449"/>
      <c r="BW1623" s="449"/>
      <c r="BX1623" s="147">
        <v>38.61</v>
      </c>
      <c r="BY1623" s="147">
        <v>38.5</v>
      </c>
      <c r="CO1623" s="460">
        <f t="shared" si="1153"/>
        <v>-8.9999999999996305E-2</v>
      </c>
      <c r="CP1623" s="460">
        <f t="shared" si="1154"/>
        <v>2.0000000000003126E-2</v>
      </c>
    </row>
    <row r="1624" spans="1:94" ht="14.1" hidden="1" customHeight="1" x14ac:dyDescent="0.3">
      <c r="A1624" s="281" t="s">
        <v>3449</v>
      </c>
      <c r="B1624" s="130">
        <v>46237</v>
      </c>
      <c r="C1624" s="281">
        <v>1589</v>
      </c>
      <c r="D1624" s="281" t="s">
        <v>3464</v>
      </c>
      <c r="E1624" s="129">
        <v>46242</v>
      </c>
      <c r="F1624" s="281" t="s">
        <v>3299</v>
      </c>
      <c r="G1624" s="281" t="s">
        <v>2630</v>
      </c>
      <c r="H1624" s="281" t="s">
        <v>1508</v>
      </c>
      <c r="I1624" s="466"/>
      <c r="J1624" s="281" t="s">
        <v>1146</v>
      </c>
      <c r="K1624" s="466"/>
      <c r="L1624" s="465">
        <v>46237</v>
      </c>
      <c r="M1624" s="466"/>
      <c r="N1624" s="281">
        <v>206</v>
      </c>
      <c r="O1624" s="129">
        <v>46241</v>
      </c>
      <c r="P1624" s="281">
        <v>0</v>
      </c>
      <c r="Q1624" s="281">
        <v>122</v>
      </c>
      <c r="R1624" s="281">
        <v>300</v>
      </c>
      <c r="S1624" s="281">
        <v>422</v>
      </c>
      <c r="T1624" s="281">
        <v>422</v>
      </c>
      <c r="U1624" s="466"/>
      <c r="V1624" s="466"/>
      <c r="W1624" s="147">
        <v>255</v>
      </c>
      <c r="X1624" s="147">
        <v>255.3</v>
      </c>
      <c r="Y1624" s="196">
        <f>2124150-20400</f>
        <v>2103750</v>
      </c>
      <c r="Z1624" s="236">
        <v>40.08</v>
      </c>
      <c r="AA1624" s="147">
        <v>53103.75</v>
      </c>
      <c r="AB1624" s="147">
        <v>53103.75</v>
      </c>
      <c r="AC1624" s="147">
        <v>2230357.5</v>
      </c>
      <c r="AD1624" s="470">
        <f t="shared" si="1098"/>
        <v>2228127.1425000001</v>
      </c>
      <c r="AE1624" s="236">
        <v>40.08</v>
      </c>
      <c r="AF1624" s="147">
        <v>42</v>
      </c>
      <c r="AG1624" s="236">
        <v>40.08</v>
      </c>
      <c r="AH1624" s="395">
        <v>8.5000000000000006E-3</v>
      </c>
      <c r="AI1624" s="287">
        <v>0.05</v>
      </c>
      <c r="AJ1624" s="287">
        <v>5.2999999999999999E-2</v>
      </c>
      <c r="AK1624" s="318">
        <f t="shared" si="1145"/>
        <v>96171.428571428653</v>
      </c>
      <c r="AL1624" s="467">
        <v>0</v>
      </c>
      <c r="AM1624" s="321">
        <v>0</v>
      </c>
      <c r="AN1624" s="321">
        <v>0</v>
      </c>
      <c r="AO1624" s="318">
        <f t="shared" si="1146"/>
        <v>0</v>
      </c>
      <c r="AP1624" s="467">
        <v>0</v>
      </c>
      <c r="AQ1624" s="318">
        <v>0</v>
      </c>
      <c r="AR1624" s="318">
        <f t="shared" si="1147"/>
        <v>96171.428571428653</v>
      </c>
      <c r="AS1624" s="318">
        <f t="shared" si="1148"/>
        <v>100980</v>
      </c>
      <c r="AT1624" s="321">
        <v>0</v>
      </c>
      <c r="AU1624" s="464"/>
      <c r="AV1624" s="449"/>
      <c r="AW1624" s="318">
        <f t="shared" si="1130"/>
        <v>25500</v>
      </c>
      <c r="AX1624" s="467"/>
      <c r="AY1624" s="318">
        <f t="shared" si="1131"/>
        <v>25500</v>
      </c>
      <c r="AZ1624" s="318">
        <f t="shared" si="1132"/>
        <v>25530</v>
      </c>
      <c r="BA1624" s="318">
        <f t="shared" si="1133"/>
        <v>-30</v>
      </c>
      <c r="BB1624" s="318">
        <f t="shared" si="1134"/>
        <v>51</v>
      </c>
      <c r="BC1624" s="318">
        <v>0</v>
      </c>
      <c r="BD1624" s="467"/>
      <c r="BE1624" s="147">
        <v>255</v>
      </c>
      <c r="BF1624" s="321">
        <f t="shared" si="1135"/>
        <v>0.38250000000000001</v>
      </c>
      <c r="BG1624" s="321">
        <f t="shared" si="1136"/>
        <v>254.61750000000001</v>
      </c>
      <c r="BH1624" s="321">
        <f t="shared" si="1137"/>
        <v>255.3</v>
      </c>
      <c r="BI1624" s="322">
        <f t="shared" si="1138"/>
        <v>-30.000000000001137</v>
      </c>
      <c r="BJ1624" s="322">
        <v>0</v>
      </c>
      <c r="BK1624" s="318">
        <f t="shared" si="1139"/>
        <v>-30.000000000001137</v>
      </c>
      <c r="BL1624" s="449"/>
      <c r="BM1624" s="449" t="str">
        <f t="shared" si="1140"/>
        <v>Unloading no. 1589 Bill No 206 ,Deduction For Oil Deduction= 96171.4285714287 ,Bardana= 0 ,F.M= 0 Brokerage/Rate Difference 0 ,Shortage = 0 ,Greenish= 0 ,Moisture= 0</v>
      </c>
      <c r="BN1624" s="449"/>
      <c r="BO1624" s="449" t="str">
        <f t="shared" si="1141"/>
        <v xml:space="preserve"> Party Condition 42  ,F.M% 0.85 ,Greenish 5 ,Moisture 5.3 ,Shortage in KG= 0  ,Oil% 40.08</v>
      </c>
      <c r="BP1624" s="464">
        <f t="shared" si="1142"/>
        <v>7863.6058418667108</v>
      </c>
      <c r="BQ1624" s="449"/>
      <c r="BR1624" s="449"/>
      <c r="BS1624" s="449"/>
      <c r="BT1624" s="449"/>
      <c r="BU1624" s="449"/>
      <c r="BV1624" s="449"/>
      <c r="BW1624" s="449"/>
      <c r="BX1624" s="147">
        <v>39.9</v>
      </c>
      <c r="BY1624" s="147">
        <v>39.68</v>
      </c>
      <c r="CO1624" s="460">
        <f t="shared" si="1153"/>
        <v>0.17999999999999972</v>
      </c>
      <c r="CP1624" s="460">
        <f t="shared" si="1154"/>
        <v>0.39999999999999858</v>
      </c>
    </row>
    <row r="1625" spans="1:94" ht="14.1" hidden="1" customHeight="1" x14ac:dyDescent="0.3">
      <c r="A1625" s="281" t="s">
        <v>3451</v>
      </c>
      <c r="B1625" s="130">
        <v>46240</v>
      </c>
      <c r="C1625" s="281">
        <v>1590</v>
      </c>
      <c r="D1625" s="281" t="s">
        <v>3465</v>
      </c>
      <c r="E1625" s="129">
        <v>46242</v>
      </c>
      <c r="F1625" s="281" t="s">
        <v>3299</v>
      </c>
      <c r="G1625" s="281" t="s">
        <v>2630</v>
      </c>
      <c r="H1625" s="281" t="s">
        <v>1508</v>
      </c>
      <c r="I1625" s="466"/>
      <c r="J1625" s="281" t="s">
        <v>1146</v>
      </c>
      <c r="K1625" s="466"/>
      <c r="L1625" s="465">
        <v>46240</v>
      </c>
      <c r="M1625" s="466"/>
      <c r="N1625" s="281">
        <v>209</v>
      </c>
      <c r="O1625" s="129">
        <v>46241</v>
      </c>
      <c r="P1625" s="281">
        <v>0</v>
      </c>
      <c r="Q1625" s="281">
        <v>440</v>
      </c>
      <c r="R1625" s="281">
        <v>126</v>
      </c>
      <c r="S1625" s="281">
        <v>566</v>
      </c>
      <c r="T1625" s="281">
        <v>566</v>
      </c>
      <c r="U1625" s="466"/>
      <c r="V1625" s="466"/>
      <c r="W1625" s="147">
        <v>337.2</v>
      </c>
      <c r="X1625" s="147">
        <v>337.3</v>
      </c>
      <c r="Y1625" s="196">
        <f>2808876-26976</f>
        <v>2781900</v>
      </c>
      <c r="Z1625" s="236">
        <v>38.58</v>
      </c>
      <c r="AA1625" s="147">
        <v>70221.899999999994</v>
      </c>
      <c r="AB1625" s="147">
        <v>70221.899999999994</v>
      </c>
      <c r="AC1625" s="147">
        <v>2949319.8</v>
      </c>
      <c r="AD1625" s="470">
        <f t="shared" si="1098"/>
        <v>2946370.4801999996</v>
      </c>
      <c r="AE1625" s="236">
        <v>38.58</v>
      </c>
      <c r="AF1625" s="147">
        <v>42</v>
      </c>
      <c r="AG1625" s="236">
        <v>38.58</v>
      </c>
      <c r="AH1625" s="395">
        <v>8.0999999999999996E-3</v>
      </c>
      <c r="AI1625" s="287">
        <v>3.7999999999999999E-2</v>
      </c>
      <c r="AJ1625" s="287">
        <v>5.8999999999999997E-2</v>
      </c>
      <c r="AK1625" s="318">
        <f t="shared" si="1145"/>
        <v>226526.14285714299</v>
      </c>
      <c r="AL1625" s="467">
        <v>0</v>
      </c>
      <c r="AM1625" s="321">
        <v>0</v>
      </c>
      <c r="AN1625" s="321">
        <v>0</v>
      </c>
      <c r="AO1625" s="318">
        <f t="shared" si="1146"/>
        <v>0</v>
      </c>
      <c r="AP1625" s="467">
        <v>0</v>
      </c>
      <c r="AQ1625" s="318">
        <v>0</v>
      </c>
      <c r="AR1625" s="318">
        <f t="shared" si="1147"/>
        <v>226526.14285714299</v>
      </c>
      <c r="AS1625" s="318">
        <f t="shared" si="1148"/>
        <v>237852</v>
      </c>
      <c r="AT1625" s="321">
        <v>0</v>
      </c>
      <c r="AU1625" s="464"/>
      <c r="AV1625" s="449"/>
      <c r="AW1625" s="318">
        <f t="shared" si="1130"/>
        <v>33720</v>
      </c>
      <c r="AX1625" s="467"/>
      <c r="AY1625" s="318">
        <f t="shared" si="1131"/>
        <v>33720</v>
      </c>
      <c r="AZ1625" s="318">
        <f t="shared" si="1132"/>
        <v>33730</v>
      </c>
      <c r="BA1625" s="318">
        <f t="shared" si="1133"/>
        <v>-10</v>
      </c>
      <c r="BB1625" s="318">
        <f t="shared" si="1134"/>
        <v>67.44</v>
      </c>
      <c r="BC1625" s="318">
        <v>0</v>
      </c>
      <c r="BD1625" s="467"/>
      <c r="BE1625" s="147">
        <v>337.2</v>
      </c>
      <c r="BF1625" s="321">
        <f t="shared" si="1135"/>
        <v>0.50580000000000003</v>
      </c>
      <c r="BG1625" s="321">
        <f t="shared" si="1136"/>
        <v>336.69419999999997</v>
      </c>
      <c r="BH1625" s="321">
        <f t="shared" si="1137"/>
        <v>337.3</v>
      </c>
      <c r="BI1625" s="322">
        <f t="shared" si="1138"/>
        <v>-10.000000000002274</v>
      </c>
      <c r="BJ1625" s="322">
        <v>0</v>
      </c>
      <c r="BK1625" s="318">
        <f t="shared" si="1139"/>
        <v>-10.000000000002274</v>
      </c>
      <c r="BL1625" s="449"/>
      <c r="BM1625" s="449" t="str">
        <f t="shared" si="1140"/>
        <v>Unloading no. 1590 Bill No 209 ,Deduction For Oil Deduction= 226526.142857143 ,Bardana= 0 ,F.M= 0 Brokerage/Rate Difference 0 ,Shortage = 0 ,Greenish= 0 ,Moisture= 0</v>
      </c>
      <c r="BN1625" s="449"/>
      <c r="BO1625" s="449" t="str">
        <f t="shared" si="1141"/>
        <v xml:space="preserve"> Party Condition 42  ,F.M% 0.81 ,Greenish 3.8 ,Moisture 5.9 ,Shortage in KG= 0  ,Oil% 38.58</v>
      </c>
      <c r="BP1625" s="464">
        <f t="shared" si="1142"/>
        <v>7575.9675574943867</v>
      </c>
      <c r="BQ1625" s="449"/>
      <c r="BR1625" s="449"/>
      <c r="BS1625" s="449"/>
      <c r="BT1625" s="449"/>
      <c r="BU1625" s="449"/>
      <c r="BV1625" s="449"/>
      <c r="BW1625" s="449"/>
      <c r="BX1625" s="147">
        <v>38.49</v>
      </c>
      <c r="BY1625" s="147">
        <v>38.19</v>
      </c>
      <c r="CO1625" s="460">
        <f t="shared" si="1153"/>
        <v>8.9999999999996305E-2</v>
      </c>
      <c r="CP1625" s="460">
        <f t="shared" si="1154"/>
        <v>0.39000000000000057</v>
      </c>
    </row>
    <row r="1626" spans="1:94" ht="14.1" hidden="1" customHeight="1" x14ac:dyDescent="0.3">
      <c r="A1626" s="281" t="s">
        <v>3451</v>
      </c>
      <c r="B1626" s="130">
        <v>46240</v>
      </c>
      <c r="C1626" s="281">
        <v>1591</v>
      </c>
      <c r="D1626" s="281" t="s">
        <v>3466</v>
      </c>
      <c r="E1626" s="129">
        <v>46242</v>
      </c>
      <c r="F1626" s="281" t="s">
        <v>3299</v>
      </c>
      <c r="G1626" s="281" t="s">
        <v>2630</v>
      </c>
      <c r="H1626" s="281" t="s">
        <v>1508</v>
      </c>
      <c r="I1626" s="466"/>
      <c r="J1626" s="281" t="s">
        <v>1146</v>
      </c>
      <c r="K1626" s="466"/>
      <c r="L1626" s="465">
        <v>46240</v>
      </c>
      <c r="M1626" s="466"/>
      <c r="N1626" s="281">
        <v>208</v>
      </c>
      <c r="O1626" s="129">
        <v>46241</v>
      </c>
      <c r="P1626" s="281">
        <v>0</v>
      </c>
      <c r="Q1626" s="281">
        <v>370</v>
      </c>
      <c r="R1626" s="281">
        <v>200</v>
      </c>
      <c r="S1626" s="281">
        <v>570</v>
      </c>
      <c r="T1626" s="281">
        <v>570</v>
      </c>
      <c r="U1626" s="466"/>
      <c r="V1626" s="466"/>
      <c r="W1626" s="147">
        <v>340</v>
      </c>
      <c r="X1626" s="147">
        <v>340</v>
      </c>
      <c r="Y1626" s="196">
        <f>2832200-27200</f>
        <v>2805000</v>
      </c>
      <c r="Z1626" s="236">
        <v>39.26</v>
      </c>
      <c r="AA1626" s="147">
        <v>70805</v>
      </c>
      <c r="AB1626" s="147">
        <v>70805</v>
      </c>
      <c r="AC1626" s="147">
        <v>2973810</v>
      </c>
      <c r="AD1626" s="470">
        <f t="shared" si="1098"/>
        <v>2970836.19</v>
      </c>
      <c r="AE1626" s="236">
        <v>39.26</v>
      </c>
      <c r="AF1626" s="147">
        <v>42</v>
      </c>
      <c r="AG1626" s="236">
        <v>39.26</v>
      </c>
      <c r="AH1626" s="395">
        <v>6.4999999999999997E-3</v>
      </c>
      <c r="AI1626" s="287">
        <v>0.04</v>
      </c>
      <c r="AJ1626" s="287">
        <v>5.6000000000000001E-2</v>
      </c>
      <c r="AK1626" s="318">
        <f t="shared" si="1145"/>
        <v>182992.85714285728</v>
      </c>
      <c r="AL1626" s="467">
        <v>0</v>
      </c>
      <c r="AM1626" s="321">
        <v>0</v>
      </c>
      <c r="AN1626" s="321">
        <v>0</v>
      </c>
      <c r="AO1626" s="318">
        <f t="shared" si="1146"/>
        <v>0</v>
      </c>
      <c r="AP1626" s="467">
        <v>0</v>
      </c>
      <c r="AQ1626" s="318">
        <v>0</v>
      </c>
      <c r="AR1626" s="318">
        <f t="shared" si="1147"/>
        <v>182992.85714285728</v>
      </c>
      <c r="AS1626" s="318">
        <f t="shared" si="1148"/>
        <v>192143</v>
      </c>
      <c r="AT1626" s="321">
        <v>0</v>
      </c>
      <c r="AU1626" s="464"/>
      <c r="AV1626" s="449"/>
      <c r="AW1626" s="318">
        <f t="shared" si="1130"/>
        <v>34000</v>
      </c>
      <c r="AX1626" s="467"/>
      <c r="AY1626" s="318">
        <f t="shared" si="1131"/>
        <v>34000</v>
      </c>
      <c r="AZ1626" s="318">
        <f t="shared" si="1132"/>
        <v>34000</v>
      </c>
      <c r="BA1626" s="318">
        <f t="shared" si="1133"/>
        <v>0</v>
      </c>
      <c r="BB1626" s="318">
        <f t="shared" si="1134"/>
        <v>68</v>
      </c>
      <c r="BC1626" s="318">
        <v>0</v>
      </c>
      <c r="BD1626" s="467"/>
      <c r="BE1626" s="147">
        <v>340</v>
      </c>
      <c r="BF1626" s="321">
        <f t="shared" si="1135"/>
        <v>0.51</v>
      </c>
      <c r="BG1626" s="321">
        <f t="shared" si="1136"/>
        <v>339.49</v>
      </c>
      <c r="BH1626" s="321">
        <f t="shared" si="1137"/>
        <v>340</v>
      </c>
      <c r="BI1626" s="322">
        <f t="shared" si="1138"/>
        <v>0</v>
      </c>
      <c r="BJ1626" s="322">
        <v>0</v>
      </c>
      <c r="BK1626" s="318">
        <f t="shared" si="1139"/>
        <v>0</v>
      </c>
      <c r="BL1626" s="449"/>
      <c r="BM1626" s="449" t="str">
        <f t="shared" si="1140"/>
        <v>Unloading no. 1591 Bill No 208 ,Deduction For Oil Deduction= 182992.857142857 ,Bardana= 0 ,F.M= 0 Brokerage/Rate Difference 0 ,Shortage = 0 ,Greenish= 0 ,Moisture= 0</v>
      </c>
      <c r="BN1626" s="449"/>
      <c r="BO1626" s="449" t="str">
        <f t="shared" si="1141"/>
        <v xml:space="preserve"> Party Condition 42  ,F.M% 0.65 ,Greenish 4 ,Moisture 5.6 ,Shortage in KG= 0  ,Oil% 39.26</v>
      </c>
      <c r="BP1626" s="464">
        <f t="shared" si="1142"/>
        <v>7711.7857142857138</v>
      </c>
      <c r="BQ1626" s="449"/>
      <c r="BR1626" s="449"/>
      <c r="BS1626" s="449"/>
      <c r="BT1626" s="449"/>
      <c r="BU1626" s="449"/>
      <c r="BV1626" s="449"/>
      <c r="BW1626" s="449"/>
      <c r="BX1626" s="147">
        <v>38.659999999999997</v>
      </c>
      <c r="BY1626" s="147">
        <v>38.69</v>
      </c>
      <c r="CO1626" s="460">
        <f t="shared" si="1153"/>
        <v>0.60000000000000142</v>
      </c>
      <c r="CP1626" s="460">
        <f t="shared" si="1154"/>
        <v>0.57000000000000028</v>
      </c>
    </row>
    <row r="1627" spans="1:94" ht="14.1" hidden="1" customHeight="1" x14ac:dyDescent="0.3">
      <c r="A1627" s="281" t="s">
        <v>3452</v>
      </c>
      <c r="B1627" s="130">
        <v>46240</v>
      </c>
      <c r="C1627" s="281">
        <v>1592</v>
      </c>
      <c r="D1627" s="281" t="s">
        <v>3467</v>
      </c>
      <c r="E1627" s="129">
        <v>46242</v>
      </c>
      <c r="F1627" s="281" t="s">
        <v>95</v>
      </c>
      <c r="G1627" s="281" t="s">
        <v>96</v>
      </c>
      <c r="H1627" s="281" t="s">
        <v>97</v>
      </c>
      <c r="I1627" s="466"/>
      <c r="J1627" s="281" t="s">
        <v>1146</v>
      </c>
      <c r="K1627" s="466"/>
      <c r="L1627" s="465">
        <v>46240</v>
      </c>
      <c r="M1627" s="466"/>
      <c r="N1627" s="281">
        <v>239</v>
      </c>
      <c r="O1627" s="129">
        <v>46242</v>
      </c>
      <c r="P1627" s="281">
        <v>0</v>
      </c>
      <c r="Q1627" s="281">
        <v>110</v>
      </c>
      <c r="R1627" s="281">
        <v>30</v>
      </c>
      <c r="S1627" s="281">
        <v>140</v>
      </c>
      <c r="T1627" s="281">
        <v>140</v>
      </c>
      <c r="U1627" s="466"/>
      <c r="V1627" s="466"/>
      <c r="W1627" s="147">
        <v>84</v>
      </c>
      <c r="X1627" s="147">
        <v>83.8</v>
      </c>
      <c r="Y1627" s="147">
        <v>701400</v>
      </c>
      <c r="Z1627" s="147"/>
      <c r="AA1627" s="147">
        <v>17535</v>
      </c>
      <c r="AB1627" s="147">
        <v>17535</v>
      </c>
      <c r="AC1627" s="147">
        <v>736470</v>
      </c>
      <c r="AD1627" s="470">
        <f t="shared" si="1098"/>
        <v>735733.53</v>
      </c>
      <c r="AE1627" s="147">
        <v>39.82</v>
      </c>
      <c r="AF1627" s="147">
        <v>42</v>
      </c>
      <c r="AG1627" s="147">
        <v>39.659999999999997</v>
      </c>
      <c r="AH1627" s="395">
        <v>4.5999999999999999E-3</v>
      </c>
      <c r="AI1627" s="287">
        <v>0.05</v>
      </c>
      <c r="AJ1627" s="287">
        <v>5.6000000000000001E-2</v>
      </c>
      <c r="AK1627" s="318">
        <f t="shared" si="1145"/>
        <v>39078.000000000058</v>
      </c>
      <c r="AL1627" s="467">
        <v>0</v>
      </c>
      <c r="AM1627" s="321">
        <v>0</v>
      </c>
      <c r="AN1627" s="321">
        <v>0</v>
      </c>
      <c r="AO1627" s="318">
        <f t="shared" si="1146"/>
        <v>0</v>
      </c>
      <c r="AP1627" s="467">
        <v>0</v>
      </c>
      <c r="AQ1627" s="318">
        <v>0</v>
      </c>
      <c r="AR1627" s="318">
        <f t="shared" si="1147"/>
        <v>39078.000000000058</v>
      </c>
      <c r="AS1627" s="318">
        <f t="shared" si="1148"/>
        <v>41032</v>
      </c>
      <c r="AT1627" s="321">
        <v>0</v>
      </c>
      <c r="AU1627" s="464"/>
      <c r="AV1627" s="449"/>
      <c r="AW1627" s="318">
        <f t="shared" si="1130"/>
        <v>8400</v>
      </c>
      <c r="AX1627" s="467"/>
      <c r="AY1627" s="318">
        <f t="shared" si="1131"/>
        <v>8400</v>
      </c>
      <c r="AZ1627" s="318">
        <f t="shared" si="1132"/>
        <v>8380</v>
      </c>
      <c r="BA1627" s="318">
        <f t="shared" si="1133"/>
        <v>20</v>
      </c>
      <c r="BB1627" s="318">
        <f t="shared" si="1134"/>
        <v>16.8</v>
      </c>
      <c r="BC1627" s="318">
        <v>0</v>
      </c>
      <c r="BD1627" s="467"/>
      <c r="BE1627" s="147">
        <v>84</v>
      </c>
      <c r="BF1627" s="321">
        <f t="shared" si="1135"/>
        <v>0.126</v>
      </c>
      <c r="BG1627" s="321">
        <f t="shared" si="1136"/>
        <v>83.873999999999995</v>
      </c>
      <c r="BH1627" s="321">
        <f t="shared" si="1137"/>
        <v>83.8</v>
      </c>
      <c r="BI1627" s="322">
        <f t="shared" si="1138"/>
        <v>20.000000000000284</v>
      </c>
      <c r="BJ1627" s="322">
        <v>0</v>
      </c>
      <c r="BK1627" s="318">
        <f t="shared" si="1139"/>
        <v>20.000000000000284</v>
      </c>
      <c r="BL1627" s="449"/>
      <c r="BM1627" s="449" t="str">
        <f t="shared" si="1140"/>
        <v>Unloading no. 1592 Bill No 239 ,Deduction For Oil Deduction= 39078.0000000001 ,Bardana= 0 ,F.M= 0 Brokerage/Rate Difference 0 ,Shortage = 0 ,Greenish= 0 ,Moisture= 0</v>
      </c>
      <c r="BN1627" s="449"/>
      <c r="BO1627" s="449" t="str">
        <f t="shared" si="1141"/>
        <v xml:space="preserve"> Party Condition 42  ,F.M% 0.46 ,Greenish 5 ,Moisture 5.6 ,Shortage in KG= 0  ,Oil% 39.66</v>
      </c>
      <c r="BP1627" s="464">
        <f t="shared" si="1142"/>
        <v>7903.6038186157521</v>
      </c>
      <c r="BQ1627" s="449"/>
      <c r="BR1627" s="449"/>
      <c r="BS1627" s="449"/>
      <c r="BT1627" s="449"/>
      <c r="BU1627" s="449"/>
      <c r="BV1627" s="449"/>
      <c r="BW1627" s="449"/>
      <c r="BX1627" s="147">
        <v>39.82</v>
      </c>
      <c r="BY1627" s="147">
        <v>39.659999999999997</v>
      </c>
      <c r="CO1627" s="460">
        <f t="shared" si="1153"/>
        <v>-39.82</v>
      </c>
      <c r="CP1627" s="460">
        <f t="shared" si="1154"/>
        <v>-39.659999999999997</v>
      </c>
    </row>
    <row r="1628" spans="1:94" ht="14.1" hidden="1" customHeight="1" x14ac:dyDescent="0.3">
      <c r="A1628" s="281" t="s">
        <v>3452</v>
      </c>
      <c r="B1628" s="130">
        <v>46240</v>
      </c>
      <c r="C1628" s="281">
        <v>1593</v>
      </c>
      <c r="D1628" s="281" t="s">
        <v>3468</v>
      </c>
      <c r="E1628" s="129">
        <v>46242</v>
      </c>
      <c r="F1628" s="281" t="s">
        <v>95</v>
      </c>
      <c r="G1628" s="281" t="s">
        <v>96</v>
      </c>
      <c r="H1628" s="281" t="s">
        <v>97</v>
      </c>
      <c r="I1628" s="466"/>
      <c r="J1628" s="281" t="s">
        <v>1146</v>
      </c>
      <c r="K1628" s="466"/>
      <c r="L1628" s="465">
        <v>46240</v>
      </c>
      <c r="M1628" s="466"/>
      <c r="N1628" s="281">
        <v>243</v>
      </c>
      <c r="O1628" s="129">
        <v>46242</v>
      </c>
      <c r="P1628" s="281">
        <v>0</v>
      </c>
      <c r="Q1628" s="281">
        <v>40</v>
      </c>
      <c r="R1628" s="281">
        <v>100</v>
      </c>
      <c r="S1628" s="281">
        <v>140</v>
      </c>
      <c r="T1628" s="281">
        <v>140</v>
      </c>
      <c r="U1628" s="466"/>
      <c r="V1628" s="466"/>
      <c r="W1628" s="147">
        <v>83.7</v>
      </c>
      <c r="X1628" s="147">
        <v>83.6</v>
      </c>
      <c r="Y1628" s="147">
        <v>698895</v>
      </c>
      <c r="Z1628" s="147"/>
      <c r="AA1628" s="147">
        <v>17472.38</v>
      </c>
      <c r="AB1628" s="147">
        <v>17472.38</v>
      </c>
      <c r="AC1628" s="147">
        <v>733839.75</v>
      </c>
      <c r="AD1628" s="470">
        <f t="shared" si="1098"/>
        <v>733105.91024999996</v>
      </c>
      <c r="AE1628" s="147">
        <v>40.35</v>
      </c>
      <c r="AF1628" s="147">
        <v>42</v>
      </c>
      <c r="AG1628" s="147">
        <v>40.119999999999997</v>
      </c>
      <c r="AH1628" s="395">
        <v>3.3E-3</v>
      </c>
      <c r="AI1628" s="287">
        <v>3.6600000000000001E-2</v>
      </c>
      <c r="AJ1628" s="287">
        <v>5.5E-2</v>
      </c>
      <c r="AK1628" s="318">
        <f t="shared" si="1145"/>
        <v>31283.87142857147</v>
      </c>
      <c r="AL1628" s="467">
        <v>0</v>
      </c>
      <c r="AM1628" s="321">
        <v>0</v>
      </c>
      <c r="AN1628" s="321">
        <v>0</v>
      </c>
      <c r="AO1628" s="318">
        <f t="shared" si="1146"/>
        <v>0</v>
      </c>
      <c r="AP1628" s="467">
        <v>0</v>
      </c>
      <c r="AQ1628" s="318">
        <v>0</v>
      </c>
      <c r="AR1628" s="318">
        <f t="shared" si="1147"/>
        <v>31283.87142857147</v>
      </c>
      <c r="AS1628" s="318">
        <f t="shared" si="1148"/>
        <v>32848</v>
      </c>
      <c r="AT1628" s="321">
        <v>0</v>
      </c>
      <c r="AU1628" s="464"/>
      <c r="AV1628" s="449"/>
      <c r="AW1628" s="318">
        <f t="shared" si="1130"/>
        <v>8370</v>
      </c>
      <c r="AX1628" s="467"/>
      <c r="AY1628" s="318">
        <f t="shared" si="1131"/>
        <v>8370</v>
      </c>
      <c r="AZ1628" s="318">
        <f t="shared" si="1132"/>
        <v>8360</v>
      </c>
      <c r="BA1628" s="318">
        <f t="shared" si="1133"/>
        <v>10</v>
      </c>
      <c r="BB1628" s="318">
        <f t="shared" si="1134"/>
        <v>16.739999999999998</v>
      </c>
      <c r="BC1628" s="318">
        <v>0</v>
      </c>
      <c r="BD1628" s="467"/>
      <c r="BE1628" s="147">
        <v>83.7</v>
      </c>
      <c r="BF1628" s="321">
        <f t="shared" si="1135"/>
        <v>0.12554999999999999</v>
      </c>
      <c r="BG1628" s="321">
        <f t="shared" si="1136"/>
        <v>83.574449999999999</v>
      </c>
      <c r="BH1628" s="321">
        <f t="shared" si="1137"/>
        <v>83.6</v>
      </c>
      <c r="BI1628" s="322">
        <f t="shared" si="1138"/>
        <v>10.000000000000853</v>
      </c>
      <c r="BJ1628" s="322">
        <v>0</v>
      </c>
      <c r="BK1628" s="318">
        <f t="shared" si="1139"/>
        <v>10.000000000000853</v>
      </c>
      <c r="BL1628" s="449"/>
      <c r="BM1628" s="449" t="str">
        <f t="shared" si="1140"/>
        <v>Unloading no. 1593 Bill No 243 ,Deduction For Oil Deduction= 31283.8714285715 ,Bardana= 0 ,F.M= 0 Brokerage/Rate Difference 0 ,Shortage = 0 ,Greenish= 0 ,Moisture= 0</v>
      </c>
      <c r="BN1628" s="449"/>
      <c r="BO1628" s="449" t="str">
        <f t="shared" si="1141"/>
        <v xml:space="preserve"> Party Condition 42  ,F.M% 0.33 ,Greenish 3.66 ,Moisture 5.5 ,Shortage in KG= 0  ,Oil% 40.12</v>
      </c>
      <c r="BP1628" s="464">
        <f t="shared" si="1142"/>
        <v>7985.77904989747</v>
      </c>
      <c r="BQ1628" s="449"/>
      <c r="BR1628" s="449"/>
      <c r="BS1628" s="449"/>
      <c r="BT1628" s="449"/>
      <c r="BU1628" s="449"/>
      <c r="BV1628" s="449"/>
      <c r="BW1628" s="449"/>
      <c r="BX1628" s="147">
        <v>40.35</v>
      </c>
      <c r="BY1628" s="147">
        <v>40.119999999999997</v>
      </c>
      <c r="CO1628" s="460">
        <f t="shared" si="1153"/>
        <v>-40.35</v>
      </c>
      <c r="CP1628" s="460">
        <f t="shared" si="1154"/>
        <v>-40.119999999999997</v>
      </c>
    </row>
    <row r="1629" spans="1:94" ht="14.1" hidden="1" customHeight="1" x14ac:dyDescent="0.3">
      <c r="A1629" s="281" t="s">
        <v>3452</v>
      </c>
      <c r="B1629" s="130">
        <v>46240</v>
      </c>
      <c r="C1629" s="281">
        <v>1594</v>
      </c>
      <c r="D1629" s="281" t="s">
        <v>3469</v>
      </c>
      <c r="E1629" s="129">
        <v>46242</v>
      </c>
      <c r="F1629" s="281" t="s">
        <v>95</v>
      </c>
      <c r="G1629" s="281" t="s">
        <v>96</v>
      </c>
      <c r="H1629" s="281" t="s">
        <v>97</v>
      </c>
      <c r="I1629" s="466"/>
      <c r="J1629" s="281" t="s">
        <v>1146</v>
      </c>
      <c r="K1629" s="466"/>
      <c r="L1629" s="465">
        <v>46240</v>
      </c>
      <c r="M1629" s="466"/>
      <c r="N1629" s="281">
        <v>240</v>
      </c>
      <c r="O1629" s="129">
        <v>46242</v>
      </c>
      <c r="P1629" s="281">
        <v>0</v>
      </c>
      <c r="Q1629" s="281">
        <v>40</v>
      </c>
      <c r="R1629" s="281">
        <v>100</v>
      </c>
      <c r="S1629" s="281">
        <v>140</v>
      </c>
      <c r="T1629" s="281">
        <v>140</v>
      </c>
      <c r="U1629" s="466"/>
      <c r="V1629" s="466"/>
      <c r="W1629" s="147">
        <v>83.4</v>
      </c>
      <c r="X1629" s="147">
        <v>83.4</v>
      </c>
      <c r="Y1629" s="147">
        <v>696390</v>
      </c>
      <c r="Z1629" s="147"/>
      <c r="AA1629" s="147">
        <v>17409.75</v>
      </c>
      <c r="AB1629" s="147">
        <v>17409.75</v>
      </c>
      <c r="AC1629" s="147">
        <v>731209.5</v>
      </c>
      <c r="AD1629" s="470">
        <f t="shared" si="1098"/>
        <v>730478.2905</v>
      </c>
      <c r="AE1629" s="147">
        <v>39.96</v>
      </c>
      <c r="AF1629" s="147">
        <v>42</v>
      </c>
      <c r="AG1629" s="147">
        <v>39.9</v>
      </c>
      <c r="AH1629" s="395">
        <v>2.5999999999999999E-3</v>
      </c>
      <c r="AI1629" s="287">
        <v>0.04</v>
      </c>
      <c r="AJ1629" s="287">
        <v>5.7000000000000002E-2</v>
      </c>
      <c r="AK1629" s="318">
        <f t="shared" si="1145"/>
        <v>34819.500000000022</v>
      </c>
      <c r="AL1629" s="467">
        <v>0</v>
      </c>
      <c r="AM1629" s="321">
        <v>0</v>
      </c>
      <c r="AN1629" s="321">
        <v>0</v>
      </c>
      <c r="AO1629" s="318">
        <f t="shared" si="1146"/>
        <v>0</v>
      </c>
      <c r="AP1629" s="467">
        <v>0</v>
      </c>
      <c r="AQ1629" s="318">
        <v>0</v>
      </c>
      <c r="AR1629" s="318">
        <f t="shared" si="1147"/>
        <v>34819.500000000022</v>
      </c>
      <c r="AS1629" s="318">
        <f t="shared" si="1148"/>
        <v>36560</v>
      </c>
      <c r="AT1629" s="321">
        <v>0</v>
      </c>
      <c r="AU1629" s="464"/>
      <c r="AV1629" s="449"/>
      <c r="AW1629" s="318">
        <f t="shared" si="1130"/>
        <v>8340</v>
      </c>
      <c r="AX1629" s="467"/>
      <c r="AY1629" s="318">
        <f t="shared" si="1131"/>
        <v>8340</v>
      </c>
      <c r="AZ1629" s="318">
        <f t="shared" si="1132"/>
        <v>8340</v>
      </c>
      <c r="BA1629" s="318">
        <f t="shared" si="1133"/>
        <v>0</v>
      </c>
      <c r="BB1629" s="318">
        <f t="shared" si="1134"/>
        <v>16.68</v>
      </c>
      <c r="BC1629" s="318">
        <v>0</v>
      </c>
      <c r="BD1629" s="467"/>
      <c r="BE1629" s="147">
        <v>83.4</v>
      </c>
      <c r="BF1629" s="321">
        <f t="shared" si="1135"/>
        <v>0.12509999999999999</v>
      </c>
      <c r="BG1629" s="321">
        <f t="shared" si="1136"/>
        <v>83.274900000000002</v>
      </c>
      <c r="BH1629" s="321">
        <f t="shared" si="1137"/>
        <v>83.4</v>
      </c>
      <c r="BI1629" s="322">
        <f t="shared" si="1138"/>
        <v>0</v>
      </c>
      <c r="BJ1629" s="322">
        <v>0</v>
      </c>
      <c r="BK1629" s="318">
        <f t="shared" si="1139"/>
        <v>0</v>
      </c>
      <c r="BL1629" s="449"/>
      <c r="BM1629" s="449" t="str">
        <f t="shared" si="1140"/>
        <v>Unloading no. 1594 Bill No 240 ,Deduction For Oil Deduction= 34819.5 ,Bardana= 0 ,F.M= 0 Brokerage/Rate Difference 0 ,Shortage = 0 ,Greenish= 0 ,Moisture= 0</v>
      </c>
      <c r="BN1629" s="449"/>
      <c r="BO1629" s="449" t="str">
        <f t="shared" si="1141"/>
        <v xml:space="preserve"> Party Condition 42  ,F.M% 0.26 ,Greenish 4 ,Moisture 5.7 ,Shortage in KG= 0  ,Oil% 39.9</v>
      </c>
      <c r="BP1629" s="464">
        <f t="shared" si="1142"/>
        <v>7932.4999999999991</v>
      </c>
      <c r="BQ1629" s="449"/>
      <c r="BR1629" s="449"/>
      <c r="BS1629" s="449"/>
      <c r="BT1629" s="449"/>
      <c r="BU1629" s="449"/>
      <c r="BV1629" s="449"/>
      <c r="BW1629" s="449"/>
      <c r="BX1629" s="147">
        <v>39.96</v>
      </c>
      <c r="BY1629" s="147">
        <v>39.9</v>
      </c>
      <c r="CO1629" s="460">
        <f t="shared" si="1153"/>
        <v>-39.96</v>
      </c>
      <c r="CP1629" s="460">
        <f t="shared" si="1154"/>
        <v>-39.9</v>
      </c>
    </row>
    <row r="1630" spans="1:94" ht="14.1" hidden="1" customHeight="1" x14ac:dyDescent="0.3">
      <c r="A1630" s="281" t="s">
        <v>3452</v>
      </c>
      <c r="B1630" s="130">
        <v>46240</v>
      </c>
      <c r="C1630" s="281">
        <v>1595</v>
      </c>
      <c r="D1630" s="281" t="s">
        <v>3470</v>
      </c>
      <c r="E1630" s="129">
        <v>46242</v>
      </c>
      <c r="F1630" s="281" t="s">
        <v>95</v>
      </c>
      <c r="G1630" s="281" t="s">
        <v>96</v>
      </c>
      <c r="H1630" s="281" t="s">
        <v>97</v>
      </c>
      <c r="I1630" s="466"/>
      <c r="J1630" s="281" t="s">
        <v>1146</v>
      </c>
      <c r="K1630" s="466"/>
      <c r="L1630" s="465">
        <v>46240</v>
      </c>
      <c r="M1630" s="466"/>
      <c r="N1630" s="281">
        <v>242</v>
      </c>
      <c r="O1630" s="129">
        <v>46242</v>
      </c>
      <c r="P1630" s="281">
        <v>0</v>
      </c>
      <c r="Q1630" s="281">
        <v>40</v>
      </c>
      <c r="R1630" s="281">
        <v>100</v>
      </c>
      <c r="S1630" s="281">
        <v>140</v>
      </c>
      <c r="T1630" s="281">
        <v>140</v>
      </c>
      <c r="U1630" s="466"/>
      <c r="V1630" s="466"/>
      <c r="W1630" s="147">
        <v>83.3</v>
      </c>
      <c r="X1630" s="147">
        <v>83.1</v>
      </c>
      <c r="Y1630" s="147">
        <v>695555</v>
      </c>
      <c r="Z1630" s="147"/>
      <c r="AA1630" s="147">
        <v>17388.88</v>
      </c>
      <c r="AB1630" s="147">
        <v>17388.88</v>
      </c>
      <c r="AC1630" s="147">
        <v>730332.75</v>
      </c>
      <c r="AD1630" s="470">
        <f t="shared" si="1098"/>
        <v>729602.41725000006</v>
      </c>
      <c r="AE1630" s="147">
        <v>40.6</v>
      </c>
      <c r="AF1630" s="147">
        <v>42</v>
      </c>
      <c r="AG1630" s="147">
        <v>40.58</v>
      </c>
      <c r="AH1630" s="395">
        <v>2.8E-3</v>
      </c>
      <c r="AI1630" s="287">
        <v>4.3400000000000001E-2</v>
      </c>
      <c r="AJ1630" s="287">
        <v>0.05</v>
      </c>
      <c r="AK1630" s="318">
        <f t="shared" si="1145"/>
        <v>23516.383333333364</v>
      </c>
      <c r="AL1630" s="467">
        <v>0</v>
      </c>
      <c r="AM1630" s="321">
        <v>0</v>
      </c>
      <c r="AN1630" s="321">
        <v>0</v>
      </c>
      <c r="AO1630" s="318">
        <f t="shared" si="1146"/>
        <v>0</v>
      </c>
      <c r="AP1630" s="467">
        <v>0</v>
      </c>
      <c r="AQ1630" s="318">
        <v>0</v>
      </c>
      <c r="AR1630" s="318">
        <f t="shared" si="1147"/>
        <v>23516.383333333364</v>
      </c>
      <c r="AS1630" s="318">
        <f t="shared" si="1148"/>
        <v>24692</v>
      </c>
      <c r="AT1630" s="321">
        <v>0</v>
      </c>
      <c r="AU1630" s="464"/>
      <c r="AV1630" s="449"/>
      <c r="AW1630" s="318">
        <f t="shared" si="1130"/>
        <v>8330</v>
      </c>
      <c r="AX1630" s="467"/>
      <c r="AY1630" s="318">
        <f t="shared" si="1131"/>
        <v>8330</v>
      </c>
      <c r="AZ1630" s="318">
        <f t="shared" si="1132"/>
        <v>8310</v>
      </c>
      <c r="BA1630" s="318">
        <f t="shared" si="1133"/>
        <v>20</v>
      </c>
      <c r="BB1630" s="318">
        <f t="shared" si="1134"/>
        <v>16.66</v>
      </c>
      <c r="BC1630" s="318">
        <v>0</v>
      </c>
      <c r="BD1630" s="467"/>
      <c r="BE1630" s="147">
        <v>83.3</v>
      </c>
      <c r="BF1630" s="321">
        <f t="shared" si="1135"/>
        <v>0.12494999999999999</v>
      </c>
      <c r="BG1630" s="321">
        <f t="shared" si="1136"/>
        <v>83.175049999999999</v>
      </c>
      <c r="BH1630" s="321">
        <f t="shared" si="1137"/>
        <v>83.1</v>
      </c>
      <c r="BI1630" s="322">
        <f t="shared" si="1138"/>
        <v>20.000000000000284</v>
      </c>
      <c r="BJ1630" s="322">
        <v>0</v>
      </c>
      <c r="BK1630" s="318">
        <f t="shared" si="1139"/>
        <v>20.000000000000284</v>
      </c>
      <c r="BL1630" s="449"/>
      <c r="BM1630" s="449" t="str">
        <f t="shared" si="1140"/>
        <v>Unloading no. 1595 Bill No 242 ,Deduction For Oil Deduction= 23516.3833333334 ,Bardana= 0 ,F.M= 0 Brokerage/Rate Difference 0 ,Shortage = 0 ,Greenish= 0 ,Moisture= 0</v>
      </c>
      <c r="BN1630" s="449"/>
      <c r="BO1630" s="449" t="str">
        <f t="shared" si="1141"/>
        <v xml:space="preserve"> Party Condition 42  ,F.M% 0.28 ,Greenish 4.34 ,Moisture 5 ,Shortage in KG= 0  ,Oil% 40.58</v>
      </c>
      <c r="BP1630" s="464">
        <f t="shared" si="1142"/>
        <v>8087.1073004412347</v>
      </c>
      <c r="BQ1630" s="449"/>
      <c r="BR1630" s="449"/>
      <c r="BS1630" s="449"/>
      <c r="BT1630" s="449"/>
      <c r="BU1630" s="449"/>
      <c r="BV1630" s="449"/>
      <c r="BW1630" s="449"/>
      <c r="BX1630" s="147">
        <v>40.6</v>
      </c>
      <c r="BY1630" s="147">
        <v>40.58</v>
      </c>
      <c r="CO1630" s="460">
        <f t="shared" si="1153"/>
        <v>-40.6</v>
      </c>
      <c r="CP1630" s="460">
        <f t="shared" si="1154"/>
        <v>-40.58</v>
      </c>
    </row>
    <row r="1631" spans="1:94" ht="14.1" hidden="1" customHeight="1" x14ac:dyDescent="0.3">
      <c r="A1631" s="281" t="s">
        <v>3452</v>
      </c>
      <c r="B1631" s="130">
        <v>46240</v>
      </c>
      <c r="C1631" s="281">
        <v>1596</v>
      </c>
      <c r="D1631" s="281" t="s">
        <v>3471</v>
      </c>
      <c r="E1631" s="129">
        <v>46242</v>
      </c>
      <c r="F1631" s="281" t="s">
        <v>95</v>
      </c>
      <c r="G1631" s="281" t="s">
        <v>96</v>
      </c>
      <c r="H1631" s="281" t="s">
        <v>97</v>
      </c>
      <c r="I1631" s="466"/>
      <c r="J1631" s="281" t="s">
        <v>1146</v>
      </c>
      <c r="K1631" s="466"/>
      <c r="L1631" s="465">
        <v>46240</v>
      </c>
      <c r="M1631" s="466"/>
      <c r="N1631" s="281">
        <v>241</v>
      </c>
      <c r="O1631" s="129">
        <v>46242</v>
      </c>
      <c r="P1631" s="281">
        <v>0</v>
      </c>
      <c r="Q1631" s="281">
        <v>40</v>
      </c>
      <c r="R1631" s="281">
        <v>100</v>
      </c>
      <c r="S1631" s="281">
        <v>140</v>
      </c>
      <c r="T1631" s="281">
        <v>140</v>
      </c>
      <c r="U1631" s="466"/>
      <c r="V1631" s="466"/>
      <c r="W1631" s="147">
        <v>83.7</v>
      </c>
      <c r="X1631" s="147">
        <v>83.7</v>
      </c>
      <c r="Y1631" s="147">
        <v>698895</v>
      </c>
      <c r="Z1631" s="147"/>
      <c r="AA1631" s="147">
        <v>17472.38</v>
      </c>
      <c r="AB1631" s="147">
        <v>17472.38</v>
      </c>
      <c r="AC1631" s="147">
        <v>733839.75</v>
      </c>
      <c r="AD1631" s="470">
        <f t="shared" si="1098"/>
        <v>733105.91024999996</v>
      </c>
      <c r="AE1631" s="147">
        <v>40.18</v>
      </c>
      <c r="AF1631" s="147">
        <v>42</v>
      </c>
      <c r="AG1631" s="147">
        <v>40.26</v>
      </c>
      <c r="AH1631" s="395">
        <v>2.5000000000000001E-3</v>
      </c>
      <c r="AI1631" s="287">
        <v>4.2299999999999997E-2</v>
      </c>
      <c r="AJ1631" s="287">
        <v>5.3999999999999999E-2</v>
      </c>
      <c r="AK1631" s="318">
        <f t="shared" si="1145"/>
        <v>30285.450000000004</v>
      </c>
      <c r="AL1631" s="467">
        <v>0</v>
      </c>
      <c r="AM1631" s="321">
        <v>0</v>
      </c>
      <c r="AN1631" s="321">
        <v>0</v>
      </c>
      <c r="AO1631" s="318">
        <f t="shared" si="1146"/>
        <v>0</v>
      </c>
      <c r="AP1631" s="467">
        <v>0</v>
      </c>
      <c r="AQ1631" s="318">
        <v>0</v>
      </c>
      <c r="AR1631" s="318">
        <f t="shared" si="1147"/>
        <v>30285.450000000004</v>
      </c>
      <c r="AS1631" s="318">
        <f t="shared" si="1148"/>
        <v>31800</v>
      </c>
      <c r="AT1631" s="321">
        <v>0</v>
      </c>
      <c r="AU1631" s="464"/>
      <c r="AV1631" s="449"/>
      <c r="AW1631" s="318">
        <f t="shared" si="1130"/>
        <v>8370</v>
      </c>
      <c r="AX1631" s="467"/>
      <c r="AY1631" s="318">
        <f t="shared" si="1131"/>
        <v>8370</v>
      </c>
      <c r="AZ1631" s="318">
        <f t="shared" si="1132"/>
        <v>8370</v>
      </c>
      <c r="BA1631" s="318">
        <f t="shared" si="1133"/>
        <v>0</v>
      </c>
      <c r="BB1631" s="318">
        <f t="shared" si="1134"/>
        <v>16.739999999999998</v>
      </c>
      <c r="BC1631" s="318">
        <v>0</v>
      </c>
      <c r="BD1631" s="467"/>
      <c r="BE1631" s="147">
        <v>83.7</v>
      </c>
      <c r="BF1631" s="321">
        <f t="shared" si="1135"/>
        <v>0.12554999999999999</v>
      </c>
      <c r="BG1631" s="321">
        <f t="shared" si="1136"/>
        <v>83.574449999999999</v>
      </c>
      <c r="BH1631" s="321">
        <f t="shared" si="1137"/>
        <v>83.7</v>
      </c>
      <c r="BI1631" s="322">
        <f t="shared" si="1138"/>
        <v>0</v>
      </c>
      <c r="BJ1631" s="322">
        <v>0</v>
      </c>
      <c r="BK1631" s="318">
        <f t="shared" si="1139"/>
        <v>0</v>
      </c>
      <c r="BL1631" s="449"/>
      <c r="BM1631" s="449" t="str">
        <f t="shared" si="1140"/>
        <v>Unloading no. 1596 Bill No 241 ,Deduction For Oil Deduction= 30285.45 ,Bardana= 0 ,F.M= 0 Brokerage/Rate Difference 0 ,Shortage = 0 ,Greenish= 0 ,Moisture= 0</v>
      </c>
      <c r="BN1631" s="449"/>
      <c r="BO1631" s="449" t="str">
        <f t="shared" si="1141"/>
        <v xml:space="preserve"> Party Condition 42  ,F.M% 0.25 ,Greenish 4.23 ,Moisture 5.4 ,Shortage in KG= 0  ,Oil% 40.18</v>
      </c>
      <c r="BP1631" s="464">
        <f t="shared" si="1142"/>
        <v>7988.166666666667</v>
      </c>
      <c r="BQ1631" s="449"/>
      <c r="BR1631" s="449"/>
      <c r="BS1631" s="449"/>
      <c r="BT1631" s="449"/>
      <c r="BU1631" s="449"/>
      <c r="BV1631" s="449"/>
      <c r="BW1631" s="449"/>
      <c r="BX1631" s="147">
        <v>40.18</v>
      </c>
      <c r="BY1631" s="147">
        <v>40.26</v>
      </c>
      <c r="CO1631" s="460">
        <f t="shared" si="1153"/>
        <v>-40.18</v>
      </c>
      <c r="CP1631" s="460">
        <f t="shared" si="1154"/>
        <v>-40.26</v>
      </c>
    </row>
    <row r="1632" spans="1:94" ht="14.1" hidden="1" customHeight="1" x14ac:dyDescent="0.3">
      <c r="A1632" s="281" t="s">
        <v>3452</v>
      </c>
      <c r="B1632" s="130">
        <v>46240</v>
      </c>
      <c r="C1632" s="281">
        <v>1597</v>
      </c>
      <c r="D1632" s="281" t="s">
        <v>3472</v>
      </c>
      <c r="E1632" s="129">
        <v>46242</v>
      </c>
      <c r="F1632" s="281" t="s">
        <v>95</v>
      </c>
      <c r="G1632" s="281" t="s">
        <v>96</v>
      </c>
      <c r="H1632" s="281" t="s">
        <v>97</v>
      </c>
      <c r="I1632" s="466"/>
      <c r="J1632" s="281" t="s">
        <v>1146</v>
      </c>
      <c r="K1632" s="466"/>
      <c r="L1632" s="465">
        <v>46240</v>
      </c>
      <c r="M1632" s="466"/>
      <c r="N1632" s="281">
        <v>244</v>
      </c>
      <c r="O1632" s="129">
        <v>46242</v>
      </c>
      <c r="P1632" s="281">
        <v>0</v>
      </c>
      <c r="Q1632" s="281">
        <v>30</v>
      </c>
      <c r="R1632" s="281">
        <v>110</v>
      </c>
      <c r="S1632" s="281">
        <v>140</v>
      </c>
      <c r="T1632" s="281">
        <v>140</v>
      </c>
      <c r="U1632" s="466"/>
      <c r="V1632" s="466"/>
      <c r="W1632" s="147">
        <v>83.3</v>
      </c>
      <c r="X1632" s="147">
        <v>83.1</v>
      </c>
      <c r="Y1632" s="147">
        <v>695555</v>
      </c>
      <c r="Z1632" s="147"/>
      <c r="AA1632" s="147">
        <v>17388.88</v>
      </c>
      <c r="AB1632" s="147">
        <v>17388.88</v>
      </c>
      <c r="AC1632" s="147">
        <v>730332.75</v>
      </c>
      <c r="AD1632" s="321">
        <f t="shared" si="1098"/>
        <v>729602.41725000006</v>
      </c>
      <c r="AE1632" s="147">
        <v>39.65</v>
      </c>
      <c r="AF1632" s="147">
        <v>42</v>
      </c>
      <c r="AG1632" s="147">
        <v>39.53</v>
      </c>
      <c r="AH1632" s="287">
        <v>2.3999999999999998E-3</v>
      </c>
      <c r="AI1632" s="287">
        <v>3.4500000000000003E-2</v>
      </c>
      <c r="AJ1632" s="287">
        <v>0.06</v>
      </c>
      <c r="AK1632" s="318">
        <f t="shared" si="1145"/>
        <v>40905.258333333317</v>
      </c>
      <c r="AL1632" s="467">
        <v>0</v>
      </c>
      <c r="AM1632" s="321">
        <v>0</v>
      </c>
      <c r="AN1632" s="321">
        <v>0</v>
      </c>
      <c r="AO1632" s="318">
        <f t="shared" si="1146"/>
        <v>0</v>
      </c>
      <c r="AP1632" s="467">
        <v>0</v>
      </c>
      <c r="AQ1632" s="318">
        <v>0</v>
      </c>
      <c r="AR1632" s="318">
        <f t="shared" si="1147"/>
        <v>40905.258333333317</v>
      </c>
      <c r="AS1632" s="318">
        <f t="shared" si="1148"/>
        <v>42951</v>
      </c>
      <c r="AT1632" s="321">
        <v>0</v>
      </c>
      <c r="AU1632" s="464"/>
      <c r="AV1632" s="449"/>
      <c r="AW1632" s="318">
        <f t="shared" si="1130"/>
        <v>8330</v>
      </c>
      <c r="AX1632" s="467"/>
      <c r="AY1632" s="318">
        <f t="shared" si="1131"/>
        <v>8330</v>
      </c>
      <c r="AZ1632" s="318">
        <f t="shared" si="1132"/>
        <v>8310</v>
      </c>
      <c r="BA1632" s="318">
        <f t="shared" si="1133"/>
        <v>20</v>
      </c>
      <c r="BB1632" s="318">
        <f t="shared" si="1134"/>
        <v>16.66</v>
      </c>
      <c r="BC1632" s="318">
        <v>0</v>
      </c>
      <c r="BD1632" s="467"/>
      <c r="BE1632" s="147">
        <v>83.3</v>
      </c>
      <c r="BF1632" s="321">
        <f t="shared" si="1135"/>
        <v>0.12494999999999999</v>
      </c>
      <c r="BG1632" s="321">
        <f t="shared" si="1136"/>
        <v>83.175049999999999</v>
      </c>
      <c r="BH1632" s="321">
        <f t="shared" si="1137"/>
        <v>83.1</v>
      </c>
      <c r="BI1632" s="322">
        <f t="shared" si="1138"/>
        <v>20.000000000000284</v>
      </c>
      <c r="BJ1632" s="322">
        <v>0</v>
      </c>
      <c r="BK1632" s="318">
        <f t="shared" si="1139"/>
        <v>20.000000000000284</v>
      </c>
      <c r="BL1632" s="449"/>
      <c r="BM1632" s="449" t="str">
        <f t="shared" si="1140"/>
        <v>Unloading no. 1597 Bill No 244 ,Deduction For Oil Deduction= 40905.2583333333 ,Bardana= 0 ,F.M= 0 Brokerage/Rate Difference 0 ,Shortage = 0 ,Greenish= 0 ,Moisture= 0</v>
      </c>
      <c r="BN1632" s="449"/>
      <c r="BO1632" s="449" t="str">
        <f t="shared" si="1141"/>
        <v xml:space="preserve"> Party Condition 42  ,F.M% 0.24 ,Greenish 3.45 ,Moisture 6 ,Shortage in KG= 0  ,Oil% 39.53</v>
      </c>
      <c r="BP1632" s="464">
        <f t="shared" si="1142"/>
        <v>7877.8548937023679</v>
      </c>
      <c r="BQ1632" s="449"/>
      <c r="BR1632" s="449"/>
      <c r="BS1632" s="449"/>
      <c r="BT1632" s="449"/>
      <c r="BU1632" s="449"/>
      <c r="BV1632" s="449"/>
      <c r="BW1632" s="449"/>
      <c r="BX1632" s="147">
        <v>39.65</v>
      </c>
      <c r="BY1632" s="147">
        <v>39.53</v>
      </c>
      <c r="CO1632" s="460">
        <f t="shared" si="1153"/>
        <v>-39.65</v>
      </c>
      <c r="CP1632" s="460">
        <f t="shared" si="1154"/>
        <v>-39.53</v>
      </c>
    </row>
    <row r="1633" spans="1:94" ht="14.1" hidden="1" customHeight="1" x14ac:dyDescent="0.3">
      <c r="A1633" s="281" t="s">
        <v>3451</v>
      </c>
      <c r="B1633" s="130">
        <v>46240</v>
      </c>
      <c r="C1633" s="281">
        <v>1598</v>
      </c>
      <c r="D1633" s="128" t="s">
        <v>3478</v>
      </c>
      <c r="E1633" s="130">
        <v>46243</v>
      </c>
      <c r="F1633" s="128" t="s">
        <v>3299</v>
      </c>
      <c r="G1633" s="128" t="s">
        <v>2630</v>
      </c>
      <c r="H1633" s="128" t="s">
        <v>1508</v>
      </c>
      <c r="I1633" s="136"/>
      <c r="J1633" s="281" t="s">
        <v>1146</v>
      </c>
      <c r="K1633" s="136"/>
      <c r="L1633" s="146">
        <v>46240</v>
      </c>
      <c r="M1633" s="136"/>
      <c r="N1633" s="281">
        <v>210</v>
      </c>
      <c r="O1633" s="130">
        <v>46242</v>
      </c>
      <c r="P1633" s="138">
        <v>0</v>
      </c>
      <c r="Q1633" s="138">
        <v>474</v>
      </c>
      <c r="R1633" s="138">
        <v>200</v>
      </c>
      <c r="S1633" s="138">
        <v>674</v>
      </c>
      <c r="T1633" s="138">
        <v>674</v>
      </c>
      <c r="U1633" s="136"/>
      <c r="V1633" s="136"/>
      <c r="W1633" s="147">
        <v>408.7</v>
      </c>
      <c r="X1633" s="147">
        <v>409.1</v>
      </c>
      <c r="Y1633" s="147">
        <f>3404471-32696</f>
        <v>3371775</v>
      </c>
      <c r="Z1633" s="147">
        <v>39.64</v>
      </c>
      <c r="AA1633" s="147">
        <v>85111.78</v>
      </c>
      <c r="AB1633" s="147">
        <v>85111.78</v>
      </c>
      <c r="AC1633" s="147">
        <v>3574694.55</v>
      </c>
      <c r="AD1633" s="321">
        <f t="shared" si="1098"/>
        <v>3571119.8554499997</v>
      </c>
      <c r="AE1633" s="147">
        <v>39.64</v>
      </c>
      <c r="AF1633" s="147">
        <v>42</v>
      </c>
      <c r="AG1633" s="147">
        <v>39.64</v>
      </c>
      <c r="AH1633" s="287">
        <v>7.4999999999999997E-3</v>
      </c>
      <c r="AI1633" s="287">
        <v>7.0999999999999994E-2</v>
      </c>
      <c r="AJ1633" s="287">
        <v>5.8999999999999997E-2</v>
      </c>
      <c r="AK1633" s="318">
        <f t="shared" ref="AK1633:AK1649" si="1155">+IF(AF1633=42,IF(MIN(AE1633,AG1633)&lt;AF1633,Y1633*((AF1633-MIN(AE1633,AG1633))/AF1633)),IF(MIN(AE1633,AG1633)&lt;AF1633,Y1633*((AF1633-MIN(AE1633,AG1633))/AF1633),0))</f>
        <v>189461.64285714281</v>
      </c>
      <c r="AL1633" s="467">
        <v>0</v>
      </c>
      <c r="AM1633" s="321">
        <v>0</v>
      </c>
      <c r="AN1633" s="321">
        <v>0</v>
      </c>
      <c r="AO1633" s="318">
        <f t="shared" ref="AO1633:AO1649" si="1156">AT1633*Y1633/AW1633</f>
        <v>0</v>
      </c>
      <c r="AP1633" s="467">
        <v>0</v>
      </c>
      <c r="AQ1633" s="318">
        <v>0</v>
      </c>
      <c r="AR1633" s="318">
        <f t="shared" ref="AR1633:AR1649" si="1157">SUM(AK1633:AQ1633)</f>
        <v>189461.64285714281</v>
      </c>
      <c r="AS1633" s="318">
        <f t="shared" ref="AS1633:AS1649" si="1158">ROUND(AR1633*1.05,0)</f>
        <v>198935</v>
      </c>
      <c r="AT1633" s="321">
        <v>0</v>
      </c>
      <c r="AU1633" s="464"/>
      <c r="AV1633" s="449"/>
      <c r="AW1633" s="318">
        <f t="shared" ref="AW1633:AW1649" si="1159">W1633*100</f>
        <v>40870</v>
      </c>
      <c r="AX1633" s="467"/>
      <c r="AY1633" s="318">
        <f t="shared" ref="AY1633:AY1649" si="1160">+AW1633+AX1633</f>
        <v>40870</v>
      </c>
      <c r="AZ1633" s="318">
        <f t="shared" ref="AZ1633:AZ1649" si="1161">X1633*100</f>
        <v>40910</v>
      </c>
      <c r="BA1633" s="318">
        <f t="shared" ref="BA1633:BA1649" si="1162">AY1633-AZ1633</f>
        <v>-40</v>
      </c>
      <c r="BB1633" s="318">
        <f t="shared" ref="BB1633:BB1649" si="1163">AW1633*2/1000</f>
        <v>81.739999999999995</v>
      </c>
      <c r="BC1633" s="318">
        <v>0</v>
      </c>
      <c r="BD1633" s="467"/>
      <c r="BE1633" s="138">
        <v>408.7</v>
      </c>
      <c r="BF1633" s="321">
        <f t="shared" ref="BF1633:BF1648" si="1164">+BE1633*0.15/100</f>
        <v>0.61304999999999987</v>
      </c>
      <c r="BG1633" s="321">
        <f t="shared" ref="BG1633:BG1648" si="1165">BE1633-BF1633</f>
        <v>408.08695</v>
      </c>
      <c r="BH1633" s="321">
        <f t="shared" ref="BH1633:BH1648" si="1166">X1633</f>
        <v>409.1</v>
      </c>
      <c r="BI1633" s="322">
        <f t="shared" ref="BI1633:BI1648" si="1167">(BE1633-BH1633)*100</f>
        <v>-40.000000000003411</v>
      </c>
      <c r="BJ1633" s="322">
        <v>0</v>
      </c>
      <c r="BK1633" s="318">
        <f t="shared" ref="BK1633:BK1648" si="1168">BI1633</f>
        <v>-40.000000000003411</v>
      </c>
      <c r="BL1633" s="449"/>
      <c r="BM1633" s="449" t="str">
        <f t="shared" ref="BM1633:BM1648" si="1169">+$C$1&amp;" "&amp;C1633 &amp;" "&amp;$N$1&amp;" "&amp;N1633&amp;" "&amp;$BM$1&amp;" "&amp;$AK$1&amp;" "&amp;AK1633&amp;" "&amp;$AL$1&amp;" "&amp;AL1633&amp;" "&amp;$AM$1&amp;" "&amp;AM1633&amp;" "&amp;$AN$1&amp;" "&amp;AN1633&amp;" "&amp;$AO$1&amp;" "&amp;AO1633&amp;" "&amp;$AP$1&amp;" "&amp;AP1633&amp;" "&amp;$AQ$1&amp;" "&amp;AQ1633</f>
        <v>Unloading no. 1598 Bill No 210 ,Deduction For Oil Deduction= 189461.642857143 ,Bardana= 0 ,F.M= 0 Brokerage/Rate Difference 0 ,Shortage = 0 ,Greenish= 0 ,Moisture= 0</v>
      </c>
      <c r="BN1633" s="449"/>
      <c r="BO1633" s="449" t="str">
        <f t="shared" ref="BO1633:BO1648" si="1170">+" "&amp;$AF$1&amp;" "&amp;AF1633&amp;" "&amp;" "&amp;$AH$1&amp;" "&amp;AH1633*100&amp;" "&amp;$AI$1&amp;" "&amp;AI1633*100&amp;" "&amp;$AJ$1&amp;" "&amp;AJ1633*100&amp;" ,"&amp;$AT$1&amp;" "&amp;AT1633&amp;" "&amp;IF(AE1633&gt;AG1633," ,Oil%"&amp;" "&amp;AG1633," ,Oil%"&amp;" "&amp;AE1633)</f>
        <v xml:space="preserve"> Party Condition 42  ,F.M% 0.75 ,Greenish 7.1 ,Moisture 5.9 ,Shortage in KG= 0  ,Oil% 39.64</v>
      </c>
      <c r="BP1633" s="464">
        <f t="shared" ref="BP1633:BP1648" si="1171">(Y1633-AR1633)/X1633</f>
        <v>7778.815343786011</v>
      </c>
      <c r="BQ1633" s="449"/>
      <c r="BR1633" s="449"/>
      <c r="BS1633" s="449"/>
      <c r="BT1633" s="449"/>
      <c r="BU1633" s="449"/>
      <c r="BV1633" s="449"/>
      <c r="BW1633" s="449"/>
      <c r="BX1633" s="138">
        <v>39.700000000000003</v>
      </c>
      <c r="BY1633" s="138">
        <v>39.67</v>
      </c>
      <c r="CO1633" s="460">
        <f t="shared" ref="CO1633:CO1649" si="1172">Z1633-BX1633</f>
        <v>-6.0000000000002274E-2</v>
      </c>
      <c r="CP1633" s="460">
        <f t="shared" ref="CP1633:CP1649" si="1173">Z1633-BY1633</f>
        <v>-3.0000000000001137E-2</v>
      </c>
    </row>
    <row r="1634" spans="1:94" ht="14.1" hidden="1" customHeight="1" x14ac:dyDescent="0.3">
      <c r="A1634" s="281" t="s">
        <v>3451</v>
      </c>
      <c r="B1634" s="130">
        <v>46240</v>
      </c>
      <c r="C1634" s="281">
        <v>1599</v>
      </c>
      <c r="D1634" s="128" t="s">
        <v>3479</v>
      </c>
      <c r="E1634" s="130">
        <v>46243</v>
      </c>
      <c r="F1634" s="128" t="s">
        <v>3299</v>
      </c>
      <c r="G1634" s="128" t="s">
        <v>2630</v>
      </c>
      <c r="H1634" s="128" t="s">
        <v>1508</v>
      </c>
      <c r="I1634" s="136"/>
      <c r="J1634" s="281" t="s">
        <v>1146</v>
      </c>
      <c r="K1634" s="136"/>
      <c r="L1634" s="146">
        <v>46240</v>
      </c>
      <c r="M1634" s="136"/>
      <c r="N1634" s="281">
        <v>211</v>
      </c>
      <c r="O1634" s="130">
        <v>46242</v>
      </c>
      <c r="P1634" s="138">
        <v>0</v>
      </c>
      <c r="Q1634" s="138">
        <v>580</v>
      </c>
      <c r="R1634" s="138">
        <v>20</v>
      </c>
      <c r="S1634" s="138">
        <v>600</v>
      </c>
      <c r="T1634" s="138">
        <v>600</v>
      </c>
      <c r="U1634" s="136"/>
      <c r="V1634" s="136"/>
      <c r="W1634" s="147">
        <v>303</v>
      </c>
      <c r="X1634" s="147">
        <v>302.89999999999998</v>
      </c>
      <c r="Y1634" s="147">
        <f>2523990-24240</f>
        <v>2499750</v>
      </c>
      <c r="Z1634" s="147">
        <v>38.64</v>
      </c>
      <c r="AA1634" s="147">
        <v>63099.75</v>
      </c>
      <c r="AB1634" s="147">
        <v>63099.75</v>
      </c>
      <c r="AC1634" s="147">
        <v>2650189.5</v>
      </c>
      <c r="AD1634" s="321">
        <f t="shared" si="1098"/>
        <v>2647539.3105000001</v>
      </c>
      <c r="AE1634" s="147">
        <v>38.64</v>
      </c>
      <c r="AF1634" s="147">
        <v>42</v>
      </c>
      <c r="AG1634" s="147">
        <v>38.64</v>
      </c>
      <c r="AH1634" s="287">
        <v>6.1999999999999998E-3</v>
      </c>
      <c r="AI1634" s="287">
        <v>0.05</v>
      </c>
      <c r="AJ1634" s="287">
        <v>5.8000000000000003E-2</v>
      </c>
      <c r="AK1634" s="318">
        <f t="shared" si="1155"/>
        <v>199979.99999999997</v>
      </c>
      <c r="AL1634" s="467">
        <v>0</v>
      </c>
      <c r="AM1634" s="321">
        <v>0</v>
      </c>
      <c r="AN1634" s="321">
        <v>0</v>
      </c>
      <c r="AO1634" s="318">
        <f t="shared" si="1156"/>
        <v>0</v>
      </c>
      <c r="AP1634" s="467">
        <v>0</v>
      </c>
      <c r="AQ1634" s="318">
        <v>0</v>
      </c>
      <c r="AR1634" s="318">
        <f t="shared" si="1157"/>
        <v>199979.99999999997</v>
      </c>
      <c r="AS1634" s="318">
        <f t="shared" si="1158"/>
        <v>209979</v>
      </c>
      <c r="AT1634" s="321">
        <v>0</v>
      </c>
      <c r="AU1634" s="464"/>
      <c r="AV1634" s="449"/>
      <c r="AW1634" s="318">
        <f t="shared" si="1159"/>
        <v>30300</v>
      </c>
      <c r="AX1634" s="467"/>
      <c r="AY1634" s="318">
        <f t="shared" si="1160"/>
        <v>30300</v>
      </c>
      <c r="AZ1634" s="318">
        <f t="shared" si="1161"/>
        <v>30289.999999999996</v>
      </c>
      <c r="BA1634" s="318">
        <f t="shared" si="1162"/>
        <v>10.000000000003638</v>
      </c>
      <c r="BB1634" s="318">
        <f t="shared" si="1163"/>
        <v>60.6</v>
      </c>
      <c r="BC1634" s="318">
        <v>0</v>
      </c>
      <c r="BD1634" s="467"/>
      <c r="BE1634" s="138">
        <v>303</v>
      </c>
      <c r="BF1634" s="321">
        <f t="shared" si="1164"/>
        <v>0.45449999999999996</v>
      </c>
      <c r="BG1634" s="321">
        <f t="shared" si="1165"/>
        <v>302.5455</v>
      </c>
      <c r="BH1634" s="321">
        <f t="shared" si="1166"/>
        <v>302.89999999999998</v>
      </c>
      <c r="BI1634" s="322">
        <f t="shared" si="1167"/>
        <v>10.000000000002274</v>
      </c>
      <c r="BJ1634" s="322">
        <v>0</v>
      </c>
      <c r="BK1634" s="318">
        <f t="shared" si="1168"/>
        <v>10.000000000002274</v>
      </c>
      <c r="BL1634" s="449"/>
      <c r="BM1634" s="449" t="str">
        <f t="shared" si="1169"/>
        <v>Unloading no. 1599 Bill No 211 ,Deduction For Oil Deduction= 199980 ,Bardana= 0 ,F.M= 0 Brokerage/Rate Difference 0 ,Shortage = 0 ,Greenish= 0 ,Moisture= 0</v>
      </c>
      <c r="BN1634" s="449"/>
      <c r="BO1634" s="449" t="str">
        <f t="shared" si="1170"/>
        <v xml:space="preserve"> Party Condition 42  ,F.M% 0.62 ,Greenish 5 ,Moisture 5.8 ,Shortage in KG= 0  ,Oil% 38.64</v>
      </c>
      <c r="BP1634" s="464">
        <f t="shared" si="1171"/>
        <v>7592.505777484319</v>
      </c>
      <c r="BQ1634" s="449"/>
      <c r="BR1634" s="449"/>
      <c r="BS1634" s="449"/>
      <c r="BT1634" s="449"/>
      <c r="BU1634" s="449"/>
      <c r="BV1634" s="449"/>
      <c r="BW1634" s="449"/>
      <c r="BX1634" s="138">
        <v>38.619999999999997</v>
      </c>
      <c r="BY1634" s="138">
        <v>38.67</v>
      </c>
      <c r="CO1634" s="460">
        <f t="shared" si="1172"/>
        <v>2.0000000000003126E-2</v>
      </c>
      <c r="CP1634" s="460">
        <f t="shared" si="1173"/>
        <v>-3.0000000000001137E-2</v>
      </c>
    </row>
    <row r="1635" spans="1:94" ht="14.1" hidden="1" customHeight="1" x14ac:dyDescent="0.3">
      <c r="A1635" s="128" t="s">
        <v>3451</v>
      </c>
      <c r="B1635" s="129">
        <v>46240</v>
      </c>
      <c r="C1635" s="281">
        <v>1600</v>
      </c>
      <c r="D1635" s="128" t="s">
        <v>3480</v>
      </c>
      <c r="E1635" s="130">
        <v>46244</v>
      </c>
      <c r="F1635" s="281" t="s">
        <v>3299</v>
      </c>
      <c r="G1635" s="128" t="s">
        <v>2630</v>
      </c>
      <c r="H1635" s="128" t="s">
        <v>1508</v>
      </c>
      <c r="I1635" s="136"/>
      <c r="J1635" s="281" t="s">
        <v>1146</v>
      </c>
      <c r="K1635" s="136"/>
      <c r="L1635" s="146">
        <v>46240</v>
      </c>
      <c r="M1635" s="136"/>
      <c r="N1635" s="281">
        <v>212</v>
      </c>
      <c r="O1635" s="130">
        <v>46243</v>
      </c>
      <c r="P1635" s="138">
        <v>0</v>
      </c>
      <c r="Q1635" s="138">
        <v>281</v>
      </c>
      <c r="R1635" s="138">
        <v>300</v>
      </c>
      <c r="S1635" s="138">
        <v>581</v>
      </c>
      <c r="T1635" s="138">
        <v>581</v>
      </c>
      <c r="U1635" s="136"/>
      <c r="V1635" s="136"/>
      <c r="W1635" s="147">
        <v>347.1</v>
      </c>
      <c r="X1635" s="147">
        <v>348</v>
      </c>
      <c r="Y1635" s="196">
        <f>2891343-27768</f>
        <v>2863575</v>
      </c>
      <c r="Z1635" s="236">
        <v>36.9</v>
      </c>
      <c r="AA1635" s="147">
        <v>72283.58</v>
      </c>
      <c r="AB1635" s="147">
        <v>72283.58</v>
      </c>
      <c r="AC1635" s="147">
        <v>3035910.15</v>
      </c>
      <c r="AD1635" s="321">
        <f t="shared" si="1098"/>
        <v>3032874.23985</v>
      </c>
      <c r="AE1635" s="236">
        <v>36.9</v>
      </c>
      <c r="AF1635" s="147">
        <v>42</v>
      </c>
      <c r="AG1635" s="236">
        <v>36.9</v>
      </c>
      <c r="AH1635" s="287">
        <v>6.0000000000000001E-3</v>
      </c>
      <c r="AI1635" s="287">
        <v>0.04</v>
      </c>
      <c r="AJ1635" s="287">
        <v>5.8999999999999997E-2</v>
      </c>
      <c r="AK1635" s="318">
        <f t="shared" si="1155"/>
        <v>347719.82142857154</v>
      </c>
      <c r="AL1635" s="467">
        <v>0</v>
      </c>
      <c r="AM1635" s="321">
        <v>0</v>
      </c>
      <c r="AN1635" s="321">
        <v>0</v>
      </c>
      <c r="AO1635" s="318">
        <f t="shared" si="1156"/>
        <v>0</v>
      </c>
      <c r="AP1635" s="467">
        <v>0</v>
      </c>
      <c r="AQ1635" s="318">
        <v>0</v>
      </c>
      <c r="AR1635" s="318">
        <f t="shared" si="1157"/>
        <v>347719.82142857154</v>
      </c>
      <c r="AS1635" s="318">
        <f t="shared" si="1158"/>
        <v>365106</v>
      </c>
      <c r="AT1635" s="321">
        <v>0</v>
      </c>
      <c r="AU1635" s="464"/>
      <c r="AV1635" s="449"/>
      <c r="AW1635" s="318">
        <f t="shared" si="1159"/>
        <v>34710</v>
      </c>
      <c r="AX1635" s="467"/>
      <c r="AY1635" s="318">
        <f t="shared" si="1160"/>
        <v>34710</v>
      </c>
      <c r="AZ1635" s="318">
        <f t="shared" si="1161"/>
        <v>34800</v>
      </c>
      <c r="BA1635" s="318">
        <f t="shared" si="1162"/>
        <v>-90</v>
      </c>
      <c r="BB1635" s="318">
        <f t="shared" si="1163"/>
        <v>69.42</v>
      </c>
      <c r="BC1635" s="318">
        <v>0</v>
      </c>
      <c r="BD1635" s="467"/>
      <c r="BE1635" s="138">
        <v>347.1</v>
      </c>
      <c r="BF1635" s="321">
        <f t="shared" si="1164"/>
        <v>0.52065000000000006</v>
      </c>
      <c r="BG1635" s="321">
        <f t="shared" si="1165"/>
        <v>346.57935000000003</v>
      </c>
      <c r="BH1635" s="321">
        <f t="shared" si="1166"/>
        <v>348</v>
      </c>
      <c r="BI1635" s="322">
        <f t="shared" si="1167"/>
        <v>-89.999999999997726</v>
      </c>
      <c r="BJ1635" s="322">
        <v>0</v>
      </c>
      <c r="BK1635" s="318">
        <f t="shared" si="1168"/>
        <v>-89.999999999997726</v>
      </c>
      <c r="BL1635" s="449"/>
      <c r="BM1635" s="449" t="str">
        <f t="shared" si="1169"/>
        <v>Unloading no. 1600 Bill No 212 ,Deduction For Oil Deduction= 347719.821428572 ,Bardana= 0 ,F.M= 0 Brokerage/Rate Difference 0 ,Shortage = 0 ,Greenish= 0 ,Moisture= 0</v>
      </c>
      <c r="BN1635" s="449"/>
      <c r="BO1635" s="449" t="str">
        <f t="shared" si="1170"/>
        <v xml:space="preserve"> Party Condition 42  ,F.M% 0.6 ,Greenish 4 ,Moisture 5.9 ,Shortage in KG= 0  ,Oil% 36.9</v>
      </c>
      <c r="BP1635" s="464">
        <f t="shared" si="1171"/>
        <v>7229.4689039408868</v>
      </c>
      <c r="BQ1635" s="449"/>
      <c r="BR1635" s="449"/>
      <c r="BS1635" s="449"/>
      <c r="BT1635" s="449"/>
      <c r="BU1635" s="449"/>
      <c r="BV1635" s="449"/>
      <c r="BW1635" s="449"/>
      <c r="BX1635" s="147">
        <v>36.5</v>
      </c>
      <c r="BY1635" s="147">
        <v>36.6</v>
      </c>
      <c r="CO1635" s="460">
        <f t="shared" si="1172"/>
        <v>0.39999999999999858</v>
      </c>
      <c r="CP1635" s="460">
        <f t="shared" si="1173"/>
        <v>0.29999999999999716</v>
      </c>
    </row>
    <row r="1636" spans="1:94" ht="14.1" hidden="1" customHeight="1" x14ac:dyDescent="0.3">
      <c r="A1636" s="128" t="s">
        <v>3473</v>
      </c>
      <c r="B1636" s="129">
        <v>46242</v>
      </c>
      <c r="C1636" s="281">
        <v>1601</v>
      </c>
      <c r="D1636" s="128" t="s">
        <v>3481</v>
      </c>
      <c r="E1636" s="130">
        <v>46244</v>
      </c>
      <c r="F1636" s="281" t="s">
        <v>95</v>
      </c>
      <c r="G1636" s="128" t="s">
        <v>96</v>
      </c>
      <c r="H1636" s="128" t="s">
        <v>97</v>
      </c>
      <c r="I1636" s="136"/>
      <c r="J1636" s="281" t="s">
        <v>2499</v>
      </c>
      <c r="K1636" s="136"/>
      <c r="L1636" s="146">
        <v>46242</v>
      </c>
      <c r="M1636" s="136"/>
      <c r="N1636" s="281">
        <v>245</v>
      </c>
      <c r="O1636" s="130">
        <v>46243</v>
      </c>
      <c r="P1636" s="138">
        <v>0</v>
      </c>
      <c r="Q1636" s="138">
        <v>207</v>
      </c>
      <c r="R1636" s="138">
        <v>200</v>
      </c>
      <c r="S1636" s="138">
        <v>407</v>
      </c>
      <c r="T1636" s="138">
        <v>407</v>
      </c>
      <c r="U1636" s="136"/>
      <c r="V1636" s="136"/>
      <c r="W1636" s="147">
        <v>246.6</v>
      </c>
      <c r="X1636" s="147">
        <v>246.4</v>
      </c>
      <c r="Y1636" s="147">
        <v>2083770</v>
      </c>
      <c r="Z1636" s="169"/>
      <c r="AA1636" s="147">
        <v>52094.25</v>
      </c>
      <c r="AB1636" s="147">
        <v>52094.25</v>
      </c>
      <c r="AC1636" s="147">
        <v>2187958.5</v>
      </c>
      <c r="AD1636" s="321">
        <f t="shared" si="1098"/>
        <v>2185770.5414999998</v>
      </c>
      <c r="AE1636" s="147">
        <v>40.69</v>
      </c>
      <c r="AF1636" s="147">
        <v>42</v>
      </c>
      <c r="AG1636" s="147">
        <v>40.46</v>
      </c>
      <c r="AH1636" s="287">
        <v>2.5000000000000001E-3</v>
      </c>
      <c r="AI1636" s="287">
        <v>3.5000000000000003E-2</v>
      </c>
      <c r="AJ1636" s="287">
        <v>5.8999999999999997E-2</v>
      </c>
      <c r="AK1636" s="318">
        <f t="shared" si="1155"/>
        <v>76404.899999999951</v>
      </c>
      <c r="AL1636" s="467">
        <v>0</v>
      </c>
      <c r="AM1636" s="321">
        <v>0</v>
      </c>
      <c r="AN1636" s="321">
        <v>0</v>
      </c>
      <c r="AO1636" s="318">
        <f t="shared" si="1156"/>
        <v>0</v>
      </c>
      <c r="AP1636" s="467">
        <v>0</v>
      </c>
      <c r="AQ1636" s="318">
        <v>0</v>
      </c>
      <c r="AR1636" s="318">
        <f t="shared" si="1157"/>
        <v>76404.899999999951</v>
      </c>
      <c r="AS1636" s="318">
        <f t="shared" si="1158"/>
        <v>80225</v>
      </c>
      <c r="AT1636" s="321">
        <v>0</v>
      </c>
      <c r="AU1636" s="464"/>
      <c r="AV1636" s="449"/>
      <c r="AW1636" s="318">
        <f t="shared" si="1159"/>
        <v>24660</v>
      </c>
      <c r="AX1636" s="467"/>
      <c r="AY1636" s="318">
        <f t="shared" si="1160"/>
        <v>24660</v>
      </c>
      <c r="AZ1636" s="318">
        <f t="shared" si="1161"/>
        <v>24640</v>
      </c>
      <c r="BA1636" s="318">
        <f t="shared" si="1162"/>
        <v>20</v>
      </c>
      <c r="BB1636" s="318">
        <f t="shared" si="1163"/>
        <v>49.32</v>
      </c>
      <c r="BC1636" s="318">
        <v>0</v>
      </c>
      <c r="BD1636" s="467"/>
      <c r="BE1636" s="138">
        <v>246.6</v>
      </c>
      <c r="BF1636" s="321">
        <f t="shared" si="1164"/>
        <v>0.36989999999999995</v>
      </c>
      <c r="BG1636" s="321">
        <f t="shared" si="1165"/>
        <v>246.23009999999999</v>
      </c>
      <c r="BH1636" s="321">
        <f t="shared" si="1166"/>
        <v>246.4</v>
      </c>
      <c r="BI1636" s="322">
        <f t="shared" si="1167"/>
        <v>19.999999999998863</v>
      </c>
      <c r="BJ1636" s="322">
        <v>0</v>
      </c>
      <c r="BK1636" s="318">
        <f t="shared" si="1168"/>
        <v>19.999999999998863</v>
      </c>
      <c r="BL1636" s="449"/>
      <c r="BM1636" s="449" t="str">
        <f t="shared" si="1169"/>
        <v>Unloading no. 1601 Bill No 245 ,Deduction For Oil Deduction= 76404.9 ,Bardana= 0 ,F.M= 0 Brokerage/Rate Difference 0 ,Shortage = 0 ,Greenish= 0 ,Moisture= 0</v>
      </c>
      <c r="BN1636" s="449"/>
      <c r="BO1636" s="449" t="str">
        <f t="shared" si="1170"/>
        <v xml:space="preserve"> Party Condition 42  ,F.M% 0.25 ,Greenish 3.5 ,Moisture 5.9 ,Shortage in KG= 0  ,Oil% 40.46</v>
      </c>
      <c r="BP1636" s="464">
        <f t="shared" si="1171"/>
        <v>8146.7739448051952</v>
      </c>
      <c r="BQ1636" s="449"/>
      <c r="BR1636" s="449"/>
      <c r="BS1636" s="449"/>
      <c r="BT1636" s="449"/>
      <c r="BU1636" s="449"/>
      <c r="BV1636" s="449"/>
      <c r="BW1636" s="449"/>
      <c r="BX1636" s="147">
        <v>40.69</v>
      </c>
      <c r="BY1636" s="147">
        <v>40.46</v>
      </c>
      <c r="CO1636" s="460">
        <f t="shared" si="1172"/>
        <v>-40.69</v>
      </c>
      <c r="CP1636" s="460">
        <f t="shared" si="1173"/>
        <v>-40.46</v>
      </c>
    </row>
    <row r="1637" spans="1:94" ht="14.1" hidden="1" customHeight="1" x14ac:dyDescent="0.3">
      <c r="A1637" s="128" t="s">
        <v>3474</v>
      </c>
      <c r="B1637" s="129">
        <v>46242</v>
      </c>
      <c r="C1637" s="281">
        <v>1602</v>
      </c>
      <c r="D1637" s="128" t="s">
        <v>3482</v>
      </c>
      <c r="E1637" s="130">
        <v>46244</v>
      </c>
      <c r="F1637" s="281" t="s">
        <v>3299</v>
      </c>
      <c r="G1637" s="128" t="s">
        <v>2630</v>
      </c>
      <c r="H1637" s="128" t="s">
        <v>1508</v>
      </c>
      <c r="I1637" s="136"/>
      <c r="J1637" s="281" t="s">
        <v>2499</v>
      </c>
      <c r="K1637" s="136"/>
      <c r="L1637" s="146">
        <v>46242</v>
      </c>
      <c r="M1637" s="136"/>
      <c r="N1637" s="281">
        <v>215</v>
      </c>
      <c r="O1637" s="130">
        <v>46243</v>
      </c>
      <c r="P1637" s="138">
        <v>0</v>
      </c>
      <c r="Q1637" s="138">
        <v>425</v>
      </c>
      <c r="R1637" s="138">
        <v>0</v>
      </c>
      <c r="S1637" s="138">
        <v>425</v>
      </c>
      <c r="T1637" s="138">
        <v>425</v>
      </c>
      <c r="U1637" s="136"/>
      <c r="V1637" s="136"/>
      <c r="W1637" s="147">
        <v>250.6</v>
      </c>
      <c r="X1637" s="147">
        <v>250.7</v>
      </c>
      <c r="Y1637" s="196">
        <f>2100028-20048</f>
        <v>2079980</v>
      </c>
      <c r="Z1637" s="236">
        <v>38.96</v>
      </c>
      <c r="AA1637" s="147">
        <v>52500.7</v>
      </c>
      <c r="AB1637" s="147">
        <v>52500.7</v>
      </c>
      <c r="AC1637" s="147">
        <v>2205029.4</v>
      </c>
      <c r="AD1637" s="321">
        <f t="shared" si="1098"/>
        <v>2202824.3706</v>
      </c>
      <c r="AE1637" s="236">
        <v>38.96</v>
      </c>
      <c r="AF1637" s="147">
        <v>42</v>
      </c>
      <c r="AG1637" s="236">
        <v>38.96</v>
      </c>
      <c r="AH1637" s="287">
        <v>6.0000000000000001E-3</v>
      </c>
      <c r="AI1637" s="287">
        <v>6.4500000000000002E-2</v>
      </c>
      <c r="AJ1637" s="287">
        <v>5.5E-2</v>
      </c>
      <c r="AK1637" s="318">
        <f t="shared" si="1155"/>
        <v>150550.93333333329</v>
      </c>
      <c r="AL1637" s="467">
        <v>0</v>
      </c>
      <c r="AM1637" s="321">
        <v>0</v>
      </c>
      <c r="AN1637" s="321">
        <v>0</v>
      </c>
      <c r="AO1637" s="318">
        <f t="shared" si="1156"/>
        <v>0</v>
      </c>
      <c r="AP1637" s="467">
        <v>0</v>
      </c>
      <c r="AQ1637" s="318">
        <v>0</v>
      </c>
      <c r="AR1637" s="318">
        <f t="shared" si="1157"/>
        <v>150550.93333333329</v>
      </c>
      <c r="AS1637" s="318">
        <f t="shared" si="1158"/>
        <v>158078</v>
      </c>
      <c r="AT1637" s="321">
        <v>0</v>
      </c>
      <c r="AU1637" s="464"/>
      <c r="AV1637" s="449"/>
      <c r="AW1637" s="318">
        <f t="shared" si="1159"/>
        <v>25060</v>
      </c>
      <c r="AX1637" s="467"/>
      <c r="AY1637" s="318">
        <f t="shared" si="1160"/>
        <v>25060</v>
      </c>
      <c r="AZ1637" s="318">
        <f t="shared" si="1161"/>
        <v>25070</v>
      </c>
      <c r="BA1637" s="318">
        <f t="shared" si="1162"/>
        <v>-10</v>
      </c>
      <c r="BB1637" s="318">
        <f t="shared" si="1163"/>
        <v>50.12</v>
      </c>
      <c r="BC1637" s="318">
        <v>0</v>
      </c>
      <c r="BD1637" s="467"/>
      <c r="BE1637" s="138">
        <v>250.6</v>
      </c>
      <c r="BF1637" s="321">
        <f t="shared" si="1164"/>
        <v>0.37589999999999996</v>
      </c>
      <c r="BG1637" s="321">
        <f t="shared" si="1165"/>
        <v>250.22409999999999</v>
      </c>
      <c r="BH1637" s="321">
        <f t="shared" si="1166"/>
        <v>250.7</v>
      </c>
      <c r="BI1637" s="322">
        <f t="shared" si="1167"/>
        <v>-9.9999999999994316</v>
      </c>
      <c r="BJ1637" s="322">
        <v>0</v>
      </c>
      <c r="BK1637" s="318">
        <f t="shared" si="1168"/>
        <v>-9.9999999999994316</v>
      </c>
      <c r="BL1637" s="449"/>
      <c r="BM1637" s="449" t="str">
        <f t="shared" si="1169"/>
        <v>Unloading no. 1602 Bill No 215 ,Deduction For Oil Deduction= 150550.933333333 ,Bardana= 0 ,F.M= 0 Brokerage/Rate Difference 0 ,Shortage = 0 ,Greenish= 0 ,Moisture= 0</v>
      </c>
      <c r="BN1637" s="449"/>
      <c r="BO1637" s="449" t="str">
        <f t="shared" si="1170"/>
        <v xml:space="preserve"> Party Condition 42  ,F.M% 0.6 ,Greenish 6.45 ,Moisture 5.5 ,Shortage in KG= 0  ,Oil% 38.96</v>
      </c>
      <c r="BP1637" s="464">
        <f t="shared" si="1171"/>
        <v>7696.1669990692726</v>
      </c>
      <c r="BQ1637" s="449"/>
      <c r="BR1637" s="449"/>
      <c r="BS1637" s="449"/>
      <c r="BT1637" s="449"/>
      <c r="BU1637" s="449"/>
      <c r="BV1637" s="449"/>
      <c r="BW1637" s="449"/>
      <c r="BX1637" s="147">
        <v>39.659999999999997</v>
      </c>
      <c r="BY1637" s="147">
        <v>39.36</v>
      </c>
      <c r="CO1637" s="460">
        <f t="shared" si="1172"/>
        <v>-0.69999999999999574</v>
      </c>
      <c r="CP1637" s="460">
        <f t="shared" si="1173"/>
        <v>-0.39999999999999858</v>
      </c>
    </row>
    <row r="1638" spans="1:94" ht="14.1" hidden="1" customHeight="1" x14ac:dyDescent="0.3">
      <c r="A1638" s="128" t="s">
        <v>3474</v>
      </c>
      <c r="B1638" s="129">
        <v>46242</v>
      </c>
      <c r="C1638" s="281">
        <v>1603</v>
      </c>
      <c r="D1638" s="128" t="s">
        <v>3483</v>
      </c>
      <c r="E1638" s="130">
        <v>46244</v>
      </c>
      <c r="F1638" s="281" t="s">
        <v>3299</v>
      </c>
      <c r="G1638" s="128" t="s">
        <v>2630</v>
      </c>
      <c r="H1638" s="128" t="s">
        <v>1508</v>
      </c>
      <c r="I1638" s="136"/>
      <c r="J1638" s="281" t="s">
        <v>2499</v>
      </c>
      <c r="K1638" s="136"/>
      <c r="L1638" s="146">
        <v>46242</v>
      </c>
      <c r="M1638" s="136"/>
      <c r="N1638" s="281">
        <v>216</v>
      </c>
      <c r="O1638" s="130">
        <v>46243</v>
      </c>
      <c r="P1638" s="138">
        <v>0</v>
      </c>
      <c r="Q1638" s="138">
        <v>225</v>
      </c>
      <c r="R1638" s="138">
        <v>200</v>
      </c>
      <c r="S1638" s="138">
        <v>425</v>
      </c>
      <c r="T1638" s="138">
        <v>425</v>
      </c>
      <c r="U1638" s="136"/>
      <c r="V1638" s="136"/>
      <c r="W1638" s="147">
        <v>252.7</v>
      </c>
      <c r="X1638" s="147">
        <v>252.4</v>
      </c>
      <c r="Y1638" s="196">
        <f>2117626-20216</f>
        <v>2097410</v>
      </c>
      <c r="Z1638" s="236">
        <v>39.21</v>
      </c>
      <c r="AA1638" s="147">
        <v>52940.65</v>
      </c>
      <c r="AB1638" s="147">
        <v>52940.65</v>
      </c>
      <c r="AC1638" s="147">
        <v>2223507.2999999998</v>
      </c>
      <c r="AD1638" s="321">
        <f t="shared" si="1098"/>
        <v>2221283.7926999996</v>
      </c>
      <c r="AE1638" s="236">
        <v>39.21</v>
      </c>
      <c r="AF1638" s="147">
        <v>42</v>
      </c>
      <c r="AG1638" s="236">
        <v>39.21</v>
      </c>
      <c r="AH1638" s="287">
        <v>6.4999999999999997E-3</v>
      </c>
      <c r="AI1638" s="287">
        <v>0.05</v>
      </c>
      <c r="AJ1638" s="287">
        <v>5.8000000000000003E-2</v>
      </c>
      <c r="AK1638" s="318">
        <f t="shared" si="1155"/>
        <v>139327.94999999995</v>
      </c>
      <c r="AL1638" s="467">
        <v>0</v>
      </c>
      <c r="AM1638" s="321">
        <v>0</v>
      </c>
      <c r="AN1638" s="321">
        <v>0</v>
      </c>
      <c r="AO1638" s="318">
        <f t="shared" si="1156"/>
        <v>0</v>
      </c>
      <c r="AP1638" s="467">
        <v>0</v>
      </c>
      <c r="AQ1638" s="318">
        <v>0</v>
      </c>
      <c r="AR1638" s="318">
        <f t="shared" si="1157"/>
        <v>139327.94999999995</v>
      </c>
      <c r="AS1638" s="318">
        <f t="shared" si="1158"/>
        <v>146294</v>
      </c>
      <c r="AT1638" s="321">
        <v>0</v>
      </c>
      <c r="AU1638" s="464"/>
      <c r="AV1638" s="449"/>
      <c r="AW1638" s="318">
        <f t="shared" si="1159"/>
        <v>25270</v>
      </c>
      <c r="AX1638" s="467"/>
      <c r="AY1638" s="318">
        <f t="shared" si="1160"/>
        <v>25270</v>
      </c>
      <c r="AZ1638" s="318">
        <f t="shared" si="1161"/>
        <v>25240</v>
      </c>
      <c r="BA1638" s="318">
        <f t="shared" si="1162"/>
        <v>30</v>
      </c>
      <c r="BB1638" s="318">
        <f t="shared" si="1163"/>
        <v>50.54</v>
      </c>
      <c r="BC1638" s="318">
        <v>0</v>
      </c>
      <c r="BD1638" s="467"/>
      <c r="BE1638" s="138">
        <v>252.7</v>
      </c>
      <c r="BF1638" s="321">
        <f t="shared" si="1164"/>
        <v>0.37904999999999994</v>
      </c>
      <c r="BG1638" s="321">
        <f t="shared" si="1165"/>
        <v>252.32094999999998</v>
      </c>
      <c r="BH1638" s="321">
        <f t="shared" si="1166"/>
        <v>252.4</v>
      </c>
      <c r="BI1638" s="322">
        <f t="shared" si="1167"/>
        <v>29.999999999998295</v>
      </c>
      <c r="BJ1638" s="322">
        <v>0</v>
      </c>
      <c r="BK1638" s="318">
        <f t="shared" si="1168"/>
        <v>29.999999999998295</v>
      </c>
      <c r="BL1638" s="449"/>
      <c r="BM1638" s="449" t="str">
        <f t="shared" si="1169"/>
        <v>Unloading no. 1603 Bill No 216 ,Deduction For Oil Deduction= 139327.95 ,Bardana= 0 ,F.M= 0 Brokerage/Rate Difference 0 ,Shortage = 0 ,Greenish= 0 ,Moisture= 0</v>
      </c>
      <c r="BN1638" s="449"/>
      <c r="BO1638" s="449" t="str">
        <f t="shared" si="1170"/>
        <v xml:space="preserve"> Party Condition 42  ,F.M% 0.65 ,Greenish 5 ,Moisture 5.8 ,Shortage in KG= 0  ,Oil% 39.21</v>
      </c>
      <c r="BP1638" s="464">
        <f t="shared" si="1171"/>
        <v>7757.8528129952456</v>
      </c>
      <c r="BQ1638" s="449"/>
      <c r="BR1638" s="449"/>
      <c r="BS1638" s="449"/>
      <c r="BT1638" s="449"/>
      <c r="BU1638" s="449"/>
      <c r="BV1638" s="449"/>
      <c r="BW1638" s="449"/>
      <c r="BX1638" s="147">
        <v>39.51</v>
      </c>
      <c r="BY1638" s="147">
        <v>39.42</v>
      </c>
      <c r="CO1638" s="460">
        <f t="shared" si="1172"/>
        <v>-0.29999999999999716</v>
      </c>
      <c r="CP1638" s="460">
        <f t="shared" si="1173"/>
        <v>-0.21000000000000085</v>
      </c>
    </row>
    <row r="1639" spans="1:94" ht="14.1" hidden="1" customHeight="1" x14ac:dyDescent="0.3">
      <c r="A1639" s="128" t="s">
        <v>3474</v>
      </c>
      <c r="B1639" s="129">
        <v>46242</v>
      </c>
      <c r="C1639" s="281">
        <v>1604</v>
      </c>
      <c r="D1639" s="128" t="s">
        <v>3484</v>
      </c>
      <c r="E1639" s="130">
        <v>46244</v>
      </c>
      <c r="F1639" s="281" t="s">
        <v>3299</v>
      </c>
      <c r="G1639" s="128" t="s">
        <v>2630</v>
      </c>
      <c r="H1639" s="128" t="s">
        <v>1508</v>
      </c>
      <c r="I1639" s="136"/>
      <c r="J1639" s="281" t="s">
        <v>2499</v>
      </c>
      <c r="K1639" s="136"/>
      <c r="L1639" s="146">
        <v>46242</v>
      </c>
      <c r="M1639" s="136"/>
      <c r="N1639" s="281">
        <v>214</v>
      </c>
      <c r="O1639" s="130">
        <v>46243</v>
      </c>
      <c r="P1639" s="138">
        <v>0</v>
      </c>
      <c r="Q1639" s="138">
        <v>375</v>
      </c>
      <c r="R1639" s="138">
        <v>50</v>
      </c>
      <c r="S1639" s="138">
        <v>425</v>
      </c>
      <c r="T1639" s="138">
        <v>425</v>
      </c>
      <c r="U1639" s="136"/>
      <c r="V1639" s="136"/>
      <c r="W1639" s="147">
        <v>253.9</v>
      </c>
      <c r="X1639" s="147">
        <v>253.7</v>
      </c>
      <c r="Y1639" s="196">
        <f>2127682-20312</f>
        <v>2107370</v>
      </c>
      <c r="Z1639" s="236">
        <v>39.54</v>
      </c>
      <c r="AA1639" s="147">
        <v>53192.05</v>
      </c>
      <c r="AB1639" s="147">
        <v>53192.05</v>
      </c>
      <c r="AC1639" s="147">
        <v>2234066.1</v>
      </c>
      <c r="AD1639" s="321">
        <f t="shared" si="1098"/>
        <v>2231832.0339000002</v>
      </c>
      <c r="AE1639" s="236">
        <v>39.54</v>
      </c>
      <c r="AF1639" s="147">
        <v>42</v>
      </c>
      <c r="AG1639" s="236">
        <v>39.54</v>
      </c>
      <c r="AH1639" s="287">
        <v>7.0000000000000001E-3</v>
      </c>
      <c r="AI1639" s="287">
        <v>5.8299999999999998E-2</v>
      </c>
      <c r="AJ1639" s="287">
        <v>5.6000000000000001E-2</v>
      </c>
      <c r="AK1639" s="318">
        <f t="shared" si="1155"/>
        <v>123431.67142857147</v>
      </c>
      <c r="AL1639" s="467">
        <v>0</v>
      </c>
      <c r="AM1639" s="321">
        <v>0</v>
      </c>
      <c r="AN1639" s="321">
        <v>0</v>
      </c>
      <c r="AO1639" s="318">
        <f t="shared" si="1156"/>
        <v>0</v>
      </c>
      <c r="AP1639" s="467">
        <v>0</v>
      </c>
      <c r="AQ1639" s="318">
        <v>0</v>
      </c>
      <c r="AR1639" s="318">
        <f t="shared" si="1157"/>
        <v>123431.67142857147</v>
      </c>
      <c r="AS1639" s="318">
        <f t="shared" si="1158"/>
        <v>129603</v>
      </c>
      <c r="AT1639" s="321">
        <v>0</v>
      </c>
      <c r="AU1639" s="464"/>
      <c r="AV1639" s="449"/>
      <c r="AW1639" s="318">
        <f t="shared" si="1159"/>
        <v>25390</v>
      </c>
      <c r="AX1639" s="467"/>
      <c r="AY1639" s="318">
        <f t="shared" si="1160"/>
        <v>25390</v>
      </c>
      <c r="AZ1639" s="318">
        <f t="shared" si="1161"/>
        <v>25370</v>
      </c>
      <c r="BA1639" s="318">
        <f t="shared" si="1162"/>
        <v>20</v>
      </c>
      <c r="BB1639" s="318">
        <f t="shared" si="1163"/>
        <v>50.78</v>
      </c>
      <c r="BC1639" s="318">
        <v>0</v>
      </c>
      <c r="BD1639" s="467"/>
      <c r="BE1639" s="138">
        <v>253.9</v>
      </c>
      <c r="BF1639" s="321">
        <f t="shared" si="1164"/>
        <v>0.38085000000000002</v>
      </c>
      <c r="BG1639" s="321">
        <f t="shared" si="1165"/>
        <v>253.51915</v>
      </c>
      <c r="BH1639" s="321">
        <f t="shared" si="1166"/>
        <v>253.7</v>
      </c>
      <c r="BI1639" s="322">
        <f t="shared" si="1167"/>
        <v>20.000000000001705</v>
      </c>
      <c r="BJ1639" s="322">
        <v>0</v>
      </c>
      <c r="BK1639" s="318">
        <f t="shared" si="1168"/>
        <v>20.000000000001705</v>
      </c>
      <c r="BL1639" s="449"/>
      <c r="BM1639" s="449" t="str">
        <f t="shared" si="1169"/>
        <v>Unloading no. 1604 Bill No 214 ,Deduction For Oil Deduction= 123431.671428571 ,Bardana= 0 ,F.M= 0 Brokerage/Rate Difference 0 ,Shortage = 0 ,Greenish= 0 ,Moisture= 0</v>
      </c>
      <c r="BN1639" s="449"/>
      <c r="BO1639" s="449" t="str">
        <f t="shared" si="1170"/>
        <v xml:space="preserve"> Party Condition 42  ,F.M% 0.7 ,Greenish 5.83 ,Moisture 5.6 ,Shortage in KG= 0  ,Oil% 39.54</v>
      </c>
      <c r="BP1639" s="464">
        <f t="shared" si="1171"/>
        <v>7820.0170617714966</v>
      </c>
      <c r="BQ1639" s="449"/>
      <c r="BR1639" s="449"/>
      <c r="BS1639" s="449"/>
      <c r="BT1639" s="449"/>
      <c r="BU1639" s="449"/>
      <c r="BV1639" s="449"/>
      <c r="BW1639" s="449"/>
      <c r="BX1639" s="147">
        <v>39.950000000000003</v>
      </c>
      <c r="BY1639" s="147">
        <v>39.65</v>
      </c>
      <c r="CO1639" s="460">
        <f t="shared" si="1172"/>
        <v>-0.41000000000000369</v>
      </c>
      <c r="CP1639" s="460">
        <f t="shared" si="1173"/>
        <v>-0.10999999999999943</v>
      </c>
    </row>
    <row r="1640" spans="1:94" ht="14.1" hidden="1" customHeight="1" x14ac:dyDescent="0.3">
      <c r="A1640" s="128" t="s">
        <v>3474</v>
      </c>
      <c r="B1640" s="129">
        <v>46242</v>
      </c>
      <c r="C1640" s="281">
        <v>1605</v>
      </c>
      <c r="D1640" s="128" t="s">
        <v>3485</v>
      </c>
      <c r="E1640" s="130">
        <v>46244</v>
      </c>
      <c r="F1640" s="281" t="s">
        <v>3299</v>
      </c>
      <c r="G1640" s="128" t="s">
        <v>2630</v>
      </c>
      <c r="H1640" s="128" t="s">
        <v>1508</v>
      </c>
      <c r="I1640" s="136"/>
      <c r="J1640" s="281" t="s">
        <v>2499</v>
      </c>
      <c r="K1640" s="136"/>
      <c r="L1640" s="146">
        <v>46242</v>
      </c>
      <c r="M1640" s="136"/>
      <c r="N1640" s="281">
        <v>213</v>
      </c>
      <c r="O1640" s="130">
        <v>46242</v>
      </c>
      <c r="P1640" s="138">
        <v>0</v>
      </c>
      <c r="Q1640" s="138">
        <v>361</v>
      </c>
      <c r="R1640" s="138">
        <v>200</v>
      </c>
      <c r="S1640" s="138">
        <v>561</v>
      </c>
      <c r="T1640" s="138">
        <v>561</v>
      </c>
      <c r="U1640" s="136"/>
      <c r="V1640" s="136"/>
      <c r="W1640" s="147">
        <v>337.2</v>
      </c>
      <c r="X1640" s="147">
        <v>336.6</v>
      </c>
      <c r="Y1640" s="196">
        <f>2825736-26976</f>
        <v>2798760</v>
      </c>
      <c r="Z1640" s="236">
        <v>39.68</v>
      </c>
      <c r="AA1640" s="147">
        <v>70643.399999999994</v>
      </c>
      <c r="AB1640" s="147">
        <v>70643.399999999994</v>
      </c>
      <c r="AC1640" s="147">
        <v>2967022.8</v>
      </c>
      <c r="AD1640" s="321">
        <f t="shared" si="1098"/>
        <v>2964055.7771999999</v>
      </c>
      <c r="AE1640" s="236">
        <v>39.68</v>
      </c>
      <c r="AF1640" s="147">
        <v>42</v>
      </c>
      <c r="AG1640" s="236">
        <v>39.68</v>
      </c>
      <c r="AH1640" s="287">
        <v>6.4999999999999997E-3</v>
      </c>
      <c r="AI1640" s="287">
        <v>7.5800000000000006E-2</v>
      </c>
      <c r="AJ1640" s="287">
        <v>5.0999999999999997E-2</v>
      </c>
      <c r="AK1640" s="318">
        <f t="shared" si="1155"/>
        <v>154598.17142857146</v>
      </c>
      <c r="AL1640" s="467">
        <v>0</v>
      </c>
      <c r="AM1640" s="321">
        <v>0</v>
      </c>
      <c r="AN1640" s="321">
        <v>0</v>
      </c>
      <c r="AO1640" s="318">
        <f t="shared" si="1156"/>
        <v>0</v>
      </c>
      <c r="AP1640" s="467">
        <v>0</v>
      </c>
      <c r="AQ1640" s="318">
        <v>0</v>
      </c>
      <c r="AR1640" s="318">
        <f t="shared" si="1157"/>
        <v>154598.17142857146</v>
      </c>
      <c r="AS1640" s="318">
        <f t="shared" si="1158"/>
        <v>162328</v>
      </c>
      <c r="AT1640" s="321">
        <v>0</v>
      </c>
      <c r="AU1640" s="464"/>
      <c r="AV1640" s="449"/>
      <c r="AW1640" s="318">
        <f t="shared" si="1159"/>
        <v>33720</v>
      </c>
      <c r="AX1640" s="467"/>
      <c r="AY1640" s="318">
        <f t="shared" si="1160"/>
        <v>33720</v>
      </c>
      <c r="AZ1640" s="318">
        <f t="shared" si="1161"/>
        <v>33660</v>
      </c>
      <c r="BA1640" s="318">
        <f t="shared" si="1162"/>
        <v>60</v>
      </c>
      <c r="BB1640" s="318">
        <f t="shared" si="1163"/>
        <v>67.44</v>
      </c>
      <c r="BC1640" s="318">
        <v>0</v>
      </c>
      <c r="BD1640" s="467"/>
      <c r="BE1640" s="138">
        <v>337.2</v>
      </c>
      <c r="BF1640" s="321">
        <f t="shared" si="1164"/>
        <v>0.50580000000000003</v>
      </c>
      <c r="BG1640" s="321">
        <f t="shared" si="1165"/>
        <v>336.69419999999997</v>
      </c>
      <c r="BH1640" s="321">
        <f t="shared" si="1166"/>
        <v>336.6</v>
      </c>
      <c r="BI1640" s="322">
        <f t="shared" si="1167"/>
        <v>59.999999999996589</v>
      </c>
      <c r="BJ1640" s="322">
        <v>0</v>
      </c>
      <c r="BK1640" s="318">
        <f t="shared" si="1168"/>
        <v>59.999999999996589</v>
      </c>
      <c r="BL1640" s="449"/>
      <c r="BM1640" s="449" t="str">
        <f t="shared" si="1169"/>
        <v>Unloading no. 1605 Bill No 213 ,Deduction For Oil Deduction= 154598.171428571 ,Bardana= 0 ,F.M= 0 Brokerage/Rate Difference 0 ,Shortage = 0 ,Greenish= 0 ,Moisture= 0</v>
      </c>
      <c r="BN1640" s="449"/>
      <c r="BO1640" s="449" t="str">
        <f t="shared" si="1170"/>
        <v xml:space="preserve"> Party Condition 42  ,F.M% 0.65 ,Greenish 7.58 ,Moisture 5.1 ,Shortage in KG= 0  ,Oil% 39.68</v>
      </c>
      <c r="BP1640" s="464">
        <f t="shared" si="1171"/>
        <v>7855.5015703250992</v>
      </c>
      <c r="BQ1640" s="449"/>
      <c r="BR1640" s="449"/>
      <c r="BS1640" s="449"/>
      <c r="BT1640" s="449"/>
      <c r="BU1640" s="449"/>
      <c r="BV1640" s="449"/>
      <c r="BW1640" s="449"/>
      <c r="BX1640" s="147">
        <v>40.08</v>
      </c>
      <c r="BY1640" s="147">
        <v>39.96</v>
      </c>
      <c r="CO1640" s="460">
        <f t="shared" si="1172"/>
        <v>-0.39999999999999858</v>
      </c>
      <c r="CP1640" s="460">
        <f t="shared" si="1173"/>
        <v>-0.28000000000000114</v>
      </c>
    </row>
    <row r="1641" spans="1:94" ht="14.1" hidden="1" customHeight="1" x14ac:dyDescent="0.3">
      <c r="A1641" s="128" t="s">
        <v>3475</v>
      </c>
      <c r="B1641" s="129">
        <v>46242</v>
      </c>
      <c r="C1641" s="281">
        <v>1606</v>
      </c>
      <c r="D1641" s="128" t="s">
        <v>3486</v>
      </c>
      <c r="E1641" s="130">
        <v>46245</v>
      </c>
      <c r="F1641" s="281" t="s">
        <v>98</v>
      </c>
      <c r="G1641" s="128" t="s">
        <v>99</v>
      </c>
      <c r="H1641" s="128" t="s">
        <v>100</v>
      </c>
      <c r="I1641" s="136"/>
      <c r="J1641" s="281" t="s">
        <v>1146</v>
      </c>
      <c r="K1641" s="136"/>
      <c r="L1641" s="146">
        <v>46242</v>
      </c>
      <c r="M1641" s="136"/>
      <c r="N1641" s="281">
        <v>157</v>
      </c>
      <c r="O1641" s="130">
        <v>46244</v>
      </c>
      <c r="P1641" s="138">
        <v>0</v>
      </c>
      <c r="Q1641" s="138">
        <v>400</v>
      </c>
      <c r="R1641" s="138">
        <v>50</v>
      </c>
      <c r="S1641" s="138">
        <v>450</v>
      </c>
      <c r="T1641" s="138">
        <v>450</v>
      </c>
      <c r="U1641" s="136"/>
      <c r="V1641" s="136"/>
      <c r="W1641" s="147">
        <v>270.45</v>
      </c>
      <c r="X1641" s="147">
        <v>270.2</v>
      </c>
      <c r="Y1641" s="147">
        <v>2286925</v>
      </c>
      <c r="Z1641" s="169"/>
      <c r="AA1641" s="147">
        <v>57173.13</v>
      </c>
      <c r="AB1641" s="147">
        <v>57173.13</v>
      </c>
      <c r="AC1641" s="147">
        <v>2401271.25</v>
      </c>
      <c r="AD1641" s="321">
        <f t="shared" si="1098"/>
        <v>2398869.9787499998</v>
      </c>
      <c r="AE1641" s="147">
        <v>39.950000000000003</v>
      </c>
      <c r="AF1641" s="147">
        <v>42</v>
      </c>
      <c r="AG1641" s="147">
        <v>39.89</v>
      </c>
      <c r="AH1641" s="287">
        <v>3.3E-3</v>
      </c>
      <c r="AI1641" s="287">
        <v>3.5000000000000003E-2</v>
      </c>
      <c r="AJ1641" s="287">
        <v>5.0999999999999997E-2</v>
      </c>
      <c r="AK1641" s="318">
        <f t="shared" si="1155"/>
        <v>114890.75595238093</v>
      </c>
      <c r="AL1641" s="467">
        <v>0</v>
      </c>
      <c r="AM1641" s="321">
        <v>0</v>
      </c>
      <c r="AN1641" s="321">
        <v>0</v>
      </c>
      <c r="AO1641" s="318">
        <f t="shared" si="1156"/>
        <v>0</v>
      </c>
      <c r="AP1641" s="467">
        <v>0</v>
      </c>
      <c r="AQ1641" s="318">
        <v>0</v>
      </c>
      <c r="AR1641" s="318">
        <f t="shared" si="1157"/>
        <v>114890.75595238093</v>
      </c>
      <c r="AS1641" s="318">
        <f t="shared" si="1158"/>
        <v>120635</v>
      </c>
      <c r="AT1641" s="321">
        <v>0</v>
      </c>
      <c r="AU1641" s="464"/>
      <c r="AV1641" s="449"/>
      <c r="AW1641" s="318">
        <f t="shared" si="1159"/>
        <v>27045</v>
      </c>
      <c r="AX1641" s="467"/>
      <c r="AY1641" s="318">
        <f t="shared" si="1160"/>
        <v>27045</v>
      </c>
      <c r="AZ1641" s="318">
        <f t="shared" si="1161"/>
        <v>27020</v>
      </c>
      <c r="BA1641" s="318">
        <f t="shared" si="1162"/>
        <v>25</v>
      </c>
      <c r="BB1641" s="318">
        <f t="shared" si="1163"/>
        <v>54.09</v>
      </c>
      <c r="BC1641" s="318">
        <v>0</v>
      </c>
      <c r="BD1641" s="467"/>
      <c r="BE1641" s="138">
        <v>270.45</v>
      </c>
      <c r="BF1641" s="321">
        <f t="shared" si="1164"/>
        <v>0.40567499999999995</v>
      </c>
      <c r="BG1641" s="321">
        <f t="shared" si="1165"/>
        <v>270.04432500000001</v>
      </c>
      <c r="BH1641" s="321">
        <f t="shared" si="1166"/>
        <v>270.2</v>
      </c>
      <c r="BI1641" s="322">
        <f t="shared" si="1167"/>
        <v>25</v>
      </c>
      <c r="BJ1641" s="322">
        <v>0</v>
      </c>
      <c r="BK1641" s="318">
        <f t="shared" si="1168"/>
        <v>25</v>
      </c>
      <c r="BL1641" s="449"/>
      <c r="BM1641" s="449" t="str">
        <f t="shared" si="1169"/>
        <v>Unloading no. 1606 Bill No 157 ,Deduction For Oil Deduction= 114890.755952381 ,Bardana= 0 ,F.M= 0 Brokerage/Rate Difference 0 ,Shortage = 0 ,Greenish= 0 ,Moisture= 0</v>
      </c>
      <c r="BN1641" s="449"/>
      <c r="BO1641" s="449" t="str">
        <f t="shared" si="1170"/>
        <v xml:space="preserve"> Party Condition 42  ,F.M% 0.33 ,Greenish 3.5 ,Moisture 5.1 ,Shortage in KG= 0  ,Oil% 39.89</v>
      </c>
      <c r="BP1641" s="464">
        <f t="shared" si="1171"/>
        <v>8038.6167433294559</v>
      </c>
      <c r="BQ1641" s="449"/>
      <c r="BR1641" s="449"/>
      <c r="BS1641" s="449"/>
      <c r="BT1641" s="449"/>
      <c r="BU1641" s="449"/>
      <c r="BV1641" s="449"/>
      <c r="BW1641" s="449"/>
      <c r="BX1641" s="147">
        <v>39.950000000000003</v>
      </c>
      <c r="BY1641" s="147">
        <v>39.89</v>
      </c>
      <c r="CO1641" s="460">
        <f t="shared" si="1172"/>
        <v>-39.950000000000003</v>
      </c>
      <c r="CP1641" s="460">
        <f t="shared" si="1173"/>
        <v>-39.89</v>
      </c>
    </row>
    <row r="1642" spans="1:94" ht="14.1" hidden="1" customHeight="1" x14ac:dyDescent="0.3">
      <c r="A1642" s="128" t="s">
        <v>3475</v>
      </c>
      <c r="B1642" s="129">
        <v>46242</v>
      </c>
      <c r="C1642" s="281">
        <v>1607</v>
      </c>
      <c r="D1642" s="128" t="s">
        <v>3487</v>
      </c>
      <c r="E1642" s="130">
        <v>46245</v>
      </c>
      <c r="F1642" s="281" t="s">
        <v>98</v>
      </c>
      <c r="G1642" s="128" t="s">
        <v>99</v>
      </c>
      <c r="H1642" s="128" t="s">
        <v>100</v>
      </c>
      <c r="I1642" s="136"/>
      <c r="J1642" s="281" t="s">
        <v>1146</v>
      </c>
      <c r="K1642" s="136"/>
      <c r="L1642" s="146">
        <v>46242</v>
      </c>
      <c r="M1642" s="136"/>
      <c r="N1642" s="281">
        <v>156</v>
      </c>
      <c r="O1642" s="130">
        <v>46244</v>
      </c>
      <c r="P1642" s="138">
        <v>0</v>
      </c>
      <c r="Q1642" s="138">
        <v>200</v>
      </c>
      <c r="R1642" s="138">
        <v>88</v>
      </c>
      <c r="S1642" s="138">
        <v>288</v>
      </c>
      <c r="T1642" s="138">
        <v>288</v>
      </c>
      <c r="U1642" s="136"/>
      <c r="V1642" s="136"/>
      <c r="W1642" s="147">
        <v>171.65</v>
      </c>
      <c r="X1642" s="147">
        <v>171.3</v>
      </c>
      <c r="Y1642" s="147">
        <v>1451472.4</v>
      </c>
      <c r="Z1642" s="169"/>
      <c r="AA1642" s="147">
        <v>36286.81</v>
      </c>
      <c r="AB1642" s="147">
        <v>36286.81</v>
      </c>
      <c r="AC1642" s="147">
        <v>1524046.02</v>
      </c>
      <c r="AD1642" s="321">
        <f t="shared" si="1098"/>
        <v>1522521.97398</v>
      </c>
      <c r="AE1642" s="147">
        <v>40.35</v>
      </c>
      <c r="AF1642" s="147">
        <v>42</v>
      </c>
      <c r="AG1642" s="147">
        <v>40.26</v>
      </c>
      <c r="AH1642" s="287">
        <v>4.0000000000000001E-3</v>
      </c>
      <c r="AI1642" s="287">
        <v>0.03</v>
      </c>
      <c r="AJ1642" s="287">
        <v>6.6000000000000003E-2</v>
      </c>
      <c r="AK1642" s="318">
        <f t="shared" si="1155"/>
        <v>60132.428000000065</v>
      </c>
      <c r="AL1642" s="467">
        <v>0</v>
      </c>
      <c r="AM1642" s="321">
        <v>0</v>
      </c>
      <c r="AN1642" s="321">
        <v>0</v>
      </c>
      <c r="AO1642" s="318">
        <f t="shared" si="1156"/>
        <v>84.559999999999988</v>
      </c>
      <c r="AP1642" s="467">
        <v>0</v>
      </c>
      <c r="AQ1642" s="318">
        <v>0</v>
      </c>
      <c r="AR1642" s="318">
        <f t="shared" si="1157"/>
        <v>60216.988000000063</v>
      </c>
      <c r="AS1642" s="318">
        <f t="shared" si="1158"/>
        <v>63228</v>
      </c>
      <c r="AT1642" s="321">
        <v>1</v>
      </c>
      <c r="AU1642" s="464"/>
      <c r="AV1642" s="449"/>
      <c r="AW1642" s="318">
        <f t="shared" si="1159"/>
        <v>17165</v>
      </c>
      <c r="AX1642" s="467"/>
      <c r="AY1642" s="318">
        <f t="shared" si="1160"/>
        <v>17165</v>
      </c>
      <c r="AZ1642" s="318">
        <f t="shared" si="1161"/>
        <v>17130</v>
      </c>
      <c r="BA1642" s="318">
        <f t="shared" si="1162"/>
        <v>35</v>
      </c>
      <c r="BB1642" s="318">
        <f t="shared" si="1163"/>
        <v>34.33</v>
      </c>
      <c r="BC1642" s="318">
        <v>0</v>
      </c>
      <c r="BD1642" s="467"/>
      <c r="BE1642" s="138">
        <v>171.65</v>
      </c>
      <c r="BF1642" s="321">
        <f t="shared" si="1164"/>
        <v>0.25747500000000001</v>
      </c>
      <c r="BG1642" s="321">
        <f t="shared" si="1165"/>
        <v>171.39252500000001</v>
      </c>
      <c r="BH1642" s="321">
        <f t="shared" si="1166"/>
        <v>171.3</v>
      </c>
      <c r="BI1642" s="322">
        <f t="shared" si="1167"/>
        <v>34.999999999999432</v>
      </c>
      <c r="BJ1642" s="322">
        <v>0</v>
      </c>
      <c r="BK1642" s="318">
        <f t="shared" si="1168"/>
        <v>34.999999999999432</v>
      </c>
      <c r="BL1642" s="449"/>
      <c r="BM1642" s="449" t="str">
        <f t="shared" si="1169"/>
        <v>Unloading no. 1607 Bill No 156 ,Deduction For Oil Deduction= 60132.4280000001 ,Bardana= 0 ,F.M= 0 Brokerage/Rate Difference 0 ,Shortage = 84.56 ,Greenish= 0 ,Moisture= 0</v>
      </c>
      <c r="BN1642" s="449"/>
      <c r="BO1642" s="449" t="str">
        <f t="shared" si="1170"/>
        <v xml:space="preserve"> Party Condition 42  ,F.M% 0.4 ,Greenish 3 ,Moisture 6.6 ,Shortage in KG= 1  ,Oil% 40.26</v>
      </c>
      <c r="BP1642" s="464">
        <f t="shared" si="1171"/>
        <v>8121.7478809106815</v>
      </c>
      <c r="BQ1642" s="449"/>
      <c r="BR1642" s="449"/>
      <c r="BS1642" s="449"/>
      <c r="BT1642" s="449"/>
      <c r="BU1642" s="449"/>
      <c r="BV1642" s="449"/>
      <c r="BW1642" s="449"/>
      <c r="BX1642" s="147">
        <v>40.35</v>
      </c>
      <c r="BY1642" s="147">
        <v>40.26</v>
      </c>
      <c r="CO1642" s="460">
        <f t="shared" si="1172"/>
        <v>-40.35</v>
      </c>
      <c r="CP1642" s="460">
        <f t="shared" si="1173"/>
        <v>-40.26</v>
      </c>
    </row>
    <row r="1643" spans="1:94" ht="14.1" hidden="1" customHeight="1" x14ac:dyDescent="0.3">
      <c r="A1643" s="128" t="s">
        <v>3475</v>
      </c>
      <c r="B1643" s="129">
        <v>46242</v>
      </c>
      <c r="C1643" s="281">
        <v>1608</v>
      </c>
      <c r="D1643" s="128" t="s">
        <v>3488</v>
      </c>
      <c r="E1643" s="130">
        <v>46245</v>
      </c>
      <c r="F1643" s="281" t="s">
        <v>98</v>
      </c>
      <c r="G1643" s="128" t="s">
        <v>99</v>
      </c>
      <c r="H1643" s="128" t="s">
        <v>100</v>
      </c>
      <c r="I1643" s="136"/>
      <c r="J1643" s="281" t="s">
        <v>1146</v>
      </c>
      <c r="K1643" s="136"/>
      <c r="L1643" s="146">
        <v>46242</v>
      </c>
      <c r="M1643" s="136"/>
      <c r="N1643" s="281">
        <v>155</v>
      </c>
      <c r="O1643" s="130">
        <v>46244</v>
      </c>
      <c r="P1643" s="138">
        <v>0</v>
      </c>
      <c r="Q1643" s="138">
        <v>487</v>
      </c>
      <c r="R1643" s="138">
        <v>50</v>
      </c>
      <c r="S1643" s="138">
        <v>537</v>
      </c>
      <c r="T1643" s="138">
        <v>537</v>
      </c>
      <c r="U1643" s="136"/>
      <c r="V1643" s="136"/>
      <c r="W1643" s="147">
        <v>326.3</v>
      </c>
      <c r="X1643" s="147">
        <v>325</v>
      </c>
      <c r="Y1643" s="147">
        <v>2759192.8</v>
      </c>
      <c r="Z1643" s="169"/>
      <c r="AA1643" s="147">
        <v>68979.820000000007</v>
      </c>
      <c r="AB1643" s="147">
        <v>68979.820000000007</v>
      </c>
      <c r="AC1643" s="147">
        <v>2897152.44</v>
      </c>
      <c r="AD1643" s="321">
        <f t="shared" si="1098"/>
        <v>2894255.2875600001</v>
      </c>
      <c r="AE1643" s="147">
        <v>39.9</v>
      </c>
      <c r="AF1643" s="147">
        <v>42</v>
      </c>
      <c r="AG1643" s="147">
        <v>39.880000000000003</v>
      </c>
      <c r="AH1643" s="287">
        <v>3.8E-3</v>
      </c>
      <c r="AI1643" s="287">
        <v>3.1600000000000003E-2</v>
      </c>
      <c r="AJ1643" s="287">
        <v>5.8000000000000003E-2</v>
      </c>
      <c r="AK1643" s="318">
        <f t="shared" si="1155"/>
        <v>139273.54133333315</v>
      </c>
      <c r="AL1643" s="467">
        <v>0</v>
      </c>
      <c r="AM1643" s="321">
        <v>0</v>
      </c>
      <c r="AN1643" s="321">
        <v>0</v>
      </c>
      <c r="AO1643" s="318">
        <f t="shared" si="1156"/>
        <v>5496.4</v>
      </c>
      <c r="AP1643" s="467">
        <v>0</v>
      </c>
      <c r="AQ1643" s="318">
        <v>0</v>
      </c>
      <c r="AR1643" s="318">
        <f t="shared" si="1157"/>
        <v>144769.94133333315</v>
      </c>
      <c r="AS1643" s="318">
        <f t="shared" si="1158"/>
        <v>152008</v>
      </c>
      <c r="AT1643" s="321">
        <v>65</v>
      </c>
      <c r="AU1643" s="464"/>
      <c r="AV1643" s="449"/>
      <c r="AW1643" s="318">
        <f t="shared" si="1159"/>
        <v>32630</v>
      </c>
      <c r="AX1643" s="467"/>
      <c r="AY1643" s="318">
        <f t="shared" si="1160"/>
        <v>32630</v>
      </c>
      <c r="AZ1643" s="318">
        <f t="shared" si="1161"/>
        <v>32500</v>
      </c>
      <c r="BA1643" s="318">
        <f t="shared" si="1162"/>
        <v>130</v>
      </c>
      <c r="BB1643" s="318">
        <f t="shared" si="1163"/>
        <v>65.260000000000005</v>
      </c>
      <c r="BC1643" s="318">
        <v>0</v>
      </c>
      <c r="BD1643" s="467"/>
      <c r="BE1643" s="138">
        <v>326.3</v>
      </c>
      <c r="BF1643" s="321">
        <f t="shared" si="1164"/>
        <v>0.48945</v>
      </c>
      <c r="BG1643" s="321">
        <f t="shared" si="1165"/>
        <v>325.81055000000003</v>
      </c>
      <c r="BH1643" s="321">
        <f t="shared" si="1166"/>
        <v>325</v>
      </c>
      <c r="BI1643" s="322">
        <f t="shared" si="1167"/>
        <v>130.00000000000114</v>
      </c>
      <c r="BJ1643" s="322">
        <v>0</v>
      </c>
      <c r="BK1643" s="318">
        <f t="shared" si="1168"/>
        <v>130.00000000000114</v>
      </c>
      <c r="BL1643" s="449"/>
      <c r="BM1643" s="449" t="str">
        <f t="shared" si="1169"/>
        <v>Unloading no. 1608 Bill No 155 ,Deduction For Oil Deduction= 139273.541333333 ,Bardana= 0 ,F.M= 0 Brokerage/Rate Difference 0 ,Shortage = 5496.4 ,Greenish= 0 ,Moisture= 0</v>
      </c>
      <c r="BN1643" s="449"/>
      <c r="BO1643" s="449" t="str">
        <f t="shared" si="1170"/>
        <v xml:space="preserve"> Party Condition 42  ,F.M% 0.38 ,Greenish 3.16 ,Moisture 5.8 ,Shortage in KG= 65  ,Oil% 39.88</v>
      </c>
      <c r="BP1643" s="464">
        <f t="shared" si="1171"/>
        <v>8044.3780266666672</v>
      </c>
      <c r="BQ1643" s="449"/>
      <c r="BR1643" s="449"/>
      <c r="BS1643" s="449"/>
      <c r="BT1643" s="449"/>
      <c r="BU1643" s="449"/>
      <c r="BV1643" s="449"/>
      <c r="BW1643" s="449"/>
      <c r="BX1643" s="147">
        <v>39.9</v>
      </c>
      <c r="BY1643" s="147">
        <v>39.880000000000003</v>
      </c>
      <c r="CO1643" s="460">
        <f t="shared" si="1172"/>
        <v>-39.9</v>
      </c>
      <c r="CP1643" s="460">
        <f t="shared" si="1173"/>
        <v>-39.880000000000003</v>
      </c>
    </row>
    <row r="1644" spans="1:94" ht="14.1" hidden="1" customHeight="1" x14ac:dyDescent="0.3">
      <c r="A1644" s="128" t="s">
        <v>3474</v>
      </c>
      <c r="B1644" s="129">
        <v>46242</v>
      </c>
      <c r="C1644" s="281">
        <v>1609</v>
      </c>
      <c r="D1644" s="128" t="s">
        <v>3489</v>
      </c>
      <c r="E1644" s="130">
        <v>46245</v>
      </c>
      <c r="F1644" s="281" t="s">
        <v>3299</v>
      </c>
      <c r="G1644" s="128" t="s">
        <v>2630</v>
      </c>
      <c r="H1644" s="128" t="s">
        <v>1508</v>
      </c>
      <c r="I1644" s="136"/>
      <c r="J1644" s="281" t="s">
        <v>1146</v>
      </c>
      <c r="K1644" s="136"/>
      <c r="L1644" s="146">
        <v>46242</v>
      </c>
      <c r="M1644" s="136"/>
      <c r="N1644" s="281">
        <v>218</v>
      </c>
      <c r="O1644" s="130">
        <v>46244</v>
      </c>
      <c r="P1644" s="138">
        <v>0</v>
      </c>
      <c r="Q1644" s="138">
        <v>500</v>
      </c>
      <c r="R1644" s="138">
        <v>10</v>
      </c>
      <c r="S1644" s="138">
        <v>510</v>
      </c>
      <c r="T1644" s="138">
        <v>510</v>
      </c>
      <c r="U1644" s="136"/>
      <c r="V1644" s="136"/>
      <c r="W1644" s="147">
        <v>304.10000000000002</v>
      </c>
      <c r="X1644" s="147">
        <v>304</v>
      </c>
      <c r="Y1644" s="196">
        <f>2548358-24328</f>
        <v>2524030</v>
      </c>
      <c r="Z1644" s="236">
        <v>39.28</v>
      </c>
      <c r="AA1644" s="147">
        <v>63708.95</v>
      </c>
      <c r="AB1644" s="147">
        <v>63708.95</v>
      </c>
      <c r="AC1644" s="147">
        <v>2675775.9</v>
      </c>
      <c r="AD1644" s="321">
        <f t="shared" si="1098"/>
        <v>2673100.1241000001</v>
      </c>
      <c r="AE1644" s="236">
        <v>39.28</v>
      </c>
      <c r="AF1644" s="147">
        <v>42</v>
      </c>
      <c r="AG1644" s="236">
        <v>39.28</v>
      </c>
      <c r="AH1644" s="287">
        <v>5.0000000000000001E-3</v>
      </c>
      <c r="AI1644" s="287">
        <v>5.5E-2</v>
      </c>
      <c r="AJ1644" s="287">
        <v>5.8000000000000003E-2</v>
      </c>
      <c r="AK1644" s="318">
        <f t="shared" si="1155"/>
        <v>163460.9904761904</v>
      </c>
      <c r="AL1644" s="467">
        <v>0</v>
      </c>
      <c r="AM1644" s="321">
        <v>0</v>
      </c>
      <c r="AN1644" s="321">
        <v>0</v>
      </c>
      <c r="AO1644" s="318">
        <f t="shared" si="1156"/>
        <v>0</v>
      </c>
      <c r="AP1644" s="467">
        <v>0</v>
      </c>
      <c r="AQ1644" s="318">
        <v>0</v>
      </c>
      <c r="AR1644" s="318">
        <f t="shared" si="1157"/>
        <v>163460.9904761904</v>
      </c>
      <c r="AS1644" s="318">
        <f t="shared" si="1158"/>
        <v>171634</v>
      </c>
      <c r="AT1644" s="321">
        <v>0</v>
      </c>
      <c r="AU1644" s="464"/>
      <c r="AV1644" s="449"/>
      <c r="AW1644" s="318">
        <f t="shared" si="1159"/>
        <v>30410.000000000004</v>
      </c>
      <c r="AX1644" s="467"/>
      <c r="AY1644" s="318">
        <f t="shared" si="1160"/>
        <v>30410.000000000004</v>
      </c>
      <c r="AZ1644" s="318">
        <f t="shared" si="1161"/>
        <v>30400</v>
      </c>
      <c r="BA1644" s="318">
        <f t="shared" si="1162"/>
        <v>10.000000000003638</v>
      </c>
      <c r="BB1644" s="318">
        <f t="shared" si="1163"/>
        <v>60.820000000000007</v>
      </c>
      <c r="BC1644" s="318">
        <v>0</v>
      </c>
      <c r="BD1644" s="467"/>
      <c r="BE1644" s="138">
        <v>304.10000000000002</v>
      </c>
      <c r="BF1644" s="321">
        <f t="shared" si="1164"/>
        <v>0.45615</v>
      </c>
      <c r="BG1644" s="321">
        <f t="shared" si="1165"/>
        <v>303.64385000000004</v>
      </c>
      <c r="BH1644" s="321">
        <f t="shared" si="1166"/>
        <v>304</v>
      </c>
      <c r="BI1644" s="322">
        <f t="shared" si="1167"/>
        <v>10.000000000002274</v>
      </c>
      <c r="BJ1644" s="322">
        <v>0</v>
      </c>
      <c r="BK1644" s="318">
        <f t="shared" si="1168"/>
        <v>10.000000000002274</v>
      </c>
      <c r="BL1644" s="449"/>
      <c r="BM1644" s="449" t="str">
        <f t="shared" si="1169"/>
        <v>Unloading no. 1609 Bill No 218 ,Deduction For Oil Deduction= 163460.99047619 ,Bardana= 0 ,F.M= 0 Brokerage/Rate Difference 0 ,Shortage = 0 ,Greenish= 0 ,Moisture= 0</v>
      </c>
      <c r="BN1644" s="449"/>
      <c r="BO1644" s="449" t="str">
        <f t="shared" si="1170"/>
        <v xml:space="preserve"> Party Condition 42  ,F.M% 0.5 ,Greenish 5.5 ,Moisture 5.8 ,Shortage in KG= 0  ,Oil% 39.28</v>
      </c>
      <c r="BP1644" s="464">
        <f t="shared" si="1171"/>
        <v>7765.0296365914783</v>
      </c>
      <c r="BQ1644" s="449"/>
      <c r="BR1644" s="449"/>
      <c r="BS1644" s="449"/>
      <c r="BT1644" s="449"/>
      <c r="BU1644" s="449"/>
      <c r="BV1644" s="449"/>
      <c r="BW1644" s="449"/>
      <c r="BX1644" s="147">
        <v>39.549999999999997</v>
      </c>
      <c r="BY1644" s="147">
        <v>39.520000000000003</v>
      </c>
      <c r="CO1644" s="460">
        <f t="shared" si="1172"/>
        <v>-0.26999999999999602</v>
      </c>
      <c r="CP1644" s="460">
        <f t="shared" si="1173"/>
        <v>-0.24000000000000199</v>
      </c>
    </row>
    <row r="1645" spans="1:94" ht="14.1" hidden="1" customHeight="1" x14ac:dyDescent="0.3">
      <c r="A1645" s="128" t="s">
        <v>3474</v>
      </c>
      <c r="B1645" s="129">
        <v>46242</v>
      </c>
      <c r="C1645" s="281">
        <v>1610</v>
      </c>
      <c r="D1645" s="128" t="s">
        <v>3490</v>
      </c>
      <c r="E1645" s="130">
        <v>46245</v>
      </c>
      <c r="F1645" s="281" t="s">
        <v>3299</v>
      </c>
      <c r="G1645" s="128" t="s">
        <v>2630</v>
      </c>
      <c r="H1645" s="128" t="s">
        <v>1508</v>
      </c>
      <c r="I1645" s="136"/>
      <c r="J1645" s="281" t="s">
        <v>1146</v>
      </c>
      <c r="K1645" s="136"/>
      <c r="L1645" s="146">
        <v>46242</v>
      </c>
      <c r="M1645" s="136"/>
      <c r="N1645" s="281">
        <v>217</v>
      </c>
      <c r="O1645" s="130">
        <v>46244</v>
      </c>
      <c r="P1645" s="138">
        <v>0</v>
      </c>
      <c r="Q1645" s="138">
        <v>300</v>
      </c>
      <c r="R1645" s="138">
        <v>205</v>
      </c>
      <c r="S1645" s="138">
        <v>505</v>
      </c>
      <c r="T1645" s="138">
        <v>505</v>
      </c>
      <c r="U1645" s="136"/>
      <c r="V1645" s="136"/>
      <c r="W1645" s="147">
        <v>294.5</v>
      </c>
      <c r="X1645" s="147">
        <v>294.10000000000002</v>
      </c>
      <c r="Y1645" s="196">
        <f>2467910-23560</f>
        <v>2444350</v>
      </c>
      <c r="Z1645" s="236">
        <v>39.68</v>
      </c>
      <c r="AA1645" s="147">
        <v>61697.75</v>
      </c>
      <c r="AB1645" s="147">
        <v>61697.75</v>
      </c>
      <c r="AC1645" s="147">
        <v>2591305.5</v>
      </c>
      <c r="AD1645" s="321">
        <f t="shared" si="1098"/>
        <v>2588714.1945000002</v>
      </c>
      <c r="AE1645" s="236">
        <v>39.68</v>
      </c>
      <c r="AF1645" s="147">
        <v>42</v>
      </c>
      <c r="AG1645" s="236">
        <v>39.68</v>
      </c>
      <c r="AH1645" s="287">
        <v>4.5999999999999999E-3</v>
      </c>
      <c r="AI1645" s="287">
        <v>4.1000000000000002E-2</v>
      </c>
      <c r="AJ1645" s="287">
        <v>5.6000000000000001E-2</v>
      </c>
      <c r="AK1645" s="318">
        <f t="shared" si="1155"/>
        <v>135021.23809523811</v>
      </c>
      <c r="AL1645" s="467">
        <v>0</v>
      </c>
      <c r="AM1645" s="321">
        <v>0</v>
      </c>
      <c r="AN1645" s="321">
        <v>0</v>
      </c>
      <c r="AO1645" s="318">
        <f t="shared" si="1156"/>
        <v>0</v>
      </c>
      <c r="AP1645" s="467">
        <v>0</v>
      </c>
      <c r="AQ1645" s="318">
        <v>0</v>
      </c>
      <c r="AR1645" s="318">
        <f t="shared" si="1157"/>
        <v>135021.23809523811</v>
      </c>
      <c r="AS1645" s="318">
        <f t="shared" si="1158"/>
        <v>141772</v>
      </c>
      <c r="AT1645" s="321">
        <v>0</v>
      </c>
      <c r="AU1645" s="464"/>
      <c r="AV1645" s="449"/>
      <c r="AW1645" s="318">
        <f t="shared" si="1159"/>
        <v>29450</v>
      </c>
      <c r="AX1645" s="467"/>
      <c r="AY1645" s="318">
        <f t="shared" si="1160"/>
        <v>29450</v>
      </c>
      <c r="AZ1645" s="318">
        <f t="shared" si="1161"/>
        <v>29410.000000000004</v>
      </c>
      <c r="BA1645" s="318">
        <f t="shared" si="1162"/>
        <v>39.999999999996362</v>
      </c>
      <c r="BB1645" s="318">
        <f t="shared" si="1163"/>
        <v>58.9</v>
      </c>
      <c r="BC1645" s="318">
        <v>0</v>
      </c>
      <c r="BD1645" s="467"/>
      <c r="BE1645" s="138">
        <v>294.5</v>
      </c>
      <c r="BF1645" s="321">
        <f t="shared" si="1164"/>
        <v>0.44174999999999998</v>
      </c>
      <c r="BG1645" s="321">
        <f t="shared" si="1165"/>
        <v>294.05824999999999</v>
      </c>
      <c r="BH1645" s="321">
        <f t="shared" si="1166"/>
        <v>294.10000000000002</v>
      </c>
      <c r="BI1645" s="322">
        <f t="shared" si="1167"/>
        <v>39.999999999997726</v>
      </c>
      <c r="BJ1645" s="322">
        <v>0</v>
      </c>
      <c r="BK1645" s="318">
        <f t="shared" si="1168"/>
        <v>39.999999999997726</v>
      </c>
      <c r="BL1645" s="449"/>
      <c r="BM1645" s="449" t="str">
        <f t="shared" si="1169"/>
        <v>Unloading no. 1610 Bill No 217 ,Deduction For Oil Deduction= 135021.238095238 ,Bardana= 0 ,F.M= 0 Brokerage/Rate Difference 0 ,Shortage = 0 ,Greenish= 0 ,Moisture= 0</v>
      </c>
      <c r="BN1645" s="449"/>
      <c r="BO1645" s="449" t="str">
        <f t="shared" si="1170"/>
        <v xml:space="preserve"> Party Condition 42  ,F.M% 0.46 ,Greenish 4.1 ,Moisture 5.6 ,Shortage in KG= 0  ,Oil% 39.68</v>
      </c>
      <c r="BP1645" s="464">
        <f t="shared" si="1171"/>
        <v>7852.1889218114993</v>
      </c>
      <c r="BQ1645" s="449"/>
      <c r="BR1645" s="449"/>
      <c r="BS1645" s="449"/>
      <c r="BT1645" s="449"/>
      <c r="BU1645" s="449"/>
      <c r="BV1645" s="449"/>
      <c r="BW1645" s="449"/>
      <c r="BX1645" s="147">
        <v>39.409999999999997</v>
      </c>
      <c r="BY1645" s="147">
        <v>39.380000000000003</v>
      </c>
      <c r="CO1645" s="460">
        <f t="shared" si="1172"/>
        <v>0.27000000000000313</v>
      </c>
      <c r="CP1645" s="460">
        <f t="shared" si="1173"/>
        <v>0.29999999999999716</v>
      </c>
    </row>
    <row r="1646" spans="1:94" ht="14.1" hidden="1" customHeight="1" x14ac:dyDescent="0.3">
      <c r="A1646" s="128" t="s">
        <v>3474</v>
      </c>
      <c r="B1646" s="129">
        <v>46242</v>
      </c>
      <c r="C1646" s="281">
        <v>1611</v>
      </c>
      <c r="D1646" s="128" t="s">
        <v>3491</v>
      </c>
      <c r="E1646" s="130">
        <v>46245</v>
      </c>
      <c r="F1646" s="281" t="s">
        <v>3299</v>
      </c>
      <c r="G1646" s="128" t="s">
        <v>2630</v>
      </c>
      <c r="H1646" s="128" t="s">
        <v>1508</v>
      </c>
      <c r="I1646" s="136"/>
      <c r="J1646" s="281" t="s">
        <v>1146</v>
      </c>
      <c r="K1646" s="136"/>
      <c r="L1646" s="146">
        <v>46242</v>
      </c>
      <c r="M1646" s="136"/>
      <c r="N1646" s="281">
        <v>219</v>
      </c>
      <c r="O1646" s="130">
        <v>46244</v>
      </c>
      <c r="P1646" s="138">
        <v>0</v>
      </c>
      <c r="Q1646" s="138">
        <v>410</v>
      </c>
      <c r="R1646" s="138">
        <v>100</v>
      </c>
      <c r="S1646" s="138">
        <v>510</v>
      </c>
      <c r="T1646" s="138">
        <v>510</v>
      </c>
      <c r="U1646" s="136"/>
      <c r="V1646" s="136"/>
      <c r="W1646" s="147">
        <v>304.39999999999998</v>
      </c>
      <c r="X1646" s="147">
        <v>304.60000000000002</v>
      </c>
      <c r="Y1646" s="196">
        <f>2550872-24352</f>
        <v>2526520</v>
      </c>
      <c r="Z1646" s="236">
        <v>39.39</v>
      </c>
      <c r="AA1646" s="147">
        <v>63771.8</v>
      </c>
      <c r="AB1646" s="147">
        <v>63771.8</v>
      </c>
      <c r="AC1646" s="147">
        <v>2678415.6</v>
      </c>
      <c r="AD1646" s="321">
        <f t="shared" si="1098"/>
        <v>2675737.1844000001</v>
      </c>
      <c r="AE1646" s="236">
        <v>39.39</v>
      </c>
      <c r="AF1646" s="147">
        <v>42</v>
      </c>
      <c r="AG1646" s="236">
        <v>39.39</v>
      </c>
      <c r="AH1646" s="287">
        <v>4.3E-3</v>
      </c>
      <c r="AI1646" s="287">
        <v>4.1599999999999998E-2</v>
      </c>
      <c r="AJ1646" s="287">
        <v>5.5E-2</v>
      </c>
      <c r="AK1646" s="318">
        <f t="shared" si="1155"/>
        <v>157005.1714285714</v>
      </c>
      <c r="AL1646" s="467">
        <v>0</v>
      </c>
      <c r="AM1646" s="321">
        <v>0</v>
      </c>
      <c r="AN1646" s="321">
        <v>0</v>
      </c>
      <c r="AO1646" s="318">
        <f t="shared" si="1156"/>
        <v>0</v>
      </c>
      <c r="AP1646" s="467">
        <v>0</v>
      </c>
      <c r="AQ1646" s="318">
        <v>0</v>
      </c>
      <c r="AR1646" s="318">
        <f t="shared" si="1157"/>
        <v>157005.1714285714</v>
      </c>
      <c r="AS1646" s="318">
        <f t="shared" si="1158"/>
        <v>164855</v>
      </c>
      <c r="AT1646" s="321">
        <v>0</v>
      </c>
      <c r="AU1646" s="464"/>
      <c r="AV1646" s="449"/>
      <c r="AW1646" s="318">
        <f t="shared" si="1159"/>
        <v>30439.999999999996</v>
      </c>
      <c r="AX1646" s="467"/>
      <c r="AY1646" s="318">
        <f t="shared" si="1160"/>
        <v>30439.999999999996</v>
      </c>
      <c r="AZ1646" s="318">
        <f t="shared" si="1161"/>
        <v>30460.000000000004</v>
      </c>
      <c r="BA1646" s="318">
        <f t="shared" si="1162"/>
        <v>-20.000000000007276</v>
      </c>
      <c r="BB1646" s="318">
        <f t="shared" si="1163"/>
        <v>60.879999999999995</v>
      </c>
      <c r="BC1646" s="318">
        <v>0</v>
      </c>
      <c r="BD1646" s="467"/>
      <c r="BE1646" s="138">
        <v>304.39999999999998</v>
      </c>
      <c r="BF1646" s="321">
        <f t="shared" si="1164"/>
        <v>0.45659999999999995</v>
      </c>
      <c r="BG1646" s="321">
        <f t="shared" si="1165"/>
        <v>303.9434</v>
      </c>
      <c r="BH1646" s="321">
        <f t="shared" si="1166"/>
        <v>304.60000000000002</v>
      </c>
      <c r="BI1646" s="322">
        <f t="shared" si="1167"/>
        <v>-20.000000000004547</v>
      </c>
      <c r="BJ1646" s="322">
        <v>0</v>
      </c>
      <c r="BK1646" s="318">
        <f t="shared" si="1168"/>
        <v>-20.000000000004547</v>
      </c>
      <c r="BL1646" s="449"/>
      <c r="BM1646" s="449" t="str">
        <f t="shared" si="1169"/>
        <v>Unloading no. 1611 Bill No 219 ,Deduction For Oil Deduction= 157005.171428571 ,Bardana= 0 ,F.M= 0 Brokerage/Rate Difference 0 ,Shortage = 0 ,Greenish= 0 ,Moisture= 0</v>
      </c>
      <c r="BN1646" s="449"/>
      <c r="BO1646" s="449" t="str">
        <f t="shared" si="1170"/>
        <v xml:space="preserve"> Party Condition 42  ,F.M% 0.43 ,Greenish 4.16 ,Moisture 5.5 ,Shortage in KG= 0  ,Oil% 39.39</v>
      </c>
      <c r="BP1646" s="464">
        <f t="shared" si="1171"/>
        <v>7779.1031798142758</v>
      </c>
      <c r="BQ1646" s="449"/>
      <c r="BR1646" s="449"/>
      <c r="BS1646" s="449"/>
      <c r="BT1646" s="449"/>
      <c r="BU1646" s="449"/>
      <c r="BV1646" s="449"/>
      <c r="BW1646" s="449"/>
      <c r="BX1646" s="147">
        <v>39.020000000000003</v>
      </c>
      <c r="BY1646" s="147">
        <v>39.299999999999997</v>
      </c>
      <c r="CO1646" s="460">
        <f t="shared" si="1172"/>
        <v>0.36999999999999744</v>
      </c>
      <c r="CP1646" s="460">
        <f t="shared" si="1173"/>
        <v>9.0000000000003411E-2</v>
      </c>
    </row>
    <row r="1647" spans="1:94" ht="14.1" hidden="1" customHeight="1" x14ac:dyDescent="0.3">
      <c r="A1647" s="128" t="s">
        <v>3476</v>
      </c>
      <c r="B1647" s="129">
        <v>46245</v>
      </c>
      <c r="C1647" s="281">
        <v>1612</v>
      </c>
      <c r="D1647" s="161" t="s">
        <v>3492</v>
      </c>
      <c r="E1647" s="192">
        <v>46245</v>
      </c>
      <c r="F1647" s="312" t="s">
        <v>1575</v>
      </c>
      <c r="G1647" s="161" t="s">
        <v>1576</v>
      </c>
      <c r="H1647" s="161" t="s">
        <v>103</v>
      </c>
      <c r="I1647" s="193"/>
      <c r="J1647" s="312" t="s">
        <v>1146</v>
      </c>
      <c r="K1647" s="193"/>
      <c r="L1647" s="310">
        <v>46245</v>
      </c>
      <c r="M1647" s="193"/>
      <c r="N1647" s="312" t="s">
        <v>3495</v>
      </c>
      <c r="O1647" s="130">
        <v>46245</v>
      </c>
      <c r="P1647" s="138">
        <v>0</v>
      </c>
      <c r="Q1647" s="138">
        <v>200</v>
      </c>
      <c r="R1647" s="138">
        <v>400</v>
      </c>
      <c r="S1647" s="138">
        <v>600</v>
      </c>
      <c r="T1647" s="138">
        <v>600</v>
      </c>
      <c r="U1647" s="136"/>
      <c r="V1647" s="136"/>
      <c r="W1647" s="147">
        <v>301.10000000000002</v>
      </c>
      <c r="X1647" s="147">
        <v>301.39999999999998</v>
      </c>
      <c r="Y1647" s="147">
        <v>2544596.1</v>
      </c>
      <c r="Z1647" s="471">
        <v>40.659999999999997</v>
      </c>
      <c r="AA1647" s="147">
        <v>63614.9</v>
      </c>
      <c r="AB1647" s="147">
        <v>63614.9</v>
      </c>
      <c r="AC1647" s="147">
        <v>2671825.91</v>
      </c>
      <c r="AD1647" s="321">
        <f t="shared" si="1098"/>
        <v>2669154.08409</v>
      </c>
      <c r="AE1647" s="471">
        <v>40.659999999999997</v>
      </c>
      <c r="AF1647" s="147">
        <v>42</v>
      </c>
      <c r="AG1647" s="471">
        <v>40.659999999999997</v>
      </c>
      <c r="AH1647" s="287">
        <v>3.3999999999999998E-3</v>
      </c>
      <c r="AI1647" s="287">
        <v>4.6800000000000001E-2</v>
      </c>
      <c r="AJ1647" s="287">
        <v>5.6000000000000001E-2</v>
      </c>
      <c r="AK1647" s="318">
        <f t="shared" si="1155"/>
        <v>81184.732714285914</v>
      </c>
      <c r="AL1647" s="467">
        <v>0</v>
      </c>
      <c r="AM1647" s="321">
        <v>0</v>
      </c>
      <c r="AN1647" s="321">
        <v>0</v>
      </c>
      <c r="AO1647" s="318">
        <f t="shared" si="1156"/>
        <v>0</v>
      </c>
      <c r="AP1647" s="467">
        <v>0</v>
      </c>
      <c r="AQ1647" s="318">
        <v>0</v>
      </c>
      <c r="AR1647" s="318">
        <f t="shared" si="1157"/>
        <v>81184.732714285914</v>
      </c>
      <c r="AS1647" s="318">
        <f t="shared" si="1158"/>
        <v>85244</v>
      </c>
      <c r="AT1647" s="321">
        <v>0</v>
      </c>
      <c r="AU1647" s="464"/>
      <c r="AV1647" s="449"/>
      <c r="AW1647" s="318">
        <f t="shared" si="1159"/>
        <v>30110.000000000004</v>
      </c>
      <c r="AX1647" s="467"/>
      <c r="AY1647" s="318">
        <f t="shared" si="1160"/>
        <v>30110.000000000004</v>
      </c>
      <c r="AZ1647" s="318">
        <f t="shared" si="1161"/>
        <v>30139.999999999996</v>
      </c>
      <c r="BA1647" s="318">
        <f t="shared" si="1162"/>
        <v>-29.999999999992724</v>
      </c>
      <c r="BB1647" s="318">
        <f t="shared" si="1163"/>
        <v>60.220000000000006</v>
      </c>
      <c r="BC1647" s="318">
        <v>0</v>
      </c>
      <c r="BD1647" s="467"/>
      <c r="BE1647" s="138">
        <v>301.10000000000002</v>
      </c>
      <c r="BF1647" s="321">
        <f t="shared" si="1164"/>
        <v>0.45165</v>
      </c>
      <c r="BG1647" s="321">
        <f t="shared" si="1165"/>
        <v>300.64835000000005</v>
      </c>
      <c r="BH1647" s="321">
        <f t="shared" si="1166"/>
        <v>301.39999999999998</v>
      </c>
      <c r="BI1647" s="322">
        <f t="shared" si="1167"/>
        <v>-29.999999999995453</v>
      </c>
      <c r="BJ1647" s="322">
        <v>0</v>
      </c>
      <c r="BK1647" s="318">
        <f t="shared" si="1168"/>
        <v>-29.999999999995453</v>
      </c>
      <c r="BL1647" s="449"/>
      <c r="BM1647" s="449" t="str">
        <f t="shared" si="1169"/>
        <v>Unloading no. 1612 Bill No 2026-27/00163 ,Deduction For Oil Deduction= 81184.7327142859 ,Bardana= 0 ,F.M= 0 Brokerage/Rate Difference 0 ,Shortage = 0 ,Greenish= 0 ,Moisture= 0</v>
      </c>
      <c r="BN1647" s="449"/>
      <c r="BO1647" s="449" t="str">
        <f t="shared" si="1170"/>
        <v xml:space="preserve"> Party Condition 42  ,F.M% 0.34 ,Greenish 4.68 ,Moisture 5.6 ,Shortage in KG= 0  ,Oil% 40.66</v>
      </c>
      <c r="BP1647" s="464">
        <f t="shared" si="1171"/>
        <v>8173.2294866812017</v>
      </c>
      <c r="BQ1647" s="449"/>
      <c r="BR1647" s="449"/>
      <c r="BS1647" s="449"/>
      <c r="BT1647" s="449"/>
      <c r="BU1647" s="449"/>
      <c r="BV1647" s="449"/>
      <c r="BW1647" s="449"/>
      <c r="BX1647" s="147">
        <v>40.31</v>
      </c>
      <c r="BY1647" s="147">
        <v>40.270000000000003</v>
      </c>
      <c r="CO1647" s="460">
        <f t="shared" si="1172"/>
        <v>0.34999999999999432</v>
      </c>
      <c r="CP1647" s="460">
        <f t="shared" si="1173"/>
        <v>0.38999999999999346</v>
      </c>
    </row>
    <row r="1648" spans="1:94" ht="14.1" hidden="1" customHeight="1" x14ac:dyDescent="0.3">
      <c r="A1648" s="128" t="s">
        <v>3477</v>
      </c>
      <c r="B1648" s="129">
        <v>46244</v>
      </c>
      <c r="C1648" s="281">
        <v>1613</v>
      </c>
      <c r="D1648" s="128" t="s">
        <v>3493</v>
      </c>
      <c r="E1648" s="130">
        <v>46246</v>
      </c>
      <c r="F1648" s="281" t="s">
        <v>3018</v>
      </c>
      <c r="G1648" s="128" t="s">
        <v>3019</v>
      </c>
      <c r="H1648" s="128" t="s">
        <v>1508</v>
      </c>
      <c r="I1648" s="136"/>
      <c r="J1648" s="281" t="s">
        <v>1146</v>
      </c>
      <c r="K1648" s="136"/>
      <c r="L1648" s="146">
        <v>46244</v>
      </c>
      <c r="M1648" s="136"/>
      <c r="N1648" s="281" t="s">
        <v>3496</v>
      </c>
      <c r="O1648" s="130">
        <v>46245</v>
      </c>
      <c r="P1648" s="138">
        <v>0</v>
      </c>
      <c r="Q1648" s="138">
        <v>480</v>
      </c>
      <c r="R1648" s="138">
        <v>150</v>
      </c>
      <c r="S1648" s="138">
        <v>630</v>
      </c>
      <c r="T1648" s="138">
        <v>630</v>
      </c>
      <c r="U1648" s="136"/>
      <c r="V1648" s="136"/>
      <c r="W1648" s="147">
        <v>310.8</v>
      </c>
      <c r="X1648" s="147">
        <v>311</v>
      </c>
      <c r="Y1648" s="196">
        <f>2623740-2142</f>
        <v>2621598</v>
      </c>
      <c r="Z1648" s="236">
        <v>38.229999999999997</v>
      </c>
      <c r="AA1648" s="147">
        <v>65593.5</v>
      </c>
      <c r="AB1648" s="147">
        <v>65593.5</v>
      </c>
      <c r="AC1648" s="147">
        <v>2754927</v>
      </c>
      <c r="AD1648" s="321">
        <f t="shared" si="1098"/>
        <v>2752172.0729999999</v>
      </c>
      <c r="AE1648" s="236">
        <v>38.229999999999997</v>
      </c>
      <c r="AF1648" s="147">
        <v>42</v>
      </c>
      <c r="AG1648" s="236">
        <v>38.229999999999997</v>
      </c>
      <c r="AH1648" s="287">
        <v>6.3E-3</v>
      </c>
      <c r="AI1648" s="287">
        <v>4.1000000000000002E-2</v>
      </c>
      <c r="AJ1648" s="287">
        <v>5.8999999999999997E-2</v>
      </c>
      <c r="AK1648" s="318">
        <f t="shared" si="1155"/>
        <v>235319.63000000018</v>
      </c>
      <c r="AL1648" s="467">
        <v>0</v>
      </c>
      <c r="AM1648" s="321">
        <v>0</v>
      </c>
      <c r="AN1648" s="321">
        <v>0</v>
      </c>
      <c r="AO1648" s="318">
        <f t="shared" si="1156"/>
        <v>0</v>
      </c>
      <c r="AP1648" s="467">
        <v>0</v>
      </c>
      <c r="AQ1648" s="318">
        <v>0</v>
      </c>
      <c r="AR1648" s="318">
        <f t="shared" si="1157"/>
        <v>235319.63000000018</v>
      </c>
      <c r="AS1648" s="318">
        <f t="shared" si="1158"/>
        <v>247086</v>
      </c>
      <c r="AT1648" s="321">
        <v>0</v>
      </c>
      <c r="AU1648" s="464"/>
      <c r="AV1648" s="449"/>
      <c r="AW1648" s="318">
        <f t="shared" si="1159"/>
        <v>31080</v>
      </c>
      <c r="AX1648" s="467"/>
      <c r="AY1648" s="318">
        <f t="shared" si="1160"/>
        <v>31080</v>
      </c>
      <c r="AZ1648" s="318">
        <f t="shared" si="1161"/>
        <v>31100</v>
      </c>
      <c r="BA1648" s="318">
        <f t="shared" si="1162"/>
        <v>-20</v>
      </c>
      <c r="BB1648" s="318">
        <f t="shared" si="1163"/>
        <v>62.16</v>
      </c>
      <c r="BC1648" s="318">
        <v>0</v>
      </c>
      <c r="BD1648" s="467"/>
      <c r="BE1648" s="138">
        <v>310.8</v>
      </c>
      <c r="BF1648" s="321">
        <f t="shared" si="1164"/>
        <v>0.46619999999999995</v>
      </c>
      <c r="BG1648" s="321">
        <f t="shared" si="1165"/>
        <v>310.3338</v>
      </c>
      <c r="BH1648" s="321">
        <f t="shared" si="1166"/>
        <v>311</v>
      </c>
      <c r="BI1648" s="322">
        <f t="shared" si="1167"/>
        <v>-19.999999999998863</v>
      </c>
      <c r="BJ1648" s="322">
        <v>0</v>
      </c>
      <c r="BK1648" s="318">
        <f t="shared" si="1168"/>
        <v>-19.999999999998863</v>
      </c>
      <c r="BL1648" s="449"/>
      <c r="BM1648" s="449" t="str">
        <f t="shared" si="1169"/>
        <v>Unloading no. 1613 Bill No BTC-9/26-27 ,Deduction For Oil Deduction= 235319.63 ,Bardana= 0 ,F.M= 0 Brokerage/Rate Difference 0 ,Shortage = 0 ,Greenish= 0 ,Moisture= 0</v>
      </c>
      <c r="BN1648" s="449"/>
      <c r="BO1648" s="449" t="str">
        <f t="shared" si="1170"/>
        <v xml:space="preserve"> Party Condition 42  ,F.M% 0.63 ,Greenish 4.1 ,Moisture 5.9 ,Shortage in KG= 0  ,Oil% 38.23</v>
      </c>
      <c r="BP1648" s="464">
        <f t="shared" si="1171"/>
        <v>7672.9208038585193</v>
      </c>
      <c r="BQ1648" s="449"/>
      <c r="BR1648" s="449"/>
      <c r="BS1648" s="449"/>
      <c r="BT1648" s="449"/>
      <c r="BU1648" s="449"/>
      <c r="BV1648" s="449"/>
      <c r="BW1648" s="449"/>
      <c r="BX1648" s="147">
        <v>38.44</v>
      </c>
      <c r="BY1648" s="147">
        <v>38.4</v>
      </c>
      <c r="CO1648" s="460">
        <f t="shared" si="1172"/>
        <v>-0.21000000000000085</v>
      </c>
      <c r="CP1648" s="460">
        <f t="shared" si="1173"/>
        <v>-0.17000000000000171</v>
      </c>
    </row>
    <row r="1649" spans="1:94" ht="14.1" hidden="1" customHeight="1" x14ac:dyDescent="0.3">
      <c r="A1649" s="128" t="s">
        <v>3477</v>
      </c>
      <c r="B1649" s="129">
        <v>46244</v>
      </c>
      <c r="C1649" s="281">
        <v>1614</v>
      </c>
      <c r="D1649" s="128" t="s">
        <v>3494</v>
      </c>
      <c r="E1649" s="130">
        <v>46246</v>
      </c>
      <c r="F1649" s="281" t="s">
        <v>3018</v>
      </c>
      <c r="G1649" s="128" t="s">
        <v>3019</v>
      </c>
      <c r="H1649" s="128" t="s">
        <v>1508</v>
      </c>
      <c r="I1649" s="136"/>
      <c r="J1649" s="281" t="s">
        <v>1146</v>
      </c>
      <c r="K1649" s="136"/>
      <c r="L1649" s="146">
        <v>46244</v>
      </c>
      <c r="M1649" s="136"/>
      <c r="N1649" s="281" t="s">
        <v>3497</v>
      </c>
      <c r="O1649" s="130">
        <v>46245</v>
      </c>
      <c r="P1649" s="138">
        <v>0</v>
      </c>
      <c r="Q1649" s="138">
        <v>240</v>
      </c>
      <c r="R1649" s="138">
        <v>350</v>
      </c>
      <c r="S1649" s="138">
        <v>590</v>
      </c>
      <c r="T1649" s="138">
        <v>590</v>
      </c>
      <c r="U1649" s="136"/>
      <c r="V1649" s="136"/>
      <c r="W1649" s="147">
        <v>292.3</v>
      </c>
      <c r="X1649" s="147">
        <v>292.2</v>
      </c>
      <c r="Y1649" s="196">
        <f>2467556.5-2006</f>
        <v>2465550.5</v>
      </c>
      <c r="Z1649" s="236">
        <v>38.450000000000003</v>
      </c>
      <c r="AA1649" s="147">
        <v>61688.91</v>
      </c>
      <c r="AB1649" s="147">
        <v>61688.91</v>
      </c>
      <c r="AC1649" s="147">
        <v>2590934.33</v>
      </c>
      <c r="AD1649" s="321">
        <f t="shared" si="1098"/>
        <v>2588343.39567</v>
      </c>
      <c r="AE1649" s="236">
        <v>38.450000000000003</v>
      </c>
      <c r="AF1649" s="147">
        <v>42</v>
      </c>
      <c r="AG1649" s="236">
        <v>38.450000000000003</v>
      </c>
      <c r="AH1649" s="287">
        <v>6.0000000000000001E-3</v>
      </c>
      <c r="AI1649" s="287">
        <v>3.9E-2</v>
      </c>
      <c r="AJ1649" s="287">
        <v>5.8000000000000003E-2</v>
      </c>
      <c r="AK1649" s="318">
        <f t="shared" si="1155"/>
        <v>208397.72083333318</v>
      </c>
      <c r="AL1649" s="467">
        <v>0</v>
      </c>
      <c r="AM1649" s="321">
        <v>0</v>
      </c>
      <c r="AN1649" s="321">
        <v>0</v>
      </c>
      <c r="AO1649" s="318">
        <f t="shared" si="1156"/>
        <v>0</v>
      </c>
      <c r="AP1649" s="467">
        <v>0</v>
      </c>
      <c r="AQ1649" s="318">
        <v>0</v>
      </c>
      <c r="AR1649" s="318">
        <f t="shared" si="1157"/>
        <v>208397.72083333318</v>
      </c>
      <c r="AS1649" s="318">
        <f t="shared" si="1158"/>
        <v>218818</v>
      </c>
      <c r="AT1649" s="321">
        <v>0</v>
      </c>
      <c r="AU1649" s="464"/>
      <c r="AV1649" s="449"/>
      <c r="AW1649" s="318">
        <f t="shared" si="1159"/>
        <v>29230</v>
      </c>
      <c r="AX1649" s="467"/>
      <c r="AY1649" s="318">
        <f t="shared" si="1160"/>
        <v>29230</v>
      </c>
      <c r="AZ1649" s="318">
        <f t="shared" si="1161"/>
        <v>29220</v>
      </c>
      <c r="BA1649" s="318">
        <f t="shared" si="1162"/>
        <v>10</v>
      </c>
      <c r="BB1649" s="318">
        <f t="shared" si="1163"/>
        <v>58.46</v>
      </c>
      <c r="BC1649" s="318">
        <v>0</v>
      </c>
      <c r="BD1649" s="467"/>
      <c r="BE1649" s="138">
        <v>292.3</v>
      </c>
      <c r="BF1649" s="321">
        <f t="shared" ref="BF1649" si="1174">+BE1649*0.15/100</f>
        <v>0.43845000000000001</v>
      </c>
      <c r="BG1649" s="321">
        <f t="shared" ref="BG1649" si="1175">BE1649-BF1649</f>
        <v>291.86155000000002</v>
      </c>
      <c r="BH1649" s="321">
        <f t="shared" ref="BH1649" si="1176">X1649</f>
        <v>292.2</v>
      </c>
      <c r="BI1649" s="322">
        <f t="shared" ref="BI1649" si="1177">(BE1649-BH1649)*100</f>
        <v>10.000000000002274</v>
      </c>
      <c r="BJ1649" s="322">
        <v>0</v>
      </c>
      <c r="BK1649" s="318">
        <f t="shared" ref="BK1649" si="1178">BI1649</f>
        <v>10.000000000002274</v>
      </c>
      <c r="BL1649" s="449"/>
      <c r="BM1649" s="449" t="str">
        <f t="shared" ref="BM1649" si="1179">+$C$1&amp;" "&amp;C1649 &amp;" "&amp;$N$1&amp;" "&amp;N1649&amp;" "&amp;$BM$1&amp;" "&amp;$AK$1&amp;" "&amp;AK1649&amp;" "&amp;$AL$1&amp;" "&amp;AL1649&amp;" "&amp;$AM$1&amp;" "&amp;AM1649&amp;" "&amp;$AN$1&amp;" "&amp;AN1649&amp;" "&amp;$AO$1&amp;" "&amp;AO1649&amp;" "&amp;$AP$1&amp;" "&amp;AP1649&amp;" "&amp;$AQ$1&amp;" "&amp;AQ1649</f>
        <v>Unloading no. 1614 Bill No BTC-10/26-27 ,Deduction For Oil Deduction= 208397.720833333 ,Bardana= 0 ,F.M= 0 Brokerage/Rate Difference 0 ,Shortage = 0 ,Greenish= 0 ,Moisture= 0</v>
      </c>
      <c r="BN1649" s="449"/>
      <c r="BO1649" s="449" t="str">
        <f t="shared" ref="BO1649" si="1180">+" "&amp;$AF$1&amp;" "&amp;AF1649&amp;" "&amp;" "&amp;$AH$1&amp;" "&amp;AH1649*100&amp;" "&amp;$AI$1&amp;" "&amp;AI1649*100&amp;" "&amp;$AJ$1&amp;" "&amp;AJ1649*100&amp;" ,"&amp;$AT$1&amp;" "&amp;AT1649&amp;" "&amp;IF(AE1649&gt;AG1649," ,Oil%"&amp;" "&amp;AG1649," ,Oil%"&amp;" "&amp;AE1649)</f>
        <v xml:space="preserve"> Party Condition 42  ,F.M% 0.6 ,Greenish 3.9 ,Moisture 5.8 ,Shortage in KG= 0  ,Oil% 38.45</v>
      </c>
      <c r="BP1649" s="464">
        <f t="shared" ref="BP1649" si="1181">(Y1649-AR1649)/X1649</f>
        <v>7724.6843913985858</v>
      </c>
      <c r="BQ1649" s="449"/>
      <c r="BR1649" s="449"/>
      <c r="BS1649" s="449"/>
      <c r="BT1649" s="449"/>
      <c r="BU1649" s="449"/>
      <c r="BV1649" s="449"/>
      <c r="BW1649" s="449"/>
      <c r="BX1649" s="147">
        <v>38.28</v>
      </c>
      <c r="BY1649" s="147">
        <v>38.369999999999997</v>
      </c>
      <c r="CO1649" s="460">
        <f t="shared" si="1172"/>
        <v>0.17000000000000171</v>
      </c>
      <c r="CP1649" s="460">
        <f t="shared" si="1173"/>
        <v>8.00000000000054E-2</v>
      </c>
    </row>
    <row r="1650" spans="1:94" ht="14.1" hidden="1" customHeight="1" x14ac:dyDescent="0.3">
      <c r="A1650" s="128" t="s">
        <v>3498</v>
      </c>
      <c r="B1650" s="129">
        <v>46244</v>
      </c>
      <c r="C1650" s="281">
        <v>1615</v>
      </c>
      <c r="D1650" s="128" t="s">
        <v>3504</v>
      </c>
      <c r="E1650" s="130">
        <v>46247</v>
      </c>
      <c r="F1650" s="281" t="s">
        <v>98</v>
      </c>
      <c r="G1650" s="128" t="s">
        <v>99</v>
      </c>
      <c r="H1650" s="128" t="s">
        <v>100</v>
      </c>
      <c r="I1650" s="136"/>
      <c r="J1650" s="281" t="s">
        <v>2499</v>
      </c>
      <c r="K1650" s="136"/>
      <c r="L1650" s="146">
        <v>46244</v>
      </c>
      <c r="M1650" s="136"/>
      <c r="N1650" s="281">
        <v>160</v>
      </c>
      <c r="O1650" s="146">
        <v>46246</v>
      </c>
      <c r="P1650" s="138">
        <v>0</v>
      </c>
      <c r="Q1650" s="138">
        <v>280</v>
      </c>
      <c r="R1650" s="138">
        <v>135</v>
      </c>
      <c r="S1650" s="138">
        <v>415</v>
      </c>
      <c r="T1650" s="138">
        <v>415</v>
      </c>
      <c r="U1650" s="136"/>
      <c r="V1650" s="136"/>
      <c r="W1650" s="147">
        <v>251.5</v>
      </c>
      <c r="X1650" s="147">
        <v>251.2</v>
      </c>
      <c r="Y1650" s="147">
        <v>2126935.5</v>
      </c>
      <c r="Z1650" s="169"/>
      <c r="AA1650" s="147">
        <v>53173.39</v>
      </c>
      <c r="AB1650" s="147">
        <v>53173.39</v>
      </c>
      <c r="AC1650" s="147">
        <v>2233282.2799999998</v>
      </c>
      <c r="AD1650" s="321">
        <f t="shared" si="1098"/>
        <v>2231048.9977199999</v>
      </c>
      <c r="AE1650" s="147">
        <v>39.799999999999997</v>
      </c>
      <c r="AF1650" s="147">
        <v>42</v>
      </c>
      <c r="AG1650" s="147">
        <v>39.76</v>
      </c>
      <c r="AH1650" s="287">
        <v>4.1999999999999997E-3</v>
      </c>
      <c r="AI1650" s="287">
        <v>0.03</v>
      </c>
      <c r="AJ1650" s="287">
        <v>5.8999999999999997E-2</v>
      </c>
      <c r="AK1650" s="318">
        <f t="shared" ref="AK1650:AK1668" si="1182">+IF(AF1650=42,IF(MIN(AE1650,AG1650)&lt;AF1650,Y1650*((AF1650-MIN(AE1650,AG1650))/AF1650)),IF(MIN(AE1650,AG1650)&lt;AF1650,Y1650*((AF1650-MIN(AE1650,AG1650))/AF1650),0))</f>
        <v>113436.5600000001</v>
      </c>
      <c r="AL1650" s="467">
        <v>0</v>
      </c>
      <c r="AM1650" s="321">
        <v>0</v>
      </c>
      <c r="AN1650" s="321">
        <v>0</v>
      </c>
      <c r="AO1650" s="318">
        <f t="shared" ref="AO1650:AO1668" si="1183">AT1650*Y1650/AW1650</f>
        <v>0</v>
      </c>
      <c r="AP1650" s="467">
        <v>0</v>
      </c>
      <c r="AQ1650" s="318">
        <v>0</v>
      </c>
      <c r="AR1650" s="318">
        <f t="shared" ref="AR1650:AR1668" si="1184">SUM(AK1650:AQ1650)</f>
        <v>113436.5600000001</v>
      </c>
      <c r="AS1650" s="318">
        <f t="shared" ref="AS1650:AS1668" si="1185">ROUND(AR1650*1.05,0)</f>
        <v>119108</v>
      </c>
      <c r="AT1650" s="321">
        <v>0</v>
      </c>
      <c r="AU1650" s="464"/>
      <c r="AV1650" s="449"/>
      <c r="AW1650" s="318">
        <f t="shared" ref="AW1650:AW1668" si="1186">W1650*100</f>
        <v>25150</v>
      </c>
      <c r="AX1650" s="467"/>
      <c r="AY1650" s="318">
        <f t="shared" ref="AY1650:AY1668" si="1187">+AW1650+AX1650</f>
        <v>25150</v>
      </c>
      <c r="AZ1650" s="318">
        <f t="shared" ref="AZ1650:AZ1668" si="1188">X1650*100</f>
        <v>25120</v>
      </c>
      <c r="BA1650" s="318">
        <f t="shared" ref="BA1650:BA1668" si="1189">AY1650-AZ1650</f>
        <v>30</v>
      </c>
      <c r="BB1650" s="318">
        <f t="shared" ref="BB1650:BB1668" si="1190">AW1650*2/1000</f>
        <v>50.3</v>
      </c>
      <c r="BC1650" s="318">
        <v>0</v>
      </c>
      <c r="BD1650" s="467"/>
      <c r="BE1650" s="138">
        <v>251.5</v>
      </c>
      <c r="BF1650" s="321">
        <f t="shared" ref="BF1650:BF1667" si="1191">+BE1650*0.15/100</f>
        <v>0.37725000000000003</v>
      </c>
      <c r="BG1650" s="321">
        <f t="shared" ref="BG1650:BG1667" si="1192">BE1650-BF1650</f>
        <v>251.12275</v>
      </c>
      <c r="BH1650" s="321">
        <f t="shared" ref="BH1650:BH1667" si="1193">X1650</f>
        <v>251.2</v>
      </c>
      <c r="BI1650" s="322">
        <f t="shared" ref="BI1650:BI1667" si="1194">(BE1650-BH1650)*100</f>
        <v>30.000000000001137</v>
      </c>
      <c r="BJ1650" s="322">
        <v>0</v>
      </c>
      <c r="BK1650" s="318">
        <f t="shared" ref="BK1650:BK1667" si="1195">BI1650</f>
        <v>30.000000000001137</v>
      </c>
      <c r="BL1650" s="449"/>
      <c r="BM1650" s="449" t="str">
        <f t="shared" ref="BM1650:BM1667" si="1196">+$C$1&amp;" "&amp;C1650 &amp;" "&amp;$N$1&amp;" "&amp;N1650&amp;" "&amp;$BM$1&amp;" "&amp;$AK$1&amp;" "&amp;AK1650&amp;" "&amp;$AL$1&amp;" "&amp;AL1650&amp;" "&amp;$AM$1&amp;" "&amp;AM1650&amp;" "&amp;$AN$1&amp;" "&amp;AN1650&amp;" "&amp;$AO$1&amp;" "&amp;AO1650&amp;" "&amp;$AP$1&amp;" "&amp;AP1650&amp;" "&amp;$AQ$1&amp;" "&amp;AQ1650</f>
        <v>Unloading no. 1615 Bill No 160 ,Deduction For Oil Deduction= 113436.56 ,Bardana= 0 ,F.M= 0 Brokerage/Rate Difference 0 ,Shortage = 0 ,Greenish= 0 ,Moisture= 0</v>
      </c>
      <c r="BN1650" s="449"/>
      <c r="BO1650" s="449" t="str">
        <f t="shared" ref="BO1650:BO1667" si="1197">+" "&amp;$AF$1&amp;" "&amp;AF1650&amp;" "&amp;" "&amp;$AH$1&amp;" "&amp;AH1650*100&amp;" "&amp;$AI$1&amp;" "&amp;AI1650*100&amp;" "&amp;$AJ$1&amp;" "&amp;AJ1650*100&amp;" ,"&amp;$AT$1&amp;" "&amp;AT1650&amp;" "&amp;IF(AE1650&gt;AG1650," ,Oil%"&amp;" "&amp;AG1650," ,Oil%"&amp;" "&amp;AE1650)</f>
        <v xml:space="preserve"> Party Condition 42  ,F.M% 0.42 ,Greenish 3 ,Moisture 5.9 ,Shortage in KG= 0  ,Oil% 39.76</v>
      </c>
      <c r="BP1650" s="464">
        <f t="shared" ref="BP1650:BP1667" si="1198">(Y1650-AR1650)/X1650</f>
        <v>8015.5212579617837</v>
      </c>
      <c r="BQ1650" s="449"/>
      <c r="BR1650" s="449"/>
      <c r="BS1650" s="449"/>
      <c r="BT1650" s="449"/>
      <c r="BU1650" s="449"/>
      <c r="BV1650" s="449"/>
      <c r="BW1650" s="449"/>
      <c r="BX1650" s="147">
        <v>0</v>
      </c>
      <c r="BY1650" s="147">
        <v>0</v>
      </c>
      <c r="CO1650" s="460">
        <f t="shared" ref="CO1650:CO1668" si="1199">Z1650-BX1650</f>
        <v>0</v>
      </c>
      <c r="CP1650" s="460">
        <f t="shared" ref="CP1650:CP1668" si="1200">Z1650-BY1650</f>
        <v>0</v>
      </c>
    </row>
    <row r="1651" spans="1:94" ht="14.1" hidden="1" customHeight="1" x14ac:dyDescent="0.3">
      <c r="A1651" s="128" t="s">
        <v>3498</v>
      </c>
      <c r="B1651" s="129">
        <v>46244</v>
      </c>
      <c r="C1651" s="281">
        <v>1616</v>
      </c>
      <c r="D1651" s="128" t="s">
        <v>3505</v>
      </c>
      <c r="E1651" s="130">
        <v>46247</v>
      </c>
      <c r="F1651" s="281" t="s">
        <v>98</v>
      </c>
      <c r="G1651" s="128" t="s">
        <v>99</v>
      </c>
      <c r="H1651" s="128" t="s">
        <v>100</v>
      </c>
      <c r="I1651" s="136"/>
      <c r="J1651" s="281" t="s">
        <v>2499</v>
      </c>
      <c r="K1651" s="136"/>
      <c r="L1651" s="146">
        <v>46244</v>
      </c>
      <c r="M1651" s="136"/>
      <c r="N1651" s="281">
        <v>159</v>
      </c>
      <c r="O1651" s="146">
        <v>46246</v>
      </c>
      <c r="P1651" s="138">
        <v>0</v>
      </c>
      <c r="Q1651" s="138">
        <v>370</v>
      </c>
      <c r="R1651" s="138">
        <v>45</v>
      </c>
      <c r="S1651" s="138">
        <v>415</v>
      </c>
      <c r="T1651" s="138">
        <v>415</v>
      </c>
      <c r="U1651" s="136"/>
      <c r="V1651" s="136"/>
      <c r="W1651" s="147">
        <v>253.6</v>
      </c>
      <c r="X1651" s="147">
        <v>253.3</v>
      </c>
      <c r="Y1651" s="147">
        <v>2144695.2000000002</v>
      </c>
      <c r="Z1651" s="169"/>
      <c r="AA1651" s="147">
        <v>53617.38</v>
      </c>
      <c r="AB1651" s="147">
        <v>53617.38</v>
      </c>
      <c r="AC1651" s="147">
        <v>2251929.96</v>
      </c>
      <c r="AD1651" s="321">
        <f t="shared" si="1098"/>
        <v>2249678.0300400001</v>
      </c>
      <c r="AE1651" s="178">
        <v>40.46</v>
      </c>
      <c r="AF1651" s="147">
        <v>42</v>
      </c>
      <c r="AG1651" s="147">
        <v>40.479999999999997</v>
      </c>
      <c r="AH1651" s="287">
        <v>2.5000000000000001E-3</v>
      </c>
      <c r="AI1651" s="287">
        <v>3.2000000000000001E-2</v>
      </c>
      <c r="AJ1651" s="287">
        <v>0.05</v>
      </c>
      <c r="AK1651" s="318">
        <f t="shared" si="1182"/>
        <v>78638.823999999964</v>
      </c>
      <c r="AL1651" s="467">
        <v>0</v>
      </c>
      <c r="AM1651" s="321">
        <v>0</v>
      </c>
      <c r="AN1651" s="321">
        <v>0</v>
      </c>
      <c r="AO1651" s="318">
        <f t="shared" si="1183"/>
        <v>0</v>
      </c>
      <c r="AP1651" s="467">
        <v>0</v>
      </c>
      <c r="AQ1651" s="318">
        <v>0</v>
      </c>
      <c r="AR1651" s="318">
        <f t="shared" si="1184"/>
        <v>78638.823999999964</v>
      </c>
      <c r="AS1651" s="318">
        <f t="shared" si="1185"/>
        <v>82571</v>
      </c>
      <c r="AT1651" s="321">
        <v>0</v>
      </c>
      <c r="AU1651" s="464"/>
      <c r="AV1651" s="449"/>
      <c r="AW1651" s="318">
        <f t="shared" si="1186"/>
        <v>25360</v>
      </c>
      <c r="AX1651" s="467"/>
      <c r="AY1651" s="318">
        <f t="shared" si="1187"/>
        <v>25360</v>
      </c>
      <c r="AZ1651" s="318">
        <f t="shared" si="1188"/>
        <v>25330</v>
      </c>
      <c r="BA1651" s="318">
        <f t="shared" si="1189"/>
        <v>30</v>
      </c>
      <c r="BB1651" s="318">
        <f t="shared" si="1190"/>
        <v>50.72</v>
      </c>
      <c r="BC1651" s="318">
        <v>0</v>
      </c>
      <c r="BD1651" s="467"/>
      <c r="BE1651" s="138">
        <v>253.6</v>
      </c>
      <c r="BF1651" s="321">
        <f t="shared" si="1191"/>
        <v>0.38040000000000002</v>
      </c>
      <c r="BG1651" s="321">
        <f t="shared" si="1192"/>
        <v>253.21959999999999</v>
      </c>
      <c r="BH1651" s="321">
        <f t="shared" si="1193"/>
        <v>253.3</v>
      </c>
      <c r="BI1651" s="322">
        <f t="shared" si="1194"/>
        <v>29.999999999998295</v>
      </c>
      <c r="BJ1651" s="322">
        <v>0</v>
      </c>
      <c r="BK1651" s="318">
        <f t="shared" si="1195"/>
        <v>29.999999999998295</v>
      </c>
      <c r="BL1651" s="449"/>
      <c r="BM1651" s="449" t="str">
        <f t="shared" si="1196"/>
        <v>Unloading no. 1616 Bill No 159 ,Deduction For Oil Deduction= 78638.824 ,Bardana= 0 ,F.M= 0 Brokerage/Rate Difference 0 ,Shortage = 0 ,Greenish= 0 ,Moisture= 0</v>
      </c>
      <c r="BN1651" s="449"/>
      <c r="BO1651" s="449" t="str">
        <f t="shared" si="1197"/>
        <v xml:space="preserve"> Party Condition 42  ,F.M% 0.25 ,Greenish 3.2 ,Moisture 5 ,Shortage in KG= 0  ,Oil% 40.46</v>
      </c>
      <c r="BP1651" s="464">
        <f t="shared" si="1198"/>
        <v>8156.5589261744972</v>
      </c>
      <c r="BQ1651" s="449"/>
      <c r="BR1651" s="449"/>
      <c r="BS1651" s="449"/>
      <c r="BT1651" s="449"/>
      <c r="BU1651" s="449"/>
      <c r="BV1651" s="449"/>
      <c r="BW1651" s="449"/>
      <c r="BX1651" s="147">
        <v>0</v>
      </c>
      <c r="BY1651" s="147">
        <v>0</v>
      </c>
      <c r="CO1651" s="460">
        <f t="shared" si="1199"/>
        <v>0</v>
      </c>
      <c r="CP1651" s="460">
        <f t="shared" si="1200"/>
        <v>0</v>
      </c>
    </row>
    <row r="1652" spans="1:94" ht="14.1" hidden="1" customHeight="1" x14ac:dyDescent="0.3">
      <c r="A1652" s="281" t="s">
        <v>3498</v>
      </c>
      <c r="B1652" s="130">
        <v>46244</v>
      </c>
      <c r="C1652" s="128">
        <v>1617</v>
      </c>
      <c r="D1652" s="281" t="s">
        <v>3506</v>
      </c>
      <c r="E1652" s="129">
        <v>46248</v>
      </c>
      <c r="F1652" s="128" t="s">
        <v>98</v>
      </c>
      <c r="G1652" s="281" t="s">
        <v>99</v>
      </c>
      <c r="H1652" s="128" t="s">
        <v>100</v>
      </c>
      <c r="I1652" s="136"/>
      <c r="J1652" s="281" t="s">
        <v>2499</v>
      </c>
      <c r="K1652" s="136"/>
      <c r="L1652" s="146">
        <v>46244</v>
      </c>
      <c r="M1652" s="136"/>
      <c r="N1652" s="281">
        <v>161</v>
      </c>
      <c r="O1652" s="146">
        <v>46246</v>
      </c>
      <c r="P1652" s="138">
        <v>0</v>
      </c>
      <c r="Q1652" s="138">
        <v>300</v>
      </c>
      <c r="R1652" s="138">
        <v>122</v>
      </c>
      <c r="S1652" s="138">
        <v>422</v>
      </c>
      <c r="T1652" s="138">
        <v>422</v>
      </c>
      <c r="U1652" s="136"/>
      <c r="V1652" s="136"/>
      <c r="W1652" s="147">
        <v>256.3</v>
      </c>
      <c r="X1652" s="147">
        <v>255.6</v>
      </c>
      <c r="Y1652" s="147">
        <v>2167529.1</v>
      </c>
      <c r="Z1652" s="169"/>
      <c r="AA1652" s="147">
        <v>54188.23</v>
      </c>
      <c r="AB1652" s="147">
        <v>54188.23</v>
      </c>
      <c r="AC1652" s="147">
        <v>2275905.56</v>
      </c>
      <c r="AD1652" s="470">
        <f t="shared" si="1098"/>
        <v>2273629.6544400002</v>
      </c>
      <c r="AE1652" s="147">
        <v>40.5</v>
      </c>
      <c r="AF1652" s="390">
        <v>42</v>
      </c>
      <c r="AG1652" s="147">
        <v>40.340000000000003</v>
      </c>
      <c r="AH1652" s="287">
        <v>2.8999999999999998E-3</v>
      </c>
      <c r="AI1652" s="287">
        <v>3.5000000000000003E-2</v>
      </c>
      <c r="AJ1652" s="287">
        <v>5.8999999999999997E-2</v>
      </c>
      <c r="AK1652" s="318">
        <f t="shared" si="1182"/>
        <v>85669.007285714106</v>
      </c>
      <c r="AL1652" s="467">
        <v>0</v>
      </c>
      <c r="AM1652" s="321">
        <v>0</v>
      </c>
      <c r="AN1652" s="321">
        <v>0</v>
      </c>
      <c r="AO1652" s="318">
        <f t="shared" si="1183"/>
        <v>1606.83</v>
      </c>
      <c r="AP1652" s="467">
        <v>0</v>
      </c>
      <c r="AQ1652" s="318">
        <v>0</v>
      </c>
      <c r="AR1652" s="318">
        <f t="shared" si="1184"/>
        <v>87275.837285714108</v>
      </c>
      <c r="AS1652" s="318">
        <f t="shared" si="1185"/>
        <v>91640</v>
      </c>
      <c r="AT1652" s="321">
        <v>19</v>
      </c>
      <c r="AU1652" s="464"/>
      <c r="AV1652" s="449"/>
      <c r="AW1652" s="318">
        <f t="shared" si="1186"/>
        <v>25630</v>
      </c>
      <c r="AX1652" s="467"/>
      <c r="AY1652" s="318">
        <f t="shared" si="1187"/>
        <v>25630</v>
      </c>
      <c r="AZ1652" s="318">
        <f t="shared" si="1188"/>
        <v>25560</v>
      </c>
      <c r="BA1652" s="318">
        <f t="shared" si="1189"/>
        <v>70</v>
      </c>
      <c r="BB1652" s="318">
        <f t="shared" si="1190"/>
        <v>51.26</v>
      </c>
      <c r="BC1652" s="318">
        <v>0</v>
      </c>
      <c r="BD1652" s="467"/>
      <c r="BE1652" s="138">
        <v>256.3</v>
      </c>
      <c r="BF1652" s="321">
        <f t="shared" si="1191"/>
        <v>0.38445000000000001</v>
      </c>
      <c r="BG1652" s="321">
        <f t="shared" si="1192"/>
        <v>255.91555000000002</v>
      </c>
      <c r="BH1652" s="321">
        <f t="shared" si="1193"/>
        <v>255.6</v>
      </c>
      <c r="BI1652" s="322">
        <f t="shared" si="1194"/>
        <v>70.000000000001705</v>
      </c>
      <c r="BJ1652" s="322">
        <v>0</v>
      </c>
      <c r="BK1652" s="318">
        <f t="shared" si="1195"/>
        <v>70.000000000001705</v>
      </c>
      <c r="BL1652" s="449"/>
      <c r="BM1652" s="449" t="str">
        <f t="shared" si="1196"/>
        <v>Unloading no. 1617 Bill No 161 ,Deduction For Oil Deduction= 85669.0072857141 ,Bardana= 0 ,F.M= 0 Brokerage/Rate Difference 0 ,Shortage = 1606.83 ,Greenish= 0 ,Moisture= 0</v>
      </c>
      <c r="BN1652" s="449"/>
      <c r="BO1652" s="449" t="str">
        <f t="shared" si="1197"/>
        <v xml:space="preserve"> Party Condition 42  ,F.M% 0.29 ,Greenish 3.5 ,Moisture 5.9 ,Shortage in KG= 19  ,Oil% 40.34</v>
      </c>
      <c r="BP1652" s="464">
        <f t="shared" si="1198"/>
        <v>8138.7060356583952</v>
      </c>
      <c r="BQ1652" s="449"/>
      <c r="BR1652" s="449"/>
      <c r="BS1652" s="449"/>
      <c r="BT1652" s="449"/>
      <c r="BU1652" s="449"/>
      <c r="BV1652" s="449"/>
      <c r="BW1652" s="449"/>
      <c r="BX1652" s="147">
        <v>40.5</v>
      </c>
      <c r="BY1652" s="147">
        <v>40.340000000000003</v>
      </c>
      <c r="CO1652" s="460">
        <f t="shared" si="1199"/>
        <v>-40.5</v>
      </c>
      <c r="CP1652" s="460">
        <f t="shared" si="1200"/>
        <v>-40.340000000000003</v>
      </c>
    </row>
    <row r="1653" spans="1:94" ht="14.1" hidden="1" customHeight="1" x14ac:dyDescent="0.3">
      <c r="A1653" s="281" t="s">
        <v>3498</v>
      </c>
      <c r="B1653" s="130">
        <v>46244</v>
      </c>
      <c r="C1653" s="128">
        <v>1618</v>
      </c>
      <c r="D1653" s="281" t="s">
        <v>3507</v>
      </c>
      <c r="E1653" s="129">
        <v>46248</v>
      </c>
      <c r="F1653" s="128" t="s">
        <v>98</v>
      </c>
      <c r="G1653" s="281" t="s">
        <v>99</v>
      </c>
      <c r="H1653" s="128" t="s">
        <v>100</v>
      </c>
      <c r="I1653" s="136"/>
      <c r="J1653" s="281" t="s">
        <v>2499</v>
      </c>
      <c r="K1653" s="136"/>
      <c r="L1653" s="146">
        <v>46244</v>
      </c>
      <c r="M1653" s="136"/>
      <c r="N1653" s="281">
        <v>162</v>
      </c>
      <c r="O1653" s="146">
        <v>46246</v>
      </c>
      <c r="P1653" s="138">
        <v>0</v>
      </c>
      <c r="Q1653" s="138">
        <v>375</v>
      </c>
      <c r="R1653" s="138">
        <v>50</v>
      </c>
      <c r="S1653" s="138">
        <v>425</v>
      </c>
      <c r="T1653" s="138">
        <v>425</v>
      </c>
      <c r="U1653" s="136"/>
      <c r="V1653" s="136"/>
      <c r="W1653" s="147">
        <v>258.25</v>
      </c>
      <c r="X1653" s="147">
        <v>257.8</v>
      </c>
      <c r="Y1653" s="147">
        <v>2184020.25</v>
      </c>
      <c r="Z1653" s="169"/>
      <c r="AA1653" s="147">
        <v>54600.51</v>
      </c>
      <c r="AB1653" s="147">
        <v>54600.51</v>
      </c>
      <c r="AC1653" s="147">
        <v>2293221.2599999998</v>
      </c>
      <c r="AD1653" s="470">
        <f t="shared" si="1098"/>
        <v>2290928.0387399998</v>
      </c>
      <c r="AE1653" s="147">
        <v>39.85</v>
      </c>
      <c r="AF1653" s="390">
        <v>42</v>
      </c>
      <c r="AG1653" s="147">
        <v>39.75</v>
      </c>
      <c r="AH1653" s="287">
        <v>2.7000000000000001E-3</v>
      </c>
      <c r="AI1653" s="287">
        <v>3.49E-2</v>
      </c>
      <c r="AJ1653" s="287">
        <v>5.8999999999999997E-2</v>
      </c>
      <c r="AK1653" s="318">
        <f t="shared" si="1182"/>
        <v>117001.08482142857</v>
      </c>
      <c r="AL1653" s="467">
        <v>0</v>
      </c>
      <c r="AM1653" s="321">
        <v>0</v>
      </c>
      <c r="AN1653" s="321">
        <v>0</v>
      </c>
      <c r="AO1653" s="318">
        <f t="shared" si="1183"/>
        <v>0</v>
      </c>
      <c r="AP1653" s="467">
        <v>0</v>
      </c>
      <c r="AQ1653" s="318">
        <v>0</v>
      </c>
      <c r="AR1653" s="318">
        <f t="shared" si="1184"/>
        <v>117001.08482142857</v>
      </c>
      <c r="AS1653" s="318">
        <f t="shared" si="1185"/>
        <v>122851</v>
      </c>
      <c r="AT1653" s="321">
        <v>0</v>
      </c>
      <c r="AU1653" s="464"/>
      <c r="AV1653" s="449"/>
      <c r="AW1653" s="318">
        <f t="shared" si="1186"/>
        <v>25825</v>
      </c>
      <c r="AX1653" s="467"/>
      <c r="AY1653" s="318">
        <f t="shared" si="1187"/>
        <v>25825</v>
      </c>
      <c r="AZ1653" s="318">
        <f t="shared" si="1188"/>
        <v>25780</v>
      </c>
      <c r="BA1653" s="318">
        <f t="shared" si="1189"/>
        <v>45</v>
      </c>
      <c r="BB1653" s="318">
        <f t="shared" si="1190"/>
        <v>51.65</v>
      </c>
      <c r="BC1653" s="318">
        <v>0</v>
      </c>
      <c r="BD1653" s="467"/>
      <c r="BE1653" s="138">
        <v>258.25</v>
      </c>
      <c r="BF1653" s="321">
        <f t="shared" si="1191"/>
        <v>0.38737499999999997</v>
      </c>
      <c r="BG1653" s="321">
        <f t="shared" si="1192"/>
        <v>257.86262499999998</v>
      </c>
      <c r="BH1653" s="321">
        <f t="shared" si="1193"/>
        <v>257.8</v>
      </c>
      <c r="BI1653" s="322">
        <f t="shared" si="1194"/>
        <v>44.999999999998863</v>
      </c>
      <c r="BJ1653" s="322">
        <v>0</v>
      </c>
      <c r="BK1653" s="318">
        <f t="shared" si="1195"/>
        <v>44.999999999998863</v>
      </c>
      <c r="BL1653" s="449"/>
      <c r="BM1653" s="449" t="str">
        <f t="shared" si="1196"/>
        <v>Unloading no. 1618 Bill No 162 ,Deduction For Oil Deduction= 117001.084821429 ,Bardana= 0 ,F.M= 0 Brokerage/Rate Difference 0 ,Shortage = 0 ,Greenish= 0 ,Moisture= 0</v>
      </c>
      <c r="BN1653" s="449"/>
      <c r="BO1653" s="449" t="str">
        <f t="shared" si="1197"/>
        <v xml:space="preserve"> Party Condition 42  ,F.M% 0.27 ,Greenish 3.49 ,Moisture 5.9 ,Shortage in KG= 0  ,Oil% 39.75</v>
      </c>
      <c r="BP1653" s="464">
        <f t="shared" si="1198"/>
        <v>8017.9176306383679</v>
      </c>
      <c r="BQ1653" s="449"/>
      <c r="BR1653" s="449"/>
      <c r="BS1653" s="449"/>
      <c r="BT1653" s="449"/>
      <c r="BU1653" s="449"/>
      <c r="BV1653" s="449"/>
      <c r="BW1653" s="449"/>
      <c r="BX1653" s="147">
        <v>39.85</v>
      </c>
      <c r="BY1653" s="147">
        <v>39.75</v>
      </c>
      <c r="CO1653" s="460">
        <f t="shared" si="1199"/>
        <v>-39.85</v>
      </c>
      <c r="CP1653" s="460">
        <f t="shared" si="1200"/>
        <v>-39.75</v>
      </c>
    </row>
    <row r="1654" spans="1:94" ht="14.1" hidden="1" customHeight="1" x14ac:dyDescent="0.3">
      <c r="A1654" s="281" t="s">
        <v>3498</v>
      </c>
      <c r="B1654" s="130">
        <v>46244</v>
      </c>
      <c r="C1654" s="128">
        <v>1619</v>
      </c>
      <c r="D1654" s="281" t="s">
        <v>3508</v>
      </c>
      <c r="E1654" s="129">
        <v>46248</v>
      </c>
      <c r="F1654" s="128" t="s">
        <v>98</v>
      </c>
      <c r="G1654" s="281" t="s">
        <v>99</v>
      </c>
      <c r="H1654" s="128" t="s">
        <v>100</v>
      </c>
      <c r="I1654" s="136"/>
      <c r="J1654" s="281" t="s">
        <v>2499</v>
      </c>
      <c r="K1654" s="136"/>
      <c r="L1654" s="146">
        <v>46244</v>
      </c>
      <c r="M1654" s="136"/>
      <c r="N1654" s="281">
        <v>163</v>
      </c>
      <c r="O1654" s="146">
        <v>46246</v>
      </c>
      <c r="P1654" s="138">
        <v>0</v>
      </c>
      <c r="Q1654" s="138">
        <v>150</v>
      </c>
      <c r="R1654" s="138">
        <v>88</v>
      </c>
      <c r="S1654" s="138">
        <v>238</v>
      </c>
      <c r="T1654" s="138">
        <v>238</v>
      </c>
      <c r="U1654" s="136"/>
      <c r="V1654" s="136"/>
      <c r="W1654" s="147">
        <v>145.35</v>
      </c>
      <c r="X1654" s="147">
        <v>145.19999999999999</v>
      </c>
      <c r="Y1654" s="147">
        <v>1229224.95</v>
      </c>
      <c r="Z1654" s="169"/>
      <c r="AA1654" s="147">
        <v>30730.62</v>
      </c>
      <c r="AB1654" s="147">
        <v>30730.62</v>
      </c>
      <c r="AC1654" s="147">
        <v>1290686.2</v>
      </c>
      <c r="AD1654" s="470">
        <f t="shared" si="1098"/>
        <v>1289395.5137999998</v>
      </c>
      <c r="AE1654" s="147">
        <v>40.58</v>
      </c>
      <c r="AF1654" s="390">
        <v>42</v>
      </c>
      <c r="AG1654" s="147">
        <v>40.51</v>
      </c>
      <c r="AH1654" s="287">
        <v>3.0000000000000001E-3</v>
      </c>
      <c r="AI1654" s="287">
        <v>3.4000000000000002E-2</v>
      </c>
      <c r="AJ1654" s="287">
        <v>5.8000000000000003E-2</v>
      </c>
      <c r="AK1654" s="318">
        <f t="shared" si="1182"/>
        <v>43608.218464285768</v>
      </c>
      <c r="AL1654" s="467">
        <v>0</v>
      </c>
      <c r="AM1654" s="321">
        <v>0</v>
      </c>
      <c r="AN1654" s="321">
        <v>0</v>
      </c>
      <c r="AO1654" s="318">
        <f t="shared" si="1183"/>
        <v>0</v>
      </c>
      <c r="AP1654" s="467">
        <v>0</v>
      </c>
      <c r="AQ1654" s="318">
        <v>0</v>
      </c>
      <c r="AR1654" s="318">
        <f t="shared" si="1184"/>
        <v>43608.218464285768</v>
      </c>
      <c r="AS1654" s="318">
        <f t="shared" si="1185"/>
        <v>45789</v>
      </c>
      <c r="AT1654" s="321">
        <v>0</v>
      </c>
      <c r="AU1654" s="464"/>
      <c r="AV1654" s="449"/>
      <c r="AW1654" s="318">
        <f t="shared" si="1186"/>
        <v>14535</v>
      </c>
      <c r="AX1654" s="467"/>
      <c r="AY1654" s="318">
        <f t="shared" si="1187"/>
        <v>14535</v>
      </c>
      <c r="AZ1654" s="318">
        <f t="shared" si="1188"/>
        <v>14519.999999999998</v>
      </c>
      <c r="BA1654" s="318">
        <f t="shared" si="1189"/>
        <v>15.000000000001819</v>
      </c>
      <c r="BB1654" s="318">
        <f t="shared" si="1190"/>
        <v>29.07</v>
      </c>
      <c r="BC1654" s="318">
        <v>0</v>
      </c>
      <c r="BD1654" s="467"/>
      <c r="BE1654" s="138">
        <v>145.35</v>
      </c>
      <c r="BF1654" s="321">
        <f t="shared" si="1191"/>
        <v>0.218025</v>
      </c>
      <c r="BG1654" s="321">
        <f t="shared" si="1192"/>
        <v>145.13197499999998</v>
      </c>
      <c r="BH1654" s="321">
        <f t="shared" si="1193"/>
        <v>145.19999999999999</v>
      </c>
      <c r="BI1654" s="322">
        <f t="shared" si="1194"/>
        <v>15.000000000000568</v>
      </c>
      <c r="BJ1654" s="322">
        <v>0</v>
      </c>
      <c r="BK1654" s="318">
        <f t="shared" si="1195"/>
        <v>15.000000000000568</v>
      </c>
      <c r="BL1654" s="449"/>
      <c r="BM1654" s="449" t="str">
        <f t="shared" si="1196"/>
        <v>Unloading no. 1619 Bill No 163 ,Deduction For Oil Deduction= 43608.2184642858 ,Bardana= 0 ,F.M= 0 Brokerage/Rate Difference 0 ,Shortage = 0 ,Greenish= 0 ,Moisture= 0</v>
      </c>
      <c r="BN1654" s="449"/>
      <c r="BO1654" s="449" t="str">
        <f t="shared" si="1197"/>
        <v xml:space="preserve"> Party Condition 42  ,F.M% 0.3 ,Greenish 3.4 ,Moisture 5.8 ,Shortage in KG= 0  ,Oil% 40.51</v>
      </c>
      <c r="BP1654" s="464">
        <f t="shared" si="1198"/>
        <v>8165.4044871605665</v>
      </c>
      <c r="BQ1654" s="449"/>
      <c r="BR1654" s="449"/>
      <c r="BS1654" s="449"/>
      <c r="BT1654" s="449"/>
      <c r="BU1654" s="449"/>
      <c r="BV1654" s="449"/>
      <c r="BW1654" s="449"/>
      <c r="BX1654" s="147">
        <v>40.58</v>
      </c>
      <c r="BY1654" s="147">
        <v>40.51</v>
      </c>
      <c r="CO1654" s="460">
        <f t="shared" si="1199"/>
        <v>-40.58</v>
      </c>
      <c r="CP1654" s="460">
        <f t="shared" si="1200"/>
        <v>-40.51</v>
      </c>
    </row>
    <row r="1655" spans="1:94" ht="14.1" hidden="1" customHeight="1" x14ac:dyDescent="0.3">
      <c r="A1655" s="281" t="s">
        <v>3499</v>
      </c>
      <c r="B1655" s="130">
        <v>46245</v>
      </c>
      <c r="C1655" s="128">
        <v>1620</v>
      </c>
      <c r="D1655" s="281" t="s">
        <v>3509</v>
      </c>
      <c r="E1655" s="129">
        <v>46248</v>
      </c>
      <c r="F1655" s="128" t="s">
        <v>3018</v>
      </c>
      <c r="G1655" s="281" t="s">
        <v>3019</v>
      </c>
      <c r="H1655" s="128" t="s">
        <v>1508</v>
      </c>
      <c r="I1655" s="136"/>
      <c r="J1655" s="281" t="s">
        <v>1146</v>
      </c>
      <c r="K1655" s="136"/>
      <c r="L1655" s="146">
        <v>46245</v>
      </c>
      <c r="M1655" s="136"/>
      <c r="N1655" s="281" t="s">
        <v>3523</v>
      </c>
      <c r="O1655" s="146">
        <v>46246</v>
      </c>
      <c r="P1655" s="138">
        <v>0</v>
      </c>
      <c r="Q1655" s="138">
        <v>300</v>
      </c>
      <c r="R1655" s="138">
        <v>112</v>
      </c>
      <c r="S1655" s="138">
        <v>412</v>
      </c>
      <c r="T1655" s="138">
        <v>412</v>
      </c>
      <c r="U1655" s="136"/>
      <c r="V1655" s="136"/>
      <c r="W1655" s="147">
        <v>249.7</v>
      </c>
      <c r="X1655" s="147">
        <v>249.2</v>
      </c>
      <c r="Y1655" s="196">
        <f>2109118.7-1401</f>
        <v>2107717.7000000002</v>
      </c>
      <c r="Z1655" s="236">
        <v>40.450000000000003</v>
      </c>
      <c r="AA1655" s="147">
        <v>52727.97</v>
      </c>
      <c r="AB1655" s="147">
        <v>52727.97</v>
      </c>
      <c r="AC1655" s="147">
        <v>2214574.64</v>
      </c>
      <c r="AD1655" s="470">
        <f t="shared" si="1098"/>
        <v>2212360.0653600004</v>
      </c>
      <c r="AE1655" s="236">
        <v>40.450000000000003</v>
      </c>
      <c r="AF1655" s="390">
        <v>42</v>
      </c>
      <c r="AG1655" s="236">
        <v>40.450000000000003</v>
      </c>
      <c r="AH1655" s="287">
        <v>2.0999999999999999E-3</v>
      </c>
      <c r="AI1655" s="287">
        <v>3.6499999999999998E-2</v>
      </c>
      <c r="AJ1655" s="287">
        <v>5.7000000000000002E-2</v>
      </c>
      <c r="AK1655" s="318">
        <f t="shared" si="1182"/>
        <v>77784.819880952244</v>
      </c>
      <c r="AL1655" s="467">
        <v>0</v>
      </c>
      <c r="AM1655" s="321">
        <v>0</v>
      </c>
      <c r="AN1655" s="321">
        <v>0</v>
      </c>
      <c r="AO1655" s="318">
        <f t="shared" si="1183"/>
        <v>0</v>
      </c>
      <c r="AP1655" s="467">
        <v>0</v>
      </c>
      <c r="AQ1655" s="318">
        <v>0</v>
      </c>
      <c r="AR1655" s="318">
        <f t="shared" si="1184"/>
        <v>77784.819880952244</v>
      </c>
      <c r="AS1655" s="318">
        <f t="shared" si="1185"/>
        <v>81674</v>
      </c>
      <c r="AT1655" s="321">
        <v>0</v>
      </c>
      <c r="AU1655" s="464"/>
      <c r="AV1655" s="449"/>
      <c r="AW1655" s="318">
        <f t="shared" si="1186"/>
        <v>24970</v>
      </c>
      <c r="AX1655" s="467"/>
      <c r="AY1655" s="318">
        <f t="shared" si="1187"/>
        <v>24970</v>
      </c>
      <c r="AZ1655" s="318">
        <f t="shared" si="1188"/>
        <v>24920</v>
      </c>
      <c r="BA1655" s="318">
        <f t="shared" si="1189"/>
        <v>50</v>
      </c>
      <c r="BB1655" s="318">
        <f t="shared" si="1190"/>
        <v>49.94</v>
      </c>
      <c r="BC1655" s="318">
        <v>0</v>
      </c>
      <c r="BD1655" s="467"/>
      <c r="BE1655" s="138">
        <v>249.7</v>
      </c>
      <c r="BF1655" s="321">
        <f t="shared" si="1191"/>
        <v>0.37454999999999999</v>
      </c>
      <c r="BG1655" s="321">
        <f t="shared" si="1192"/>
        <v>249.32544999999999</v>
      </c>
      <c r="BH1655" s="321">
        <f t="shared" si="1193"/>
        <v>249.2</v>
      </c>
      <c r="BI1655" s="322">
        <f t="shared" si="1194"/>
        <v>50</v>
      </c>
      <c r="BJ1655" s="322">
        <v>0</v>
      </c>
      <c r="BK1655" s="318">
        <f t="shared" si="1195"/>
        <v>50</v>
      </c>
      <c r="BL1655" s="449"/>
      <c r="BM1655" s="449" t="str">
        <f t="shared" si="1196"/>
        <v>Unloading no. 1620 Bill No Btc-13/26-27 ,Deduction For Oil Deduction= 77784.8198809522 ,Bardana= 0 ,F.M= 0 Brokerage/Rate Difference 0 ,Shortage = 0 ,Greenish= 0 ,Moisture= 0</v>
      </c>
      <c r="BN1655" s="449"/>
      <c r="BO1655" s="449" t="str">
        <f t="shared" si="1197"/>
        <v xml:space="preserve"> Party Condition 42  ,F.M% 0.21 ,Greenish 3.65 ,Moisture 5.7 ,Shortage in KG= 0  ,Oil% 40.45</v>
      </c>
      <c r="BP1655" s="464">
        <f t="shared" si="1198"/>
        <v>8145.7980743139969</v>
      </c>
      <c r="BQ1655" s="449"/>
      <c r="BR1655" s="449"/>
      <c r="BS1655" s="449"/>
      <c r="BT1655" s="449"/>
      <c r="BU1655" s="449"/>
      <c r="BV1655" s="449"/>
      <c r="BW1655" s="449"/>
      <c r="BX1655" s="147">
        <v>41</v>
      </c>
      <c r="BY1655" s="147">
        <v>40.75</v>
      </c>
      <c r="CO1655" s="460">
        <f t="shared" si="1199"/>
        <v>-0.54999999999999716</v>
      </c>
      <c r="CP1655" s="460">
        <f t="shared" si="1200"/>
        <v>-0.29999999999999716</v>
      </c>
    </row>
    <row r="1656" spans="1:94" ht="14.1" hidden="1" customHeight="1" x14ac:dyDescent="0.3">
      <c r="A1656" s="281" t="s">
        <v>3500</v>
      </c>
      <c r="B1656" s="130">
        <v>46245</v>
      </c>
      <c r="C1656" s="128">
        <v>1621</v>
      </c>
      <c r="D1656" s="281" t="s">
        <v>3510</v>
      </c>
      <c r="E1656" s="129">
        <v>46248</v>
      </c>
      <c r="F1656" s="128" t="s">
        <v>1575</v>
      </c>
      <c r="G1656" s="281" t="s">
        <v>1576</v>
      </c>
      <c r="H1656" s="128" t="s">
        <v>103</v>
      </c>
      <c r="I1656" s="136"/>
      <c r="J1656" s="281" t="s">
        <v>1146</v>
      </c>
      <c r="K1656" s="136"/>
      <c r="L1656" s="146">
        <v>46245</v>
      </c>
      <c r="M1656" s="136"/>
      <c r="N1656" s="281" t="s">
        <v>3524</v>
      </c>
      <c r="O1656" s="146">
        <v>46247</v>
      </c>
      <c r="P1656" s="138">
        <v>0</v>
      </c>
      <c r="Q1656" s="138">
        <v>200</v>
      </c>
      <c r="R1656" s="138">
        <v>0</v>
      </c>
      <c r="S1656" s="138">
        <v>200</v>
      </c>
      <c r="T1656" s="138">
        <v>200</v>
      </c>
      <c r="U1656" s="136"/>
      <c r="V1656" s="136"/>
      <c r="W1656" s="147">
        <v>101.3</v>
      </c>
      <c r="X1656" s="147">
        <v>101.2</v>
      </c>
      <c r="Y1656" s="147">
        <v>858011</v>
      </c>
      <c r="Z1656" s="236">
        <v>39.97</v>
      </c>
      <c r="AA1656" s="147">
        <v>21450.28</v>
      </c>
      <c r="AB1656" s="147">
        <v>21450.28</v>
      </c>
      <c r="AC1656" s="147">
        <v>900911.55</v>
      </c>
      <c r="AD1656" s="470">
        <f t="shared" si="1098"/>
        <v>900010.63845000009</v>
      </c>
      <c r="AE1656" s="236">
        <v>39.97</v>
      </c>
      <c r="AF1656" s="390">
        <v>42</v>
      </c>
      <c r="AG1656" s="236">
        <v>39.97</v>
      </c>
      <c r="AH1656" s="287">
        <v>4.0000000000000001E-3</v>
      </c>
      <c r="AI1656" s="287">
        <v>3.4200000000000001E-2</v>
      </c>
      <c r="AJ1656" s="287">
        <v>5.8000000000000003E-2</v>
      </c>
      <c r="AK1656" s="318">
        <f t="shared" si="1182"/>
        <v>41470.531666666691</v>
      </c>
      <c r="AL1656" s="467">
        <v>0</v>
      </c>
      <c r="AM1656" s="321">
        <v>0</v>
      </c>
      <c r="AN1656" s="321">
        <v>0</v>
      </c>
      <c r="AO1656" s="318">
        <f t="shared" si="1183"/>
        <v>0</v>
      </c>
      <c r="AP1656" s="467">
        <v>0</v>
      </c>
      <c r="AQ1656" s="318">
        <v>0</v>
      </c>
      <c r="AR1656" s="318">
        <f t="shared" si="1184"/>
        <v>41470.531666666691</v>
      </c>
      <c r="AS1656" s="318">
        <f t="shared" si="1185"/>
        <v>43544</v>
      </c>
      <c r="AT1656" s="321">
        <v>0</v>
      </c>
      <c r="AU1656" s="464"/>
      <c r="AV1656" s="449"/>
      <c r="AW1656" s="318">
        <f t="shared" si="1186"/>
        <v>10130</v>
      </c>
      <c r="AX1656" s="467"/>
      <c r="AY1656" s="318">
        <f t="shared" si="1187"/>
        <v>10130</v>
      </c>
      <c r="AZ1656" s="318">
        <f t="shared" si="1188"/>
        <v>10120</v>
      </c>
      <c r="BA1656" s="318">
        <f t="shared" si="1189"/>
        <v>10</v>
      </c>
      <c r="BB1656" s="318">
        <f t="shared" si="1190"/>
        <v>20.260000000000002</v>
      </c>
      <c r="BC1656" s="318">
        <v>0</v>
      </c>
      <c r="BD1656" s="467"/>
      <c r="BE1656" s="138">
        <v>101.3</v>
      </c>
      <c r="BF1656" s="321">
        <f t="shared" si="1191"/>
        <v>0.15194999999999997</v>
      </c>
      <c r="BG1656" s="321">
        <f t="shared" si="1192"/>
        <v>101.14805</v>
      </c>
      <c r="BH1656" s="321">
        <f t="shared" si="1193"/>
        <v>101.2</v>
      </c>
      <c r="BI1656" s="322">
        <f t="shared" si="1194"/>
        <v>9.9999999999994316</v>
      </c>
      <c r="BJ1656" s="322">
        <v>0</v>
      </c>
      <c r="BK1656" s="318">
        <f t="shared" si="1195"/>
        <v>9.9999999999994316</v>
      </c>
      <c r="BL1656" s="449"/>
      <c r="BM1656" s="449" t="str">
        <f t="shared" si="1196"/>
        <v>Unloading no. 1621 Bill No 2026-27/00170 ,Deduction For Oil Deduction= 41470.5316666667 ,Bardana= 0 ,F.M= 0 Brokerage/Rate Difference 0 ,Shortage = 0 ,Greenish= 0 ,Moisture= 0</v>
      </c>
      <c r="BN1656" s="449"/>
      <c r="BO1656" s="449" t="str">
        <f t="shared" si="1197"/>
        <v xml:space="preserve"> Party Condition 42  ,F.M% 0.4 ,Greenish 3.42 ,Moisture 5.8 ,Shortage in KG= 0  ,Oil% 39.97</v>
      </c>
      <c r="BP1656" s="464">
        <f t="shared" si="1198"/>
        <v>8068.5817028985502</v>
      </c>
      <c r="BQ1656" s="449"/>
      <c r="BR1656" s="449"/>
      <c r="BS1656" s="449"/>
      <c r="BT1656" s="449"/>
      <c r="BU1656" s="449"/>
      <c r="BV1656" s="449"/>
      <c r="BW1656" s="449"/>
      <c r="BX1656" s="147">
        <v>39.93</v>
      </c>
      <c r="BY1656" s="147">
        <v>39.630000000000003</v>
      </c>
      <c r="CO1656" s="460">
        <f t="shared" si="1199"/>
        <v>3.9999999999999147E-2</v>
      </c>
      <c r="CP1656" s="460">
        <f t="shared" si="1200"/>
        <v>0.33999999999999631</v>
      </c>
    </row>
    <row r="1657" spans="1:94" ht="14.1" hidden="1" customHeight="1" x14ac:dyDescent="0.3">
      <c r="A1657" s="281" t="s">
        <v>3500</v>
      </c>
      <c r="B1657" s="130">
        <v>46245</v>
      </c>
      <c r="C1657" s="128">
        <v>1622</v>
      </c>
      <c r="D1657" s="281" t="s">
        <v>3511</v>
      </c>
      <c r="E1657" s="129">
        <v>46248</v>
      </c>
      <c r="F1657" s="128" t="s">
        <v>1575</v>
      </c>
      <c r="G1657" s="281" t="s">
        <v>1576</v>
      </c>
      <c r="H1657" s="128" t="s">
        <v>103</v>
      </c>
      <c r="I1657" s="136"/>
      <c r="J1657" s="281" t="s">
        <v>1146</v>
      </c>
      <c r="K1657" s="136"/>
      <c r="L1657" s="146">
        <v>46245</v>
      </c>
      <c r="M1657" s="136"/>
      <c r="N1657" s="281" t="s">
        <v>3525</v>
      </c>
      <c r="O1657" s="146">
        <v>46247</v>
      </c>
      <c r="P1657" s="138">
        <v>0</v>
      </c>
      <c r="Q1657" s="138">
        <v>200</v>
      </c>
      <c r="R1657" s="138">
        <v>0</v>
      </c>
      <c r="S1657" s="138">
        <v>200</v>
      </c>
      <c r="T1657" s="138">
        <v>200</v>
      </c>
      <c r="U1657" s="136"/>
      <c r="V1657" s="136"/>
      <c r="W1657" s="147">
        <v>100.8</v>
      </c>
      <c r="X1657" s="147">
        <v>100.8</v>
      </c>
      <c r="Y1657" s="147">
        <v>853776</v>
      </c>
      <c r="Z1657" s="236">
        <v>39.83</v>
      </c>
      <c r="AA1657" s="147">
        <v>21344.400000000001</v>
      </c>
      <c r="AB1657" s="147">
        <v>21344.400000000001</v>
      </c>
      <c r="AC1657" s="147">
        <v>896464.8</v>
      </c>
      <c r="AD1657" s="470">
        <f t="shared" ref="AD1657:AD1720" si="1201">SUM(AC1657-AC1657*0.1%)</f>
        <v>895568.33520000009</v>
      </c>
      <c r="AE1657" s="236">
        <v>39.83</v>
      </c>
      <c r="AF1657" s="390">
        <v>42</v>
      </c>
      <c r="AG1657" s="236">
        <v>39.83</v>
      </c>
      <c r="AH1657" s="287">
        <v>4.1999999999999997E-3</v>
      </c>
      <c r="AI1657" s="287">
        <v>3.5000000000000003E-2</v>
      </c>
      <c r="AJ1657" s="287">
        <v>5.8999999999999997E-2</v>
      </c>
      <c r="AK1657" s="318">
        <f t="shared" si="1182"/>
        <v>44111.760000000038</v>
      </c>
      <c r="AL1657" s="467">
        <v>0</v>
      </c>
      <c r="AM1657" s="321">
        <v>0</v>
      </c>
      <c r="AN1657" s="321">
        <v>0</v>
      </c>
      <c r="AO1657" s="318">
        <f t="shared" si="1183"/>
        <v>0</v>
      </c>
      <c r="AP1657" s="467">
        <v>0</v>
      </c>
      <c r="AQ1657" s="318">
        <v>0</v>
      </c>
      <c r="AR1657" s="318">
        <f t="shared" si="1184"/>
        <v>44111.760000000038</v>
      </c>
      <c r="AS1657" s="318">
        <f t="shared" si="1185"/>
        <v>46317</v>
      </c>
      <c r="AT1657" s="321">
        <v>0</v>
      </c>
      <c r="AU1657" s="464"/>
      <c r="AV1657" s="449"/>
      <c r="AW1657" s="318">
        <f t="shared" si="1186"/>
        <v>10080</v>
      </c>
      <c r="AX1657" s="467"/>
      <c r="AY1657" s="318">
        <f t="shared" si="1187"/>
        <v>10080</v>
      </c>
      <c r="AZ1657" s="318">
        <f t="shared" si="1188"/>
        <v>10080</v>
      </c>
      <c r="BA1657" s="318">
        <f t="shared" si="1189"/>
        <v>0</v>
      </c>
      <c r="BB1657" s="318">
        <f t="shared" si="1190"/>
        <v>20.16</v>
      </c>
      <c r="BC1657" s="318">
        <v>0</v>
      </c>
      <c r="BD1657" s="467"/>
      <c r="BE1657" s="138">
        <v>100.8</v>
      </c>
      <c r="BF1657" s="321">
        <f t="shared" si="1191"/>
        <v>0.1512</v>
      </c>
      <c r="BG1657" s="321">
        <f t="shared" si="1192"/>
        <v>100.64879999999999</v>
      </c>
      <c r="BH1657" s="321">
        <f t="shared" si="1193"/>
        <v>100.8</v>
      </c>
      <c r="BI1657" s="322">
        <f t="shared" si="1194"/>
        <v>0</v>
      </c>
      <c r="BJ1657" s="322">
        <v>0</v>
      </c>
      <c r="BK1657" s="318">
        <f t="shared" si="1195"/>
        <v>0</v>
      </c>
      <c r="BL1657" s="449"/>
      <c r="BM1657" s="449" t="str">
        <f t="shared" si="1196"/>
        <v>Unloading no. 1622 Bill No 2026-27/00169 ,Deduction For Oil Deduction= 44111.76 ,Bardana= 0 ,F.M= 0 Brokerage/Rate Difference 0 ,Shortage = 0 ,Greenish= 0 ,Moisture= 0</v>
      </c>
      <c r="BN1657" s="449"/>
      <c r="BO1657" s="449" t="str">
        <f t="shared" si="1197"/>
        <v xml:space="preserve"> Party Condition 42  ,F.M% 0.42 ,Greenish 3.5 ,Moisture 5.9 ,Shortage in KG= 0  ,Oil% 39.83</v>
      </c>
      <c r="BP1657" s="464">
        <f t="shared" si="1198"/>
        <v>8032.3833333333332</v>
      </c>
      <c r="BQ1657" s="449"/>
      <c r="BR1657" s="449"/>
      <c r="BS1657" s="449"/>
      <c r="BT1657" s="449"/>
      <c r="BU1657" s="449"/>
      <c r="BV1657" s="449"/>
      <c r="BW1657" s="449"/>
      <c r="BX1657" s="147">
        <v>40.07</v>
      </c>
      <c r="BY1657" s="147">
        <v>39.94</v>
      </c>
      <c r="CO1657" s="460">
        <f t="shared" si="1199"/>
        <v>-0.24000000000000199</v>
      </c>
      <c r="CP1657" s="460">
        <f t="shared" si="1200"/>
        <v>-0.10999999999999943</v>
      </c>
    </row>
    <row r="1658" spans="1:94" ht="14.1" hidden="1" customHeight="1" x14ac:dyDescent="0.3">
      <c r="A1658" s="281" t="s">
        <v>3500</v>
      </c>
      <c r="B1658" s="130">
        <v>46245</v>
      </c>
      <c r="C1658" s="128">
        <v>1623</v>
      </c>
      <c r="D1658" s="281" t="s">
        <v>3512</v>
      </c>
      <c r="E1658" s="129">
        <v>46248</v>
      </c>
      <c r="F1658" s="128" t="s">
        <v>1575</v>
      </c>
      <c r="G1658" s="281" t="s">
        <v>1576</v>
      </c>
      <c r="H1658" s="128" t="s">
        <v>103</v>
      </c>
      <c r="I1658" s="136"/>
      <c r="J1658" s="281" t="s">
        <v>1146</v>
      </c>
      <c r="K1658" s="136"/>
      <c r="L1658" s="146">
        <v>46245</v>
      </c>
      <c r="M1658" s="136"/>
      <c r="N1658" s="281" t="s">
        <v>3526</v>
      </c>
      <c r="O1658" s="146">
        <v>46247</v>
      </c>
      <c r="P1658" s="138">
        <v>0</v>
      </c>
      <c r="Q1658" s="138">
        <v>200</v>
      </c>
      <c r="R1658" s="138">
        <v>0</v>
      </c>
      <c r="S1658" s="138">
        <v>200</v>
      </c>
      <c r="T1658" s="138">
        <v>200</v>
      </c>
      <c r="U1658" s="136"/>
      <c r="V1658" s="136"/>
      <c r="W1658" s="147">
        <v>100.6</v>
      </c>
      <c r="X1658" s="147">
        <v>100.4</v>
      </c>
      <c r="Y1658" s="147">
        <v>852082</v>
      </c>
      <c r="Z1658" s="236">
        <v>39.119999999999997</v>
      </c>
      <c r="AA1658" s="147">
        <v>21302.05</v>
      </c>
      <c r="AB1658" s="147">
        <v>21302.05</v>
      </c>
      <c r="AC1658" s="147">
        <v>894686.1</v>
      </c>
      <c r="AD1658" s="470">
        <f t="shared" si="1201"/>
        <v>893791.41389999993</v>
      </c>
      <c r="AE1658" s="236">
        <v>39.119999999999997</v>
      </c>
      <c r="AF1658" s="390">
        <v>42</v>
      </c>
      <c r="AG1658" s="236">
        <v>39.119999999999997</v>
      </c>
      <c r="AH1658" s="287">
        <v>3.8E-3</v>
      </c>
      <c r="AI1658" s="287">
        <v>3.5999999999999997E-2</v>
      </c>
      <c r="AJ1658" s="287">
        <v>0.06</v>
      </c>
      <c r="AK1658" s="318">
        <f t="shared" si="1182"/>
        <v>58428.480000000047</v>
      </c>
      <c r="AL1658" s="467">
        <v>0</v>
      </c>
      <c r="AM1658" s="321">
        <v>0</v>
      </c>
      <c r="AN1658" s="321">
        <v>0</v>
      </c>
      <c r="AO1658" s="318">
        <f t="shared" si="1183"/>
        <v>0</v>
      </c>
      <c r="AP1658" s="467">
        <v>0</v>
      </c>
      <c r="AQ1658" s="318">
        <v>0</v>
      </c>
      <c r="AR1658" s="318">
        <f t="shared" si="1184"/>
        <v>58428.480000000047</v>
      </c>
      <c r="AS1658" s="318">
        <f t="shared" si="1185"/>
        <v>61350</v>
      </c>
      <c r="AT1658" s="321">
        <v>0</v>
      </c>
      <c r="AU1658" s="464"/>
      <c r="AV1658" s="449"/>
      <c r="AW1658" s="318">
        <f t="shared" si="1186"/>
        <v>10060</v>
      </c>
      <c r="AX1658" s="467"/>
      <c r="AY1658" s="318">
        <f t="shared" si="1187"/>
        <v>10060</v>
      </c>
      <c r="AZ1658" s="318">
        <f t="shared" si="1188"/>
        <v>10040</v>
      </c>
      <c r="BA1658" s="318">
        <f t="shared" si="1189"/>
        <v>20</v>
      </c>
      <c r="BB1658" s="318">
        <f t="shared" si="1190"/>
        <v>20.12</v>
      </c>
      <c r="BC1658" s="318">
        <v>0</v>
      </c>
      <c r="BD1658" s="467"/>
      <c r="BE1658" s="138">
        <v>100.6</v>
      </c>
      <c r="BF1658" s="321">
        <f t="shared" si="1191"/>
        <v>0.15089999999999998</v>
      </c>
      <c r="BG1658" s="321">
        <f t="shared" si="1192"/>
        <v>100.4491</v>
      </c>
      <c r="BH1658" s="321">
        <f t="shared" si="1193"/>
        <v>100.4</v>
      </c>
      <c r="BI1658" s="322">
        <f t="shared" si="1194"/>
        <v>19.999999999998863</v>
      </c>
      <c r="BJ1658" s="322">
        <v>0</v>
      </c>
      <c r="BK1658" s="318">
        <f t="shared" si="1195"/>
        <v>19.999999999998863</v>
      </c>
      <c r="BL1658" s="449"/>
      <c r="BM1658" s="449" t="str">
        <f t="shared" si="1196"/>
        <v>Unloading no. 1623 Bill No 2026-27/00171 ,Deduction For Oil Deduction= 58428.48 ,Bardana= 0 ,F.M= 0 Brokerage/Rate Difference 0 ,Shortage = 0 ,Greenish= 0 ,Moisture= 0</v>
      </c>
      <c r="BN1658" s="449"/>
      <c r="BO1658" s="449" t="str">
        <f t="shared" si="1197"/>
        <v xml:space="preserve"> Party Condition 42  ,F.M% 0.38 ,Greenish 3.6 ,Moisture 6 ,Shortage in KG= 0  ,Oil% 39.12</v>
      </c>
      <c r="BP1658" s="464">
        <f t="shared" si="1198"/>
        <v>7904.9155378486039</v>
      </c>
      <c r="BQ1658" s="449"/>
      <c r="BR1658" s="449"/>
      <c r="BS1658" s="449"/>
      <c r="BT1658" s="449"/>
      <c r="BU1658" s="449"/>
      <c r="BV1658" s="449"/>
      <c r="BW1658" s="449"/>
      <c r="BX1658" s="147">
        <v>39.08</v>
      </c>
      <c r="BY1658" s="147">
        <v>38.909999999999997</v>
      </c>
      <c r="CO1658" s="460">
        <f t="shared" si="1199"/>
        <v>3.9999999999999147E-2</v>
      </c>
      <c r="CP1658" s="460">
        <f t="shared" si="1200"/>
        <v>0.21000000000000085</v>
      </c>
    </row>
    <row r="1659" spans="1:94" ht="14.1" hidden="1" customHeight="1" x14ac:dyDescent="0.3">
      <c r="A1659" s="281" t="s">
        <v>3500</v>
      </c>
      <c r="B1659" s="130">
        <v>46245</v>
      </c>
      <c r="C1659" s="128">
        <v>1624</v>
      </c>
      <c r="D1659" s="281" t="s">
        <v>3513</v>
      </c>
      <c r="E1659" s="129">
        <v>46248</v>
      </c>
      <c r="F1659" s="128" t="s">
        <v>1575</v>
      </c>
      <c r="G1659" s="281" t="s">
        <v>1576</v>
      </c>
      <c r="H1659" s="128" t="s">
        <v>103</v>
      </c>
      <c r="I1659" s="136"/>
      <c r="J1659" s="281" t="s">
        <v>1146</v>
      </c>
      <c r="K1659" s="136"/>
      <c r="L1659" s="146">
        <v>46245</v>
      </c>
      <c r="M1659" s="136"/>
      <c r="N1659" s="281" t="s">
        <v>3527</v>
      </c>
      <c r="O1659" s="146">
        <v>46247</v>
      </c>
      <c r="P1659" s="138">
        <v>0</v>
      </c>
      <c r="Q1659" s="138">
        <v>200</v>
      </c>
      <c r="R1659" s="138">
        <v>0</v>
      </c>
      <c r="S1659" s="138">
        <v>200</v>
      </c>
      <c r="T1659" s="138">
        <v>200</v>
      </c>
      <c r="U1659" s="136"/>
      <c r="V1659" s="136"/>
      <c r="W1659" s="147">
        <v>101.1</v>
      </c>
      <c r="X1659" s="147">
        <v>101.1</v>
      </c>
      <c r="Y1659" s="147">
        <v>856317</v>
      </c>
      <c r="Z1659" s="236">
        <v>37.619999999999997</v>
      </c>
      <c r="AA1659" s="147">
        <v>21407.93</v>
      </c>
      <c r="AB1659" s="147">
        <v>21407.93</v>
      </c>
      <c r="AC1659" s="147">
        <v>899132.85</v>
      </c>
      <c r="AD1659" s="470">
        <f t="shared" si="1201"/>
        <v>898233.71714999992</v>
      </c>
      <c r="AE1659" s="236">
        <v>37.619999999999997</v>
      </c>
      <c r="AF1659" s="390">
        <v>42</v>
      </c>
      <c r="AG1659" s="236">
        <v>37.619999999999997</v>
      </c>
      <c r="AH1659" s="287">
        <v>6.0000000000000001E-3</v>
      </c>
      <c r="AI1659" s="287">
        <v>3.4000000000000002E-2</v>
      </c>
      <c r="AJ1659" s="287">
        <v>5.8999999999999997E-2</v>
      </c>
      <c r="AK1659" s="318">
        <f t="shared" si="1182"/>
        <v>89301.630000000048</v>
      </c>
      <c r="AL1659" s="467">
        <v>0</v>
      </c>
      <c r="AM1659" s="321">
        <v>0</v>
      </c>
      <c r="AN1659" s="321">
        <v>0</v>
      </c>
      <c r="AO1659" s="318">
        <f t="shared" si="1183"/>
        <v>0</v>
      </c>
      <c r="AP1659" s="467">
        <v>0</v>
      </c>
      <c r="AQ1659" s="318">
        <v>0</v>
      </c>
      <c r="AR1659" s="318">
        <f t="shared" si="1184"/>
        <v>89301.630000000048</v>
      </c>
      <c r="AS1659" s="318">
        <f t="shared" si="1185"/>
        <v>93767</v>
      </c>
      <c r="AT1659" s="321">
        <v>0</v>
      </c>
      <c r="AU1659" s="464"/>
      <c r="AV1659" s="449"/>
      <c r="AW1659" s="318">
        <f t="shared" si="1186"/>
        <v>10110</v>
      </c>
      <c r="AX1659" s="467"/>
      <c r="AY1659" s="318">
        <f t="shared" si="1187"/>
        <v>10110</v>
      </c>
      <c r="AZ1659" s="318">
        <f t="shared" si="1188"/>
        <v>10110</v>
      </c>
      <c r="BA1659" s="318">
        <f t="shared" si="1189"/>
        <v>0</v>
      </c>
      <c r="BB1659" s="318">
        <f t="shared" si="1190"/>
        <v>20.22</v>
      </c>
      <c r="BC1659" s="318">
        <v>0</v>
      </c>
      <c r="BD1659" s="467"/>
      <c r="BE1659" s="138">
        <v>101.1</v>
      </c>
      <c r="BF1659" s="321">
        <f t="shared" si="1191"/>
        <v>0.15164999999999998</v>
      </c>
      <c r="BG1659" s="321">
        <f t="shared" si="1192"/>
        <v>100.94834999999999</v>
      </c>
      <c r="BH1659" s="321">
        <f t="shared" si="1193"/>
        <v>101.1</v>
      </c>
      <c r="BI1659" s="322">
        <f t="shared" si="1194"/>
        <v>0</v>
      </c>
      <c r="BJ1659" s="322">
        <v>0</v>
      </c>
      <c r="BK1659" s="318">
        <f t="shared" si="1195"/>
        <v>0</v>
      </c>
      <c r="BL1659" s="449"/>
      <c r="BM1659" s="449" t="str">
        <f t="shared" si="1196"/>
        <v>Unloading no. 1624 Bill No 2026-27/00172 ,Deduction For Oil Deduction= 89301.63 ,Bardana= 0 ,F.M= 0 Brokerage/Rate Difference 0 ,Shortage = 0 ,Greenish= 0 ,Moisture= 0</v>
      </c>
      <c r="BN1659" s="449"/>
      <c r="BO1659" s="449" t="str">
        <f t="shared" si="1197"/>
        <v xml:space="preserve"> Party Condition 42  ,F.M% 0.6 ,Greenish 3.4 ,Moisture 5.9 ,Shortage in KG= 0  ,Oil% 37.62</v>
      </c>
      <c r="BP1659" s="464">
        <f t="shared" si="1198"/>
        <v>7586.7000000000007</v>
      </c>
      <c r="BQ1659" s="449"/>
      <c r="BR1659" s="449"/>
      <c r="BS1659" s="449"/>
      <c r="BT1659" s="449"/>
      <c r="BU1659" s="449"/>
      <c r="BV1659" s="449"/>
      <c r="BW1659" s="449"/>
      <c r="BX1659" s="147">
        <v>38</v>
      </c>
      <c r="BY1659" s="147">
        <v>37.67</v>
      </c>
      <c r="CO1659" s="460">
        <f t="shared" si="1199"/>
        <v>-0.38000000000000256</v>
      </c>
      <c r="CP1659" s="460">
        <f t="shared" si="1200"/>
        <v>-5.0000000000004263E-2</v>
      </c>
    </row>
    <row r="1660" spans="1:94" ht="14.1" hidden="1" customHeight="1" x14ac:dyDescent="0.3">
      <c r="A1660" s="281" t="s">
        <v>3499</v>
      </c>
      <c r="B1660" s="130">
        <v>46245</v>
      </c>
      <c r="C1660" s="128">
        <v>1625</v>
      </c>
      <c r="D1660" s="281" t="s">
        <v>3514</v>
      </c>
      <c r="E1660" s="129">
        <v>46248</v>
      </c>
      <c r="F1660" s="128" t="s">
        <v>3018</v>
      </c>
      <c r="G1660" s="281" t="s">
        <v>3019</v>
      </c>
      <c r="H1660" s="128" t="s">
        <v>1508</v>
      </c>
      <c r="I1660" s="136"/>
      <c r="J1660" s="281" t="s">
        <v>1146</v>
      </c>
      <c r="K1660" s="136"/>
      <c r="L1660" s="146">
        <v>46245</v>
      </c>
      <c r="M1660" s="136"/>
      <c r="N1660" s="281" t="s">
        <v>3528</v>
      </c>
      <c r="O1660" s="146">
        <v>46246</v>
      </c>
      <c r="P1660" s="138">
        <v>0</v>
      </c>
      <c r="Q1660" s="138">
        <v>300</v>
      </c>
      <c r="R1660" s="138">
        <v>110</v>
      </c>
      <c r="S1660" s="138">
        <v>410</v>
      </c>
      <c r="T1660" s="138">
        <v>410</v>
      </c>
      <c r="U1660" s="136"/>
      <c r="V1660" s="136"/>
      <c r="W1660" s="147">
        <v>248.4</v>
      </c>
      <c r="X1660" s="147">
        <v>248.1</v>
      </c>
      <c r="Y1660" s="196">
        <f>2098138.4-1394</f>
        <v>2096744.4</v>
      </c>
      <c r="Z1660" s="236">
        <v>39.799999999999997</v>
      </c>
      <c r="AA1660" s="147">
        <v>52453.46</v>
      </c>
      <c r="AB1660" s="147">
        <v>52453.46</v>
      </c>
      <c r="AC1660" s="147">
        <v>2203045.3199999998</v>
      </c>
      <c r="AD1660" s="470">
        <f t="shared" si="1201"/>
        <v>2200842.2746799998</v>
      </c>
      <c r="AE1660" s="236">
        <v>39.799999999999997</v>
      </c>
      <c r="AF1660" s="390">
        <v>42</v>
      </c>
      <c r="AG1660" s="236">
        <v>39.799999999999997</v>
      </c>
      <c r="AH1660" s="287">
        <v>2E-3</v>
      </c>
      <c r="AI1660" s="287">
        <v>3.3000000000000002E-2</v>
      </c>
      <c r="AJ1660" s="287">
        <v>5.6000000000000001E-2</v>
      </c>
      <c r="AK1660" s="318">
        <f t="shared" si="1182"/>
        <v>109829.46857142872</v>
      </c>
      <c r="AL1660" s="467">
        <v>0</v>
      </c>
      <c r="AM1660" s="321">
        <v>0</v>
      </c>
      <c r="AN1660" s="321">
        <v>0</v>
      </c>
      <c r="AO1660" s="318">
        <f t="shared" si="1183"/>
        <v>0</v>
      </c>
      <c r="AP1660" s="467">
        <v>0</v>
      </c>
      <c r="AQ1660" s="318">
        <v>0</v>
      </c>
      <c r="AR1660" s="318">
        <f t="shared" si="1184"/>
        <v>109829.46857142872</v>
      </c>
      <c r="AS1660" s="318">
        <f t="shared" si="1185"/>
        <v>115321</v>
      </c>
      <c r="AT1660" s="321">
        <v>0</v>
      </c>
      <c r="AU1660" s="464"/>
      <c r="AV1660" s="449"/>
      <c r="AW1660" s="318">
        <f t="shared" si="1186"/>
        <v>24840</v>
      </c>
      <c r="AX1660" s="467"/>
      <c r="AY1660" s="318">
        <f t="shared" si="1187"/>
        <v>24840</v>
      </c>
      <c r="AZ1660" s="318">
        <f t="shared" si="1188"/>
        <v>24810</v>
      </c>
      <c r="BA1660" s="318">
        <f t="shared" si="1189"/>
        <v>30</v>
      </c>
      <c r="BB1660" s="318">
        <f t="shared" si="1190"/>
        <v>49.68</v>
      </c>
      <c r="BC1660" s="318">
        <v>0</v>
      </c>
      <c r="BD1660" s="467"/>
      <c r="BE1660" s="138">
        <v>248.4</v>
      </c>
      <c r="BF1660" s="321">
        <f t="shared" si="1191"/>
        <v>0.37259999999999999</v>
      </c>
      <c r="BG1660" s="321">
        <f t="shared" si="1192"/>
        <v>248.0274</v>
      </c>
      <c r="BH1660" s="321">
        <f t="shared" si="1193"/>
        <v>248.1</v>
      </c>
      <c r="BI1660" s="322">
        <f t="shared" si="1194"/>
        <v>30.000000000001137</v>
      </c>
      <c r="BJ1660" s="322">
        <v>0</v>
      </c>
      <c r="BK1660" s="318">
        <f t="shared" si="1195"/>
        <v>30.000000000001137</v>
      </c>
      <c r="BL1660" s="449"/>
      <c r="BM1660" s="449" t="str">
        <f t="shared" si="1196"/>
        <v>Unloading no. 1625 Bill No BTC-11/26-27 ,Deduction For Oil Deduction= 109829.468571429 ,Bardana= 0 ,F.M= 0 Brokerage/Rate Difference 0 ,Shortage = 0 ,Greenish= 0 ,Moisture= 0</v>
      </c>
      <c r="BN1660" s="449"/>
      <c r="BO1660" s="449" t="str">
        <f t="shared" si="1197"/>
        <v xml:space="preserve"> Party Condition 42  ,F.M% 0.2 ,Greenish 3.3 ,Moisture 5.6 ,Shortage in KG= 0  ,Oil% 39.8</v>
      </c>
      <c r="BP1660" s="464">
        <f t="shared" si="1198"/>
        <v>8008.524512005527</v>
      </c>
      <c r="BQ1660" s="449"/>
      <c r="BR1660" s="449"/>
      <c r="BS1660" s="449"/>
      <c r="BT1660" s="449"/>
      <c r="BU1660" s="449"/>
      <c r="BV1660" s="449"/>
      <c r="BW1660" s="449"/>
      <c r="BX1660" s="147">
        <v>40.880000000000003</v>
      </c>
      <c r="BY1660" s="147">
        <v>40.83</v>
      </c>
      <c r="CO1660" s="460">
        <f t="shared" si="1199"/>
        <v>-1.0800000000000054</v>
      </c>
      <c r="CP1660" s="460">
        <f t="shared" si="1200"/>
        <v>-1.0300000000000011</v>
      </c>
    </row>
    <row r="1661" spans="1:94" ht="14.1" hidden="1" customHeight="1" x14ac:dyDescent="0.3">
      <c r="A1661" s="281" t="s">
        <v>3499</v>
      </c>
      <c r="B1661" s="130">
        <v>46245</v>
      </c>
      <c r="C1661" s="128">
        <v>1626</v>
      </c>
      <c r="D1661" s="281" t="s">
        <v>3515</v>
      </c>
      <c r="E1661" s="129">
        <v>46248</v>
      </c>
      <c r="F1661" s="128" t="s">
        <v>3018</v>
      </c>
      <c r="G1661" s="281" t="s">
        <v>3019</v>
      </c>
      <c r="H1661" s="128" t="s">
        <v>1508</v>
      </c>
      <c r="I1661" s="136"/>
      <c r="J1661" s="281" t="s">
        <v>1146</v>
      </c>
      <c r="K1661" s="136"/>
      <c r="L1661" s="146">
        <v>46245</v>
      </c>
      <c r="M1661" s="136"/>
      <c r="N1661" s="281" t="s">
        <v>3529</v>
      </c>
      <c r="O1661" s="146">
        <v>46246</v>
      </c>
      <c r="P1661" s="138">
        <v>0</v>
      </c>
      <c r="Q1661" s="138">
        <v>250</v>
      </c>
      <c r="R1661" s="138">
        <v>127</v>
      </c>
      <c r="S1661" s="138">
        <v>377</v>
      </c>
      <c r="T1661" s="138">
        <v>377</v>
      </c>
      <c r="U1661" s="136"/>
      <c r="V1661" s="136"/>
      <c r="W1661" s="147">
        <v>229</v>
      </c>
      <c r="X1661" s="147">
        <v>228.8</v>
      </c>
      <c r="Y1661" s="196">
        <f>1934271-1282</f>
        <v>1932989</v>
      </c>
      <c r="Z1661" s="236">
        <v>39.630000000000003</v>
      </c>
      <c r="AA1661" s="147">
        <v>48356.78</v>
      </c>
      <c r="AB1661" s="147">
        <v>48356.78</v>
      </c>
      <c r="AC1661" s="147">
        <v>2030984.55</v>
      </c>
      <c r="AD1661" s="470">
        <f t="shared" si="1201"/>
        <v>2028953.5654500001</v>
      </c>
      <c r="AE1661" s="236">
        <v>39.630000000000003</v>
      </c>
      <c r="AF1661" s="390">
        <v>42</v>
      </c>
      <c r="AG1661" s="236">
        <v>39.630000000000003</v>
      </c>
      <c r="AH1661" s="287">
        <v>2E-3</v>
      </c>
      <c r="AI1661" s="287">
        <v>3.7499999999999999E-2</v>
      </c>
      <c r="AJ1661" s="287">
        <v>5.8999999999999997E-2</v>
      </c>
      <c r="AK1661" s="318">
        <f t="shared" si="1182"/>
        <v>109075.80785714275</v>
      </c>
      <c r="AL1661" s="467">
        <v>0</v>
      </c>
      <c r="AM1661" s="321">
        <v>0</v>
      </c>
      <c r="AN1661" s="321">
        <v>0</v>
      </c>
      <c r="AO1661" s="318">
        <f t="shared" si="1183"/>
        <v>0</v>
      </c>
      <c r="AP1661" s="467">
        <v>0</v>
      </c>
      <c r="AQ1661" s="318">
        <v>0</v>
      </c>
      <c r="AR1661" s="318">
        <f t="shared" si="1184"/>
        <v>109075.80785714275</v>
      </c>
      <c r="AS1661" s="318">
        <f t="shared" si="1185"/>
        <v>114530</v>
      </c>
      <c r="AT1661" s="321">
        <v>0</v>
      </c>
      <c r="AU1661" s="464"/>
      <c r="AV1661" s="449"/>
      <c r="AW1661" s="318">
        <f t="shared" si="1186"/>
        <v>22900</v>
      </c>
      <c r="AX1661" s="467"/>
      <c r="AY1661" s="318">
        <f t="shared" si="1187"/>
        <v>22900</v>
      </c>
      <c r="AZ1661" s="318">
        <f t="shared" si="1188"/>
        <v>22880</v>
      </c>
      <c r="BA1661" s="318">
        <f t="shared" si="1189"/>
        <v>20</v>
      </c>
      <c r="BB1661" s="318">
        <f t="shared" si="1190"/>
        <v>45.8</v>
      </c>
      <c r="BC1661" s="318">
        <v>0</v>
      </c>
      <c r="BD1661" s="467"/>
      <c r="BE1661" s="138">
        <v>229</v>
      </c>
      <c r="BF1661" s="321">
        <f t="shared" si="1191"/>
        <v>0.34350000000000003</v>
      </c>
      <c r="BG1661" s="321">
        <f t="shared" si="1192"/>
        <v>228.65649999999999</v>
      </c>
      <c r="BH1661" s="321">
        <f t="shared" si="1193"/>
        <v>228.8</v>
      </c>
      <c r="BI1661" s="322">
        <f t="shared" si="1194"/>
        <v>19.999999999998863</v>
      </c>
      <c r="BJ1661" s="322">
        <v>0</v>
      </c>
      <c r="BK1661" s="318">
        <f t="shared" si="1195"/>
        <v>19.999999999998863</v>
      </c>
      <c r="BL1661" s="449"/>
      <c r="BM1661" s="449" t="str">
        <f t="shared" si="1196"/>
        <v>Unloading no. 1626 Bill No BTC-14/26-27 ,Deduction For Oil Deduction= 109075.807857143 ,Bardana= 0 ,F.M= 0 Brokerage/Rate Difference 0 ,Shortage = 0 ,Greenish= 0 ,Moisture= 0</v>
      </c>
      <c r="BN1661" s="449"/>
      <c r="BO1661" s="449" t="str">
        <f t="shared" si="1197"/>
        <v xml:space="preserve"> Party Condition 42  ,F.M% 0.2 ,Greenish 3.75 ,Moisture 5.9 ,Shortage in KG= 0  ,Oil% 39.63</v>
      </c>
      <c r="BP1661" s="464">
        <f t="shared" si="1198"/>
        <v>7971.6485670579423</v>
      </c>
      <c r="BQ1661" s="449"/>
      <c r="BR1661" s="449"/>
      <c r="BS1661" s="449"/>
      <c r="BT1661" s="449"/>
      <c r="BU1661" s="449"/>
      <c r="BV1661" s="449"/>
      <c r="BW1661" s="449"/>
      <c r="BX1661" s="147">
        <v>40.25</v>
      </c>
      <c r="BY1661" s="147">
        <v>40.049999999999997</v>
      </c>
      <c r="CO1661" s="460">
        <f t="shared" si="1199"/>
        <v>-0.61999999999999744</v>
      </c>
      <c r="CP1661" s="460">
        <f t="shared" si="1200"/>
        <v>-0.4199999999999946</v>
      </c>
    </row>
    <row r="1662" spans="1:94" ht="14.1" hidden="1" customHeight="1" x14ac:dyDescent="0.3">
      <c r="A1662" s="281" t="s">
        <v>3499</v>
      </c>
      <c r="B1662" s="130">
        <v>46245</v>
      </c>
      <c r="C1662" s="128">
        <v>1627</v>
      </c>
      <c r="D1662" s="281" t="s">
        <v>3516</v>
      </c>
      <c r="E1662" s="129">
        <v>46248</v>
      </c>
      <c r="F1662" s="128" t="s">
        <v>3018</v>
      </c>
      <c r="G1662" s="281" t="s">
        <v>3019</v>
      </c>
      <c r="H1662" s="128" t="s">
        <v>1508</v>
      </c>
      <c r="I1662" s="136"/>
      <c r="J1662" s="281" t="s">
        <v>1146</v>
      </c>
      <c r="K1662" s="136"/>
      <c r="L1662" s="146">
        <v>46245</v>
      </c>
      <c r="M1662" s="136"/>
      <c r="N1662" s="281" t="s">
        <v>3530</v>
      </c>
      <c r="O1662" s="146">
        <v>46246</v>
      </c>
      <c r="P1662" s="138">
        <v>0</v>
      </c>
      <c r="Q1662" s="138">
        <v>290</v>
      </c>
      <c r="R1662" s="138">
        <v>120</v>
      </c>
      <c r="S1662" s="138">
        <v>410</v>
      </c>
      <c r="T1662" s="138">
        <v>410</v>
      </c>
      <c r="U1662" s="136"/>
      <c r="V1662" s="136"/>
      <c r="W1662" s="147">
        <v>249</v>
      </c>
      <c r="X1662" s="147">
        <v>248.1</v>
      </c>
      <c r="Y1662" s="196">
        <f>2103203-1394</f>
        <v>2101809</v>
      </c>
      <c r="Z1662" s="236">
        <v>40.51</v>
      </c>
      <c r="AA1662" s="147">
        <v>52580.08</v>
      </c>
      <c r="AB1662" s="147">
        <v>52580.08</v>
      </c>
      <c r="AC1662" s="147">
        <v>2208363.15</v>
      </c>
      <c r="AD1662" s="470">
        <f t="shared" si="1201"/>
        <v>2206154.7868499998</v>
      </c>
      <c r="AE1662" s="236">
        <v>40.51</v>
      </c>
      <c r="AF1662" s="390">
        <v>42</v>
      </c>
      <c r="AG1662" s="236">
        <v>40.51</v>
      </c>
      <c r="AH1662" s="287">
        <v>2.2000000000000001E-3</v>
      </c>
      <c r="AI1662" s="287">
        <v>3.5999999999999997E-2</v>
      </c>
      <c r="AJ1662" s="287">
        <v>5.6000000000000001E-2</v>
      </c>
      <c r="AK1662" s="318">
        <f t="shared" si="1182"/>
        <v>74564.176428571533</v>
      </c>
      <c r="AL1662" s="467">
        <v>0</v>
      </c>
      <c r="AM1662" s="321">
        <v>0</v>
      </c>
      <c r="AN1662" s="321">
        <v>0</v>
      </c>
      <c r="AO1662" s="318">
        <f t="shared" si="1183"/>
        <v>3376.4</v>
      </c>
      <c r="AP1662" s="467">
        <v>0</v>
      </c>
      <c r="AQ1662" s="318">
        <v>0</v>
      </c>
      <c r="AR1662" s="318">
        <f t="shared" si="1184"/>
        <v>77940.576428571527</v>
      </c>
      <c r="AS1662" s="318">
        <f t="shared" si="1185"/>
        <v>81838</v>
      </c>
      <c r="AT1662" s="321">
        <v>40</v>
      </c>
      <c r="AU1662" s="464"/>
      <c r="AV1662" s="449"/>
      <c r="AW1662" s="318">
        <f t="shared" si="1186"/>
        <v>24900</v>
      </c>
      <c r="AX1662" s="467"/>
      <c r="AY1662" s="318">
        <f t="shared" si="1187"/>
        <v>24900</v>
      </c>
      <c r="AZ1662" s="318">
        <f t="shared" si="1188"/>
        <v>24810</v>
      </c>
      <c r="BA1662" s="318">
        <f t="shared" si="1189"/>
        <v>90</v>
      </c>
      <c r="BB1662" s="318">
        <f t="shared" si="1190"/>
        <v>49.8</v>
      </c>
      <c r="BC1662" s="318">
        <v>0</v>
      </c>
      <c r="BD1662" s="467"/>
      <c r="BE1662" s="138">
        <v>249</v>
      </c>
      <c r="BF1662" s="321">
        <f t="shared" si="1191"/>
        <v>0.3735</v>
      </c>
      <c r="BG1662" s="321">
        <f t="shared" si="1192"/>
        <v>248.62649999999999</v>
      </c>
      <c r="BH1662" s="321">
        <f t="shared" si="1193"/>
        <v>248.1</v>
      </c>
      <c r="BI1662" s="322">
        <f t="shared" si="1194"/>
        <v>90.000000000000568</v>
      </c>
      <c r="BJ1662" s="322">
        <v>0</v>
      </c>
      <c r="BK1662" s="318">
        <f t="shared" si="1195"/>
        <v>90.000000000000568</v>
      </c>
      <c r="BL1662" s="449"/>
      <c r="BM1662" s="449" t="str">
        <f t="shared" si="1196"/>
        <v>Unloading no. 1627 Bill No BTC-12/26-27 ,Deduction For Oil Deduction= 74564.1764285715 ,Bardana= 0 ,F.M= 0 Brokerage/Rate Difference 0 ,Shortage = 3376.4 ,Greenish= 0 ,Moisture= 0</v>
      </c>
      <c r="BN1662" s="449"/>
      <c r="BO1662" s="449" t="str">
        <f t="shared" si="1197"/>
        <v xml:space="preserve"> Party Condition 42  ,F.M% 0.22 ,Greenish 3.6 ,Moisture 5.6 ,Shortage in KG= 40  ,Oil% 40.51</v>
      </c>
      <c r="BP1662" s="464">
        <f t="shared" si="1198"/>
        <v>8157.4704698566247</v>
      </c>
      <c r="BQ1662" s="449"/>
      <c r="BR1662" s="449"/>
      <c r="BS1662" s="449"/>
      <c r="BT1662" s="449"/>
      <c r="BU1662" s="449"/>
      <c r="BV1662" s="449"/>
      <c r="BW1662" s="449"/>
      <c r="BX1662" s="147">
        <v>41.2</v>
      </c>
      <c r="BY1662" s="147">
        <v>41.07</v>
      </c>
      <c r="CO1662" s="460">
        <f t="shared" si="1199"/>
        <v>-0.69000000000000483</v>
      </c>
      <c r="CP1662" s="460">
        <f t="shared" si="1200"/>
        <v>-0.56000000000000227</v>
      </c>
    </row>
    <row r="1663" spans="1:94" ht="14.1" hidden="1" customHeight="1" x14ac:dyDescent="0.3">
      <c r="A1663" s="281" t="s">
        <v>3501</v>
      </c>
      <c r="B1663" s="130">
        <v>46245</v>
      </c>
      <c r="C1663" s="128">
        <v>1628</v>
      </c>
      <c r="D1663" s="281" t="s">
        <v>3517</v>
      </c>
      <c r="E1663" s="129">
        <v>46248</v>
      </c>
      <c r="F1663" s="128" t="s">
        <v>1691</v>
      </c>
      <c r="G1663" s="281" t="s">
        <v>1692</v>
      </c>
      <c r="H1663" s="128" t="s">
        <v>1693</v>
      </c>
      <c r="I1663" s="136"/>
      <c r="J1663" s="281" t="s">
        <v>1146</v>
      </c>
      <c r="K1663" s="136"/>
      <c r="L1663" s="146">
        <v>46245</v>
      </c>
      <c r="M1663" s="136"/>
      <c r="N1663" s="281" t="s">
        <v>1391</v>
      </c>
      <c r="O1663" s="146">
        <v>46247</v>
      </c>
      <c r="P1663" s="138">
        <v>0</v>
      </c>
      <c r="Q1663" s="138">
        <v>450</v>
      </c>
      <c r="R1663" s="138">
        <v>50</v>
      </c>
      <c r="S1663" s="138">
        <v>500</v>
      </c>
      <c r="T1663" s="138">
        <v>500</v>
      </c>
      <c r="U1663" s="136"/>
      <c r="V1663" s="136"/>
      <c r="W1663" s="147">
        <v>304.05</v>
      </c>
      <c r="X1663" s="147">
        <v>303.89999999999998</v>
      </c>
      <c r="Y1663" s="147">
        <v>2418717.75</v>
      </c>
      <c r="Z1663" s="238"/>
      <c r="AA1663" s="147">
        <v>60467.94</v>
      </c>
      <c r="AB1663" s="147">
        <v>60467.94</v>
      </c>
      <c r="AC1663" s="147">
        <v>2539653.64</v>
      </c>
      <c r="AD1663" s="470">
        <f t="shared" si="1201"/>
        <v>2537113.98636</v>
      </c>
      <c r="AE1663" s="147">
        <v>40</v>
      </c>
      <c r="AF1663" s="390">
        <v>39.5</v>
      </c>
      <c r="AG1663" s="147">
        <v>39.68</v>
      </c>
      <c r="AH1663" s="287">
        <v>1.6999999999999999E-3</v>
      </c>
      <c r="AI1663" s="287">
        <v>3.1E-2</v>
      </c>
      <c r="AJ1663" s="287">
        <v>0.06</v>
      </c>
      <c r="AK1663" s="318">
        <f t="shared" si="1182"/>
        <v>0</v>
      </c>
      <c r="AL1663" s="467">
        <v>0</v>
      </c>
      <c r="AM1663" s="321">
        <v>0</v>
      </c>
      <c r="AN1663" s="321">
        <v>0</v>
      </c>
      <c r="AO1663" s="318">
        <f t="shared" si="1183"/>
        <v>0</v>
      </c>
      <c r="AP1663" s="467">
        <v>0</v>
      </c>
      <c r="AQ1663" s="318">
        <v>0</v>
      </c>
      <c r="AR1663" s="318">
        <f t="shared" si="1184"/>
        <v>0</v>
      </c>
      <c r="AS1663" s="318">
        <f t="shared" si="1185"/>
        <v>0</v>
      </c>
      <c r="AT1663" s="321">
        <v>0</v>
      </c>
      <c r="AU1663" s="464"/>
      <c r="AV1663" s="449"/>
      <c r="AW1663" s="318">
        <f t="shared" si="1186"/>
        <v>30405</v>
      </c>
      <c r="AX1663" s="467"/>
      <c r="AY1663" s="318">
        <f t="shared" si="1187"/>
        <v>30405</v>
      </c>
      <c r="AZ1663" s="318">
        <f t="shared" si="1188"/>
        <v>30389.999999999996</v>
      </c>
      <c r="BA1663" s="318">
        <f t="shared" si="1189"/>
        <v>15.000000000003638</v>
      </c>
      <c r="BB1663" s="318">
        <f t="shared" si="1190"/>
        <v>60.81</v>
      </c>
      <c r="BC1663" s="318">
        <v>0</v>
      </c>
      <c r="BD1663" s="467"/>
      <c r="BE1663" s="138">
        <v>304.05</v>
      </c>
      <c r="BF1663" s="321">
        <f t="shared" si="1191"/>
        <v>0.45607500000000001</v>
      </c>
      <c r="BG1663" s="321">
        <f t="shared" si="1192"/>
        <v>303.59392500000001</v>
      </c>
      <c r="BH1663" s="321">
        <f t="shared" si="1193"/>
        <v>303.89999999999998</v>
      </c>
      <c r="BI1663" s="322">
        <f t="shared" si="1194"/>
        <v>15.000000000003411</v>
      </c>
      <c r="BJ1663" s="322">
        <v>0</v>
      </c>
      <c r="BK1663" s="318">
        <f t="shared" si="1195"/>
        <v>15.000000000003411</v>
      </c>
      <c r="BL1663" s="449"/>
      <c r="BM1663" s="449" t="str">
        <f t="shared" si="1196"/>
        <v>Unloading no. 1628 Bill No 2026-27/92 ,Deduction For Oil Deduction= 0 ,Bardana= 0 ,F.M= 0 Brokerage/Rate Difference 0 ,Shortage = 0 ,Greenish= 0 ,Moisture= 0</v>
      </c>
      <c r="BN1663" s="449"/>
      <c r="BO1663" s="449" t="str">
        <f t="shared" si="1197"/>
        <v xml:space="preserve"> Party Condition 39.5  ,F.M% 0.17 ,Greenish 3.1 ,Moisture 6 ,Shortage in KG= 0  ,Oil% 39.68</v>
      </c>
      <c r="BP1663" s="464">
        <f t="shared" si="1198"/>
        <v>7958.9264560710762</v>
      </c>
      <c r="BQ1663" s="449"/>
      <c r="BR1663" s="449"/>
      <c r="BS1663" s="449"/>
      <c r="BT1663" s="449"/>
      <c r="BU1663" s="449"/>
      <c r="BV1663" s="449"/>
      <c r="BW1663" s="449"/>
      <c r="BX1663" s="147">
        <v>40</v>
      </c>
      <c r="BY1663" s="147">
        <v>39.68</v>
      </c>
      <c r="CO1663" s="460">
        <f t="shared" si="1199"/>
        <v>-40</v>
      </c>
      <c r="CP1663" s="460">
        <f t="shared" si="1200"/>
        <v>-39.68</v>
      </c>
    </row>
    <row r="1664" spans="1:94" ht="14.1" hidden="1" customHeight="1" x14ac:dyDescent="0.3">
      <c r="A1664" s="281" t="s">
        <v>3502</v>
      </c>
      <c r="B1664" s="130">
        <v>46245</v>
      </c>
      <c r="C1664" s="128">
        <v>1629</v>
      </c>
      <c r="D1664" s="281" t="s">
        <v>3518</v>
      </c>
      <c r="E1664" s="129">
        <v>46248</v>
      </c>
      <c r="F1664" s="128" t="s">
        <v>3018</v>
      </c>
      <c r="G1664" s="281" t="s">
        <v>3019</v>
      </c>
      <c r="H1664" s="128" t="s">
        <v>1508</v>
      </c>
      <c r="I1664" s="136"/>
      <c r="J1664" s="281" t="s">
        <v>1146</v>
      </c>
      <c r="K1664" s="136"/>
      <c r="L1664" s="146">
        <v>46245</v>
      </c>
      <c r="M1664" s="136"/>
      <c r="N1664" s="281" t="s">
        <v>3531</v>
      </c>
      <c r="O1664" s="146">
        <v>46247</v>
      </c>
      <c r="P1664" s="138">
        <v>0</v>
      </c>
      <c r="Q1664" s="138">
        <v>300</v>
      </c>
      <c r="R1664" s="138">
        <v>152</v>
      </c>
      <c r="S1664" s="138">
        <v>452</v>
      </c>
      <c r="T1664" s="138">
        <v>452</v>
      </c>
      <c r="U1664" s="136"/>
      <c r="V1664" s="136"/>
      <c r="W1664" s="147">
        <v>269</v>
      </c>
      <c r="X1664" s="147">
        <v>268.8</v>
      </c>
      <c r="Y1664" s="196">
        <f>2272166-1537</f>
        <v>2270629</v>
      </c>
      <c r="Z1664" s="236">
        <v>37.729999999999997</v>
      </c>
      <c r="AA1664" s="147">
        <v>56804.15</v>
      </c>
      <c r="AB1664" s="147">
        <v>56804.15</v>
      </c>
      <c r="AC1664" s="147">
        <v>2385774.2999999998</v>
      </c>
      <c r="AD1664" s="470">
        <f t="shared" si="1201"/>
        <v>2383388.5256999996</v>
      </c>
      <c r="AE1664" s="236">
        <v>37.729999999999997</v>
      </c>
      <c r="AF1664" s="390">
        <v>42</v>
      </c>
      <c r="AG1664" s="236">
        <v>37.729999999999997</v>
      </c>
      <c r="AH1664" s="287">
        <v>6.1999999999999998E-3</v>
      </c>
      <c r="AI1664" s="287">
        <v>3.5999999999999997E-2</v>
      </c>
      <c r="AJ1664" s="287">
        <v>5.2999999999999999E-2</v>
      </c>
      <c r="AK1664" s="318">
        <f t="shared" si="1182"/>
        <v>230847.28166666682</v>
      </c>
      <c r="AL1664" s="467">
        <v>0</v>
      </c>
      <c r="AM1664" s="321">
        <v>0</v>
      </c>
      <c r="AN1664" s="321">
        <v>0</v>
      </c>
      <c r="AO1664" s="318">
        <f t="shared" si="1183"/>
        <v>0</v>
      </c>
      <c r="AP1664" s="467">
        <v>0</v>
      </c>
      <c r="AQ1664" s="318">
        <v>0</v>
      </c>
      <c r="AR1664" s="318">
        <f t="shared" si="1184"/>
        <v>230847.28166666682</v>
      </c>
      <c r="AS1664" s="318">
        <f t="shared" si="1185"/>
        <v>242390</v>
      </c>
      <c r="AT1664" s="321">
        <v>0</v>
      </c>
      <c r="AU1664" s="464"/>
      <c r="AV1664" s="449"/>
      <c r="AW1664" s="318">
        <f t="shared" si="1186"/>
        <v>26900</v>
      </c>
      <c r="AX1664" s="467"/>
      <c r="AY1664" s="318">
        <f t="shared" si="1187"/>
        <v>26900</v>
      </c>
      <c r="AZ1664" s="318">
        <f t="shared" si="1188"/>
        <v>26880</v>
      </c>
      <c r="BA1664" s="318">
        <f t="shared" si="1189"/>
        <v>20</v>
      </c>
      <c r="BB1664" s="318">
        <f t="shared" si="1190"/>
        <v>53.8</v>
      </c>
      <c r="BC1664" s="318">
        <v>0</v>
      </c>
      <c r="BD1664" s="467"/>
      <c r="BE1664" s="138">
        <v>269</v>
      </c>
      <c r="BF1664" s="321">
        <f t="shared" si="1191"/>
        <v>0.40350000000000003</v>
      </c>
      <c r="BG1664" s="321">
        <f t="shared" si="1192"/>
        <v>268.59649999999999</v>
      </c>
      <c r="BH1664" s="321">
        <f t="shared" si="1193"/>
        <v>268.8</v>
      </c>
      <c r="BI1664" s="322">
        <f t="shared" si="1194"/>
        <v>19.999999999998863</v>
      </c>
      <c r="BJ1664" s="322">
        <v>0</v>
      </c>
      <c r="BK1664" s="318">
        <f t="shared" si="1195"/>
        <v>19.999999999998863</v>
      </c>
      <c r="BL1664" s="449"/>
      <c r="BM1664" s="449" t="str">
        <f t="shared" si="1196"/>
        <v>Unloading no. 1629 Bill No BTC-15/26-27 ,Deduction For Oil Deduction= 230847.281666667 ,Bardana= 0 ,F.M= 0 Brokerage/Rate Difference 0 ,Shortage = 0 ,Greenish= 0 ,Moisture= 0</v>
      </c>
      <c r="BN1664" s="449"/>
      <c r="BO1664" s="449" t="str">
        <f t="shared" si="1197"/>
        <v xml:space="preserve"> Party Condition 42  ,F.M% 0.62 ,Greenish 3.6 ,Moisture 5.3 ,Shortage in KG= 0  ,Oil% 37.73</v>
      </c>
      <c r="BP1664" s="464">
        <f t="shared" si="1198"/>
        <v>7588.4736545138885</v>
      </c>
      <c r="BQ1664" s="449"/>
      <c r="BR1664" s="449"/>
      <c r="BS1664" s="449"/>
      <c r="BT1664" s="449"/>
      <c r="BU1664" s="449"/>
      <c r="BV1664" s="449"/>
      <c r="BW1664" s="449"/>
      <c r="BX1664" s="147">
        <v>38.1</v>
      </c>
      <c r="BY1664" s="147">
        <v>37.96</v>
      </c>
      <c r="CO1664" s="460">
        <f t="shared" si="1199"/>
        <v>-0.37000000000000455</v>
      </c>
      <c r="CP1664" s="460">
        <f t="shared" si="1200"/>
        <v>-0.23000000000000398</v>
      </c>
    </row>
    <row r="1665" spans="1:94" ht="14.1" hidden="1" customHeight="1" x14ac:dyDescent="0.3">
      <c r="A1665" s="281" t="s">
        <v>3502</v>
      </c>
      <c r="B1665" s="130">
        <v>46245</v>
      </c>
      <c r="C1665" s="128">
        <v>1630</v>
      </c>
      <c r="D1665" s="281" t="s">
        <v>3519</v>
      </c>
      <c r="E1665" s="129">
        <v>46248</v>
      </c>
      <c r="F1665" s="128" t="s">
        <v>3018</v>
      </c>
      <c r="G1665" s="281" t="s">
        <v>3019</v>
      </c>
      <c r="H1665" s="128" t="s">
        <v>1508</v>
      </c>
      <c r="I1665" s="136"/>
      <c r="J1665" s="281" t="s">
        <v>1146</v>
      </c>
      <c r="K1665" s="136"/>
      <c r="L1665" s="146">
        <v>46245</v>
      </c>
      <c r="M1665" s="136"/>
      <c r="N1665" s="281" t="s">
        <v>3532</v>
      </c>
      <c r="O1665" s="146">
        <v>46247</v>
      </c>
      <c r="P1665" s="138">
        <v>0</v>
      </c>
      <c r="Q1665" s="138">
        <v>345</v>
      </c>
      <c r="R1665" s="138">
        <v>115</v>
      </c>
      <c r="S1665" s="138">
        <v>460</v>
      </c>
      <c r="T1665" s="138">
        <v>460</v>
      </c>
      <c r="U1665" s="136"/>
      <c r="V1665" s="136"/>
      <c r="W1665" s="147">
        <v>278.89999999999998</v>
      </c>
      <c r="X1665" s="147">
        <v>278.5</v>
      </c>
      <c r="Y1665" s="196">
        <f>2355758.9-1564</f>
        <v>2354194.9</v>
      </c>
      <c r="Z1665" s="236">
        <v>37.729999999999997</v>
      </c>
      <c r="AA1665" s="147">
        <v>58893.97</v>
      </c>
      <c r="AB1665" s="147">
        <v>58893.97</v>
      </c>
      <c r="AC1665" s="147">
        <v>2473546.85</v>
      </c>
      <c r="AD1665" s="470">
        <f t="shared" si="1201"/>
        <v>2471073.3031500001</v>
      </c>
      <c r="AE1665" s="236">
        <v>37.729999999999997</v>
      </c>
      <c r="AF1665" s="390">
        <v>42</v>
      </c>
      <c r="AG1665" s="236">
        <v>37.729999999999997</v>
      </c>
      <c r="AH1665" s="287">
        <v>8.0000000000000002E-3</v>
      </c>
      <c r="AI1665" s="287">
        <v>3.3000000000000002E-2</v>
      </c>
      <c r="AJ1665" s="287">
        <v>5.1999999999999998E-2</v>
      </c>
      <c r="AK1665" s="318">
        <f t="shared" si="1182"/>
        <v>239343.14816666683</v>
      </c>
      <c r="AL1665" s="467">
        <v>0</v>
      </c>
      <c r="AM1665" s="321">
        <v>0</v>
      </c>
      <c r="AN1665" s="321">
        <v>0</v>
      </c>
      <c r="AO1665" s="318">
        <f t="shared" si="1183"/>
        <v>0</v>
      </c>
      <c r="AP1665" s="467">
        <v>0</v>
      </c>
      <c r="AQ1665" s="318">
        <v>0</v>
      </c>
      <c r="AR1665" s="318">
        <f t="shared" si="1184"/>
        <v>239343.14816666683</v>
      </c>
      <c r="AS1665" s="318">
        <f t="shared" si="1185"/>
        <v>251310</v>
      </c>
      <c r="AT1665" s="321">
        <v>0</v>
      </c>
      <c r="AU1665" s="464"/>
      <c r="AV1665" s="449"/>
      <c r="AW1665" s="318">
        <f t="shared" si="1186"/>
        <v>27889.999999999996</v>
      </c>
      <c r="AX1665" s="467"/>
      <c r="AY1665" s="318">
        <f t="shared" si="1187"/>
        <v>27889.999999999996</v>
      </c>
      <c r="AZ1665" s="318">
        <f t="shared" si="1188"/>
        <v>27850</v>
      </c>
      <c r="BA1665" s="318">
        <f t="shared" si="1189"/>
        <v>39.999999999996362</v>
      </c>
      <c r="BB1665" s="318">
        <f t="shared" si="1190"/>
        <v>55.779999999999994</v>
      </c>
      <c r="BC1665" s="318">
        <v>0</v>
      </c>
      <c r="BD1665" s="467"/>
      <c r="BE1665" s="138">
        <v>278.89999999999998</v>
      </c>
      <c r="BF1665" s="321">
        <f t="shared" si="1191"/>
        <v>0.41834999999999994</v>
      </c>
      <c r="BG1665" s="321">
        <f t="shared" si="1192"/>
        <v>278.48165</v>
      </c>
      <c r="BH1665" s="321">
        <f t="shared" si="1193"/>
        <v>278.5</v>
      </c>
      <c r="BI1665" s="322">
        <f t="shared" si="1194"/>
        <v>39.999999999997726</v>
      </c>
      <c r="BJ1665" s="322">
        <v>0</v>
      </c>
      <c r="BK1665" s="318">
        <f t="shared" si="1195"/>
        <v>39.999999999997726</v>
      </c>
      <c r="BL1665" s="449"/>
      <c r="BM1665" s="449" t="str">
        <f t="shared" si="1196"/>
        <v>Unloading no. 1630 Bill No BTC-16/26-27 ,Deduction For Oil Deduction= 239343.148166667 ,Bardana= 0 ,F.M= 0 Brokerage/Rate Difference 0 ,Shortage = 0 ,Greenish= 0 ,Moisture= 0</v>
      </c>
      <c r="BN1665" s="449"/>
      <c r="BO1665" s="449" t="str">
        <f t="shared" si="1197"/>
        <v xml:space="preserve"> Party Condition 42  ,F.M% 0.8 ,Greenish 3.3 ,Moisture 5.2 ,Shortage in KG= 0  ,Oil% 37.73</v>
      </c>
      <c r="BP1665" s="464">
        <f t="shared" si="1198"/>
        <v>7593.7226277678028</v>
      </c>
      <c r="BQ1665" s="449"/>
      <c r="BR1665" s="449"/>
      <c r="BS1665" s="449"/>
      <c r="BT1665" s="449"/>
      <c r="BU1665" s="449"/>
      <c r="BV1665" s="449"/>
      <c r="BW1665" s="449"/>
      <c r="BX1665" s="147">
        <v>37.57</v>
      </c>
      <c r="BY1665" s="147">
        <v>37.64</v>
      </c>
      <c r="CO1665" s="460">
        <f t="shared" si="1199"/>
        <v>0.15999999999999659</v>
      </c>
      <c r="CP1665" s="460">
        <f t="shared" si="1200"/>
        <v>8.9999999999996305E-2</v>
      </c>
    </row>
    <row r="1666" spans="1:94" ht="14.1" hidden="1" customHeight="1" x14ac:dyDescent="0.3">
      <c r="A1666" s="281" t="s">
        <v>3503</v>
      </c>
      <c r="B1666" s="130">
        <v>46247</v>
      </c>
      <c r="C1666" s="128">
        <v>1631</v>
      </c>
      <c r="D1666" s="281" t="s">
        <v>3520</v>
      </c>
      <c r="E1666" s="129">
        <v>46248</v>
      </c>
      <c r="F1666" s="128" t="s">
        <v>1686</v>
      </c>
      <c r="G1666" s="482" t="s">
        <v>1687</v>
      </c>
      <c r="H1666" s="484" t="s">
        <v>1688</v>
      </c>
      <c r="I1666" s="485"/>
      <c r="J1666" s="482" t="s">
        <v>2499</v>
      </c>
      <c r="K1666" s="485"/>
      <c r="L1666" s="486">
        <v>46247</v>
      </c>
      <c r="M1666" s="485"/>
      <c r="N1666" s="482" t="s">
        <v>3533</v>
      </c>
      <c r="O1666" s="146">
        <v>46247</v>
      </c>
      <c r="P1666" s="138">
        <v>0</v>
      </c>
      <c r="Q1666" s="138">
        <v>180</v>
      </c>
      <c r="R1666" s="138">
        <v>95</v>
      </c>
      <c r="S1666" s="138">
        <v>275</v>
      </c>
      <c r="T1666" s="138">
        <v>275</v>
      </c>
      <c r="U1666" s="136"/>
      <c r="V1666" s="165"/>
      <c r="W1666" s="147">
        <v>167.95</v>
      </c>
      <c r="X1666" s="147">
        <v>167.5</v>
      </c>
      <c r="Y1666" s="147">
        <v>1419177.5</v>
      </c>
      <c r="Z1666" s="169">
        <v>39.549999999999997</v>
      </c>
      <c r="AA1666" s="147">
        <v>35479.440000000002</v>
      </c>
      <c r="AB1666" s="147">
        <v>35479.440000000002</v>
      </c>
      <c r="AC1666" s="147">
        <v>1490136.38</v>
      </c>
      <c r="AD1666" s="470">
        <f t="shared" si="1201"/>
        <v>1488646.2436199998</v>
      </c>
      <c r="AE1666" s="147">
        <v>39.25</v>
      </c>
      <c r="AF1666" s="390">
        <v>42</v>
      </c>
      <c r="AG1666" s="147">
        <v>39.17</v>
      </c>
      <c r="AH1666" s="287">
        <v>1.5E-3</v>
      </c>
      <c r="AI1666" s="287">
        <v>3.2899999999999999E-2</v>
      </c>
      <c r="AJ1666" s="287">
        <v>0.06</v>
      </c>
      <c r="AK1666" s="318">
        <f t="shared" si="1182"/>
        <v>95625.531547619001</v>
      </c>
      <c r="AL1666" s="467">
        <v>0</v>
      </c>
      <c r="AM1666" s="321">
        <v>0</v>
      </c>
      <c r="AN1666" s="321">
        <v>0</v>
      </c>
      <c r="AO1666" s="318">
        <f t="shared" si="1183"/>
        <v>929.5</v>
      </c>
      <c r="AP1666" s="467">
        <v>0</v>
      </c>
      <c r="AQ1666" s="318">
        <v>0</v>
      </c>
      <c r="AR1666" s="318">
        <f t="shared" si="1184"/>
        <v>96555.031547619001</v>
      </c>
      <c r="AS1666" s="318">
        <f t="shared" si="1185"/>
        <v>101383</v>
      </c>
      <c r="AT1666" s="321">
        <v>11</v>
      </c>
      <c r="AU1666" s="464"/>
      <c r="AV1666" s="449"/>
      <c r="AW1666" s="318">
        <f t="shared" si="1186"/>
        <v>16795</v>
      </c>
      <c r="AX1666" s="467"/>
      <c r="AY1666" s="318">
        <f t="shared" si="1187"/>
        <v>16795</v>
      </c>
      <c r="AZ1666" s="318">
        <f t="shared" si="1188"/>
        <v>16750</v>
      </c>
      <c r="BA1666" s="318">
        <f t="shared" si="1189"/>
        <v>45</v>
      </c>
      <c r="BB1666" s="318">
        <f t="shared" si="1190"/>
        <v>33.590000000000003</v>
      </c>
      <c r="BC1666" s="318">
        <v>0</v>
      </c>
      <c r="BD1666" s="467"/>
      <c r="BE1666" s="138">
        <v>167.95</v>
      </c>
      <c r="BF1666" s="321">
        <f t="shared" si="1191"/>
        <v>0.25192500000000001</v>
      </c>
      <c r="BG1666" s="321">
        <f t="shared" si="1192"/>
        <v>167.69807499999999</v>
      </c>
      <c r="BH1666" s="321">
        <f t="shared" si="1193"/>
        <v>167.5</v>
      </c>
      <c r="BI1666" s="322">
        <f t="shared" si="1194"/>
        <v>44.999999999998863</v>
      </c>
      <c r="BJ1666" s="322">
        <v>0</v>
      </c>
      <c r="BK1666" s="318">
        <f t="shared" si="1195"/>
        <v>44.999999999998863</v>
      </c>
      <c r="BL1666" s="449"/>
      <c r="BM1666" s="449" t="str">
        <f t="shared" si="1196"/>
        <v>Unloading no. 1631 Bill No KAI/2026-27/183 ,Deduction For Oil Deduction= 95625.531547619 ,Bardana= 0 ,F.M= 0 Brokerage/Rate Difference 0 ,Shortage = 929.5 ,Greenish= 0 ,Moisture= 0</v>
      </c>
      <c r="BN1666" s="449"/>
      <c r="BO1666" s="449" t="str">
        <f t="shared" si="1197"/>
        <v xml:space="preserve"> Party Condition 42  ,F.M% 0.15 ,Greenish 3.29 ,Moisture 6 ,Shortage in KG= 11  ,Oil% 39.17</v>
      </c>
      <c r="BP1666" s="464">
        <f t="shared" si="1198"/>
        <v>7896.2535429992895</v>
      </c>
      <c r="BQ1666" s="449"/>
      <c r="BR1666" s="449"/>
      <c r="BS1666" s="449"/>
      <c r="BT1666" s="449"/>
      <c r="BU1666" s="449"/>
      <c r="BV1666" s="449"/>
      <c r="BW1666" s="449"/>
      <c r="BX1666" s="147">
        <v>39.25</v>
      </c>
      <c r="BY1666" s="147">
        <v>39.17</v>
      </c>
      <c r="CO1666" s="460">
        <f t="shared" si="1199"/>
        <v>0.29999999999999716</v>
      </c>
      <c r="CP1666" s="460">
        <f t="shared" si="1200"/>
        <v>0.37999999999999545</v>
      </c>
    </row>
    <row r="1667" spans="1:94" ht="14.1" hidden="1" customHeight="1" x14ac:dyDescent="0.3">
      <c r="A1667" s="281" t="s">
        <v>3503</v>
      </c>
      <c r="B1667" s="130">
        <v>46247</v>
      </c>
      <c r="C1667" s="128">
        <v>1632</v>
      </c>
      <c r="D1667" s="281" t="s">
        <v>3521</v>
      </c>
      <c r="E1667" s="129">
        <v>46248</v>
      </c>
      <c r="F1667" s="128" t="s">
        <v>1686</v>
      </c>
      <c r="G1667" s="482" t="s">
        <v>1687</v>
      </c>
      <c r="H1667" s="484" t="s">
        <v>1688</v>
      </c>
      <c r="I1667" s="485"/>
      <c r="J1667" s="482" t="s">
        <v>2499</v>
      </c>
      <c r="K1667" s="485"/>
      <c r="L1667" s="486">
        <v>46247</v>
      </c>
      <c r="M1667" s="485"/>
      <c r="N1667" s="482" t="s">
        <v>3534</v>
      </c>
      <c r="O1667" s="146">
        <v>46247</v>
      </c>
      <c r="P1667" s="138">
        <v>0</v>
      </c>
      <c r="Q1667" s="138">
        <v>200</v>
      </c>
      <c r="R1667" s="138">
        <v>75</v>
      </c>
      <c r="S1667" s="138">
        <v>275</v>
      </c>
      <c r="T1667" s="138">
        <v>275</v>
      </c>
      <c r="U1667" s="136"/>
      <c r="V1667" s="165"/>
      <c r="W1667" s="147">
        <v>167.9</v>
      </c>
      <c r="X1667" s="147">
        <v>167.7</v>
      </c>
      <c r="Y1667" s="147">
        <v>1418755</v>
      </c>
      <c r="Z1667" s="169">
        <v>39.58</v>
      </c>
      <c r="AA1667" s="147">
        <v>35468.879999999997</v>
      </c>
      <c r="AB1667" s="147">
        <v>35468.879999999997</v>
      </c>
      <c r="AC1667" s="147">
        <v>1489692.75</v>
      </c>
      <c r="AD1667" s="470">
        <f t="shared" si="1201"/>
        <v>1488203.0572500001</v>
      </c>
      <c r="AE1667" s="147">
        <v>39.85</v>
      </c>
      <c r="AF1667" s="390">
        <v>42</v>
      </c>
      <c r="AG1667" s="147">
        <v>39.549999999999997</v>
      </c>
      <c r="AH1667" s="287">
        <v>1.8E-3</v>
      </c>
      <c r="AI1667" s="287">
        <v>3.2500000000000001E-2</v>
      </c>
      <c r="AJ1667" s="287">
        <v>5.8999999999999997E-2</v>
      </c>
      <c r="AK1667" s="318">
        <f t="shared" si="1182"/>
        <v>82760.70833333343</v>
      </c>
      <c r="AL1667" s="467">
        <v>0</v>
      </c>
      <c r="AM1667" s="321">
        <v>0</v>
      </c>
      <c r="AN1667" s="321">
        <v>0</v>
      </c>
      <c r="AO1667" s="318">
        <f t="shared" si="1183"/>
        <v>0</v>
      </c>
      <c r="AP1667" s="467">
        <v>0</v>
      </c>
      <c r="AQ1667" s="318">
        <v>0</v>
      </c>
      <c r="AR1667" s="318">
        <f t="shared" si="1184"/>
        <v>82760.70833333343</v>
      </c>
      <c r="AS1667" s="318">
        <f t="shared" si="1185"/>
        <v>86899</v>
      </c>
      <c r="AT1667" s="321">
        <v>0</v>
      </c>
      <c r="AU1667" s="464"/>
      <c r="AV1667" s="449"/>
      <c r="AW1667" s="318">
        <f t="shared" si="1186"/>
        <v>16790</v>
      </c>
      <c r="AX1667" s="467"/>
      <c r="AY1667" s="318">
        <f t="shared" si="1187"/>
        <v>16790</v>
      </c>
      <c r="AZ1667" s="318">
        <f t="shared" si="1188"/>
        <v>16770</v>
      </c>
      <c r="BA1667" s="318">
        <f t="shared" si="1189"/>
        <v>20</v>
      </c>
      <c r="BB1667" s="318">
        <f t="shared" si="1190"/>
        <v>33.58</v>
      </c>
      <c r="BC1667" s="318">
        <v>0</v>
      </c>
      <c r="BD1667" s="467"/>
      <c r="BE1667" s="138">
        <v>167.9</v>
      </c>
      <c r="BF1667" s="321">
        <f t="shared" si="1191"/>
        <v>0.25184999999999996</v>
      </c>
      <c r="BG1667" s="321">
        <f t="shared" si="1192"/>
        <v>167.64815000000002</v>
      </c>
      <c r="BH1667" s="321">
        <f t="shared" si="1193"/>
        <v>167.7</v>
      </c>
      <c r="BI1667" s="322">
        <f t="shared" si="1194"/>
        <v>20.000000000001705</v>
      </c>
      <c r="BJ1667" s="322">
        <v>0</v>
      </c>
      <c r="BK1667" s="318">
        <f t="shared" si="1195"/>
        <v>20.000000000001705</v>
      </c>
      <c r="BL1667" s="449"/>
      <c r="BM1667" s="449" t="str">
        <f t="shared" si="1196"/>
        <v>Unloading no. 1632 Bill No KAI/2026-27/184 ,Deduction For Oil Deduction= 82760.7083333334 ,Bardana= 0 ,F.M= 0 Brokerage/Rate Difference 0 ,Shortage = 0 ,Greenish= 0 ,Moisture= 0</v>
      </c>
      <c r="BN1667" s="449"/>
      <c r="BO1667" s="449" t="str">
        <f t="shared" si="1197"/>
        <v xml:space="preserve"> Party Condition 42  ,F.M% 0.18 ,Greenish 3.25 ,Moisture 5.9 ,Shortage in KG= 0  ,Oil% 39.55</v>
      </c>
      <c r="BP1667" s="464">
        <f t="shared" si="1198"/>
        <v>7966.5729974160204</v>
      </c>
      <c r="BQ1667" s="449"/>
      <c r="BR1667" s="449"/>
      <c r="BS1667" s="449"/>
      <c r="BT1667" s="449"/>
      <c r="BU1667" s="449"/>
      <c r="BV1667" s="449"/>
      <c r="BW1667" s="449"/>
      <c r="BX1667" s="147">
        <v>39.85</v>
      </c>
      <c r="BY1667" s="147">
        <v>39.549999999999997</v>
      </c>
      <c r="CO1667" s="460">
        <f t="shared" si="1199"/>
        <v>-0.27000000000000313</v>
      </c>
      <c r="CP1667" s="460">
        <f t="shared" si="1200"/>
        <v>3.0000000000001137E-2</v>
      </c>
    </row>
    <row r="1668" spans="1:94" ht="14.1" hidden="1" customHeight="1" x14ac:dyDescent="0.3">
      <c r="A1668" s="284" t="s">
        <v>3503</v>
      </c>
      <c r="B1668" s="175">
        <v>46247</v>
      </c>
      <c r="C1668" s="174">
        <v>1633</v>
      </c>
      <c r="D1668" s="284" t="s">
        <v>3522</v>
      </c>
      <c r="E1668" s="231">
        <v>46248</v>
      </c>
      <c r="F1668" s="174" t="s">
        <v>1686</v>
      </c>
      <c r="G1668" s="483" t="s">
        <v>1687</v>
      </c>
      <c r="H1668" s="487" t="s">
        <v>1688</v>
      </c>
      <c r="I1668" s="488"/>
      <c r="J1668" s="483" t="s">
        <v>2499</v>
      </c>
      <c r="K1668" s="488"/>
      <c r="L1668" s="489">
        <v>46247</v>
      </c>
      <c r="M1668" s="488"/>
      <c r="N1668" s="483" t="s">
        <v>3535</v>
      </c>
      <c r="O1668" s="376">
        <v>46247</v>
      </c>
      <c r="P1668" s="275">
        <v>0</v>
      </c>
      <c r="Q1668" s="275">
        <v>225</v>
      </c>
      <c r="R1668" s="275">
        <v>50</v>
      </c>
      <c r="S1668" s="275">
        <v>275</v>
      </c>
      <c r="T1668" s="275">
        <v>275</v>
      </c>
      <c r="U1668" s="176"/>
      <c r="V1668" s="165"/>
      <c r="W1668" s="178">
        <v>167.85</v>
      </c>
      <c r="X1668" s="178">
        <v>167.7</v>
      </c>
      <c r="Y1668" s="178">
        <v>1418332.5</v>
      </c>
      <c r="Z1668" s="179">
        <v>39.85</v>
      </c>
      <c r="AA1668" s="178">
        <v>35458.31</v>
      </c>
      <c r="AB1668" s="178">
        <v>35458.31</v>
      </c>
      <c r="AC1668" s="178">
        <v>1489249.13</v>
      </c>
      <c r="AD1668" s="472">
        <f t="shared" si="1201"/>
        <v>1487759.88087</v>
      </c>
      <c r="AE1668" s="178">
        <v>39.619999999999997</v>
      </c>
      <c r="AF1668" s="448">
        <v>42</v>
      </c>
      <c r="AG1668" s="178">
        <v>39.43</v>
      </c>
      <c r="AH1668" s="308">
        <v>1.6000000000000001E-3</v>
      </c>
      <c r="AI1668" s="308">
        <v>0.03</v>
      </c>
      <c r="AJ1668" s="308">
        <v>5.2999999999999999E-2</v>
      </c>
      <c r="AK1668" s="342">
        <f t="shared" si="1182"/>
        <v>86788.441071428577</v>
      </c>
      <c r="AL1668" s="473">
        <v>0</v>
      </c>
      <c r="AM1668" s="345">
        <v>0</v>
      </c>
      <c r="AN1668" s="345">
        <v>0</v>
      </c>
      <c r="AO1668" s="342">
        <f t="shared" si="1183"/>
        <v>0</v>
      </c>
      <c r="AP1668" s="473">
        <v>0</v>
      </c>
      <c r="AQ1668" s="342">
        <v>0</v>
      </c>
      <c r="AR1668" s="342">
        <f t="shared" si="1184"/>
        <v>86788.441071428577</v>
      </c>
      <c r="AS1668" s="342">
        <f t="shared" si="1185"/>
        <v>91128</v>
      </c>
      <c r="AT1668" s="345">
        <v>0</v>
      </c>
      <c r="AU1668" s="474"/>
      <c r="AV1668" s="453"/>
      <c r="AW1668" s="342">
        <f t="shared" si="1186"/>
        <v>16785</v>
      </c>
      <c r="AX1668" s="473"/>
      <c r="AY1668" s="342">
        <f t="shared" si="1187"/>
        <v>16785</v>
      </c>
      <c r="AZ1668" s="342">
        <f t="shared" si="1188"/>
        <v>16770</v>
      </c>
      <c r="BA1668" s="342">
        <f t="shared" si="1189"/>
        <v>15</v>
      </c>
      <c r="BB1668" s="342">
        <f t="shared" si="1190"/>
        <v>33.57</v>
      </c>
      <c r="BC1668" s="342">
        <v>0</v>
      </c>
      <c r="BD1668" s="473"/>
      <c r="BE1668" s="275">
        <v>167.85</v>
      </c>
      <c r="BF1668" s="345">
        <f t="shared" ref="BF1668" si="1202">+BE1668*0.15/100</f>
        <v>0.25177499999999997</v>
      </c>
      <c r="BG1668" s="345">
        <f t="shared" ref="BG1668" si="1203">BE1668-BF1668</f>
        <v>167.59822499999999</v>
      </c>
      <c r="BH1668" s="345">
        <f t="shared" ref="BH1668" si="1204">X1668</f>
        <v>167.7</v>
      </c>
      <c r="BI1668" s="346">
        <f t="shared" ref="BI1668" si="1205">(BE1668-BH1668)*100</f>
        <v>15.000000000000568</v>
      </c>
      <c r="BJ1668" s="346">
        <v>0</v>
      </c>
      <c r="BK1668" s="342">
        <f t="shared" ref="BK1668" si="1206">BI1668</f>
        <v>15.000000000000568</v>
      </c>
      <c r="BL1668" s="453"/>
      <c r="BM1668" s="453" t="str">
        <f t="shared" ref="BM1668" si="1207">+$C$1&amp;" "&amp;C1668 &amp;" "&amp;$N$1&amp;" "&amp;N1668&amp;" "&amp;$BM$1&amp;" "&amp;$AK$1&amp;" "&amp;AK1668&amp;" "&amp;$AL$1&amp;" "&amp;AL1668&amp;" "&amp;$AM$1&amp;" "&amp;AM1668&amp;" "&amp;$AN$1&amp;" "&amp;AN1668&amp;" "&amp;$AO$1&amp;" "&amp;AO1668&amp;" "&amp;$AP$1&amp;" "&amp;AP1668&amp;" "&amp;$AQ$1&amp;" "&amp;AQ1668</f>
        <v>Unloading no. 1633 Bill No KAI/2026-27/182 ,Deduction For Oil Deduction= 86788.4410714286 ,Bardana= 0 ,F.M= 0 Brokerage/Rate Difference 0 ,Shortage = 0 ,Greenish= 0 ,Moisture= 0</v>
      </c>
      <c r="BN1668" s="453"/>
      <c r="BO1668" s="453" t="str">
        <f t="shared" ref="BO1668" si="1208">+" "&amp;$AF$1&amp;" "&amp;AF1668&amp;" "&amp;" "&amp;$AH$1&amp;" "&amp;AH1668*100&amp;" "&amp;$AI$1&amp;" "&amp;AI1668*100&amp;" "&amp;$AJ$1&amp;" "&amp;AJ1668*100&amp;" ,"&amp;$AT$1&amp;" "&amp;AT1668&amp;" "&amp;IF(AE1668&gt;AG1668," ,Oil%"&amp;" "&amp;AG1668," ,Oil%"&amp;" "&amp;AE1668)</f>
        <v xml:space="preserve"> Party Condition 42  ,F.M% 0.16 ,Greenish 3 ,Moisture 5.3 ,Shortage in KG= 0  ,Oil% 39.43</v>
      </c>
      <c r="BP1668" s="464">
        <f t="shared" ref="BP1668" si="1209">(Y1668-AR1668)/X1668</f>
        <v>7940.0361295681068</v>
      </c>
      <c r="BQ1668" s="449"/>
      <c r="BR1668" s="449"/>
      <c r="BS1668" s="449"/>
      <c r="BT1668" s="449"/>
      <c r="BU1668" s="449"/>
      <c r="BV1668" s="449"/>
      <c r="BW1668" s="449"/>
      <c r="BX1668" s="147">
        <v>39.619999999999997</v>
      </c>
      <c r="BY1668" s="147">
        <v>39.43</v>
      </c>
      <c r="CO1668" s="460">
        <f t="shared" si="1199"/>
        <v>0.23000000000000398</v>
      </c>
      <c r="CP1668" s="460">
        <f t="shared" si="1200"/>
        <v>0.42000000000000171</v>
      </c>
    </row>
    <row r="1669" spans="1:94" ht="14.1" hidden="1" customHeight="1" x14ac:dyDescent="0.3">
      <c r="A1669" s="281" t="s">
        <v>3536</v>
      </c>
      <c r="B1669" s="130">
        <v>46246</v>
      </c>
      <c r="C1669" s="128">
        <v>1634</v>
      </c>
      <c r="D1669" s="281" t="s">
        <v>3549</v>
      </c>
      <c r="E1669" s="129">
        <v>46250</v>
      </c>
      <c r="F1669" s="128" t="s">
        <v>3018</v>
      </c>
      <c r="G1669" s="281" t="s">
        <v>3019</v>
      </c>
      <c r="H1669" s="128" t="s">
        <v>1508</v>
      </c>
      <c r="I1669" s="136"/>
      <c r="J1669" s="281" t="s">
        <v>1146</v>
      </c>
      <c r="K1669" s="136"/>
      <c r="L1669" s="146">
        <v>46246</v>
      </c>
      <c r="M1669" s="136"/>
      <c r="N1669" s="281" t="s">
        <v>3584</v>
      </c>
      <c r="O1669" s="146">
        <v>46248</v>
      </c>
      <c r="P1669" s="138">
        <v>0</v>
      </c>
      <c r="Q1669" s="138">
        <v>0</v>
      </c>
      <c r="R1669" s="138">
        <v>530</v>
      </c>
      <c r="S1669" s="138">
        <v>530</v>
      </c>
      <c r="T1669" s="138">
        <v>530</v>
      </c>
      <c r="U1669" s="136"/>
      <c r="V1669" s="136"/>
      <c r="W1669" s="138">
        <v>255.6</v>
      </c>
      <c r="X1669" s="138">
        <v>255.7</v>
      </c>
      <c r="Y1669" s="475">
        <f>2151653.6-1802</f>
        <v>2149851.6</v>
      </c>
      <c r="Z1669" s="236">
        <v>38.64</v>
      </c>
      <c r="AA1669" s="138">
        <v>53791.34</v>
      </c>
      <c r="AB1669" s="138">
        <v>53791.34</v>
      </c>
      <c r="AC1669" s="138">
        <v>2259236.2799999998</v>
      </c>
      <c r="AD1669" s="321">
        <f t="shared" si="1201"/>
        <v>2256977.04372</v>
      </c>
      <c r="AE1669" s="236">
        <v>38.64</v>
      </c>
      <c r="AF1669" s="147">
        <v>42</v>
      </c>
      <c r="AG1669" s="236">
        <v>38.64</v>
      </c>
      <c r="AH1669" s="395">
        <v>6.0000000000000001E-3</v>
      </c>
      <c r="AI1669" s="287">
        <v>3.5000000000000003E-2</v>
      </c>
      <c r="AJ1669" s="287">
        <v>5.3999999999999999E-2</v>
      </c>
      <c r="AK1669" s="318">
        <f t="shared" ref="AK1669:AK1699" si="1210">+IF(AF1669=42,IF(MIN(AE1669,AG1669)&lt;AF1669,Y1669*((AF1669-MIN(AE1669,AG1669))/AF1669)),IF(MIN(AE1669,AG1669)&lt;AF1669,Y1669*((AF1669-MIN(AE1669,AG1669))/AF1669),0))</f>
        <v>171988.12799999997</v>
      </c>
      <c r="AL1669" s="467">
        <v>0</v>
      </c>
      <c r="AM1669" s="321">
        <v>0</v>
      </c>
      <c r="AN1669" s="321">
        <v>0</v>
      </c>
      <c r="AO1669" s="318">
        <f t="shared" ref="AO1669:AO1699" si="1211">AT1669*Y1669/AW1669</f>
        <v>0</v>
      </c>
      <c r="AP1669" s="467">
        <v>0</v>
      </c>
      <c r="AQ1669" s="318">
        <v>0</v>
      </c>
      <c r="AR1669" s="318">
        <f t="shared" ref="AR1669:AR1699" si="1212">SUM(AK1669:AQ1669)</f>
        <v>171988.12799999997</v>
      </c>
      <c r="AS1669" s="318">
        <f t="shared" ref="AS1669:AS1699" si="1213">ROUND(AR1669*1.05,0)</f>
        <v>180588</v>
      </c>
      <c r="AT1669" s="321">
        <v>0</v>
      </c>
      <c r="AU1669" s="464"/>
      <c r="AV1669" s="449"/>
      <c r="AW1669" s="318">
        <f t="shared" ref="AW1669:AW1699" si="1214">W1669*100</f>
        <v>25560</v>
      </c>
      <c r="AX1669" s="467"/>
      <c r="AY1669" s="318">
        <f t="shared" ref="AY1669:AY1699" si="1215">+AW1669+AX1669</f>
        <v>25560</v>
      </c>
      <c r="AZ1669" s="318">
        <f t="shared" ref="AZ1669:AZ1699" si="1216">X1669*100</f>
        <v>25570</v>
      </c>
      <c r="BA1669" s="318">
        <f t="shared" ref="BA1669:BA1699" si="1217">AY1669-AZ1669</f>
        <v>-10</v>
      </c>
      <c r="BB1669" s="318">
        <f t="shared" ref="BB1669:BB1699" si="1218">AW1669*2/1000</f>
        <v>51.12</v>
      </c>
      <c r="BC1669" s="318">
        <v>0</v>
      </c>
      <c r="BD1669" s="477"/>
      <c r="BE1669" s="147">
        <v>255.6</v>
      </c>
      <c r="BF1669" s="375">
        <f t="shared" ref="BF1669:BF1699" si="1219">+BE1669*0.15/100</f>
        <v>0.38339999999999996</v>
      </c>
      <c r="BG1669" s="321">
        <f t="shared" ref="BG1669:BG1699" si="1220">BE1669-BF1669</f>
        <v>255.2166</v>
      </c>
      <c r="BH1669" s="321">
        <f t="shared" ref="BH1669:BH1699" si="1221">X1669</f>
        <v>255.7</v>
      </c>
      <c r="BI1669" s="322">
        <f t="shared" ref="BI1669:BI1699" si="1222">(BE1669-BH1669)*100</f>
        <v>-9.9999999999994316</v>
      </c>
      <c r="BJ1669" s="322">
        <v>0</v>
      </c>
      <c r="BK1669" s="318">
        <f t="shared" ref="BK1669:BK1699" si="1223">BI1669</f>
        <v>-9.9999999999994316</v>
      </c>
      <c r="BL1669" s="449"/>
      <c r="BM1669" s="449" t="str">
        <f t="shared" ref="BM1669:BM1699" si="1224">+$C$1&amp;" "&amp;C1669 &amp;" "&amp;$N$1&amp;" "&amp;N1669&amp;" "&amp;$BM$1&amp;" "&amp;$AK$1&amp;" "&amp;AK1669&amp;" "&amp;$AL$1&amp;" "&amp;AL1669&amp;" "&amp;$AM$1&amp;" "&amp;AM1669&amp;" "&amp;$AN$1&amp;" "&amp;AN1669&amp;" "&amp;$AO$1&amp;" "&amp;AO1669&amp;" "&amp;$AP$1&amp;" "&amp;AP1669&amp;" "&amp;$AQ$1&amp;" "&amp;AQ1669</f>
        <v>Unloading no. 1634 Bill No BTC-17/26-27 ,Deduction For Oil Deduction= 171988.128 ,Bardana= 0 ,F.M= 0 Brokerage/Rate Difference 0 ,Shortage = 0 ,Greenish= 0 ,Moisture= 0</v>
      </c>
      <c r="BN1669" s="449"/>
      <c r="BO1669" s="449" t="str">
        <f t="shared" ref="BO1669:BO1699" si="1225">+" "&amp;$AF$1&amp;" "&amp;AF1669&amp;" "&amp;" "&amp;$AH$1&amp;" "&amp;AH1669*100&amp;" "&amp;$AI$1&amp;" "&amp;AI1669*100&amp;" "&amp;$AJ$1&amp;" "&amp;AJ1669*100&amp;" ,"&amp;$AT$1&amp;" "&amp;AT1669&amp;" "&amp;IF(AE1669&gt;AG1669," ,Oil%"&amp;" "&amp;AG1669," ,Oil%"&amp;" "&amp;AE1669)</f>
        <v xml:space="preserve"> Party Condition 42  ,F.M% 0.6 ,Greenish 3.5 ,Moisture 5.4 ,Shortage in KG= 0  ,Oil% 38.64</v>
      </c>
      <c r="BP1669" s="464">
        <f t="shared" ref="BP1669:BP1699" si="1226">(Y1669-AR1669)/X1669</f>
        <v>7735.0937504888543</v>
      </c>
      <c r="BQ1669" s="449"/>
      <c r="BR1669" s="449"/>
      <c r="BS1669" s="449"/>
      <c r="BT1669" s="449"/>
      <c r="BU1669" s="449"/>
      <c r="BV1669" s="449"/>
      <c r="BW1669" s="449"/>
      <c r="BX1669" s="147">
        <v>38.450000000000003</v>
      </c>
      <c r="BY1669" s="147">
        <v>38.51</v>
      </c>
      <c r="CO1669" s="460">
        <f t="shared" ref="CO1669:CO1681" si="1227">Z1669-BX1669</f>
        <v>0.18999999999999773</v>
      </c>
      <c r="CP1669" s="460">
        <f t="shared" ref="CP1669:CP1681" si="1228">Z1669-BY1669</f>
        <v>0.13000000000000256</v>
      </c>
    </row>
    <row r="1670" spans="1:94" ht="14.1" hidden="1" customHeight="1" x14ac:dyDescent="0.3">
      <c r="A1670" s="281" t="s">
        <v>3537</v>
      </c>
      <c r="B1670" s="130">
        <v>46247</v>
      </c>
      <c r="C1670" s="128">
        <v>1635</v>
      </c>
      <c r="D1670" s="281" t="s">
        <v>3550</v>
      </c>
      <c r="E1670" s="129">
        <v>46250</v>
      </c>
      <c r="F1670" s="128" t="s">
        <v>95</v>
      </c>
      <c r="G1670" s="281" t="s">
        <v>96</v>
      </c>
      <c r="H1670" s="128" t="s">
        <v>97</v>
      </c>
      <c r="I1670" s="136"/>
      <c r="J1670" s="281" t="s">
        <v>1146</v>
      </c>
      <c r="K1670" s="136"/>
      <c r="L1670" s="146">
        <v>46247</v>
      </c>
      <c r="M1670" s="136"/>
      <c r="N1670" s="281">
        <v>248</v>
      </c>
      <c r="O1670" s="146">
        <v>46248</v>
      </c>
      <c r="P1670" s="138">
        <v>0</v>
      </c>
      <c r="Q1670" s="138">
        <v>360</v>
      </c>
      <c r="R1670" s="138">
        <v>140</v>
      </c>
      <c r="S1670" s="138">
        <v>500</v>
      </c>
      <c r="T1670" s="138">
        <v>500</v>
      </c>
      <c r="U1670" s="136"/>
      <c r="V1670" s="136"/>
      <c r="W1670" s="147">
        <v>303.3</v>
      </c>
      <c r="X1670" s="147">
        <v>302.89999999999998</v>
      </c>
      <c r="Y1670" s="445">
        <v>2565918</v>
      </c>
      <c r="Z1670" s="147"/>
      <c r="AA1670" s="147">
        <v>64147.95</v>
      </c>
      <c r="AB1670" s="147">
        <v>64147.95</v>
      </c>
      <c r="AC1670" s="147">
        <v>2694213.9</v>
      </c>
      <c r="AD1670" s="321">
        <f t="shared" si="1201"/>
        <v>2691519.6861</v>
      </c>
      <c r="AE1670" s="147">
        <v>38.950000000000003</v>
      </c>
      <c r="AF1670" s="147">
        <v>42</v>
      </c>
      <c r="AG1670" s="147">
        <v>39.06</v>
      </c>
      <c r="AH1670" s="395">
        <v>2E-3</v>
      </c>
      <c r="AI1670" s="287">
        <v>3.2000000000000001E-2</v>
      </c>
      <c r="AJ1670" s="287">
        <v>5.1999999999999998E-2</v>
      </c>
      <c r="AK1670" s="318">
        <f t="shared" si="1210"/>
        <v>186334.52142857126</v>
      </c>
      <c r="AL1670" s="467">
        <v>0</v>
      </c>
      <c r="AM1670" s="321">
        <v>0</v>
      </c>
      <c r="AN1670" s="321">
        <v>0</v>
      </c>
      <c r="AO1670" s="318">
        <f t="shared" si="1211"/>
        <v>0</v>
      </c>
      <c r="AP1670" s="467">
        <v>0</v>
      </c>
      <c r="AQ1670" s="318">
        <v>0</v>
      </c>
      <c r="AR1670" s="318">
        <f t="shared" si="1212"/>
        <v>186334.52142857126</v>
      </c>
      <c r="AS1670" s="318">
        <f t="shared" si="1213"/>
        <v>195651</v>
      </c>
      <c r="AT1670" s="321">
        <v>0</v>
      </c>
      <c r="AU1670" s="464"/>
      <c r="AV1670" s="449"/>
      <c r="AW1670" s="318">
        <f t="shared" si="1214"/>
        <v>30330</v>
      </c>
      <c r="AX1670" s="467"/>
      <c r="AY1670" s="318">
        <f t="shared" si="1215"/>
        <v>30330</v>
      </c>
      <c r="AZ1670" s="318">
        <f t="shared" si="1216"/>
        <v>30289.999999999996</v>
      </c>
      <c r="BA1670" s="318">
        <f t="shared" si="1217"/>
        <v>40.000000000003638</v>
      </c>
      <c r="BB1670" s="318">
        <f t="shared" si="1218"/>
        <v>60.66</v>
      </c>
      <c r="BC1670" s="318">
        <v>0</v>
      </c>
      <c r="BD1670" s="477"/>
      <c r="BE1670" s="147">
        <v>303.3</v>
      </c>
      <c r="BF1670" s="375">
        <f t="shared" si="1219"/>
        <v>0.45494999999999997</v>
      </c>
      <c r="BG1670" s="321">
        <f t="shared" si="1220"/>
        <v>302.84505000000001</v>
      </c>
      <c r="BH1670" s="321">
        <f t="shared" si="1221"/>
        <v>302.89999999999998</v>
      </c>
      <c r="BI1670" s="322">
        <f t="shared" si="1222"/>
        <v>40.000000000003411</v>
      </c>
      <c r="BJ1670" s="322">
        <v>0</v>
      </c>
      <c r="BK1670" s="318">
        <f t="shared" si="1223"/>
        <v>40.000000000003411</v>
      </c>
      <c r="BL1670" s="449"/>
      <c r="BM1670" s="449" t="str">
        <f t="shared" si="1224"/>
        <v>Unloading no. 1635 Bill No 248 ,Deduction For Oil Deduction= 186334.521428571 ,Bardana= 0 ,F.M= 0 Brokerage/Rate Difference 0 ,Shortage = 0 ,Greenish= 0 ,Moisture= 0</v>
      </c>
      <c r="BN1670" s="449"/>
      <c r="BO1670" s="449" t="str">
        <f t="shared" si="1225"/>
        <v xml:space="preserve"> Party Condition 42  ,F.M% 0.2 ,Greenish 3.2 ,Moisture 5.2 ,Shortage in KG= 0  ,Oil% 38.95</v>
      </c>
      <c r="BP1670" s="464">
        <f t="shared" si="1226"/>
        <v>7856.0035608168673</v>
      </c>
      <c r="BQ1670" s="449"/>
      <c r="BR1670" s="449"/>
      <c r="BS1670" s="449"/>
      <c r="BT1670" s="449"/>
      <c r="BU1670" s="449"/>
      <c r="BV1670" s="449"/>
      <c r="BW1670" s="449"/>
      <c r="BX1670" s="147">
        <v>38.950000000000003</v>
      </c>
      <c r="BY1670" s="147">
        <v>39.06</v>
      </c>
      <c r="CO1670" s="460">
        <f t="shared" si="1227"/>
        <v>-38.950000000000003</v>
      </c>
      <c r="CP1670" s="460">
        <f t="shared" si="1228"/>
        <v>-39.06</v>
      </c>
    </row>
    <row r="1671" spans="1:94" ht="14.1" hidden="1" customHeight="1" x14ac:dyDescent="0.3">
      <c r="A1671" s="281" t="s">
        <v>3536</v>
      </c>
      <c r="B1671" s="130">
        <v>46246</v>
      </c>
      <c r="C1671" s="128">
        <v>1636</v>
      </c>
      <c r="D1671" s="281" t="s">
        <v>3551</v>
      </c>
      <c r="E1671" s="129">
        <v>46250</v>
      </c>
      <c r="F1671" s="128" t="s">
        <v>3018</v>
      </c>
      <c r="G1671" s="281" t="s">
        <v>3019</v>
      </c>
      <c r="H1671" s="128" t="s">
        <v>1508</v>
      </c>
      <c r="I1671" s="136"/>
      <c r="J1671" s="281" t="s">
        <v>1146</v>
      </c>
      <c r="K1671" s="136"/>
      <c r="L1671" s="146">
        <v>46246</v>
      </c>
      <c r="M1671" s="136"/>
      <c r="N1671" s="281" t="s">
        <v>3585</v>
      </c>
      <c r="O1671" s="146">
        <v>46248</v>
      </c>
      <c r="P1671" s="138">
        <v>0</v>
      </c>
      <c r="Q1671" s="138">
        <v>0</v>
      </c>
      <c r="R1671" s="138">
        <v>733</v>
      </c>
      <c r="S1671" s="138">
        <v>733</v>
      </c>
      <c r="T1671" s="138">
        <v>733</v>
      </c>
      <c r="U1671" s="136"/>
      <c r="V1671" s="136"/>
      <c r="W1671" s="147">
        <v>354.6</v>
      </c>
      <c r="X1671" s="147">
        <v>354.4</v>
      </c>
      <c r="Y1671" s="476">
        <f>2985032.6-2492</f>
        <v>2982540.6</v>
      </c>
      <c r="Z1671" s="236">
        <v>38.61</v>
      </c>
      <c r="AA1671" s="147">
        <v>74625.820000000007</v>
      </c>
      <c r="AB1671" s="147">
        <v>74625.820000000007</v>
      </c>
      <c r="AC1671" s="147">
        <v>3134284.23</v>
      </c>
      <c r="AD1671" s="321">
        <f t="shared" si="1201"/>
        <v>3131149.9457700001</v>
      </c>
      <c r="AE1671" s="236">
        <v>38.61</v>
      </c>
      <c r="AF1671" s="147">
        <v>42</v>
      </c>
      <c r="AG1671" s="236">
        <v>38.61</v>
      </c>
      <c r="AH1671" s="395">
        <v>5.7999999999999996E-3</v>
      </c>
      <c r="AI1671" s="287">
        <v>3.4500000000000003E-2</v>
      </c>
      <c r="AJ1671" s="287">
        <v>5.5E-2</v>
      </c>
      <c r="AK1671" s="318">
        <f t="shared" si="1210"/>
        <v>240733.63414285719</v>
      </c>
      <c r="AL1671" s="467">
        <v>0</v>
      </c>
      <c r="AM1671" s="321">
        <v>0</v>
      </c>
      <c r="AN1671" s="321">
        <v>0</v>
      </c>
      <c r="AO1671" s="318">
        <f t="shared" si="1211"/>
        <v>0</v>
      </c>
      <c r="AP1671" s="467">
        <v>0</v>
      </c>
      <c r="AQ1671" s="318">
        <v>0</v>
      </c>
      <c r="AR1671" s="318">
        <f t="shared" si="1212"/>
        <v>240733.63414285719</v>
      </c>
      <c r="AS1671" s="318">
        <f t="shared" si="1213"/>
        <v>252770</v>
      </c>
      <c r="AT1671" s="321">
        <v>0</v>
      </c>
      <c r="AU1671" s="464"/>
      <c r="AV1671" s="449"/>
      <c r="AW1671" s="318">
        <f t="shared" si="1214"/>
        <v>35460</v>
      </c>
      <c r="AX1671" s="467"/>
      <c r="AY1671" s="318">
        <f t="shared" si="1215"/>
        <v>35460</v>
      </c>
      <c r="AZ1671" s="318">
        <f t="shared" si="1216"/>
        <v>35440</v>
      </c>
      <c r="BA1671" s="318">
        <f t="shared" si="1217"/>
        <v>20</v>
      </c>
      <c r="BB1671" s="318">
        <f t="shared" si="1218"/>
        <v>70.92</v>
      </c>
      <c r="BC1671" s="318">
        <v>0</v>
      </c>
      <c r="BD1671" s="477"/>
      <c r="BE1671" s="147">
        <v>354.6</v>
      </c>
      <c r="BF1671" s="375">
        <f t="shared" si="1219"/>
        <v>0.53190000000000004</v>
      </c>
      <c r="BG1671" s="321">
        <f t="shared" si="1220"/>
        <v>354.06810000000002</v>
      </c>
      <c r="BH1671" s="321">
        <f t="shared" si="1221"/>
        <v>354.4</v>
      </c>
      <c r="BI1671" s="322">
        <f t="shared" si="1222"/>
        <v>20.000000000004547</v>
      </c>
      <c r="BJ1671" s="322">
        <v>0</v>
      </c>
      <c r="BK1671" s="318">
        <f t="shared" si="1223"/>
        <v>20.000000000004547</v>
      </c>
      <c r="BL1671" s="449"/>
      <c r="BM1671" s="449" t="str">
        <f t="shared" si="1224"/>
        <v>Unloading no. 1636 Bill No BTC-18/26-27 ,Deduction For Oil Deduction= 240733.634142857 ,Bardana= 0 ,F.M= 0 Brokerage/Rate Difference 0 ,Shortage = 0 ,Greenish= 0 ,Moisture= 0</v>
      </c>
      <c r="BN1671" s="449"/>
      <c r="BO1671" s="449" t="str">
        <f t="shared" si="1225"/>
        <v xml:space="preserve"> Party Condition 42  ,F.M% 0.58 ,Greenish 3.45 ,Moisture 5.5 ,Shortage in KG= 0  ,Oil% 38.61</v>
      </c>
      <c r="BP1671" s="464">
        <f t="shared" si="1226"/>
        <v>7736.4756372944221</v>
      </c>
      <c r="BQ1671" s="449"/>
      <c r="BR1671" s="449"/>
      <c r="BS1671" s="449"/>
      <c r="BT1671" s="449"/>
      <c r="BU1671" s="449"/>
      <c r="BV1671" s="449"/>
      <c r="BW1671" s="449"/>
      <c r="BX1671" s="147">
        <v>38.659999999999997</v>
      </c>
      <c r="BY1671" s="147">
        <v>38.659999999999997</v>
      </c>
      <c r="CO1671" s="460">
        <f t="shared" si="1227"/>
        <v>-4.9999999999997158E-2</v>
      </c>
      <c r="CP1671" s="460">
        <f t="shared" si="1228"/>
        <v>-4.9999999999997158E-2</v>
      </c>
    </row>
    <row r="1672" spans="1:94" ht="14.1" hidden="1" customHeight="1" x14ac:dyDescent="0.3">
      <c r="A1672" s="281" t="s">
        <v>3538</v>
      </c>
      <c r="B1672" s="130">
        <v>46248</v>
      </c>
      <c r="C1672" s="128">
        <v>1637</v>
      </c>
      <c r="D1672" s="281" t="s">
        <v>3552</v>
      </c>
      <c r="E1672" s="129">
        <v>46250</v>
      </c>
      <c r="F1672" s="128" t="s">
        <v>1382</v>
      </c>
      <c r="G1672" s="282" t="s">
        <v>1383</v>
      </c>
      <c r="H1672" s="128" t="s">
        <v>1384</v>
      </c>
      <c r="I1672" s="136"/>
      <c r="J1672" s="281" t="s">
        <v>2499</v>
      </c>
      <c r="K1672" s="136"/>
      <c r="L1672" s="146">
        <v>46248</v>
      </c>
      <c r="M1672" s="136"/>
      <c r="N1672" s="281">
        <v>39</v>
      </c>
      <c r="O1672" s="146">
        <v>46248</v>
      </c>
      <c r="P1672" s="138">
        <v>0</v>
      </c>
      <c r="Q1672" s="138">
        <v>380</v>
      </c>
      <c r="R1672" s="138">
        <v>130</v>
      </c>
      <c r="S1672" s="138">
        <v>510</v>
      </c>
      <c r="T1672" s="138">
        <v>510</v>
      </c>
      <c r="U1672" s="136"/>
      <c r="V1672" s="136"/>
      <c r="W1672" s="147">
        <v>303.2</v>
      </c>
      <c r="X1672" s="147">
        <v>302.7</v>
      </c>
      <c r="Y1672" s="445">
        <v>2577200</v>
      </c>
      <c r="Z1672" s="147"/>
      <c r="AA1672" s="147">
        <v>64430</v>
      </c>
      <c r="AB1672" s="147">
        <v>64430</v>
      </c>
      <c r="AC1672" s="147">
        <v>2706060</v>
      </c>
      <c r="AD1672" s="321">
        <f t="shared" si="1201"/>
        <v>2703353.94</v>
      </c>
      <c r="AE1672" s="147">
        <v>39.200000000000003</v>
      </c>
      <c r="AF1672" s="147">
        <v>42</v>
      </c>
      <c r="AG1672" s="147">
        <v>39.19</v>
      </c>
      <c r="AH1672" s="478">
        <v>3.0000000000000001E-3</v>
      </c>
      <c r="AI1672" s="287">
        <v>3.15E-2</v>
      </c>
      <c r="AJ1672" s="429">
        <v>5.6000000000000001E-2</v>
      </c>
      <c r="AK1672" s="318">
        <f t="shared" si="1210"/>
        <v>172426.95238095251</v>
      </c>
      <c r="AL1672" s="467">
        <f>380*10+130*15</f>
        <v>5750</v>
      </c>
      <c r="AM1672" s="321">
        <f>Y1672*AH1672</f>
        <v>7731.6</v>
      </c>
      <c r="AN1672" s="321">
        <v>0</v>
      </c>
      <c r="AO1672" s="318">
        <f t="shared" si="1211"/>
        <v>4250</v>
      </c>
      <c r="AP1672" s="467">
        <v>0</v>
      </c>
      <c r="AQ1672" s="318">
        <f>Y1672*0.6/100</f>
        <v>15463.2</v>
      </c>
      <c r="AR1672" s="318">
        <f t="shared" si="1212"/>
        <v>205621.75238095253</v>
      </c>
      <c r="AS1672" s="318">
        <f t="shared" si="1213"/>
        <v>215903</v>
      </c>
      <c r="AT1672" s="321">
        <v>50</v>
      </c>
      <c r="AU1672" s="464"/>
      <c r="AV1672" s="449"/>
      <c r="AW1672" s="318">
        <f t="shared" si="1214"/>
        <v>30320</v>
      </c>
      <c r="AX1672" s="467"/>
      <c r="AY1672" s="318">
        <f t="shared" si="1215"/>
        <v>30320</v>
      </c>
      <c r="AZ1672" s="318">
        <f t="shared" si="1216"/>
        <v>30270</v>
      </c>
      <c r="BA1672" s="318">
        <f t="shared" si="1217"/>
        <v>50</v>
      </c>
      <c r="BB1672" s="318">
        <f t="shared" si="1218"/>
        <v>60.64</v>
      </c>
      <c r="BC1672" s="318">
        <v>0</v>
      </c>
      <c r="BD1672" s="477"/>
      <c r="BE1672" s="147">
        <v>303.2</v>
      </c>
      <c r="BF1672" s="375">
        <f t="shared" si="1219"/>
        <v>0.45479999999999998</v>
      </c>
      <c r="BG1672" s="321">
        <f t="shared" si="1220"/>
        <v>302.74520000000001</v>
      </c>
      <c r="BH1672" s="321">
        <f t="shared" si="1221"/>
        <v>302.7</v>
      </c>
      <c r="BI1672" s="322">
        <f t="shared" si="1222"/>
        <v>50</v>
      </c>
      <c r="BJ1672" s="322">
        <v>0</v>
      </c>
      <c r="BK1672" s="318">
        <f t="shared" si="1223"/>
        <v>50</v>
      </c>
      <c r="BL1672" s="449"/>
      <c r="BM1672" s="449" t="str">
        <f t="shared" si="1224"/>
        <v>Unloading no. 1637 Bill No 39 ,Deduction For Oil Deduction= 172426.952380953 ,Bardana= 5750 ,F.M= 7731.6 Brokerage/Rate Difference 0 ,Shortage = 4250 ,Greenish= 0 ,Moisture= 15463.2</v>
      </c>
      <c r="BN1672" s="449"/>
      <c r="BO1672" s="449" t="str">
        <f t="shared" si="1225"/>
        <v xml:space="preserve"> Party Condition 42  ,F.M% 0.3 ,Greenish 3.15 ,Moisture 5.6 ,Shortage in KG= 50  ,Oil% 39.19</v>
      </c>
      <c r="BP1672" s="464">
        <f t="shared" si="1226"/>
        <v>7834.748092563751</v>
      </c>
      <c r="BQ1672" s="449"/>
      <c r="BR1672" s="449"/>
      <c r="BS1672" s="449"/>
      <c r="BT1672" s="449"/>
      <c r="BU1672" s="449"/>
      <c r="BV1672" s="449"/>
      <c r="BW1672" s="449"/>
      <c r="BX1672" s="147">
        <v>39.200000000000003</v>
      </c>
      <c r="BY1672" s="147">
        <v>39.19</v>
      </c>
      <c r="CA1672" s="56">
        <v>215902.83</v>
      </c>
      <c r="CC1672" s="84">
        <f>AS1672-CA1672</f>
        <v>0.17000000001280569</v>
      </c>
      <c r="CD1672" s="56">
        <f>CC1672/105*100</f>
        <v>0.1619047619169578</v>
      </c>
      <c r="CO1672" s="460">
        <f t="shared" si="1227"/>
        <v>-39.200000000000003</v>
      </c>
      <c r="CP1672" s="460">
        <f t="shared" si="1228"/>
        <v>-39.19</v>
      </c>
    </row>
    <row r="1673" spans="1:94" ht="14.1" hidden="1" customHeight="1" x14ac:dyDescent="0.3">
      <c r="A1673" s="281" t="s">
        <v>3539</v>
      </c>
      <c r="B1673" s="130">
        <v>46248</v>
      </c>
      <c r="C1673" s="128">
        <v>1638</v>
      </c>
      <c r="D1673" s="281" t="s">
        <v>3553</v>
      </c>
      <c r="E1673" s="129">
        <v>46250</v>
      </c>
      <c r="F1673" s="128" t="s">
        <v>1512</v>
      </c>
      <c r="G1673" s="281" t="s">
        <v>1513</v>
      </c>
      <c r="H1673" s="128" t="s">
        <v>1514</v>
      </c>
      <c r="I1673" s="136"/>
      <c r="J1673" s="281" t="s">
        <v>2499</v>
      </c>
      <c r="K1673" s="136"/>
      <c r="L1673" s="146">
        <v>46248</v>
      </c>
      <c r="M1673" s="136"/>
      <c r="N1673" s="281">
        <v>35</v>
      </c>
      <c r="O1673" s="146">
        <v>46248</v>
      </c>
      <c r="P1673" s="138">
        <v>0</v>
      </c>
      <c r="Q1673" s="138">
        <v>340</v>
      </c>
      <c r="R1673" s="138">
        <v>130</v>
      </c>
      <c r="S1673" s="138">
        <v>470</v>
      </c>
      <c r="T1673" s="138">
        <v>470</v>
      </c>
      <c r="U1673" s="136"/>
      <c r="V1673" s="136"/>
      <c r="W1673" s="147">
        <v>307.2</v>
      </c>
      <c r="X1673" s="147">
        <v>306.8</v>
      </c>
      <c r="Y1673" s="445">
        <v>2611200</v>
      </c>
      <c r="Z1673" s="147"/>
      <c r="AA1673" s="147">
        <v>65280</v>
      </c>
      <c r="AB1673" s="147">
        <v>65280</v>
      </c>
      <c r="AC1673" s="147">
        <v>2741760</v>
      </c>
      <c r="AD1673" s="321">
        <f t="shared" si="1201"/>
        <v>2739018.24</v>
      </c>
      <c r="AE1673" s="147">
        <v>38.54</v>
      </c>
      <c r="AF1673" s="147">
        <v>42</v>
      </c>
      <c r="AG1673" s="147">
        <v>38.76</v>
      </c>
      <c r="AH1673" s="478">
        <v>6.1000000000000004E-3</v>
      </c>
      <c r="AI1673" s="287">
        <v>3.2500000000000001E-2</v>
      </c>
      <c r="AJ1673" s="287">
        <v>4.9000000000000002E-2</v>
      </c>
      <c r="AK1673" s="318">
        <f t="shared" si="1210"/>
        <v>215113.1428571429</v>
      </c>
      <c r="AL1673" s="467">
        <f>340*10+130*15</f>
        <v>5350</v>
      </c>
      <c r="AM1673" s="321">
        <f>Y1673*AH1673</f>
        <v>15928.320000000002</v>
      </c>
      <c r="AN1673" s="321">
        <v>0</v>
      </c>
      <c r="AO1673" s="318">
        <f t="shared" si="1211"/>
        <v>3400</v>
      </c>
      <c r="AP1673" s="467">
        <v>0</v>
      </c>
      <c r="AQ1673" s="318">
        <v>0</v>
      </c>
      <c r="AR1673" s="318">
        <f t="shared" si="1212"/>
        <v>239791.46285714291</v>
      </c>
      <c r="AS1673" s="318">
        <f t="shared" si="1213"/>
        <v>251781</v>
      </c>
      <c r="AT1673" s="321">
        <v>40</v>
      </c>
      <c r="AU1673" s="464"/>
      <c r="AV1673" s="449"/>
      <c r="AW1673" s="318">
        <f t="shared" si="1214"/>
        <v>30720</v>
      </c>
      <c r="AX1673" s="467"/>
      <c r="AY1673" s="318">
        <f t="shared" si="1215"/>
        <v>30720</v>
      </c>
      <c r="AZ1673" s="318">
        <f t="shared" si="1216"/>
        <v>30680</v>
      </c>
      <c r="BA1673" s="318">
        <f t="shared" si="1217"/>
        <v>40</v>
      </c>
      <c r="BB1673" s="318">
        <f t="shared" si="1218"/>
        <v>61.44</v>
      </c>
      <c r="BC1673" s="318">
        <v>0</v>
      </c>
      <c r="BD1673" s="477"/>
      <c r="BE1673" s="147">
        <v>307.2</v>
      </c>
      <c r="BF1673" s="375">
        <f t="shared" si="1219"/>
        <v>0.46079999999999999</v>
      </c>
      <c r="BG1673" s="321">
        <f t="shared" si="1220"/>
        <v>306.73919999999998</v>
      </c>
      <c r="BH1673" s="321">
        <f t="shared" si="1221"/>
        <v>306.8</v>
      </c>
      <c r="BI1673" s="322">
        <f t="shared" si="1222"/>
        <v>39.999999999997726</v>
      </c>
      <c r="BJ1673" s="322">
        <v>0</v>
      </c>
      <c r="BK1673" s="318">
        <f t="shared" si="1223"/>
        <v>39.999999999997726</v>
      </c>
      <c r="BL1673" s="449"/>
      <c r="BM1673" s="449" t="str">
        <f t="shared" si="1224"/>
        <v>Unloading no. 1638 Bill No 35 ,Deduction For Oil Deduction= 215113.142857143 ,Bardana= 5350 ,F.M= 15928.32 Brokerage/Rate Difference 0 ,Shortage = 3400 ,Greenish= 0 ,Moisture= 0</v>
      </c>
      <c r="BN1673" s="449"/>
      <c r="BO1673" s="449" t="str">
        <f t="shared" si="1225"/>
        <v xml:space="preserve"> Party Condition 42  ,F.M% 0.61 ,Greenish 3.25 ,Moisture 4.9 ,Shortage in KG= 40  ,Oil% 38.54</v>
      </c>
      <c r="BP1673" s="464">
        <f t="shared" si="1226"/>
        <v>7729.4932762153094</v>
      </c>
      <c r="BQ1673" s="449"/>
      <c r="BR1673" s="449"/>
      <c r="BS1673" s="449"/>
      <c r="BT1673" s="449"/>
      <c r="BU1673" s="449"/>
      <c r="BV1673" s="449"/>
      <c r="BW1673" s="449"/>
      <c r="BX1673" s="147">
        <v>38.54</v>
      </c>
      <c r="BY1673" s="147">
        <v>38.76</v>
      </c>
      <c r="CA1673" s="56">
        <v>237419.44</v>
      </c>
      <c r="CC1673" s="84">
        <f>AS1673-CA1673</f>
        <v>14361.559999999998</v>
      </c>
      <c r="CD1673" s="56">
        <f>CC1673/105*100</f>
        <v>13677.676190476188</v>
      </c>
      <c r="CE1673" s="56">
        <v>201435.42</v>
      </c>
      <c r="CG1673" s="90">
        <f>AK1673-CE1673</f>
        <v>13677.722857142886</v>
      </c>
      <c r="CO1673" s="460">
        <f t="shared" si="1227"/>
        <v>-38.54</v>
      </c>
      <c r="CP1673" s="460">
        <f t="shared" si="1228"/>
        <v>-38.76</v>
      </c>
    </row>
    <row r="1674" spans="1:94" ht="14.1" hidden="1" customHeight="1" x14ac:dyDescent="0.3">
      <c r="A1674" s="281" t="s">
        <v>3537</v>
      </c>
      <c r="B1674" s="130">
        <v>46247</v>
      </c>
      <c r="C1674" s="128">
        <v>1639</v>
      </c>
      <c r="D1674" s="281" t="s">
        <v>3554</v>
      </c>
      <c r="E1674" s="129">
        <v>46250</v>
      </c>
      <c r="F1674" s="128" t="s">
        <v>95</v>
      </c>
      <c r="G1674" s="281" t="s">
        <v>96</v>
      </c>
      <c r="H1674" s="128" t="s">
        <v>97</v>
      </c>
      <c r="I1674" s="136"/>
      <c r="J1674" s="281" t="s">
        <v>1146</v>
      </c>
      <c r="K1674" s="136"/>
      <c r="L1674" s="146">
        <v>46247</v>
      </c>
      <c r="M1674" s="136"/>
      <c r="N1674" s="281">
        <v>249</v>
      </c>
      <c r="O1674" s="146">
        <v>46248</v>
      </c>
      <c r="P1674" s="138">
        <v>0</v>
      </c>
      <c r="Q1674" s="138">
        <v>450</v>
      </c>
      <c r="R1674" s="138">
        <v>50</v>
      </c>
      <c r="S1674" s="138">
        <v>500</v>
      </c>
      <c r="T1674" s="138">
        <v>500</v>
      </c>
      <c r="U1674" s="136"/>
      <c r="V1674" s="136"/>
      <c r="W1674" s="147">
        <v>305.55</v>
      </c>
      <c r="X1674" s="147">
        <v>305.3</v>
      </c>
      <c r="Y1674" s="445">
        <v>2584953</v>
      </c>
      <c r="Z1674" s="147"/>
      <c r="AA1674" s="147">
        <v>64623.83</v>
      </c>
      <c r="AB1674" s="147">
        <v>64623.83</v>
      </c>
      <c r="AC1674" s="147">
        <v>2714200.65</v>
      </c>
      <c r="AD1674" s="321">
        <f t="shared" si="1201"/>
        <v>2711486.4493499999</v>
      </c>
      <c r="AE1674" s="147">
        <v>39.590000000000003</v>
      </c>
      <c r="AF1674" s="147">
        <v>42</v>
      </c>
      <c r="AG1674" s="147">
        <v>39.65</v>
      </c>
      <c r="AH1674" s="395">
        <v>2.2000000000000001E-3</v>
      </c>
      <c r="AI1674" s="287">
        <v>3.2000000000000001E-2</v>
      </c>
      <c r="AJ1674" s="287">
        <v>5.3999999999999999E-2</v>
      </c>
      <c r="AK1674" s="318">
        <f t="shared" si="1210"/>
        <v>148327.06499999977</v>
      </c>
      <c r="AL1674" s="467">
        <v>0</v>
      </c>
      <c r="AM1674" s="321">
        <v>0</v>
      </c>
      <c r="AN1674" s="321">
        <v>0</v>
      </c>
      <c r="AO1674" s="318">
        <f t="shared" si="1211"/>
        <v>0</v>
      </c>
      <c r="AP1674" s="467">
        <v>0</v>
      </c>
      <c r="AQ1674" s="318">
        <v>0</v>
      </c>
      <c r="AR1674" s="318">
        <f t="shared" si="1212"/>
        <v>148327.06499999977</v>
      </c>
      <c r="AS1674" s="318">
        <f t="shared" si="1213"/>
        <v>155743</v>
      </c>
      <c r="AT1674" s="321">
        <v>0</v>
      </c>
      <c r="AU1674" s="464"/>
      <c r="AV1674" s="449"/>
      <c r="AW1674" s="318">
        <f t="shared" si="1214"/>
        <v>30555</v>
      </c>
      <c r="AX1674" s="467"/>
      <c r="AY1674" s="318">
        <f t="shared" si="1215"/>
        <v>30555</v>
      </c>
      <c r="AZ1674" s="318">
        <f t="shared" si="1216"/>
        <v>30530</v>
      </c>
      <c r="BA1674" s="318">
        <f t="shared" si="1217"/>
        <v>25</v>
      </c>
      <c r="BB1674" s="318">
        <f t="shared" si="1218"/>
        <v>61.11</v>
      </c>
      <c r="BC1674" s="318">
        <v>0</v>
      </c>
      <c r="BD1674" s="477"/>
      <c r="BE1674" s="147">
        <v>305.55</v>
      </c>
      <c r="BF1674" s="375">
        <f t="shared" si="1219"/>
        <v>0.45832500000000004</v>
      </c>
      <c r="BG1674" s="321">
        <f t="shared" si="1220"/>
        <v>305.09167500000001</v>
      </c>
      <c r="BH1674" s="321">
        <f t="shared" si="1221"/>
        <v>305.3</v>
      </c>
      <c r="BI1674" s="322">
        <f t="shared" si="1222"/>
        <v>25</v>
      </c>
      <c r="BJ1674" s="322">
        <v>0</v>
      </c>
      <c r="BK1674" s="318">
        <f t="shared" si="1223"/>
        <v>25</v>
      </c>
      <c r="BL1674" s="449"/>
      <c r="BM1674" s="449" t="str">
        <f t="shared" si="1224"/>
        <v>Unloading no. 1639 Bill No 249 ,Deduction For Oil Deduction= 148327.065 ,Bardana= 0 ,F.M= 0 Brokerage/Rate Difference 0 ,Shortage = 0 ,Greenish= 0 ,Moisture= 0</v>
      </c>
      <c r="BN1674" s="449"/>
      <c r="BO1674" s="449" t="str">
        <f t="shared" si="1225"/>
        <v xml:space="preserve"> Party Condition 42  ,F.M% 0.22 ,Greenish 3.2 ,Moisture 5.4 ,Shortage in KG= 0  ,Oil% 39.59</v>
      </c>
      <c r="BP1674" s="464">
        <f t="shared" si="1226"/>
        <v>7981.0872420569931</v>
      </c>
      <c r="BQ1674" s="449"/>
      <c r="BR1674" s="449"/>
      <c r="BS1674" s="449"/>
      <c r="BT1674" s="449"/>
      <c r="BU1674" s="449"/>
      <c r="BV1674" s="449"/>
      <c r="BW1674" s="449"/>
      <c r="BX1674" s="147">
        <v>39.590000000000003</v>
      </c>
      <c r="BY1674" s="147">
        <v>39.65</v>
      </c>
      <c r="CO1674" s="460">
        <f t="shared" si="1227"/>
        <v>-39.590000000000003</v>
      </c>
      <c r="CP1674" s="460">
        <f t="shared" si="1228"/>
        <v>-39.65</v>
      </c>
    </row>
    <row r="1675" spans="1:94" ht="14.1" hidden="1" customHeight="1" x14ac:dyDescent="0.3">
      <c r="A1675" s="281" t="s">
        <v>3540</v>
      </c>
      <c r="B1675" s="130">
        <v>46247</v>
      </c>
      <c r="C1675" s="128">
        <v>1640</v>
      </c>
      <c r="D1675" s="281" t="s">
        <v>3555</v>
      </c>
      <c r="E1675" s="129">
        <v>46250</v>
      </c>
      <c r="F1675" s="128" t="s">
        <v>203</v>
      </c>
      <c r="G1675" s="281" t="s">
        <v>204</v>
      </c>
      <c r="H1675" s="128" t="s">
        <v>205</v>
      </c>
      <c r="I1675" s="136"/>
      <c r="J1675" s="281" t="s">
        <v>1146</v>
      </c>
      <c r="K1675" s="136"/>
      <c r="L1675" s="146">
        <v>46247</v>
      </c>
      <c r="M1675" s="136"/>
      <c r="N1675" s="281">
        <v>14</v>
      </c>
      <c r="O1675" s="146">
        <v>46248</v>
      </c>
      <c r="P1675" s="138">
        <v>0</v>
      </c>
      <c r="Q1675" s="138">
        <v>430</v>
      </c>
      <c r="R1675" s="138">
        <v>150</v>
      </c>
      <c r="S1675" s="138">
        <v>580</v>
      </c>
      <c r="T1675" s="138">
        <v>580</v>
      </c>
      <c r="U1675" s="136"/>
      <c r="V1675" s="136"/>
      <c r="W1675" s="147">
        <v>350.47</v>
      </c>
      <c r="X1675" s="147">
        <v>350.9</v>
      </c>
      <c r="Y1675" s="445">
        <v>2833435.2</v>
      </c>
      <c r="Z1675" s="147"/>
      <c r="AA1675" s="147">
        <v>70835.88</v>
      </c>
      <c r="AB1675" s="147">
        <v>70835.88</v>
      </c>
      <c r="AC1675" s="147">
        <v>2975106.96</v>
      </c>
      <c r="AD1675" s="321">
        <f t="shared" si="1201"/>
        <v>2972131.85304</v>
      </c>
      <c r="AE1675" s="147">
        <v>40.47</v>
      </c>
      <c r="AF1675" s="147">
        <v>40.049999999999997</v>
      </c>
      <c r="AG1675" s="147">
        <v>40.44</v>
      </c>
      <c r="AH1675" s="395">
        <v>4.4999999999999997E-3</v>
      </c>
      <c r="AI1675" s="287">
        <v>5.1999999999999998E-2</v>
      </c>
      <c r="AJ1675" s="287">
        <v>5.7000000000000002E-2</v>
      </c>
      <c r="AK1675" s="318">
        <f t="shared" si="1210"/>
        <v>0</v>
      </c>
      <c r="AL1675" s="467">
        <v>0</v>
      </c>
      <c r="AM1675" s="321">
        <v>0</v>
      </c>
      <c r="AN1675" s="321">
        <v>0</v>
      </c>
      <c r="AO1675" s="318">
        <f t="shared" si="1211"/>
        <v>0</v>
      </c>
      <c r="AP1675" s="467">
        <v>0</v>
      </c>
      <c r="AQ1675" s="318">
        <v>0</v>
      </c>
      <c r="AR1675" s="318">
        <f t="shared" si="1212"/>
        <v>0</v>
      </c>
      <c r="AS1675" s="318">
        <f t="shared" si="1213"/>
        <v>0</v>
      </c>
      <c r="AT1675" s="321">
        <v>0</v>
      </c>
      <c r="AU1675" s="464"/>
      <c r="AV1675" s="449"/>
      <c r="AW1675" s="318">
        <f t="shared" si="1214"/>
        <v>35047</v>
      </c>
      <c r="AX1675" s="467"/>
      <c r="AY1675" s="318">
        <f t="shared" si="1215"/>
        <v>35047</v>
      </c>
      <c r="AZ1675" s="318">
        <f t="shared" si="1216"/>
        <v>35090</v>
      </c>
      <c r="BA1675" s="318">
        <f t="shared" si="1217"/>
        <v>-43</v>
      </c>
      <c r="BB1675" s="318">
        <f t="shared" si="1218"/>
        <v>70.093999999999994</v>
      </c>
      <c r="BC1675" s="318">
        <v>0</v>
      </c>
      <c r="BD1675" s="477"/>
      <c r="BE1675" s="147">
        <v>350.47</v>
      </c>
      <c r="BF1675" s="375">
        <f t="shared" si="1219"/>
        <v>0.52570499999999998</v>
      </c>
      <c r="BG1675" s="321">
        <f t="shared" si="1220"/>
        <v>349.94429500000001</v>
      </c>
      <c r="BH1675" s="321">
        <f t="shared" si="1221"/>
        <v>350.9</v>
      </c>
      <c r="BI1675" s="322">
        <f t="shared" si="1222"/>
        <v>-42.999999999994998</v>
      </c>
      <c r="BJ1675" s="322">
        <v>0</v>
      </c>
      <c r="BK1675" s="318">
        <f t="shared" si="1223"/>
        <v>-42.999999999994998</v>
      </c>
      <c r="BL1675" s="449"/>
      <c r="BM1675" s="449" t="str">
        <f t="shared" si="1224"/>
        <v>Unloading no. 1640 Bill No 14 ,Deduction For Oil Deduction= 0 ,Bardana= 0 ,F.M= 0 Brokerage/Rate Difference 0 ,Shortage = 0 ,Greenish= 0 ,Moisture= 0</v>
      </c>
      <c r="BN1675" s="449"/>
      <c r="BO1675" s="449" t="str">
        <f t="shared" si="1225"/>
        <v xml:space="preserve"> Party Condition 40.05  ,F.M% 0.45 ,Greenish 5.2 ,Moisture 5.7 ,Shortage in KG= 0  ,Oil% 40.44</v>
      </c>
      <c r="BP1675" s="464">
        <f t="shared" si="1226"/>
        <v>8074.7654602450848</v>
      </c>
      <c r="BQ1675" s="449"/>
      <c r="BR1675" s="449"/>
      <c r="BS1675" s="449"/>
      <c r="BT1675" s="449"/>
      <c r="BU1675" s="449"/>
      <c r="BV1675" s="449"/>
      <c r="BW1675" s="449"/>
      <c r="BX1675" s="147">
        <v>40.47</v>
      </c>
      <c r="BY1675" s="147">
        <v>40.44</v>
      </c>
      <c r="CO1675" s="460">
        <f t="shared" si="1227"/>
        <v>-40.47</v>
      </c>
      <c r="CP1675" s="460">
        <f t="shared" si="1228"/>
        <v>-40.44</v>
      </c>
    </row>
    <row r="1676" spans="1:94" ht="14.1" hidden="1" customHeight="1" x14ac:dyDescent="0.3">
      <c r="A1676" s="281" t="s">
        <v>3541</v>
      </c>
      <c r="B1676" s="130">
        <v>46248</v>
      </c>
      <c r="C1676" s="128">
        <v>1641</v>
      </c>
      <c r="D1676" s="281" t="s">
        <v>3556</v>
      </c>
      <c r="E1676" s="129">
        <v>46250</v>
      </c>
      <c r="F1676" s="128" t="s">
        <v>1382</v>
      </c>
      <c r="G1676" s="282" t="s">
        <v>1383</v>
      </c>
      <c r="H1676" s="128" t="s">
        <v>1384</v>
      </c>
      <c r="I1676" s="136"/>
      <c r="J1676" s="281" t="s">
        <v>2499</v>
      </c>
      <c r="K1676" s="136"/>
      <c r="L1676" s="146">
        <v>46248</v>
      </c>
      <c r="M1676" s="136"/>
      <c r="N1676" s="281">
        <v>40</v>
      </c>
      <c r="O1676" s="146">
        <v>46249</v>
      </c>
      <c r="P1676" s="138">
        <v>0</v>
      </c>
      <c r="Q1676" s="138">
        <v>0</v>
      </c>
      <c r="R1676" s="138">
        <v>585</v>
      </c>
      <c r="S1676" s="138">
        <v>585</v>
      </c>
      <c r="T1676" s="138">
        <v>585</v>
      </c>
      <c r="U1676" s="136"/>
      <c r="V1676" s="136"/>
      <c r="W1676" s="147">
        <v>352.7</v>
      </c>
      <c r="X1676" s="147">
        <v>351.7</v>
      </c>
      <c r="Y1676" s="445">
        <v>2997950</v>
      </c>
      <c r="Z1676" s="147"/>
      <c r="AA1676" s="147">
        <v>74948.75</v>
      </c>
      <c r="AB1676" s="147">
        <v>74948.75</v>
      </c>
      <c r="AC1676" s="147">
        <v>3147847.5</v>
      </c>
      <c r="AD1676" s="321">
        <f t="shared" si="1201"/>
        <v>3144699.6524999999</v>
      </c>
      <c r="AE1676" s="147">
        <v>39.54</v>
      </c>
      <c r="AF1676" s="147">
        <v>42</v>
      </c>
      <c r="AG1676" s="147">
        <v>39.369999999999997</v>
      </c>
      <c r="AH1676" s="395">
        <v>3.5000000000000001E-3</v>
      </c>
      <c r="AI1676" s="287">
        <v>3.3000000000000002E-2</v>
      </c>
      <c r="AJ1676" s="429">
        <v>5.6399999999999999E-2</v>
      </c>
      <c r="AK1676" s="318">
        <f t="shared" si="1210"/>
        <v>187728.77380952402</v>
      </c>
      <c r="AL1676" s="467">
        <f>585*15</f>
        <v>8775</v>
      </c>
      <c r="AM1676" s="321">
        <f>Y1676*AH1676</f>
        <v>10492.825000000001</v>
      </c>
      <c r="AN1676" s="321">
        <v>0</v>
      </c>
      <c r="AO1676" s="318">
        <f t="shared" si="1211"/>
        <v>8500</v>
      </c>
      <c r="AP1676" s="467">
        <v>0</v>
      </c>
      <c r="AQ1676" s="318">
        <f>Y1676*0.64/100</f>
        <v>19186.88</v>
      </c>
      <c r="AR1676" s="318">
        <f t="shared" si="1212"/>
        <v>234683.47880952404</v>
      </c>
      <c r="AS1676" s="318">
        <f t="shared" si="1213"/>
        <v>246418</v>
      </c>
      <c r="AT1676" s="321">
        <v>100</v>
      </c>
      <c r="AU1676" s="464"/>
      <c r="AV1676" s="449"/>
      <c r="AW1676" s="318">
        <f t="shared" si="1214"/>
        <v>35270</v>
      </c>
      <c r="AX1676" s="467"/>
      <c r="AY1676" s="318">
        <f t="shared" si="1215"/>
        <v>35270</v>
      </c>
      <c r="AZ1676" s="318">
        <f t="shared" si="1216"/>
        <v>35170</v>
      </c>
      <c r="BA1676" s="318">
        <f t="shared" si="1217"/>
        <v>100</v>
      </c>
      <c r="BB1676" s="318">
        <f t="shared" si="1218"/>
        <v>70.540000000000006</v>
      </c>
      <c r="BC1676" s="318">
        <v>0</v>
      </c>
      <c r="BD1676" s="477"/>
      <c r="BE1676" s="147">
        <v>352.7</v>
      </c>
      <c r="BF1676" s="375">
        <f t="shared" si="1219"/>
        <v>0.52904999999999991</v>
      </c>
      <c r="BG1676" s="321">
        <f t="shared" si="1220"/>
        <v>352.17095</v>
      </c>
      <c r="BH1676" s="321">
        <f t="shared" si="1221"/>
        <v>351.7</v>
      </c>
      <c r="BI1676" s="322">
        <f t="shared" si="1222"/>
        <v>100</v>
      </c>
      <c r="BJ1676" s="322">
        <v>0</v>
      </c>
      <c r="BK1676" s="318">
        <f t="shared" si="1223"/>
        <v>100</v>
      </c>
      <c r="BL1676" s="449"/>
      <c r="BM1676" s="449" t="str">
        <f t="shared" si="1224"/>
        <v>Unloading no. 1641 Bill No 40 ,Deduction For Oil Deduction= 187728.773809524 ,Bardana= 8775 ,F.M= 10492.825 Brokerage/Rate Difference 0 ,Shortage = 8500 ,Greenish= 0 ,Moisture= 19186.88</v>
      </c>
      <c r="BN1676" s="449"/>
      <c r="BO1676" s="449" t="str">
        <f t="shared" si="1225"/>
        <v xml:space="preserve"> Party Condition 42  ,F.M% 0.35 ,Greenish 3.3 ,Moisture 5.64 ,Shortage in KG= 100  ,Oil% 39.37</v>
      </c>
      <c r="BP1676" s="464">
        <f t="shared" si="1226"/>
        <v>7856.8851896231909</v>
      </c>
      <c r="BQ1676" s="449"/>
      <c r="BR1676" s="449"/>
      <c r="BS1676" s="449"/>
      <c r="BT1676" s="449"/>
      <c r="BU1676" s="449"/>
      <c r="BV1676" s="449"/>
      <c r="BW1676" s="449"/>
      <c r="BX1676" s="147">
        <v>39.54</v>
      </c>
      <c r="BY1676" s="147">
        <v>39.369999999999997</v>
      </c>
      <c r="CA1676" s="56">
        <v>243269.81</v>
      </c>
      <c r="CC1676" s="84">
        <f>AS1676-CA1676</f>
        <v>3148.1900000000023</v>
      </c>
      <c r="CD1676" s="56">
        <f>CC1676/105*100</f>
        <v>2998.2761904761924</v>
      </c>
      <c r="CO1676" s="460">
        <f t="shared" si="1227"/>
        <v>-39.54</v>
      </c>
      <c r="CP1676" s="460">
        <f t="shared" si="1228"/>
        <v>-39.369999999999997</v>
      </c>
    </row>
    <row r="1677" spans="1:94" ht="14.1" hidden="1" customHeight="1" x14ac:dyDescent="0.3">
      <c r="A1677" s="281" t="s">
        <v>3542</v>
      </c>
      <c r="B1677" s="130">
        <v>46246</v>
      </c>
      <c r="C1677" s="128">
        <v>1642</v>
      </c>
      <c r="D1677" s="281" t="s">
        <v>3557</v>
      </c>
      <c r="E1677" s="129">
        <v>46250</v>
      </c>
      <c r="F1677" s="128" t="s">
        <v>1691</v>
      </c>
      <c r="G1677" s="281" t="s">
        <v>1692</v>
      </c>
      <c r="H1677" s="128" t="s">
        <v>1693</v>
      </c>
      <c r="I1677" s="136"/>
      <c r="J1677" s="281" t="s">
        <v>1146</v>
      </c>
      <c r="K1677" s="136"/>
      <c r="L1677" s="146">
        <v>46246</v>
      </c>
      <c r="M1677" s="136"/>
      <c r="N1677" s="281" t="s">
        <v>1393</v>
      </c>
      <c r="O1677" s="146">
        <v>46249</v>
      </c>
      <c r="P1677" s="138">
        <v>0</v>
      </c>
      <c r="Q1677" s="138">
        <v>350</v>
      </c>
      <c r="R1677" s="138">
        <v>150</v>
      </c>
      <c r="S1677" s="138">
        <v>500</v>
      </c>
      <c r="T1677" s="138">
        <v>500</v>
      </c>
      <c r="U1677" s="136"/>
      <c r="V1677" s="136"/>
      <c r="W1677" s="147">
        <v>304.39999999999998</v>
      </c>
      <c r="X1677" s="147">
        <v>304.10000000000002</v>
      </c>
      <c r="Y1677" s="445">
        <v>2421502</v>
      </c>
      <c r="Z1677" s="147"/>
      <c r="AA1677" s="147">
        <v>60537.55</v>
      </c>
      <c r="AB1677" s="147">
        <v>60537.55</v>
      </c>
      <c r="AC1677" s="147">
        <v>2542577.1</v>
      </c>
      <c r="AD1677" s="321">
        <f t="shared" si="1201"/>
        <v>2540034.5229000002</v>
      </c>
      <c r="AE1677" s="147">
        <v>39.770000000000003</v>
      </c>
      <c r="AF1677" s="147">
        <v>39.5</v>
      </c>
      <c r="AG1677" s="147">
        <v>39.57</v>
      </c>
      <c r="AH1677" s="395">
        <v>2.3999999999999998E-3</v>
      </c>
      <c r="AI1677" s="287">
        <v>0.03</v>
      </c>
      <c r="AJ1677" s="287">
        <v>5.3999999999999999E-2</v>
      </c>
      <c r="AK1677" s="318">
        <f t="shared" si="1210"/>
        <v>0</v>
      </c>
      <c r="AL1677" s="467">
        <v>0</v>
      </c>
      <c r="AM1677" s="321">
        <v>0</v>
      </c>
      <c r="AN1677" s="321">
        <v>0</v>
      </c>
      <c r="AO1677" s="318">
        <f t="shared" si="1211"/>
        <v>0</v>
      </c>
      <c r="AP1677" s="467">
        <v>0</v>
      </c>
      <c r="AQ1677" s="318">
        <v>0</v>
      </c>
      <c r="AR1677" s="318">
        <f t="shared" si="1212"/>
        <v>0</v>
      </c>
      <c r="AS1677" s="318">
        <f t="shared" si="1213"/>
        <v>0</v>
      </c>
      <c r="AT1677" s="321">
        <v>0</v>
      </c>
      <c r="AU1677" s="464"/>
      <c r="AV1677" s="449"/>
      <c r="AW1677" s="318">
        <f t="shared" si="1214"/>
        <v>30439.999999999996</v>
      </c>
      <c r="AX1677" s="467"/>
      <c r="AY1677" s="318">
        <f t="shared" si="1215"/>
        <v>30439.999999999996</v>
      </c>
      <c r="AZ1677" s="318">
        <f t="shared" si="1216"/>
        <v>30410.000000000004</v>
      </c>
      <c r="BA1677" s="318">
        <f t="shared" si="1217"/>
        <v>29.999999999992724</v>
      </c>
      <c r="BB1677" s="318">
        <f t="shared" si="1218"/>
        <v>60.879999999999995</v>
      </c>
      <c r="BC1677" s="318">
        <v>0</v>
      </c>
      <c r="BD1677" s="477"/>
      <c r="BE1677" s="147">
        <v>304.39999999999998</v>
      </c>
      <c r="BF1677" s="375">
        <f t="shared" si="1219"/>
        <v>0.45659999999999995</v>
      </c>
      <c r="BG1677" s="321">
        <f t="shared" si="1220"/>
        <v>303.9434</v>
      </c>
      <c r="BH1677" s="321">
        <f t="shared" si="1221"/>
        <v>304.10000000000002</v>
      </c>
      <c r="BI1677" s="322">
        <f t="shared" si="1222"/>
        <v>29.999999999995453</v>
      </c>
      <c r="BJ1677" s="322">
        <v>0</v>
      </c>
      <c r="BK1677" s="318">
        <f t="shared" si="1223"/>
        <v>29.999999999995453</v>
      </c>
      <c r="BL1677" s="449"/>
      <c r="BM1677" s="449" t="str">
        <f t="shared" si="1224"/>
        <v>Unloading no. 1642 Bill No 2026-27/94 ,Deduction For Oil Deduction= 0 ,Bardana= 0 ,F.M= 0 Brokerage/Rate Difference 0 ,Shortage = 0 ,Greenish= 0 ,Moisture= 0</v>
      </c>
      <c r="BN1677" s="449"/>
      <c r="BO1677" s="449" t="str">
        <f t="shared" si="1225"/>
        <v xml:space="preserve"> Party Condition 39.5  ,F.M% 0.24 ,Greenish 3 ,Moisture 5.4 ,Shortage in KG= 0  ,Oil% 39.57</v>
      </c>
      <c r="BP1677" s="464">
        <f t="shared" si="1226"/>
        <v>7962.8477474514957</v>
      </c>
      <c r="BQ1677" s="449"/>
      <c r="BR1677" s="449"/>
      <c r="BS1677" s="449"/>
      <c r="BT1677" s="449"/>
      <c r="BU1677" s="449"/>
      <c r="BV1677" s="449"/>
      <c r="BW1677" s="449"/>
      <c r="BX1677" s="147">
        <v>39.770000000000003</v>
      </c>
      <c r="BY1677" s="147">
        <v>39.57</v>
      </c>
      <c r="CA1677" s="56">
        <v>0</v>
      </c>
      <c r="CC1677" s="84">
        <f>AS1677-CA1677</f>
        <v>0</v>
      </c>
      <c r="CD1677" s="56">
        <f>CC1677/105*100</f>
        <v>0</v>
      </c>
      <c r="CO1677" s="460">
        <f t="shared" si="1227"/>
        <v>-39.770000000000003</v>
      </c>
      <c r="CP1677" s="460">
        <f t="shared" si="1228"/>
        <v>-39.57</v>
      </c>
    </row>
    <row r="1678" spans="1:94" ht="14.1" hidden="1" customHeight="1" x14ac:dyDescent="0.3">
      <c r="A1678" s="281" t="s">
        <v>3503</v>
      </c>
      <c r="B1678" s="130">
        <v>46247</v>
      </c>
      <c r="C1678" s="128">
        <v>1643</v>
      </c>
      <c r="D1678" s="281" t="s">
        <v>3558</v>
      </c>
      <c r="E1678" s="129">
        <v>46250</v>
      </c>
      <c r="F1678" s="128" t="s">
        <v>1686</v>
      </c>
      <c r="G1678" s="281" t="s">
        <v>1687</v>
      </c>
      <c r="H1678" s="128" t="s">
        <v>1688</v>
      </c>
      <c r="I1678" s="136"/>
      <c r="J1678" s="281" t="s">
        <v>1146</v>
      </c>
      <c r="K1678" s="136"/>
      <c r="L1678" s="146">
        <v>46247</v>
      </c>
      <c r="M1678" s="136"/>
      <c r="N1678" s="281" t="s">
        <v>3586</v>
      </c>
      <c r="O1678" s="146">
        <v>46249</v>
      </c>
      <c r="P1678" s="138">
        <v>0</v>
      </c>
      <c r="Q1678" s="138">
        <v>200</v>
      </c>
      <c r="R1678" s="138">
        <v>75</v>
      </c>
      <c r="S1678" s="138">
        <v>275</v>
      </c>
      <c r="T1678" s="138">
        <v>275</v>
      </c>
      <c r="U1678" s="136"/>
      <c r="V1678" s="136"/>
      <c r="W1678" s="147">
        <v>165.75</v>
      </c>
      <c r="X1678" s="147">
        <v>165.6</v>
      </c>
      <c r="Y1678" s="445">
        <v>1400587.5</v>
      </c>
      <c r="Z1678" s="147"/>
      <c r="AA1678" s="147">
        <v>35014.69</v>
      </c>
      <c r="AB1678" s="147">
        <v>35014.69</v>
      </c>
      <c r="AC1678" s="147">
        <v>1470616.88</v>
      </c>
      <c r="AD1678" s="321">
        <f t="shared" si="1201"/>
        <v>1469146.2631199998</v>
      </c>
      <c r="AE1678" s="147">
        <v>40.020000000000003</v>
      </c>
      <c r="AF1678" s="147">
        <v>42</v>
      </c>
      <c r="AG1678" s="147">
        <v>39.81</v>
      </c>
      <c r="AH1678" s="395">
        <v>1.6999999999999999E-3</v>
      </c>
      <c r="AI1678" s="287">
        <v>3.3799999999999997E-2</v>
      </c>
      <c r="AJ1678" s="287">
        <v>5.8000000000000003E-2</v>
      </c>
      <c r="AK1678" s="318">
        <f t="shared" si="1210"/>
        <v>73030.633928571347</v>
      </c>
      <c r="AL1678" s="467">
        <v>0</v>
      </c>
      <c r="AM1678" s="321">
        <v>0</v>
      </c>
      <c r="AN1678" s="321">
        <v>0</v>
      </c>
      <c r="AO1678" s="318">
        <f t="shared" si="1211"/>
        <v>0</v>
      </c>
      <c r="AP1678" s="467">
        <v>0</v>
      </c>
      <c r="AQ1678" s="318">
        <v>0</v>
      </c>
      <c r="AR1678" s="318">
        <f t="shared" si="1212"/>
        <v>73030.633928571347</v>
      </c>
      <c r="AS1678" s="318">
        <f t="shared" si="1213"/>
        <v>76682</v>
      </c>
      <c r="AT1678" s="321">
        <v>0</v>
      </c>
      <c r="AU1678" s="464"/>
      <c r="AV1678" s="449"/>
      <c r="AW1678" s="318">
        <f t="shared" si="1214"/>
        <v>16575</v>
      </c>
      <c r="AX1678" s="467"/>
      <c r="AY1678" s="318">
        <f t="shared" si="1215"/>
        <v>16575</v>
      </c>
      <c r="AZ1678" s="318">
        <f t="shared" si="1216"/>
        <v>16560</v>
      </c>
      <c r="BA1678" s="318">
        <f t="shared" si="1217"/>
        <v>15</v>
      </c>
      <c r="BB1678" s="318">
        <f t="shared" si="1218"/>
        <v>33.15</v>
      </c>
      <c r="BC1678" s="318">
        <v>0</v>
      </c>
      <c r="BD1678" s="477"/>
      <c r="BE1678" s="147">
        <v>165.75</v>
      </c>
      <c r="BF1678" s="375">
        <f t="shared" si="1219"/>
        <v>0.24862500000000001</v>
      </c>
      <c r="BG1678" s="321">
        <f t="shared" si="1220"/>
        <v>165.501375</v>
      </c>
      <c r="BH1678" s="321">
        <f t="shared" si="1221"/>
        <v>165.6</v>
      </c>
      <c r="BI1678" s="322">
        <f t="shared" si="1222"/>
        <v>15.000000000000568</v>
      </c>
      <c r="BJ1678" s="322">
        <v>0</v>
      </c>
      <c r="BK1678" s="318">
        <f t="shared" si="1223"/>
        <v>15.000000000000568</v>
      </c>
      <c r="BL1678" s="449"/>
      <c r="BM1678" s="449" t="str">
        <f t="shared" si="1224"/>
        <v>Unloading no. 1643 Bill No KAI/2026-27/186 ,Deduction For Oil Deduction= 73030.6339285713 ,Bardana= 0 ,F.M= 0 Brokerage/Rate Difference 0 ,Shortage = 0 ,Greenish= 0 ,Moisture= 0</v>
      </c>
      <c r="BN1678" s="449"/>
      <c r="BO1678" s="449" t="str">
        <f t="shared" si="1225"/>
        <v xml:space="preserve"> Party Condition 42  ,F.M% 0.17 ,Greenish 3.38 ,Moisture 5.8 ,Shortage in KG= 0  ,Oil% 39.81</v>
      </c>
      <c r="BP1678" s="464">
        <f t="shared" si="1226"/>
        <v>8016.6477419772264</v>
      </c>
      <c r="BQ1678" s="449"/>
      <c r="BR1678" s="449"/>
      <c r="BS1678" s="449"/>
      <c r="BT1678" s="449"/>
      <c r="BU1678" s="449"/>
      <c r="BV1678" s="449"/>
      <c r="BW1678" s="449"/>
      <c r="BX1678" s="147">
        <v>40.020000000000003</v>
      </c>
      <c r="BY1678" s="147">
        <v>39.81</v>
      </c>
      <c r="CA1678" s="56">
        <v>0</v>
      </c>
      <c r="CC1678" s="84">
        <f t="shared" ref="CC1678:CC1708" si="1229">AS1678-CA1678</f>
        <v>76682</v>
      </c>
      <c r="CD1678" s="56">
        <f t="shared" ref="CD1678:CD1708" si="1230">CC1678/105*100</f>
        <v>73030.476190476184</v>
      </c>
      <c r="CO1678" s="460">
        <f t="shared" si="1227"/>
        <v>-40.020000000000003</v>
      </c>
      <c r="CP1678" s="460">
        <f t="shared" si="1228"/>
        <v>-39.81</v>
      </c>
    </row>
    <row r="1679" spans="1:94" ht="14.1" hidden="1" customHeight="1" x14ac:dyDescent="0.3">
      <c r="A1679" s="281" t="s">
        <v>3503</v>
      </c>
      <c r="B1679" s="130">
        <v>46247</v>
      </c>
      <c r="C1679" s="128">
        <v>1644</v>
      </c>
      <c r="D1679" s="281" t="s">
        <v>3559</v>
      </c>
      <c r="E1679" s="129">
        <v>46250</v>
      </c>
      <c r="F1679" s="128" t="s">
        <v>1686</v>
      </c>
      <c r="G1679" s="281" t="s">
        <v>1687</v>
      </c>
      <c r="H1679" s="128" t="s">
        <v>1688</v>
      </c>
      <c r="I1679" s="136"/>
      <c r="J1679" s="281" t="s">
        <v>1146</v>
      </c>
      <c r="K1679" s="136"/>
      <c r="L1679" s="146">
        <v>46247</v>
      </c>
      <c r="M1679" s="136"/>
      <c r="N1679" s="281" t="s">
        <v>3587</v>
      </c>
      <c r="O1679" s="146">
        <v>46249</v>
      </c>
      <c r="P1679" s="138">
        <v>0</v>
      </c>
      <c r="Q1679" s="138">
        <v>175</v>
      </c>
      <c r="R1679" s="138">
        <v>100</v>
      </c>
      <c r="S1679" s="138">
        <v>275</v>
      </c>
      <c r="T1679" s="138">
        <v>275</v>
      </c>
      <c r="U1679" s="136"/>
      <c r="V1679" s="136"/>
      <c r="W1679" s="147">
        <v>165.25</v>
      </c>
      <c r="X1679" s="147">
        <v>164.9</v>
      </c>
      <c r="Y1679" s="445">
        <v>1396362.5</v>
      </c>
      <c r="Z1679" s="147"/>
      <c r="AA1679" s="147">
        <v>34909.06</v>
      </c>
      <c r="AB1679" s="147">
        <v>34909.06</v>
      </c>
      <c r="AC1679" s="147">
        <v>1466180.63</v>
      </c>
      <c r="AD1679" s="321">
        <f t="shared" si="1201"/>
        <v>1464714.4493699998</v>
      </c>
      <c r="AE1679" s="147">
        <v>39.78</v>
      </c>
      <c r="AF1679" s="147">
        <v>42</v>
      </c>
      <c r="AG1679" s="147">
        <v>39.61</v>
      </c>
      <c r="AH1679" s="395">
        <v>2E-3</v>
      </c>
      <c r="AI1679" s="287">
        <v>3.4500000000000003E-2</v>
      </c>
      <c r="AJ1679" s="287">
        <v>5.5E-2</v>
      </c>
      <c r="AK1679" s="318">
        <f t="shared" si="1210"/>
        <v>79459.675595238106</v>
      </c>
      <c r="AL1679" s="467">
        <v>0</v>
      </c>
      <c r="AM1679" s="321">
        <v>0</v>
      </c>
      <c r="AN1679" s="321">
        <v>0</v>
      </c>
      <c r="AO1679" s="318">
        <f t="shared" si="1211"/>
        <v>169</v>
      </c>
      <c r="AP1679" s="467">
        <v>0</v>
      </c>
      <c r="AQ1679" s="318">
        <v>0</v>
      </c>
      <c r="AR1679" s="318">
        <f t="shared" si="1212"/>
        <v>79628.675595238106</v>
      </c>
      <c r="AS1679" s="318">
        <f t="shared" si="1213"/>
        <v>83610</v>
      </c>
      <c r="AT1679" s="321">
        <v>2</v>
      </c>
      <c r="AU1679" s="464"/>
      <c r="AV1679" s="449"/>
      <c r="AW1679" s="318">
        <f t="shared" si="1214"/>
        <v>16525</v>
      </c>
      <c r="AX1679" s="467"/>
      <c r="AY1679" s="318">
        <f t="shared" si="1215"/>
        <v>16525</v>
      </c>
      <c r="AZ1679" s="318">
        <f t="shared" si="1216"/>
        <v>16490</v>
      </c>
      <c r="BA1679" s="318">
        <f t="shared" si="1217"/>
        <v>35</v>
      </c>
      <c r="BB1679" s="318">
        <f t="shared" si="1218"/>
        <v>33.049999999999997</v>
      </c>
      <c r="BC1679" s="318">
        <v>0</v>
      </c>
      <c r="BD1679" s="477"/>
      <c r="BE1679" s="147">
        <v>165.25</v>
      </c>
      <c r="BF1679" s="375">
        <f t="shared" si="1219"/>
        <v>0.24787499999999998</v>
      </c>
      <c r="BG1679" s="321">
        <f t="shared" si="1220"/>
        <v>165.00212500000001</v>
      </c>
      <c r="BH1679" s="321">
        <f t="shared" si="1221"/>
        <v>164.9</v>
      </c>
      <c r="BI1679" s="322">
        <f t="shared" si="1222"/>
        <v>34.999999999999432</v>
      </c>
      <c r="BJ1679" s="322">
        <v>0</v>
      </c>
      <c r="BK1679" s="318">
        <f t="shared" si="1223"/>
        <v>34.999999999999432</v>
      </c>
      <c r="BL1679" s="449"/>
      <c r="BM1679" s="449" t="str">
        <f t="shared" si="1224"/>
        <v>Unloading no. 1644 Bill No KAI/2026-27/187 ,Deduction For Oil Deduction= 79459.6755952381 ,Bardana= 0 ,F.M= 0 Brokerage/Rate Difference 0 ,Shortage = 169 ,Greenish= 0 ,Moisture= 0</v>
      </c>
      <c r="BN1679" s="449"/>
      <c r="BO1679" s="449" t="str">
        <f t="shared" si="1225"/>
        <v xml:space="preserve"> Party Condition 42  ,F.M% 0.2 ,Greenish 3.45 ,Moisture 5.5 ,Shortage in KG= 2  ,Oil% 39.61</v>
      </c>
      <c r="BP1679" s="464">
        <f t="shared" si="1226"/>
        <v>7985.0444172514362</v>
      </c>
      <c r="BQ1679" s="449"/>
      <c r="BR1679" s="449"/>
      <c r="BS1679" s="449"/>
      <c r="BT1679" s="449"/>
      <c r="BU1679" s="449"/>
      <c r="BV1679" s="449"/>
      <c r="BW1679" s="449"/>
      <c r="BX1679" s="147">
        <v>39.78</v>
      </c>
      <c r="BY1679" s="147">
        <v>39.61</v>
      </c>
      <c r="CA1679" s="56">
        <v>0</v>
      </c>
      <c r="CC1679" s="84">
        <f t="shared" si="1229"/>
        <v>83610</v>
      </c>
      <c r="CD1679" s="56">
        <f t="shared" si="1230"/>
        <v>79628.571428571435</v>
      </c>
      <c r="CO1679" s="460">
        <f t="shared" si="1227"/>
        <v>-39.78</v>
      </c>
      <c r="CP1679" s="460">
        <f t="shared" si="1228"/>
        <v>-39.61</v>
      </c>
    </row>
    <row r="1680" spans="1:94" ht="14.1" hidden="1" customHeight="1" x14ac:dyDescent="0.3">
      <c r="A1680" s="281" t="s">
        <v>3503</v>
      </c>
      <c r="B1680" s="130">
        <v>46247</v>
      </c>
      <c r="C1680" s="128">
        <v>1645</v>
      </c>
      <c r="D1680" s="281" t="s">
        <v>3560</v>
      </c>
      <c r="E1680" s="129">
        <v>46250</v>
      </c>
      <c r="F1680" s="128" t="s">
        <v>1686</v>
      </c>
      <c r="G1680" s="281" t="s">
        <v>1687</v>
      </c>
      <c r="H1680" s="128" t="s">
        <v>1688</v>
      </c>
      <c r="I1680" s="136"/>
      <c r="J1680" s="281" t="s">
        <v>1146</v>
      </c>
      <c r="K1680" s="136"/>
      <c r="L1680" s="146">
        <v>46247</v>
      </c>
      <c r="M1680" s="136"/>
      <c r="N1680" s="281" t="s">
        <v>3588</v>
      </c>
      <c r="O1680" s="146">
        <v>46249</v>
      </c>
      <c r="P1680" s="138">
        <v>0</v>
      </c>
      <c r="Q1680" s="138">
        <v>175</v>
      </c>
      <c r="R1680" s="138">
        <v>100</v>
      </c>
      <c r="S1680" s="138">
        <v>275</v>
      </c>
      <c r="T1680" s="138">
        <v>275</v>
      </c>
      <c r="U1680" s="136"/>
      <c r="V1680" s="136"/>
      <c r="W1680" s="147">
        <v>165.65</v>
      </c>
      <c r="X1680" s="147">
        <v>165.5</v>
      </c>
      <c r="Y1680" s="445">
        <v>1399742.5</v>
      </c>
      <c r="Z1680" s="147"/>
      <c r="AA1680" s="147">
        <v>34993.56</v>
      </c>
      <c r="AB1680" s="147">
        <v>34993.56</v>
      </c>
      <c r="AC1680" s="147">
        <v>1469729.63</v>
      </c>
      <c r="AD1680" s="321">
        <f t="shared" si="1201"/>
        <v>1468259.9003699999</v>
      </c>
      <c r="AE1680" s="147">
        <v>40.54</v>
      </c>
      <c r="AF1680" s="147">
        <v>42</v>
      </c>
      <c r="AG1680" s="147">
        <v>40.24</v>
      </c>
      <c r="AH1680" s="395">
        <v>3.0000000000000001E-3</v>
      </c>
      <c r="AI1680" s="287">
        <v>2.9000000000000001E-2</v>
      </c>
      <c r="AJ1680" s="287">
        <v>4.8000000000000001E-2</v>
      </c>
      <c r="AK1680" s="318">
        <f t="shared" si="1210"/>
        <v>58655.87619047612</v>
      </c>
      <c r="AL1680" s="467">
        <v>0</v>
      </c>
      <c r="AM1680" s="321">
        <v>0</v>
      </c>
      <c r="AN1680" s="321">
        <v>0</v>
      </c>
      <c r="AO1680" s="318">
        <f t="shared" si="1211"/>
        <v>0</v>
      </c>
      <c r="AP1680" s="467">
        <v>0</v>
      </c>
      <c r="AQ1680" s="318">
        <v>0</v>
      </c>
      <c r="AR1680" s="318">
        <f t="shared" si="1212"/>
        <v>58655.87619047612</v>
      </c>
      <c r="AS1680" s="318">
        <f t="shared" si="1213"/>
        <v>61589</v>
      </c>
      <c r="AT1680" s="321">
        <v>0</v>
      </c>
      <c r="AU1680" s="464"/>
      <c r="AV1680" s="449"/>
      <c r="AW1680" s="318">
        <f t="shared" si="1214"/>
        <v>16565</v>
      </c>
      <c r="AX1680" s="467"/>
      <c r="AY1680" s="318">
        <f t="shared" si="1215"/>
        <v>16565</v>
      </c>
      <c r="AZ1680" s="318">
        <f t="shared" si="1216"/>
        <v>16550</v>
      </c>
      <c r="BA1680" s="318">
        <f t="shared" si="1217"/>
        <v>15</v>
      </c>
      <c r="BB1680" s="318">
        <f t="shared" si="1218"/>
        <v>33.130000000000003</v>
      </c>
      <c r="BC1680" s="318">
        <v>0</v>
      </c>
      <c r="BD1680" s="477"/>
      <c r="BE1680" s="147">
        <v>165.65</v>
      </c>
      <c r="BF1680" s="375">
        <f t="shared" si="1219"/>
        <v>0.248475</v>
      </c>
      <c r="BG1680" s="321">
        <f t="shared" si="1220"/>
        <v>165.40152499999999</v>
      </c>
      <c r="BH1680" s="321">
        <f t="shared" si="1221"/>
        <v>165.5</v>
      </c>
      <c r="BI1680" s="322">
        <f t="shared" si="1222"/>
        <v>15.000000000000568</v>
      </c>
      <c r="BJ1680" s="322">
        <v>0</v>
      </c>
      <c r="BK1680" s="318">
        <f t="shared" si="1223"/>
        <v>15.000000000000568</v>
      </c>
      <c r="BL1680" s="449"/>
      <c r="BM1680" s="449" t="str">
        <f t="shared" si="1224"/>
        <v>Unloading no. 1645 Bill No KAI/2026-27/188 ,Deduction For Oil Deduction= 58655.8761904761 ,Bardana= 0 ,F.M= 0 Brokerage/Rate Difference 0 ,Shortage = 0 ,Greenish= 0 ,Moisture= 0</v>
      </c>
      <c r="BN1680" s="449"/>
      <c r="BO1680" s="449" t="str">
        <f t="shared" si="1225"/>
        <v xml:space="preserve"> Party Condition 42  ,F.M% 0.3 ,Greenish 2.9 ,Moisture 4.8 ,Shortage in KG= 0  ,Oil% 40.24</v>
      </c>
      <c r="BP1680" s="464">
        <f t="shared" si="1226"/>
        <v>8103.2424399367001</v>
      </c>
      <c r="BQ1680" s="449"/>
      <c r="BR1680" s="449"/>
      <c r="BS1680" s="449"/>
      <c r="BT1680" s="449"/>
      <c r="BU1680" s="449"/>
      <c r="BV1680" s="449"/>
      <c r="BW1680" s="449"/>
      <c r="BX1680" s="147">
        <v>40.54</v>
      </c>
      <c r="BY1680" s="147">
        <v>40.24</v>
      </c>
      <c r="CA1680" s="56">
        <v>0</v>
      </c>
      <c r="CC1680" s="84">
        <f t="shared" si="1229"/>
        <v>61589</v>
      </c>
      <c r="CD1680" s="56">
        <f t="shared" si="1230"/>
        <v>58656.190476190473</v>
      </c>
      <c r="CO1680" s="460">
        <f t="shared" si="1227"/>
        <v>-40.54</v>
      </c>
      <c r="CP1680" s="460">
        <f t="shared" si="1228"/>
        <v>-40.24</v>
      </c>
    </row>
    <row r="1681" spans="1:94" ht="14.1" hidden="1" customHeight="1" x14ac:dyDescent="0.3">
      <c r="A1681" s="281" t="s">
        <v>3543</v>
      </c>
      <c r="B1681" s="130">
        <v>46248</v>
      </c>
      <c r="C1681" s="128">
        <v>1646</v>
      </c>
      <c r="D1681" s="281" t="s">
        <v>3561</v>
      </c>
      <c r="E1681" s="129">
        <v>46250</v>
      </c>
      <c r="F1681" s="128" t="s">
        <v>3580</v>
      </c>
      <c r="G1681" s="281" t="s">
        <v>3581</v>
      </c>
      <c r="H1681" s="128" t="s">
        <v>1511</v>
      </c>
      <c r="I1681" s="136"/>
      <c r="J1681" s="281" t="s">
        <v>2499</v>
      </c>
      <c r="K1681" s="136"/>
      <c r="L1681" s="146">
        <v>46248</v>
      </c>
      <c r="M1681" s="136"/>
      <c r="N1681" s="281">
        <v>71</v>
      </c>
      <c r="O1681" s="146">
        <v>46249</v>
      </c>
      <c r="P1681" s="138">
        <v>0</v>
      </c>
      <c r="Q1681" s="138">
        <v>140</v>
      </c>
      <c r="R1681" s="138">
        <v>66</v>
      </c>
      <c r="S1681" s="138">
        <v>206</v>
      </c>
      <c r="T1681" s="138">
        <v>206</v>
      </c>
      <c r="U1681" s="136"/>
      <c r="V1681" s="136"/>
      <c r="W1681" s="147">
        <v>102.6</v>
      </c>
      <c r="X1681" s="147">
        <v>102.4</v>
      </c>
      <c r="Y1681" s="476">
        <f>872780-680</f>
        <v>872100</v>
      </c>
      <c r="Z1681" s="147"/>
      <c r="AA1681" s="147">
        <v>21819.5</v>
      </c>
      <c r="AB1681" s="147">
        <v>21819.5</v>
      </c>
      <c r="AC1681" s="147">
        <v>916419</v>
      </c>
      <c r="AD1681" s="321">
        <f t="shared" si="1201"/>
        <v>915502.58100000001</v>
      </c>
      <c r="AE1681" s="147">
        <v>41.18</v>
      </c>
      <c r="AF1681" s="147">
        <v>42</v>
      </c>
      <c r="AG1681" s="147">
        <v>40.880000000000003</v>
      </c>
      <c r="AH1681" s="395">
        <v>2.8E-3</v>
      </c>
      <c r="AI1681" s="287">
        <v>2.9000000000000001E-2</v>
      </c>
      <c r="AJ1681" s="429">
        <v>5.4899999999999997E-2</v>
      </c>
      <c r="AK1681" s="318">
        <f t="shared" si="1210"/>
        <v>23255.999999999945</v>
      </c>
      <c r="AL1681" s="467">
        <f>140*10+66*15</f>
        <v>2390</v>
      </c>
      <c r="AM1681" s="321">
        <f>Y1681*AH1681</f>
        <v>2441.88</v>
      </c>
      <c r="AN1681" s="321">
        <v>680</v>
      </c>
      <c r="AO1681" s="318">
        <f t="shared" si="1211"/>
        <v>1700</v>
      </c>
      <c r="AP1681" s="467">
        <v>0</v>
      </c>
      <c r="AQ1681" s="318">
        <f>Y1681*0.49/100</f>
        <v>4273.29</v>
      </c>
      <c r="AR1681" s="318">
        <f t="shared" si="1212"/>
        <v>34741.169999999947</v>
      </c>
      <c r="AS1681" s="318">
        <f t="shared" si="1213"/>
        <v>36478</v>
      </c>
      <c r="AT1681" s="321">
        <v>20</v>
      </c>
      <c r="AU1681" s="464"/>
      <c r="AV1681" s="449"/>
      <c r="AW1681" s="318">
        <f t="shared" si="1214"/>
        <v>10260</v>
      </c>
      <c r="AX1681" s="467"/>
      <c r="AY1681" s="318">
        <f t="shared" si="1215"/>
        <v>10260</v>
      </c>
      <c r="AZ1681" s="318">
        <f t="shared" si="1216"/>
        <v>10240</v>
      </c>
      <c r="BA1681" s="318">
        <f t="shared" si="1217"/>
        <v>20</v>
      </c>
      <c r="BB1681" s="318">
        <f t="shared" si="1218"/>
        <v>20.52</v>
      </c>
      <c r="BC1681" s="318">
        <v>0</v>
      </c>
      <c r="BD1681" s="477"/>
      <c r="BE1681" s="147">
        <v>102.6</v>
      </c>
      <c r="BF1681" s="375">
        <f t="shared" si="1219"/>
        <v>0.15389999999999998</v>
      </c>
      <c r="BG1681" s="321">
        <f t="shared" si="1220"/>
        <v>102.4461</v>
      </c>
      <c r="BH1681" s="321">
        <f t="shared" si="1221"/>
        <v>102.4</v>
      </c>
      <c r="BI1681" s="322">
        <f t="shared" si="1222"/>
        <v>19.999999999998863</v>
      </c>
      <c r="BJ1681" s="322">
        <v>0</v>
      </c>
      <c r="BK1681" s="318">
        <f t="shared" si="1223"/>
        <v>19.999999999998863</v>
      </c>
      <c r="BL1681" s="449"/>
      <c r="BM1681" s="449" t="str">
        <f t="shared" si="1224"/>
        <v>Unloading no. 1646 Bill No 71 ,Deduction For Oil Deduction= 23255.9999999999 ,Bardana= 2390 ,F.M= 2441.88 Brokerage/Rate Difference 680 ,Shortage = 1700 ,Greenish= 0 ,Moisture= 4273.29</v>
      </c>
      <c r="BN1681" s="449"/>
      <c r="BO1681" s="449" t="str">
        <f t="shared" si="1225"/>
        <v xml:space="preserve"> Party Condition 42  ,F.M% 0.28 ,Greenish 2.9 ,Moisture 5.49 ,Shortage in KG= 20  ,Oil% 40.88</v>
      </c>
      <c r="BP1681" s="464">
        <f t="shared" si="1226"/>
        <v>8177.3323242187507</v>
      </c>
      <c r="BQ1681" s="449"/>
      <c r="BR1681" s="449"/>
      <c r="BS1681" s="449"/>
      <c r="BT1681" s="449"/>
      <c r="BU1681" s="449"/>
      <c r="BV1681" s="449"/>
      <c r="BW1681" s="449"/>
      <c r="BX1681" s="147">
        <v>41.18</v>
      </c>
      <c r="BY1681" s="147">
        <v>40.880000000000003</v>
      </c>
      <c r="CA1681" s="56">
        <v>0</v>
      </c>
      <c r="CC1681" s="84">
        <f t="shared" si="1229"/>
        <v>36478</v>
      </c>
      <c r="CD1681" s="56">
        <f t="shared" si="1230"/>
        <v>34740.952380952382</v>
      </c>
      <c r="CO1681" s="460">
        <f t="shared" si="1227"/>
        <v>-41.18</v>
      </c>
      <c r="CP1681" s="460">
        <f t="shared" si="1228"/>
        <v>-40.880000000000003</v>
      </c>
    </row>
    <row r="1682" spans="1:94" ht="14.1" hidden="1" customHeight="1" x14ac:dyDescent="0.3">
      <c r="A1682" s="128" t="s">
        <v>3544</v>
      </c>
      <c r="B1682" s="129">
        <v>46252</v>
      </c>
      <c r="C1682" s="135">
        <v>1647</v>
      </c>
      <c r="D1682" s="128" t="s">
        <v>3562</v>
      </c>
      <c r="E1682" s="130">
        <v>46251</v>
      </c>
      <c r="F1682" s="128" t="s">
        <v>3299</v>
      </c>
      <c r="G1682" s="128" t="s">
        <v>2630</v>
      </c>
      <c r="H1682" s="128" t="s">
        <v>1508</v>
      </c>
      <c r="I1682" s="136"/>
      <c r="J1682" s="128" t="s">
        <v>1146</v>
      </c>
      <c r="K1682" s="136"/>
      <c r="L1682" s="146">
        <v>46252</v>
      </c>
      <c r="M1682" s="136"/>
      <c r="N1682" s="281">
        <v>221</v>
      </c>
      <c r="O1682" s="146">
        <v>46250</v>
      </c>
      <c r="P1682" s="138">
        <v>0</v>
      </c>
      <c r="Q1682" s="138">
        <v>210</v>
      </c>
      <c r="R1682" s="138">
        <v>215</v>
      </c>
      <c r="S1682" s="138">
        <v>425</v>
      </c>
      <c r="T1682" s="138">
        <v>425</v>
      </c>
      <c r="U1682" s="136"/>
      <c r="V1682" s="136"/>
      <c r="W1682" s="147">
        <v>252.2</v>
      </c>
      <c r="X1682" s="147">
        <v>252.1</v>
      </c>
      <c r="Y1682" s="476">
        <f>2121002-20176</f>
        <v>2100826</v>
      </c>
      <c r="Z1682" s="236">
        <v>38.31</v>
      </c>
      <c r="AA1682" s="147">
        <v>53025.05</v>
      </c>
      <c r="AB1682" s="147">
        <v>53025.05</v>
      </c>
      <c r="AC1682" s="147">
        <v>2227052.1</v>
      </c>
      <c r="AD1682" s="321">
        <f t="shared" si="1201"/>
        <v>2224825.0479000001</v>
      </c>
      <c r="AE1682" s="236">
        <v>38.31</v>
      </c>
      <c r="AF1682" s="147">
        <v>42</v>
      </c>
      <c r="AG1682" s="236">
        <v>38.31</v>
      </c>
      <c r="AH1682" s="395">
        <v>4.0000000000000001E-3</v>
      </c>
      <c r="AI1682" s="287">
        <v>3.1E-2</v>
      </c>
      <c r="AJ1682" s="287">
        <v>4.8000000000000001E-2</v>
      </c>
      <c r="AK1682" s="318">
        <f t="shared" si="1210"/>
        <v>184572.56999999989</v>
      </c>
      <c r="AL1682" s="467">
        <v>0</v>
      </c>
      <c r="AM1682" s="321">
        <v>0</v>
      </c>
      <c r="AN1682" s="321">
        <v>0</v>
      </c>
      <c r="AO1682" s="318">
        <f t="shared" si="1211"/>
        <v>0</v>
      </c>
      <c r="AP1682" s="467">
        <v>0</v>
      </c>
      <c r="AQ1682" s="318">
        <v>0</v>
      </c>
      <c r="AR1682" s="318">
        <f t="shared" si="1212"/>
        <v>184572.56999999989</v>
      </c>
      <c r="AS1682" s="318">
        <f t="shared" si="1213"/>
        <v>193801</v>
      </c>
      <c r="AT1682" s="321">
        <v>0</v>
      </c>
      <c r="AU1682" s="464"/>
      <c r="AV1682" s="449"/>
      <c r="AW1682" s="318">
        <f t="shared" si="1214"/>
        <v>25220</v>
      </c>
      <c r="AX1682" s="467"/>
      <c r="AY1682" s="318">
        <f t="shared" si="1215"/>
        <v>25220</v>
      </c>
      <c r="AZ1682" s="318">
        <f t="shared" si="1216"/>
        <v>25210</v>
      </c>
      <c r="BA1682" s="318">
        <f t="shared" si="1217"/>
        <v>10</v>
      </c>
      <c r="BB1682" s="318">
        <f t="shared" si="1218"/>
        <v>50.44</v>
      </c>
      <c r="BC1682" s="318">
        <v>0</v>
      </c>
      <c r="BD1682" s="477"/>
      <c r="BE1682" s="147">
        <v>252.2</v>
      </c>
      <c r="BF1682" s="375">
        <f t="shared" si="1219"/>
        <v>0.37829999999999997</v>
      </c>
      <c r="BG1682" s="321">
        <f t="shared" si="1220"/>
        <v>251.82169999999999</v>
      </c>
      <c r="BH1682" s="321">
        <f t="shared" si="1221"/>
        <v>252.1</v>
      </c>
      <c r="BI1682" s="322">
        <f t="shared" si="1222"/>
        <v>9.9999999999994316</v>
      </c>
      <c r="BJ1682" s="322">
        <v>0</v>
      </c>
      <c r="BK1682" s="318">
        <f t="shared" si="1223"/>
        <v>9.9999999999994316</v>
      </c>
      <c r="BL1682" s="449"/>
      <c r="BM1682" s="449" t="str">
        <f t="shared" si="1224"/>
        <v>Unloading no. 1647 Bill No 221 ,Deduction For Oil Deduction= 184572.57 ,Bardana= 0 ,F.M= 0 Brokerage/Rate Difference 0 ,Shortage = 0 ,Greenish= 0 ,Moisture= 0</v>
      </c>
      <c r="BN1682" s="449"/>
      <c r="BO1682" s="449" t="str">
        <f t="shared" si="1225"/>
        <v xml:space="preserve"> Party Condition 42  ,F.M% 0.4 ,Greenish 3.1 ,Moisture 4.8 ,Shortage in KG= 0  ,Oil% 38.31</v>
      </c>
      <c r="BP1682" s="464">
        <f t="shared" si="1226"/>
        <v>7601.1639428798107</v>
      </c>
      <c r="BQ1682" s="449"/>
      <c r="BR1682" s="449"/>
      <c r="BS1682" s="449"/>
      <c r="BT1682" s="449"/>
      <c r="BU1682" s="449"/>
      <c r="BV1682" s="449"/>
      <c r="BW1682" s="449"/>
      <c r="BX1682" s="147">
        <v>38.43</v>
      </c>
      <c r="BY1682" s="147">
        <v>38.5</v>
      </c>
      <c r="CA1682" s="56">
        <v>0</v>
      </c>
      <c r="CC1682" s="84">
        <f t="shared" si="1229"/>
        <v>193801</v>
      </c>
      <c r="CD1682" s="56">
        <f t="shared" si="1230"/>
        <v>184572.38095238095</v>
      </c>
      <c r="CO1682" s="460">
        <f t="shared" ref="CO1682:CO1708" si="1231">Z1682-BX1682</f>
        <v>-0.11999999999999744</v>
      </c>
      <c r="CP1682" s="460">
        <f t="shared" ref="CP1682:CP1708" si="1232">Z1682-BY1682</f>
        <v>-0.18999999999999773</v>
      </c>
    </row>
    <row r="1683" spans="1:94" ht="14.1" hidden="1" customHeight="1" x14ac:dyDescent="0.3">
      <c r="A1683" s="128" t="s">
        <v>3544</v>
      </c>
      <c r="B1683" s="129">
        <v>46252</v>
      </c>
      <c r="C1683" s="135">
        <v>1648</v>
      </c>
      <c r="D1683" s="128" t="s">
        <v>3563</v>
      </c>
      <c r="E1683" s="130">
        <v>46251</v>
      </c>
      <c r="F1683" s="128" t="s">
        <v>3299</v>
      </c>
      <c r="G1683" s="128" t="s">
        <v>2630</v>
      </c>
      <c r="H1683" s="128" t="s">
        <v>1508</v>
      </c>
      <c r="I1683" s="136"/>
      <c r="J1683" s="128" t="s">
        <v>1146</v>
      </c>
      <c r="K1683" s="136"/>
      <c r="L1683" s="146">
        <v>46252</v>
      </c>
      <c r="M1683" s="136"/>
      <c r="N1683" s="281">
        <v>222</v>
      </c>
      <c r="O1683" s="146">
        <v>46250</v>
      </c>
      <c r="P1683" s="138">
        <v>0</v>
      </c>
      <c r="Q1683" s="138">
        <v>200</v>
      </c>
      <c r="R1683" s="138">
        <v>452</v>
      </c>
      <c r="S1683" s="138">
        <v>652</v>
      </c>
      <c r="T1683" s="138">
        <v>652</v>
      </c>
      <c r="U1683" s="136"/>
      <c r="V1683" s="136"/>
      <c r="W1683" s="147">
        <v>350.7</v>
      </c>
      <c r="X1683" s="147">
        <v>350.6</v>
      </c>
      <c r="Y1683" s="476">
        <f>2949387-28056</f>
        <v>2921331</v>
      </c>
      <c r="Z1683" s="236">
        <v>38.18</v>
      </c>
      <c r="AA1683" s="147">
        <v>73734.679999999993</v>
      </c>
      <c r="AB1683" s="147">
        <v>73734.679999999993</v>
      </c>
      <c r="AC1683" s="147">
        <v>3096856.35</v>
      </c>
      <c r="AD1683" s="321">
        <f t="shared" si="1201"/>
        <v>3093759.4936500001</v>
      </c>
      <c r="AE1683" s="236">
        <v>38.18</v>
      </c>
      <c r="AF1683" s="147">
        <v>42</v>
      </c>
      <c r="AG1683" s="236">
        <v>38.18</v>
      </c>
      <c r="AH1683" s="395">
        <v>6.1999999999999998E-3</v>
      </c>
      <c r="AI1683" s="287">
        <v>3.2000000000000001E-2</v>
      </c>
      <c r="AJ1683" s="287">
        <v>5.6000000000000001E-2</v>
      </c>
      <c r="AK1683" s="318">
        <f t="shared" si="1210"/>
        <v>265702.01</v>
      </c>
      <c r="AL1683" s="467">
        <v>0</v>
      </c>
      <c r="AM1683" s="321">
        <v>0</v>
      </c>
      <c r="AN1683" s="321">
        <v>0</v>
      </c>
      <c r="AO1683" s="318">
        <f t="shared" si="1211"/>
        <v>0</v>
      </c>
      <c r="AP1683" s="467">
        <v>0</v>
      </c>
      <c r="AQ1683" s="318">
        <v>0</v>
      </c>
      <c r="AR1683" s="318">
        <f t="shared" si="1212"/>
        <v>265702.01</v>
      </c>
      <c r="AS1683" s="318">
        <f t="shared" si="1213"/>
        <v>278987</v>
      </c>
      <c r="AT1683" s="321">
        <v>0</v>
      </c>
      <c r="AU1683" s="464"/>
      <c r="AV1683" s="449"/>
      <c r="AW1683" s="318">
        <f t="shared" si="1214"/>
        <v>35070</v>
      </c>
      <c r="AX1683" s="467"/>
      <c r="AY1683" s="318">
        <f t="shared" si="1215"/>
        <v>35070</v>
      </c>
      <c r="AZ1683" s="318">
        <f t="shared" si="1216"/>
        <v>35060</v>
      </c>
      <c r="BA1683" s="318">
        <f t="shared" si="1217"/>
        <v>10</v>
      </c>
      <c r="BB1683" s="318">
        <f t="shared" si="1218"/>
        <v>70.14</v>
      </c>
      <c r="BC1683" s="318">
        <v>0</v>
      </c>
      <c r="BD1683" s="477"/>
      <c r="BE1683" s="147">
        <v>350.7</v>
      </c>
      <c r="BF1683" s="375">
        <f t="shared" si="1219"/>
        <v>0.52605000000000002</v>
      </c>
      <c r="BG1683" s="321">
        <f t="shared" si="1220"/>
        <v>350.17394999999999</v>
      </c>
      <c r="BH1683" s="321">
        <f t="shared" si="1221"/>
        <v>350.6</v>
      </c>
      <c r="BI1683" s="322">
        <f t="shared" si="1222"/>
        <v>9.9999999999965894</v>
      </c>
      <c r="BJ1683" s="322">
        <v>0</v>
      </c>
      <c r="BK1683" s="318">
        <f t="shared" si="1223"/>
        <v>9.9999999999965894</v>
      </c>
      <c r="BL1683" s="449"/>
      <c r="BM1683" s="449" t="str">
        <f t="shared" si="1224"/>
        <v>Unloading no. 1648 Bill No 222 ,Deduction For Oil Deduction= 265702.01 ,Bardana= 0 ,F.M= 0 Brokerage/Rate Difference 0 ,Shortage = 0 ,Greenish= 0 ,Moisture= 0</v>
      </c>
      <c r="BN1683" s="449"/>
      <c r="BO1683" s="449" t="str">
        <f t="shared" si="1225"/>
        <v xml:space="preserve"> Party Condition 42  ,F.M% 0.62 ,Greenish 3.2 ,Moisture 5.6 ,Shortage in KG= 0  ,Oil% 38.18</v>
      </c>
      <c r="BP1683" s="464">
        <f t="shared" si="1226"/>
        <v>7574.5264974329721</v>
      </c>
      <c r="BQ1683" s="449"/>
      <c r="BR1683" s="449"/>
      <c r="BS1683" s="449"/>
      <c r="BT1683" s="449"/>
      <c r="BU1683" s="449"/>
      <c r="BV1683" s="449"/>
      <c r="BW1683" s="449"/>
      <c r="BX1683" s="147">
        <v>37.840000000000003</v>
      </c>
      <c r="BY1683" s="147">
        <v>37.92</v>
      </c>
      <c r="CA1683" s="56">
        <v>0</v>
      </c>
      <c r="CC1683" s="84">
        <f t="shared" si="1229"/>
        <v>278987</v>
      </c>
      <c r="CD1683" s="56">
        <f t="shared" si="1230"/>
        <v>265701.90476190479</v>
      </c>
      <c r="CO1683" s="460">
        <f t="shared" si="1231"/>
        <v>0.33999999999999631</v>
      </c>
      <c r="CP1683" s="460">
        <f t="shared" si="1232"/>
        <v>0.25999999999999801</v>
      </c>
    </row>
    <row r="1684" spans="1:94" ht="14.1" hidden="1" customHeight="1" x14ac:dyDescent="0.3">
      <c r="A1684" s="128" t="s">
        <v>3544</v>
      </c>
      <c r="B1684" s="129">
        <v>46252</v>
      </c>
      <c r="C1684" s="135">
        <v>1649</v>
      </c>
      <c r="D1684" s="128" t="s">
        <v>3564</v>
      </c>
      <c r="E1684" s="130">
        <v>46251</v>
      </c>
      <c r="F1684" s="128" t="s">
        <v>3299</v>
      </c>
      <c r="G1684" s="128" t="s">
        <v>2630</v>
      </c>
      <c r="H1684" s="128" t="s">
        <v>1508</v>
      </c>
      <c r="I1684" s="136"/>
      <c r="J1684" s="128" t="s">
        <v>1146</v>
      </c>
      <c r="K1684" s="136"/>
      <c r="L1684" s="146">
        <v>46252</v>
      </c>
      <c r="M1684" s="136"/>
      <c r="N1684" s="281">
        <v>226</v>
      </c>
      <c r="O1684" s="146">
        <v>46250</v>
      </c>
      <c r="P1684" s="138">
        <v>0</v>
      </c>
      <c r="Q1684" s="138">
        <v>231</v>
      </c>
      <c r="R1684" s="138">
        <v>250</v>
      </c>
      <c r="S1684" s="138">
        <v>481</v>
      </c>
      <c r="T1684" s="138">
        <v>481</v>
      </c>
      <c r="U1684" s="136"/>
      <c r="V1684" s="136"/>
      <c r="W1684" s="147">
        <v>290.5</v>
      </c>
      <c r="X1684" s="147">
        <v>289.7</v>
      </c>
      <c r="Y1684" s="476">
        <f>2443105-23240</f>
        <v>2419865</v>
      </c>
      <c r="Z1684" s="236">
        <v>38.1</v>
      </c>
      <c r="AA1684" s="147">
        <v>61077.63</v>
      </c>
      <c r="AB1684" s="147">
        <v>61077.63</v>
      </c>
      <c r="AC1684" s="147">
        <v>2565260.25</v>
      </c>
      <c r="AD1684" s="321">
        <f t="shared" si="1201"/>
        <v>2562694.9897500002</v>
      </c>
      <c r="AE1684" s="236">
        <v>38.1</v>
      </c>
      <c r="AF1684" s="147">
        <v>42</v>
      </c>
      <c r="AG1684" s="236">
        <v>38.1</v>
      </c>
      <c r="AH1684" s="395">
        <v>6.4999999999999997E-3</v>
      </c>
      <c r="AI1684" s="287">
        <v>3.4000000000000002E-2</v>
      </c>
      <c r="AJ1684" s="287">
        <v>5.8999999999999997E-2</v>
      </c>
      <c r="AK1684" s="318">
        <f t="shared" si="1210"/>
        <v>224701.74999999991</v>
      </c>
      <c r="AL1684" s="467">
        <v>0</v>
      </c>
      <c r="AM1684" s="321">
        <v>0</v>
      </c>
      <c r="AN1684" s="321">
        <v>0</v>
      </c>
      <c r="AO1684" s="318">
        <f t="shared" si="1211"/>
        <v>1832.6</v>
      </c>
      <c r="AP1684" s="467">
        <v>0</v>
      </c>
      <c r="AQ1684" s="318">
        <v>0</v>
      </c>
      <c r="AR1684" s="318">
        <f t="shared" si="1212"/>
        <v>226534.34999999992</v>
      </c>
      <c r="AS1684" s="318">
        <f t="shared" si="1213"/>
        <v>237861</v>
      </c>
      <c r="AT1684" s="321">
        <v>22</v>
      </c>
      <c r="AU1684" s="464"/>
      <c r="AV1684" s="449"/>
      <c r="AW1684" s="318">
        <f t="shared" si="1214"/>
        <v>29050</v>
      </c>
      <c r="AX1684" s="467"/>
      <c r="AY1684" s="318">
        <f t="shared" si="1215"/>
        <v>29050</v>
      </c>
      <c r="AZ1684" s="318">
        <f t="shared" si="1216"/>
        <v>28970</v>
      </c>
      <c r="BA1684" s="318">
        <f t="shared" si="1217"/>
        <v>80</v>
      </c>
      <c r="BB1684" s="318">
        <f t="shared" si="1218"/>
        <v>58.1</v>
      </c>
      <c r="BC1684" s="318">
        <v>0</v>
      </c>
      <c r="BD1684" s="477"/>
      <c r="BE1684" s="147">
        <v>290.5</v>
      </c>
      <c r="BF1684" s="375">
        <f t="shared" si="1219"/>
        <v>0.43574999999999997</v>
      </c>
      <c r="BG1684" s="321">
        <f t="shared" si="1220"/>
        <v>290.06425000000002</v>
      </c>
      <c r="BH1684" s="321">
        <f t="shared" si="1221"/>
        <v>289.7</v>
      </c>
      <c r="BI1684" s="322">
        <f t="shared" si="1222"/>
        <v>80.000000000001137</v>
      </c>
      <c r="BJ1684" s="322">
        <v>0</v>
      </c>
      <c r="BK1684" s="318">
        <f t="shared" si="1223"/>
        <v>80.000000000001137</v>
      </c>
      <c r="BL1684" s="449"/>
      <c r="BM1684" s="449" t="str">
        <f t="shared" si="1224"/>
        <v>Unloading no. 1649 Bill No 226 ,Deduction For Oil Deduction= 224701.75 ,Bardana= 0 ,F.M= 0 Brokerage/Rate Difference 0 ,Shortage = 1832.6 ,Greenish= 0 ,Moisture= 0</v>
      </c>
      <c r="BN1684" s="449"/>
      <c r="BO1684" s="449" t="str">
        <f t="shared" si="1225"/>
        <v xml:space="preserve"> Party Condition 42  ,F.M% 0.65 ,Greenish 3.4 ,Moisture 5.9 ,Shortage in KG= 22  ,Oil% 38.1</v>
      </c>
      <c r="BP1684" s="464">
        <f t="shared" si="1226"/>
        <v>7571.0412495685196</v>
      </c>
      <c r="BQ1684" s="449"/>
      <c r="BR1684" s="449"/>
      <c r="BS1684" s="449"/>
      <c r="BT1684" s="449"/>
      <c r="BU1684" s="449"/>
      <c r="BV1684" s="449"/>
      <c r="BW1684" s="449"/>
      <c r="BX1684" s="147">
        <v>37.770000000000003</v>
      </c>
      <c r="BY1684" s="147">
        <v>38.159999999999997</v>
      </c>
      <c r="CA1684" s="56">
        <v>0</v>
      </c>
      <c r="CC1684" s="84">
        <f t="shared" si="1229"/>
        <v>237861</v>
      </c>
      <c r="CD1684" s="56">
        <f t="shared" si="1230"/>
        <v>226534.28571428571</v>
      </c>
      <c r="CO1684" s="460">
        <f t="shared" si="1231"/>
        <v>0.32999999999999829</v>
      </c>
      <c r="CP1684" s="460">
        <f t="shared" si="1232"/>
        <v>-5.9999999999995168E-2</v>
      </c>
    </row>
    <row r="1685" spans="1:94" ht="14.1" hidden="1" customHeight="1" x14ac:dyDescent="0.3">
      <c r="A1685" s="128" t="s">
        <v>3544</v>
      </c>
      <c r="B1685" s="129">
        <v>46252</v>
      </c>
      <c r="C1685" s="135">
        <v>1650</v>
      </c>
      <c r="D1685" s="128" t="s">
        <v>3565</v>
      </c>
      <c r="E1685" s="130">
        <v>46251</v>
      </c>
      <c r="F1685" s="128" t="s">
        <v>3299</v>
      </c>
      <c r="G1685" s="128" t="s">
        <v>2630</v>
      </c>
      <c r="H1685" s="128" t="s">
        <v>1508</v>
      </c>
      <c r="I1685" s="136"/>
      <c r="J1685" s="128" t="s">
        <v>1146</v>
      </c>
      <c r="K1685" s="136"/>
      <c r="L1685" s="146">
        <v>46252</v>
      </c>
      <c r="M1685" s="136"/>
      <c r="N1685" s="281">
        <v>223</v>
      </c>
      <c r="O1685" s="146">
        <v>46250</v>
      </c>
      <c r="P1685" s="138">
        <v>0</v>
      </c>
      <c r="Q1685" s="138">
        <v>560</v>
      </c>
      <c r="R1685" s="138">
        <v>30</v>
      </c>
      <c r="S1685" s="138">
        <v>590</v>
      </c>
      <c r="T1685" s="138">
        <v>590</v>
      </c>
      <c r="U1685" s="136"/>
      <c r="V1685" s="136"/>
      <c r="W1685" s="147">
        <v>355.6</v>
      </c>
      <c r="X1685" s="147">
        <v>355</v>
      </c>
      <c r="Y1685" s="476">
        <f>2990596-28448</f>
        <v>2962148</v>
      </c>
      <c r="Z1685" s="236">
        <v>38.39</v>
      </c>
      <c r="AA1685" s="147">
        <v>74764.899999999994</v>
      </c>
      <c r="AB1685" s="147">
        <v>74764.899999999994</v>
      </c>
      <c r="AC1685" s="147">
        <v>3140125.8</v>
      </c>
      <c r="AD1685" s="321">
        <f t="shared" si="1201"/>
        <v>3136985.6741999998</v>
      </c>
      <c r="AE1685" s="236">
        <v>38.39</v>
      </c>
      <c r="AF1685" s="147">
        <v>42</v>
      </c>
      <c r="AG1685" s="236">
        <v>38.39</v>
      </c>
      <c r="AH1685" s="395">
        <v>6.0000000000000001E-3</v>
      </c>
      <c r="AI1685" s="287">
        <v>3.3000000000000002E-2</v>
      </c>
      <c r="AJ1685" s="287">
        <v>5.6000000000000001E-2</v>
      </c>
      <c r="AK1685" s="318">
        <f t="shared" si="1210"/>
        <v>254603.67333333328</v>
      </c>
      <c r="AL1685" s="467">
        <v>0</v>
      </c>
      <c r="AM1685" s="321">
        <v>0</v>
      </c>
      <c r="AN1685" s="321">
        <v>0</v>
      </c>
      <c r="AO1685" s="318">
        <f t="shared" si="1211"/>
        <v>0</v>
      </c>
      <c r="AP1685" s="467">
        <v>0</v>
      </c>
      <c r="AQ1685" s="318">
        <v>0</v>
      </c>
      <c r="AR1685" s="318">
        <f t="shared" si="1212"/>
        <v>254603.67333333328</v>
      </c>
      <c r="AS1685" s="318">
        <f t="shared" si="1213"/>
        <v>267334</v>
      </c>
      <c r="AT1685" s="321">
        <v>0</v>
      </c>
      <c r="AU1685" s="464"/>
      <c r="AV1685" s="449"/>
      <c r="AW1685" s="318">
        <f t="shared" si="1214"/>
        <v>35560</v>
      </c>
      <c r="AX1685" s="467"/>
      <c r="AY1685" s="318">
        <f t="shared" si="1215"/>
        <v>35560</v>
      </c>
      <c r="AZ1685" s="318">
        <f t="shared" si="1216"/>
        <v>35500</v>
      </c>
      <c r="BA1685" s="318">
        <f t="shared" si="1217"/>
        <v>60</v>
      </c>
      <c r="BB1685" s="318">
        <f t="shared" si="1218"/>
        <v>71.12</v>
      </c>
      <c r="BC1685" s="318">
        <v>0</v>
      </c>
      <c r="BD1685" s="477"/>
      <c r="BE1685" s="147">
        <v>355.6</v>
      </c>
      <c r="BF1685" s="375">
        <f t="shared" si="1219"/>
        <v>0.53339999999999999</v>
      </c>
      <c r="BG1685" s="321">
        <f t="shared" si="1220"/>
        <v>355.06660000000005</v>
      </c>
      <c r="BH1685" s="321">
        <f t="shared" si="1221"/>
        <v>355</v>
      </c>
      <c r="BI1685" s="322">
        <f t="shared" si="1222"/>
        <v>60.000000000002274</v>
      </c>
      <c r="BJ1685" s="322">
        <v>0</v>
      </c>
      <c r="BK1685" s="318">
        <f t="shared" si="1223"/>
        <v>60.000000000002274</v>
      </c>
      <c r="BL1685" s="449"/>
      <c r="BM1685" s="449" t="str">
        <f t="shared" si="1224"/>
        <v>Unloading no. 1650 Bill No 223 ,Deduction For Oil Deduction= 254603.673333333 ,Bardana= 0 ,F.M= 0 Brokerage/Rate Difference 0 ,Shortage = 0 ,Greenish= 0 ,Moisture= 0</v>
      </c>
      <c r="BN1685" s="449"/>
      <c r="BO1685" s="449" t="str">
        <f t="shared" si="1225"/>
        <v xml:space="preserve"> Party Condition 42  ,F.M% 0.6 ,Greenish 3.3 ,Moisture 5.6 ,Shortage in KG= 0  ,Oil% 38.39</v>
      </c>
      <c r="BP1685" s="464">
        <f t="shared" si="1226"/>
        <v>7626.8854272300468</v>
      </c>
      <c r="BQ1685" s="449"/>
      <c r="BR1685" s="449"/>
      <c r="BS1685" s="449"/>
      <c r="BT1685" s="449"/>
      <c r="BU1685" s="449"/>
      <c r="BV1685" s="449"/>
      <c r="BW1685" s="449"/>
      <c r="BX1685" s="147">
        <v>38.880000000000003</v>
      </c>
      <c r="BY1685" s="147">
        <v>38.81</v>
      </c>
      <c r="CA1685" s="56">
        <v>0</v>
      </c>
      <c r="CC1685" s="84">
        <f t="shared" si="1229"/>
        <v>267334</v>
      </c>
      <c r="CD1685" s="56">
        <f t="shared" si="1230"/>
        <v>254603.80952380953</v>
      </c>
      <c r="CO1685" s="460">
        <f t="shared" si="1231"/>
        <v>-0.49000000000000199</v>
      </c>
      <c r="CP1685" s="460">
        <f t="shared" si="1232"/>
        <v>-0.42000000000000171</v>
      </c>
    </row>
    <row r="1686" spans="1:94" ht="14.1" hidden="1" customHeight="1" x14ac:dyDescent="0.3">
      <c r="A1686" s="128" t="s">
        <v>3545</v>
      </c>
      <c r="B1686" s="129">
        <v>46248</v>
      </c>
      <c r="C1686" s="135">
        <v>1651</v>
      </c>
      <c r="D1686" s="128" t="s">
        <v>3566</v>
      </c>
      <c r="E1686" s="130">
        <v>46251</v>
      </c>
      <c r="F1686" s="128" t="s">
        <v>1686</v>
      </c>
      <c r="G1686" s="128" t="s">
        <v>1687</v>
      </c>
      <c r="H1686" s="128" t="s">
        <v>1688</v>
      </c>
      <c r="I1686" s="136"/>
      <c r="J1686" s="128" t="s">
        <v>2499</v>
      </c>
      <c r="K1686" s="136"/>
      <c r="L1686" s="146">
        <v>46248</v>
      </c>
      <c r="M1686" s="136"/>
      <c r="N1686" s="281" t="s">
        <v>3589</v>
      </c>
      <c r="O1686" s="146">
        <v>46250</v>
      </c>
      <c r="P1686" s="138">
        <v>0</v>
      </c>
      <c r="Q1686" s="138">
        <v>250</v>
      </c>
      <c r="R1686" s="138">
        <v>25</v>
      </c>
      <c r="S1686" s="138">
        <v>275</v>
      </c>
      <c r="T1686" s="138">
        <v>275</v>
      </c>
      <c r="U1686" s="136"/>
      <c r="V1686" s="136"/>
      <c r="W1686" s="147">
        <v>165.2</v>
      </c>
      <c r="X1686" s="147">
        <v>165.1</v>
      </c>
      <c r="Y1686" s="445">
        <v>1391149</v>
      </c>
      <c r="Z1686" s="147"/>
      <c r="AA1686" s="147">
        <v>34778.730000000003</v>
      </c>
      <c r="AB1686" s="147">
        <v>34778.730000000003</v>
      </c>
      <c r="AC1686" s="147">
        <v>1460706.45</v>
      </c>
      <c r="AD1686" s="321">
        <f t="shared" si="1201"/>
        <v>1459245.74355</v>
      </c>
      <c r="AE1686" s="147">
        <v>40.07</v>
      </c>
      <c r="AF1686" s="147">
        <v>42</v>
      </c>
      <c r="AG1686" s="147">
        <v>39.869999999999997</v>
      </c>
      <c r="AH1686" s="395">
        <v>2E-3</v>
      </c>
      <c r="AI1686" s="287">
        <v>0.03</v>
      </c>
      <c r="AJ1686" s="287">
        <v>5.3999999999999999E-2</v>
      </c>
      <c r="AK1686" s="318">
        <f t="shared" si="1210"/>
        <v>70551.127857142943</v>
      </c>
      <c r="AL1686" s="467">
        <v>0</v>
      </c>
      <c r="AM1686" s="321">
        <v>0</v>
      </c>
      <c r="AN1686" s="321">
        <v>0</v>
      </c>
      <c r="AO1686" s="318">
        <f t="shared" si="1211"/>
        <v>0</v>
      </c>
      <c r="AP1686" s="467">
        <v>0</v>
      </c>
      <c r="AQ1686" s="318">
        <v>0</v>
      </c>
      <c r="AR1686" s="318">
        <f t="shared" si="1212"/>
        <v>70551.127857142943</v>
      </c>
      <c r="AS1686" s="318">
        <f t="shared" si="1213"/>
        <v>74079</v>
      </c>
      <c r="AT1686" s="321">
        <v>0</v>
      </c>
      <c r="AU1686" s="464"/>
      <c r="AV1686" s="449"/>
      <c r="AW1686" s="318">
        <f t="shared" si="1214"/>
        <v>16520</v>
      </c>
      <c r="AX1686" s="467"/>
      <c r="AY1686" s="318">
        <f t="shared" si="1215"/>
        <v>16520</v>
      </c>
      <c r="AZ1686" s="318">
        <f t="shared" si="1216"/>
        <v>16510</v>
      </c>
      <c r="BA1686" s="318">
        <f t="shared" si="1217"/>
        <v>10</v>
      </c>
      <c r="BB1686" s="318">
        <f t="shared" si="1218"/>
        <v>33.04</v>
      </c>
      <c r="BC1686" s="318">
        <v>0</v>
      </c>
      <c r="BD1686" s="477"/>
      <c r="BE1686" s="147">
        <v>165.2</v>
      </c>
      <c r="BF1686" s="375">
        <f t="shared" si="1219"/>
        <v>0.24779999999999996</v>
      </c>
      <c r="BG1686" s="321">
        <f t="shared" si="1220"/>
        <v>164.95219999999998</v>
      </c>
      <c r="BH1686" s="321">
        <f t="shared" si="1221"/>
        <v>165.1</v>
      </c>
      <c r="BI1686" s="322">
        <f t="shared" si="1222"/>
        <v>9.9999999999994316</v>
      </c>
      <c r="BJ1686" s="322">
        <v>0</v>
      </c>
      <c r="BK1686" s="318">
        <f t="shared" si="1223"/>
        <v>9.9999999999994316</v>
      </c>
      <c r="BL1686" s="449"/>
      <c r="BM1686" s="449" t="str">
        <f t="shared" si="1224"/>
        <v>Unloading no. 1651 Bill No KAI/2026-27/189 ,Deduction For Oil Deduction= 70551.1278571429 ,Bardana= 0 ,F.M= 0 Brokerage/Rate Difference 0 ,Shortage = 0 ,Greenish= 0 ,Moisture= 0</v>
      </c>
      <c r="BN1686" s="449"/>
      <c r="BO1686" s="449" t="str">
        <f t="shared" si="1225"/>
        <v xml:space="preserve"> Party Condition 42  ,F.M% 0.2 ,Greenish 3 ,Moisture 5.4 ,Shortage in KG= 0  ,Oil% 39.87</v>
      </c>
      <c r="BP1686" s="464">
        <f t="shared" si="1226"/>
        <v>7998.7757246690308</v>
      </c>
      <c r="BQ1686" s="449"/>
      <c r="BR1686" s="449"/>
      <c r="BS1686" s="449"/>
      <c r="BT1686" s="449"/>
      <c r="BU1686" s="449"/>
      <c r="BV1686" s="449"/>
      <c r="BW1686" s="449"/>
      <c r="BX1686" s="147">
        <v>40.07</v>
      </c>
      <c r="BY1686" s="147">
        <v>39.869999999999997</v>
      </c>
      <c r="CA1686" s="56">
        <v>0</v>
      </c>
      <c r="CC1686" s="84">
        <f t="shared" si="1229"/>
        <v>74079</v>
      </c>
      <c r="CD1686" s="56">
        <f t="shared" si="1230"/>
        <v>70551.42857142858</v>
      </c>
      <c r="CO1686" s="460">
        <f t="shared" si="1231"/>
        <v>-40.07</v>
      </c>
      <c r="CP1686" s="460">
        <f t="shared" si="1232"/>
        <v>-39.869999999999997</v>
      </c>
    </row>
    <row r="1687" spans="1:94" ht="14.1" hidden="1" customHeight="1" x14ac:dyDescent="0.3">
      <c r="A1687" s="128" t="s">
        <v>3544</v>
      </c>
      <c r="B1687" s="129">
        <v>46252</v>
      </c>
      <c r="C1687" s="135">
        <v>1652</v>
      </c>
      <c r="D1687" s="128" t="s">
        <v>3567</v>
      </c>
      <c r="E1687" s="130">
        <v>46251</v>
      </c>
      <c r="F1687" s="128" t="s">
        <v>3299</v>
      </c>
      <c r="G1687" s="128" t="s">
        <v>2630</v>
      </c>
      <c r="H1687" s="128" t="s">
        <v>1508</v>
      </c>
      <c r="I1687" s="136"/>
      <c r="J1687" s="128" t="s">
        <v>1146</v>
      </c>
      <c r="K1687" s="136"/>
      <c r="L1687" s="146">
        <v>46252</v>
      </c>
      <c r="M1687" s="136"/>
      <c r="N1687" s="281">
        <v>224</v>
      </c>
      <c r="O1687" s="146">
        <v>46250</v>
      </c>
      <c r="P1687" s="138">
        <v>0</v>
      </c>
      <c r="Q1687" s="138">
        <v>400</v>
      </c>
      <c r="R1687" s="138">
        <v>185</v>
      </c>
      <c r="S1687" s="138">
        <v>585</v>
      </c>
      <c r="T1687" s="138">
        <v>585</v>
      </c>
      <c r="U1687" s="136"/>
      <c r="V1687" s="136"/>
      <c r="W1687" s="147">
        <v>352.3</v>
      </c>
      <c r="X1687" s="147">
        <v>352.1</v>
      </c>
      <c r="Y1687" s="476">
        <f>2962843-28184</f>
        <v>2934659</v>
      </c>
      <c r="Z1687" s="236">
        <v>39.64</v>
      </c>
      <c r="AA1687" s="147">
        <v>74071.08</v>
      </c>
      <c r="AB1687" s="147">
        <v>74071.08</v>
      </c>
      <c r="AC1687" s="147">
        <v>3110985.15</v>
      </c>
      <c r="AD1687" s="321">
        <f t="shared" si="1201"/>
        <v>3107874.1648499998</v>
      </c>
      <c r="AE1687" s="236">
        <v>39.64</v>
      </c>
      <c r="AF1687" s="147">
        <v>42</v>
      </c>
      <c r="AG1687" s="236">
        <v>39.64</v>
      </c>
      <c r="AH1687" s="395">
        <v>4.1000000000000003E-3</v>
      </c>
      <c r="AI1687" s="287">
        <v>3.2000000000000001E-2</v>
      </c>
      <c r="AJ1687" s="287">
        <v>5.6000000000000001E-2</v>
      </c>
      <c r="AK1687" s="318">
        <f t="shared" si="1210"/>
        <v>164899.88666666663</v>
      </c>
      <c r="AL1687" s="467">
        <v>0</v>
      </c>
      <c r="AM1687" s="321">
        <v>0</v>
      </c>
      <c r="AN1687" s="321">
        <v>0</v>
      </c>
      <c r="AO1687" s="318">
        <f t="shared" si="1211"/>
        <v>0</v>
      </c>
      <c r="AP1687" s="467">
        <v>0</v>
      </c>
      <c r="AQ1687" s="318">
        <v>0</v>
      </c>
      <c r="AR1687" s="318">
        <f t="shared" si="1212"/>
        <v>164899.88666666663</v>
      </c>
      <c r="AS1687" s="318">
        <f t="shared" si="1213"/>
        <v>173145</v>
      </c>
      <c r="AT1687" s="321">
        <v>0</v>
      </c>
      <c r="AU1687" s="464"/>
      <c r="AV1687" s="449"/>
      <c r="AW1687" s="318">
        <f t="shared" si="1214"/>
        <v>35230</v>
      </c>
      <c r="AX1687" s="467"/>
      <c r="AY1687" s="318">
        <f t="shared" si="1215"/>
        <v>35230</v>
      </c>
      <c r="AZ1687" s="318">
        <f t="shared" si="1216"/>
        <v>35210</v>
      </c>
      <c r="BA1687" s="318">
        <f t="shared" si="1217"/>
        <v>20</v>
      </c>
      <c r="BB1687" s="318">
        <f t="shared" si="1218"/>
        <v>70.459999999999994</v>
      </c>
      <c r="BC1687" s="318">
        <v>0</v>
      </c>
      <c r="BD1687" s="477"/>
      <c r="BE1687" s="147">
        <v>352.3</v>
      </c>
      <c r="BF1687" s="375">
        <f t="shared" si="1219"/>
        <v>0.52844999999999998</v>
      </c>
      <c r="BG1687" s="321">
        <f t="shared" si="1220"/>
        <v>351.77154999999999</v>
      </c>
      <c r="BH1687" s="321">
        <f t="shared" si="1221"/>
        <v>352.1</v>
      </c>
      <c r="BI1687" s="322">
        <f t="shared" si="1222"/>
        <v>19.999999999998863</v>
      </c>
      <c r="BJ1687" s="322">
        <v>0</v>
      </c>
      <c r="BK1687" s="318">
        <f t="shared" si="1223"/>
        <v>19.999999999998863</v>
      </c>
      <c r="BL1687" s="449"/>
      <c r="BM1687" s="449" t="str">
        <f t="shared" si="1224"/>
        <v>Unloading no. 1652 Bill No 224 ,Deduction For Oil Deduction= 164899.886666667 ,Bardana= 0 ,F.M= 0 Brokerage/Rate Difference 0 ,Shortage = 0 ,Greenish= 0 ,Moisture= 0</v>
      </c>
      <c r="BN1687" s="449"/>
      <c r="BO1687" s="449" t="str">
        <f t="shared" si="1225"/>
        <v xml:space="preserve"> Party Condition 42  ,F.M% 0.41 ,Greenish 3.2 ,Moisture 5.6 ,Shortage in KG= 0  ,Oil% 39.64</v>
      </c>
      <c r="BP1687" s="464">
        <f t="shared" si="1226"/>
        <v>7866.3990722332665</v>
      </c>
      <c r="BQ1687" s="449"/>
      <c r="BR1687" s="449"/>
      <c r="BS1687" s="449"/>
      <c r="BT1687" s="449"/>
      <c r="BU1687" s="449"/>
      <c r="BV1687" s="449"/>
      <c r="BW1687" s="449"/>
      <c r="BX1687" s="147">
        <v>39.520000000000003</v>
      </c>
      <c r="BY1687" s="147">
        <v>39.47</v>
      </c>
      <c r="CA1687" s="56">
        <v>0</v>
      </c>
      <c r="CC1687" s="84">
        <f t="shared" si="1229"/>
        <v>173145</v>
      </c>
      <c r="CD1687" s="56">
        <f t="shared" si="1230"/>
        <v>164900</v>
      </c>
      <c r="CO1687" s="460">
        <f t="shared" si="1231"/>
        <v>0.11999999999999744</v>
      </c>
      <c r="CP1687" s="460">
        <f t="shared" si="1232"/>
        <v>0.17000000000000171</v>
      </c>
    </row>
    <row r="1688" spans="1:94" ht="14.1" hidden="1" customHeight="1" x14ac:dyDescent="0.3">
      <c r="A1688" s="128" t="s">
        <v>3545</v>
      </c>
      <c r="B1688" s="129">
        <v>46248</v>
      </c>
      <c r="C1688" s="135">
        <v>1653</v>
      </c>
      <c r="D1688" s="128" t="s">
        <v>3568</v>
      </c>
      <c r="E1688" s="130">
        <v>46251</v>
      </c>
      <c r="F1688" s="128" t="s">
        <v>1686</v>
      </c>
      <c r="G1688" s="128" t="s">
        <v>1687</v>
      </c>
      <c r="H1688" s="128" t="s">
        <v>1688</v>
      </c>
      <c r="I1688" s="136"/>
      <c r="J1688" s="128" t="s">
        <v>2499</v>
      </c>
      <c r="K1688" s="136"/>
      <c r="L1688" s="146">
        <v>46248</v>
      </c>
      <c r="M1688" s="136"/>
      <c r="N1688" s="281" t="s">
        <v>3590</v>
      </c>
      <c r="O1688" s="146">
        <v>46250</v>
      </c>
      <c r="P1688" s="138">
        <v>0</v>
      </c>
      <c r="Q1688" s="138">
        <v>250</v>
      </c>
      <c r="R1688" s="138">
        <v>25</v>
      </c>
      <c r="S1688" s="138">
        <v>275</v>
      </c>
      <c r="T1688" s="138">
        <v>275</v>
      </c>
      <c r="U1688" s="136"/>
      <c r="V1688" s="136"/>
      <c r="W1688" s="147">
        <v>166.75</v>
      </c>
      <c r="X1688" s="147">
        <v>166.8</v>
      </c>
      <c r="Y1688" s="445">
        <v>1404201.75</v>
      </c>
      <c r="Z1688" s="147"/>
      <c r="AA1688" s="147">
        <v>35105.040000000001</v>
      </c>
      <c r="AB1688" s="147">
        <v>35105.040000000001</v>
      </c>
      <c r="AC1688" s="147">
        <v>1474411.84</v>
      </c>
      <c r="AD1688" s="321">
        <f t="shared" si="1201"/>
        <v>1472937.4281600001</v>
      </c>
      <c r="AE1688" s="147">
        <v>39.78</v>
      </c>
      <c r="AF1688" s="147">
        <v>42</v>
      </c>
      <c r="AG1688" s="147">
        <v>39.619999999999997</v>
      </c>
      <c r="AH1688" s="395">
        <v>2.5000000000000001E-3</v>
      </c>
      <c r="AI1688" s="287">
        <v>3.4500000000000003E-2</v>
      </c>
      <c r="AJ1688" s="287">
        <v>5.1999999999999998E-2</v>
      </c>
      <c r="AK1688" s="318">
        <f t="shared" si="1210"/>
        <v>79571.432500000083</v>
      </c>
      <c r="AL1688" s="467">
        <v>0</v>
      </c>
      <c r="AM1688" s="321">
        <v>0</v>
      </c>
      <c r="AN1688" s="321">
        <v>0</v>
      </c>
      <c r="AO1688" s="318">
        <f t="shared" si="1211"/>
        <v>0</v>
      </c>
      <c r="AP1688" s="467">
        <v>0</v>
      </c>
      <c r="AQ1688" s="318">
        <v>0</v>
      </c>
      <c r="AR1688" s="318">
        <f t="shared" si="1212"/>
        <v>79571.432500000083</v>
      </c>
      <c r="AS1688" s="318">
        <f t="shared" si="1213"/>
        <v>83550</v>
      </c>
      <c r="AT1688" s="321">
        <v>0</v>
      </c>
      <c r="AU1688" s="464"/>
      <c r="AV1688" s="449"/>
      <c r="AW1688" s="318">
        <f t="shared" si="1214"/>
        <v>16675</v>
      </c>
      <c r="AX1688" s="467"/>
      <c r="AY1688" s="318">
        <f t="shared" si="1215"/>
        <v>16675</v>
      </c>
      <c r="AZ1688" s="318">
        <f t="shared" si="1216"/>
        <v>16680</v>
      </c>
      <c r="BA1688" s="318">
        <f t="shared" si="1217"/>
        <v>-5</v>
      </c>
      <c r="BB1688" s="318">
        <f t="shared" si="1218"/>
        <v>33.35</v>
      </c>
      <c r="BC1688" s="318">
        <v>0</v>
      </c>
      <c r="BD1688" s="477"/>
      <c r="BE1688" s="147">
        <v>166.75</v>
      </c>
      <c r="BF1688" s="375">
        <f t="shared" si="1219"/>
        <v>0.25012499999999999</v>
      </c>
      <c r="BG1688" s="321">
        <f t="shared" si="1220"/>
        <v>166.499875</v>
      </c>
      <c r="BH1688" s="321">
        <f t="shared" si="1221"/>
        <v>166.8</v>
      </c>
      <c r="BI1688" s="322">
        <f t="shared" si="1222"/>
        <v>-5.0000000000011369</v>
      </c>
      <c r="BJ1688" s="322">
        <v>0</v>
      </c>
      <c r="BK1688" s="318">
        <f t="shared" si="1223"/>
        <v>-5.0000000000011369</v>
      </c>
      <c r="BL1688" s="449"/>
      <c r="BM1688" s="449" t="str">
        <f t="shared" si="1224"/>
        <v>Unloading no. 1653 Bill No KAI/2026-27/190 ,Deduction For Oil Deduction= 79571.4325000001 ,Bardana= 0 ,F.M= 0 Brokerage/Rate Difference 0 ,Shortage = 0 ,Greenish= 0 ,Moisture= 0</v>
      </c>
      <c r="BN1688" s="449"/>
      <c r="BO1688" s="449" t="str">
        <f t="shared" si="1225"/>
        <v xml:space="preserve"> Party Condition 42  ,F.M% 0.25 ,Greenish 3.45 ,Moisture 5.2 ,Shortage in KG= 0  ,Oil% 39.62</v>
      </c>
      <c r="BP1688" s="464">
        <f t="shared" si="1226"/>
        <v>7941.4287619904062</v>
      </c>
      <c r="BQ1688" s="449"/>
      <c r="BR1688" s="449"/>
      <c r="BS1688" s="449"/>
      <c r="BT1688" s="449"/>
      <c r="BU1688" s="449"/>
      <c r="BV1688" s="449"/>
      <c r="BW1688" s="449"/>
      <c r="BX1688" s="147">
        <v>39.78</v>
      </c>
      <c r="BY1688" s="147">
        <v>39.619999999999997</v>
      </c>
      <c r="CA1688" s="56">
        <v>0</v>
      </c>
      <c r="CC1688" s="84">
        <f t="shared" si="1229"/>
        <v>83550</v>
      </c>
      <c r="CD1688" s="56">
        <f t="shared" si="1230"/>
        <v>79571.428571428565</v>
      </c>
      <c r="CO1688" s="460">
        <f t="shared" si="1231"/>
        <v>-39.78</v>
      </c>
      <c r="CP1688" s="460">
        <f t="shared" si="1232"/>
        <v>-39.619999999999997</v>
      </c>
    </row>
    <row r="1689" spans="1:94" ht="14.1" hidden="1" customHeight="1" x14ac:dyDescent="0.3">
      <c r="A1689" s="128" t="s">
        <v>3544</v>
      </c>
      <c r="B1689" s="129">
        <v>46252</v>
      </c>
      <c r="C1689" s="135">
        <v>1654</v>
      </c>
      <c r="D1689" s="128" t="s">
        <v>3569</v>
      </c>
      <c r="E1689" s="130">
        <v>46251</v>
      </c>
      <c r="F1689" s="128" t="s">
        <v>3299</v>
      </c>
      <c r="G1689" s="128" t="s">
        <v>2630</v>
      </c>
      <c r="H1689" s="128" t="s">
        <v>1508</v>
      </c>
      <c r="I1689" s="136"/>
      <c r="J1689" s="128" t="s">
        <v>1146</v>
      </c>
      <c r="K1689" s="136"/>
      <c r="L1689" s="146">
        <v>46252</v>
      </c>
      <c r="M1689" s="136"/>
      <c r="N1689" s="281">
        <v>225</v>
      </c>
      <c r="O1689" s="146">
        <v>46250</v>
      </c>
      <c r="P1689" s="138">
        <v>0</v>
      </c>
      <c r="Q1689" s="138">
        <v>205</v>
      </c>
      <c r="R1689" s="138">
        <v>280</v>
      </c>
      <c r="S1689" s="138">
        <v>485</v>
      </c>
      <c r="T1689" s="138">
        <v>485</v>
      </c>
      <c r="U1689" s="136"/>
      <c r="V1689" s="136"/>
      <c r="W1689" s="147">
        <v>292.60000000000002</v>
      </c>
      <c r="X1689" s="147">
        <v>292.39999999999998</v>
      </c>
      <c r="Y1689" s="476">
        <f>2460766-23408</f>
        <v>2437358</v>
      </c>
      <c r="Z1689" s="236">
        <v>38.479999999999997</v>
      </c>
      <c r="AA1689" s="147">
        <v>61519.15</v>
      </c>
      <c r="AB1689" s="147">
        <v>61519.15</v>
      </c>
      <c r="AC1689" s="147">
        <v>2583804.2999999998</v>
      </c>
      <c r="AD1689" s="321">
        <f t="shared" si="1201"/>
        <v>2581220.4956999999</v>
      </c>
      <c r="AE1689" s="236">
        <v>38.479999999999997</v>
      </c>
      <c r="AF1689" s="147">
        <v>42</v>
      </c>
      <c r="AG1689" s="236">
        <v>38.479999999999997</v>
      </c>
      <c r="AH1689" s="395">
        <v>6.0000000000000001E-3</v>
      </c>
      <c r="AI1689" s="287">
        <v>3.2500000000000001E-2</v>
      </c>
      <c r="AJ1689" s="287">
        <v>5.0999999999999997E-2</v>
      </c>
      <c r="AK1689" s="318">
        <f t="shared" si="1210"/>
        <v>204273.81333333353</v>
      </c>
      <c r="AL1689" s="467">
        <v>0</v>
      </c>
      <c r="AM1689" s="321">
        <v>0</v>
      </c>
      <c r="AN1689" s="321">
        <v>0</v>
      </c>
      <c r="AO1689" s="318">
        <f t="shared" si="1211"/>
        <v>0</v>
      </c>
      <c r="AP1689" s="467">
        <v>0</v>
      </c>
      <c r="AQ1689" s="318">
        <v>0</v>
      </c>
      <c r="AR1689" s="318">
        <f t="shared" si="1212"/>
        <v>204273.81333333353</v>
      </c>
      <c r="AS1689" s="318">
        <f t="shared" si="1213"/>
        <v>214488</v>
      </c>
      <c r="AT1689" s="321">
        <v>0</v>
      </c>
      <c r="AU1689" s="464"/>
      <c r="AV1689" s="449"/>
      <c r="AW1689" s="318">
        <f t="shared" si="1214"/>
        <v>29260.000000000004</v>
      </c>
      <c r="AX1689" s="467"/>
      <c r="AY1689" s="318">
        <f t="shared" si="1215"/>
        <v>29260.000000000004</v>
      </c>
      <c r="AZ1689" s="318">
        <f t="shared" si="1216"/>
        <v>29239.999999999996</v>
      </c>
      <c r="BA1689" s="318">
        <f t="shared" si="1217"/>
        <v>20.000000000007276</v>
      </c>
      <c r="BB1689" s="318">
        <f t="shared" si="1218"/>
        <v>58.52000000000001</v>
      </c>
      <c r="BC1689" s="318">
        <v>0</v>
      </c>
      <c r="BD1689" s="477"/>
      <c r="BE1689" s="147">
        <v>292.60000000000002</v>
      </c>
      <c r="BF1689" s="375">
        <f t="shared" si="1219"/>
        <v>0.43890000000000001</v>
      </c>
      <c r="BG1689" s="321">
        <f t="shared" si="1220"/>
        <v>292.16110000000003</v>
      </c>
      <c r="BH1689" s="321">
        <f t="shared" si="1221"/>
        <v>292.39999999999998</v>
      </c>
      <c r="BI1689" s="322">
        <f t="shared" si="1222"/>
        <v>20.000000000004547</v>
      </c>
      <c r="BJ1689" s="322">
        <v>0</v>
      </c>
      <c r="BK1689" s="318">
        <f t="shared" si="1223"/>
        <v>20.000000000004547</v>
      </c>
      <c r="BL1689" s="449"/>
      <c r="BM1689" s="449" t="str">
        <f t="shared" si="1224"/>
        <v>Unloading no. 1654 Bill No 225 ,Deduction For Oil Deduction= 204273.813333334 ,Bardana= 0 ,F.M= 0 Brokerage/Rate Difference 0 ,Shortage = 0 ,Greenish= 0 ,Moisture= 0</v>
      </c>
      <c r="BN1689" s="449"/>
      <c r="BO1689" s="449" t="str">
        <f t="shared" si="1225"/>
        <v xml:space="preserve"> Party Condition 42  ,F.M% 0.6 ,Greenish 3.25 ,Moisture 5.1 ,Shortage in KG= 0  ,Oil% 38.48</v>
      </c>
      <c r="BP1689" s="464">
        <f t="shared" si="1226"/>
        <v>7637.0868217054267</v>
      </c>
      <c r="BQ1689" s="449"/>
      <c r="BR1689" s="449"/>
      <c r="BS1689" s="449"/>
      <c r="BT1689" s="449"/>
      <c r="BU1689" s="449"/>
      <c r="BV1689" s="449"/>
      <c r="BW1689" s="449"/>
      <c r="BX1689" s="147">
        <v>38.020000000000003</v>
      </c>
      <c r="BY1689" s="147">
        <v>38.11</v>
      </c>
      <c r="CA1689" s="56">
        <v>0</v>
      </c>
      <c r="CC1689" s="84">
        <f t="shared" si="1229"/>
        <v>214488</v>
      </c>
      <c r="CD1689" s="56">
        <f t="shared" si="1230"/>
        <v>204274.28571428574</v>
      </c>
      <c r="CO1689" s="460">
        <f t="shared" si="1231"/>
        <v>0.45999999999999375</v>
      </c>
      <c r="CP1689" s="460">
        <f t="shared" si="1232"/>
        <v>0.36999999999999744</v>
      </c>
    </row>
    <row r="1690" spans="1:94" ht="14.1" hidden="1" customHeight="1" x14ac:dyDescent="0.3">
      <c r="A1690" s="128" t="s">
        <v>3545</v>
      </c>
      <c r="B1690" s="129">
        <v>46248</v>
      </c>
      <c r="C1690" s="135">
        <v>1655</v>
      </c>
      <c r="D1690" s="128" t="s">
        <v>3570</v>
      </c>
      <c r="E1690" s="130">
        <v>46251</v>
      </c>
      <c r="F1690" s="128" t="s">
        <v>1686</v>
      </c>
      <c r="G1690" s="128" t="s">
        <v>1687</v>
      </c>
      <c r="H1690" s="128" t="s">
        <v>1688</v>
      </c>
      <c r="I1690" s="136"/>
      <c r="J1690" s="128" t="s">
        <v>2499</v>
      </c>
      <c r="K1690" s="136"/>
      <c r="L1690" s="146">
        <v>46248</v>
      </c>
      <c r="M1690" s="136"/>
      <c r="N1690" s="281" t="s">
        <v>3591</v>
      </c>
      <c r="O1690" s="146">
        <v>46250</v>
      </c>
      <c r="P1690" s="138">
        <v>0</v>
      </c>
      <c r="Q1690" s="138">
        <v>275</v>
      </c>
      <c r="R1690" s="138">
        <v>0</v>
      </c>
      <c r="S1690" s="138">
        <v>275</v>
      </c>
      <c r="T1690" s="138">
        <v>275</v>
      </c>
      <c r="U1690" s="136"/>
      <c r="V1690" s="136"/>
      <c r="W1690" s="147">
        <v>166.85</v>
      </c>
      <c r="X1690" s="147">
        <v>166.7</v>
      </c>
      <c r="Y1690" s="445">
        <v>1405043.85</v>
      </c>
      <c r="Z1690" s="147"/>
      <c r="AA1690" s="147">
        <v>35126.1</v>
      </c>
      <c r="AB1690" s="147">
        <v>35126.1</v>
      </c>
      <c r="AC1690" s="147">
        <v>1475296.04</v>
      </c>
      <c r="AD1690" s="321">
        <f t="shared" si="1201"/>
        <v>1473820.7439600001</v>
      </c>
      <c r="AE1690" s="147">
        <v>39.520000000000003</v>
      </c>
      <c r="AF1690" s="147">
        <v>42</v>
      </c>
      <c r="AG1690" s="147">
        <v>39.4</v>
      </c>
      <c r="AH1690" s="395">
        <v>1.6999999999999999E-3</v>
      </c>
      <c r="AI1690" s="287">
        <v>3.15E-2</v>
      </c>
      <c r="AJ1690" s="287">
        <v>5.5E-2</v>
      </c>
      <c r="AK1690" s="318">
        <f t="shared" si="1210"/>
        <v>86978.905000000057</v>
      </c>
      <c r="AL1690" s="467">
        <v>0</v>
      </c>
      <c r="AM1690" s="321">
        <v>0</v>
      </c>
      <c r="AN1690" s="321">
        <v>0</v>
      </c>
      <c r="AO1690" s="318">
        <f t="shared" si="1211"/>
        <v>0</v>
      </c>
      <c r="AP1690" s="467">
        <v>0</v>
      </c>
      <c r="AQ1690" s="318">
        <v>0</v>
      </c>
      <c r="AR1690" s="318">
        <f t="shared" si="1212"/>
        <v>86978.905000000057</v>
      </c>
      <c r="AS1690" s="318">
        <f t="shared" si="1213"/>
        <v>91328</v>
      </c>
      <c r="AT1690" s="321">
        <v>0</v>
      </c>
      <c r="AU1690" s="464"/>
      <c r="AV1690" s="449"/>
      <c r="AW1690" s="318">
        <f t="shared" si="1214"/>
        <v>16685</v>
      </c>
      <c r="AX1690" s="467"/>
      <c r="AY1690" s="318">
        <f t="shared" si="1215"/>
        <v>16685</v>
      </c>
      <c r="AZ1690" s="318">
        <f t="shared" si="1216"/>
        <v>16670</v>
      </c>
      <c r="BA1690" s="318">
        <f t="shared" si="1217"/>
        <v>15</v>
      </c>
      <c r="BB1690" s="318">
        <f t="shared" si="1218"/>
        <v>33.369999999999997</v>
      </c>
      <c r="BC1690" s="318">
        <v>0</v>
      </c>
      <c r="BD1690" s="477"/>
      <c r="BE1690" s="147">
        <v>166.85</v>
      </c>
      <c r="BF1690" s="375">
        <f t="shared" si="1219"/>
        <v>0.25027500000000003</v>
      </c>
      <c r="BG1690" s="321">
        <f t="shared" si="1220"/>
        <v>166.59972500000001</v>
      </c>
      <c r="BH1690" s="321">
        <f t="shared" si="1221"/>
        <v>166.7</v>
      </c>
      <c r="BI1690" s="322">
        <f t="shared" si="1222"/>
        <v>15.000000000000568</v>
      </c>
      <c r="BJ1690" s="322">
        <v>0</v>
      </c>
      <c r="BK1690" s="318">
        <f t="shared" si="1223"/>
        <v>15.000000000000568</v>
      </c>
      <c r="BL1690" s="449"/>
      <c r="BM1690" s="449" t="str">
        <f t="shared" si="1224"/>
        <v>Unloading no. 1655 Bill No KAI/2026-27/191 ,Deduction For Oil Deduction= 86978.9050000001 ,Bardana= 0 ,F.M= 0 Brokerage/Rate Difference 0 ,Shortage = 0 ,Greenish= 0 ,Moisture= 0</v>
      </c>
      <c r="BN1690" s="449"/>
      <c r="BO1690" s="449" t="str">
        <f t="shared" si="1225"/>
        <v xml:space="preserve"> Party Condition 42  ,F.M% 0.17 ,Greenish 3.15 ,Moisture 5.5 ,Shortage in KG= 0  ,Oil% 39.4</v>
      </c>
      <c r="BP1690" s="464">
        <f t="shared" si="1226"/>
        <v>7906.8083083383335</v>
      </c>
      <c r="BQ1690" s="449"/>
      <c r="BR1690" s="449"/>
      <c r="BS1690" s="449"/>
      <c r="BT1690" s="449"/>
      <c r="BU1690" s="449"/>
      <c r="BV1690" s="449"/>
      <c r="BW1690" s="449"/>
      <c r="BX1690" s="147">
        <v>39.520000000000003</v>
      </c>
      <c r="BY1690" s="147">
        <v>39.4</v>
      </c>
      <c r="CA1690" s="56">
        <v>0</v>
      </c>
      <c r="CC1690" s="84">
        <f t="shared" si="1229"/>
        <v>91328</v>
      </c>
      <c r="CD1690" s="56">
        <f t="shared" si="1230"/>
        <v>86979.047619047618</v>
      </c>
      <c r="CO1690" s="460">
        <f t="shared" si="1231"/>
        <v>-39.520000000000003</v>
      </c>
      <c r="CP1690" s="460">
        <f t="shared" si="1232"/>
        <v>-39.4</v>
      </c>
    </row>
    <row r="1691" spans="1:94" ht="14.1" hidden="1" customHeight="1" x14ac:dyDescent="0.3">
      <c r="A1691" s="128" t="s">
        <v>3546</v>
      </c>
      <c r="B1691" s="129">
        <v>46251</v>
      </c>
      <c r="C1691" s="135">
        <v>1656</v>
      </c>
      <c r="D1691" s="128" t="s">
        <v>3571</v>
      </c>
      <c r="E1691" s="130">
        <v>46251</v>
      </c>
      <c r="F1691" s="128" t="s">
        <v>3582</v>
      </c>
      <c r="G1691" s="128" t="s">
        <v>3583</v>
      </c>
      <c r="H1691" s="128" t="s">
        <v>1514</v>
      </c>
      <c r="I1691" s="136"/>
      <c r="J1691" s="128" t="s">
        <v>2499</v>
      </c>
      <c r="K1691" s="136"/>
      <c r="L1691" s="146">
        <v>46251</v>
      </c>
      <c r="M1691" s="136"/>
      <c r="N1691" s="281" t="s">
        <v>3592</v>
      </c>
      <c r="O1691" s="146">
        <v>46249</v>
      </c>
      <c r="P1691" s="138">
        <v>0</v>
      </c>
      <c r="Q1691" s="138">
        <v>60</v>
      </c>
      <c r="R1691" s="138">
        <v>405</v>
      </c>
      <c r="S1691" s="138">
        <v>465</v>
      </c>
      <c r="T1691" s="138">
        <v>465</v>
      </c>
      <c r="U1691" s="136"/>
      <c r="V1691" s="136"/>
      <c r="W1691" s="147">
        <v>307.8</v>
      </c>
      <c r="X1691" s="147">
        <v>304.5</v>
      </c>
      <c r="Y1691" s="479">
        <f>2616300-15390</f>
        <v>2600910</v>
      </c>
      <c r="Z1691" s="128"/>
      <c r="AA1691" s="147">
        <v>65407.5</v>
      </c>
      <c r="AB1691" s="147">
        <v>65407.5</v>
      </c>
      <c r="AC1691" s="147">
        <v>2747115</v>
      </c>
      <c r="AD1691" s="321">
        <f t="shared" si="1201"/>
        <v>2744367.8849999998</v>
      </c>
      <c r="AE1691" s="147">
        <v>38.549999999999997</v>
      </c>
      <c r="AF1691" s="147">
        <v>42</v>
      </c>
      <c r="AG1691" s="147">
        <v>38.630000000000003</v>
      </c>
      <c r="AH1691" s="478">
        <v>7.0000000000000001E-3</v>
      </c>
      <c r="AI1691" s="287">
        <v>4.58E-2</v>
      </c>
      <c r="AJ1691" s="291">
        <v>5.6500000000000002E-2</v>
      </c>
      <c r="AK1691" s="318">
        <f t="shared" si="1210"/>
        <v>213646.17857142875</v>
      </c>
      <c r="AL1691" s="467">
        <f>60*10+405*15</f>
        <v>6675</v>
      </c>
      <c r="AM1691" s="321">
        <f>Y1691*AH1691</f>
        <v>18206.37</v>
      </c>
      <c r="AN1691" s="321">
        <f>X1691*14+307.8*50</f>
        <v>19653</v>
      </c>
      <c r="AO1691" s="318">
        <f t="shared" si="1211"/>
        <v>27885</v>
      </c>
      <c r="AP1691" s="467"/>
      <c r="AQ1691" s="439">
        <f>Y1691*0.7/100</f>
        <v>18206.37</v>
      </c>
      <c r="AR1691" s="318">
        <f t="shared" si="1212"/>
        <v>304271.91857142875</v>
      </c>
      <c r="AS1691" s="318">
        <f t="shared" si="1213"/>
        <v>319486</v>
      </c>
      <c r="AT1691" s="321">
        <v>330</v>
      </c>
      <c r="AU1691" s="464"/>
      <c r="AV1691" s="449"/>
      <c r="AW1691" s="318">
        <f t="shared" si="1214"/>
        <v>30780</v>
      </c>
      <c r="AX1691" s="467"/>
      <c r="AY1691" s="318">
        <f t="shared" si="1215"/>
        <v>30780</v>
      </c>
      <c r="AZ1691" s="318">
        <f t="shared" si="1216"/>
        <v>30450</v>
      </c>
      <c r="BA1691" s="318">
        <f t="shared" si="1217"/>
        <v>330</v>
      </c>
      <c r="BB1691" s="318">
        <f t="shared" si="1218"/>
        <v>61.56</v>
      </c>
      <c r="BC1691" s="318">
        <v>0</v>
      </c>
      <c r="BD1691" s="477"/>
      <c r="BE1691" s="147">
        <v>307.8</v>
      </c>
      <c r="BF1691" s="375">
        <f t="shared" si="1219"/>
        <v>0.4617</v>
      </c>
      <c r="BG1691" s="321">
        <f t="shared" si="1220"/>
        <v>307.3383</v>
      </c>
      <c r="BH1691" s="321">
        <f t="shared" si="1221"/>
        <v>304.5</v>
      </c>
      <c r="BI1691" s="322">
        <f t="shared" si="1222"/>
        <v>330.00000000000114</v>
      </c>
      <c r="BJ1691" s="322">
        <v>0</v>
      </c>
      <c r="BK1691" s="318">
        <f t="shared" si="1223"/>
        <v>330.00000000000114</v>
      </c>
      <c r="BL1691" s="449"/>
      <c r="BM1691" s="449" t="str">
        <f t="shared" si="1224"/>
        <v>Unloading no. 1656 Bill No 2026-27/19 ,Deduction For Oil Deduction= 213646.178571429 ,Bardana= 6675 ,F.M= 18206.37 Brokerage/Rate Difference 19653 ,Shortage = 27885 ,Greenish=  ,Moisture= 18206.37</v>
      </c>
      <c r="BN1691" s="449"/>
      <c r="BO1691" s="449" t="str">
        <f t="shared" si="1225"/>
        <v xml:space="preserve"> Party Condition 42  ,F.M% 0.7 ,Greenish 4.58 ,Moisture 5.65 ,Shortage in KG= 330  ,Oil% 38.55</v>
      </c>
      <c r="BP1691" s="464">
        <f t="shared" si="1226"/>
        <v>7542.3253905700203</v>
      </c>
      <c r="BQ1691" s="449"/>
      <c r="BR1691" s="449"/>
      <c r="BS1691" s="449"/>
      <c r="BT1691" s="449"/>
      <c r="BU1691" s="449"/>
      <c r="BV1691" s="449"/>
      <c r="BW1691" s="449"/>
      <c r="BX1691" s="147">
        <v>38.549999999999997</v>
      </c>
      <c r="BY1691" s="147">
        <v>38.630000000000003</v>
      </c>
      <c r="CA1691" s="56">
        <v>280590.49</v>
      </c>
      <c r="CC1691" s="84">
        <f t="shared" si="1229"/>
        <v>38895.510000000009</v>
      </c>
      <c r="CD1691" s="56">
        <f t="shared" si="1230"/>
        <v>37043.342857142867</v>
      </c>
      <c r="CG1691" s="56">
        <v>209926.93</v>
      </c>
      <c r="CI1691" s="90">
        <f>AK1691-CG1691</f>
        <v>3719.2485714287614</v>
      </c>
      <c r="CO1691" s="460">
        <f t="shared" si="1231"/>
        <v>-38.549999999999997</v>
      </c>
      <c r="CP1691" s="460">
        <f t="shared" si="1232"/>
        <v>-38.630000000000003</v>
      </c>
    </row>
    <row r="1692" spans="1:94" ht="14.1" hidden="1" customHeight="1" x14ac:dyDescent="0.3">
      <c r="A1692" s="128" t="s">
        <v>3547</v>
      </c>
      <c r="B1692" s="129">
        <v>46248</v>
      </c>
      <c r="C1692" s="135">
        <v>1657</v>
      </c>
      <c r="D1692" s="128" t="s">
        <v>3572</v>
      </c>
      <c r="E1692" s="130">
        <v>46251</v>
      </c>
      <c r="F1692" s="128" t="s">
        <v>2190</v>
      </c>
      <c r="G1692" s="128" t="s">
        <v>2191</v>
      </c>
      <c r="H1692" s="128" t="s">
        <v>97</v>
      </c>
      <c r="I1692" s="136"/>
      <c r="J1692" s="128" t="s">
        <v>1146</v>
      </c>
      <c r="K1692" s="136"/>
      <c r="L1692" s="146">
        <v>46248</v>
      </c>
      <c r="M1692" s="136"/>
      <c r="N1692" s="281" t="s">
        <v>2914</v>
      </c>
      <c r="O1692" s="146">
        <v>46251</v>
      </c>
      <c r="P1692" s="138">
        <v>0</v>
      </c>
      <c r="Q1692" s="138">
        <v>111</v>
      </c>
      <c r="R1692" s="138">
        <v>40</v>
      </c>
      <c r="S1692" s="138">
        <v>151</v>
      </c>
      <c r="T1692" s="138">
        <v>151</v>
      </c>
      <c r="U1692" s="136"/>
      <c r="V1692" s="136"/>
      <c r="W1692" s="147">
        <v>90.3</v>
      </c>
      <c r="X1692" s="147">
        <v>90.1</v>
      </c>
      <c r="Y1692" s="445">
        <v>760416.3</v>
      </c>
      <c r="Z1692" s="128"/>
      <c r="AA1692" s="147">
        <v>19010.41</v>
      </c>
      <c r="AB1692" s="147">
        <v>19010.41</v>
      </c>
      <c r="AC1692" s="147">
        <v>798437.12</v>
      </c>
      <c r="AD1692" s="321">
        <f t="shared" si="1201"/>
        <v>797638.68287999998</v>
      </c>
      <c r="AE1692" s="147">
        <v>39.840000000000003</v>
      </c>
      <c r="AF1692" s="147">
        <v>42</v>
      </c>
      <c r="AG1692" s="147">
        <v>39.770000000000003</v>
      </c>
      <c r="AH1692" s="395">
        <v>3.0000000000000001E-3</v>
      </c>
      <c r="AI1692" s="287">
        <v>3.44E-2</v>
      </c>
      <c r="AJ1692" s="287">
        <v>0.06</v>
      </c>
      <c r="AK1692" s="318">
        <f t="shared" si="1210"/>
        <v>40374.484499999948</v>
      </c>
      <c r="AL1692" s="467">
        <v>0</v>
      </c>
      <c r="AM1692" s="321">
        <v>0</v>
      </c>
      <c r="AN1692" s="321">
        <v>0</v>
      </c>
      <c r="AO1692" s="318">
        <f t="shared" si="1211"/>
        <v>168.42000000000002</v>
      </c>
      <c r="AP1692" s="467">
        <v>0</v>
      </c>
      <c r="AQ1692" s="318">
        <v>0</v>
      </c>
      <c r="AR1692" s="318">
        <f t="shared" si="1212"/>
        <v>40542.904499999946</v>
      </c>
      <c r="AS1692" s="318">
        <f t="shared" si="1213"/>
        <v>42570</v>
      </c>
      <c r="AT1692" s="321">
        <v>2</v>
      </c>
      <c r="AU1692" s="464"/>
      <c r="AV1692" s="449"/>
      <c r="AW1692" s="318">
        <f t="shared" si="1214"/>
        <v>9030</v>
      </c>
      <c r="AX1692" s="467"/>
      <c r="AY1692" s="318">
        <f t="shared" si="1215"/>
        <v>9030</v>
      </c>
      <c r="AZ1692" s="318">
        <f t="shared" si="1216"/>
        <v>9010</v>
      </c>
      <c r="BA1692" s="318">
        <f t="shared" si="1217"/>
        <v>20</v>
      </c>
      <c r="BB1692" s="318">
        <f t="shared" si="1218"/>
        <v>18.059999999999999</v>
      </c>
      <c r="BC1692" s="318">
        <v>0</v>
      </c>
      <c r="BD1692" s="477"/>
      <c r="BE1692" s="147">
        <v>90.3</v>
      </c>
      <c r="BF1692" s="375">
        <f t="shared" si="1219"/>
        <v>0.13544999999999999</v>
      </c>
      <c r="BG1692" s="321">
        <f t="shared" si="1220"/>
        <v>90.164549999999991</v>
      </c>
      <c r="BH1692" s="321">
        <f t="shared" si="1221"/>
        <v>90.1</v>
      </c>
      <c r="BI1692" s="322">
        <f t="shared" si="1222"/>
        <v>20.000000000000284</v>
      </c>
      <c r="BJ1692" s="322">
        <v>0</v>
      </c>
      <c r="BK1692" s="318">
        <f t="shared" si="1223"/>
        <v>20.000000000000284</v>
      </c>
      <c r="BL1692" s="449"/>
      <c r="BM1692" s="449" t="str">
        <f t="shared" si="1224"/>
        <v>Unloading no. 1657 Bill No 2026-27/441 ,Deduction For Oil Deduction= 40374.4844999999 ,Bardana= 0 ,F.M= 0 Brokerage/Rate Difference 0 ,Shortage = 168.42 ,Greenish= 0 ,Moisture= 0</v>
      </c>
      <c r="BN1692" s="449"/>
      <c r="BO1692" s="449" t="str">
        <f t="shared" si="1225"/>
        <v xml:space="preserve"> Party Condition 42  ,F.M% 0.3 ,Greenish 3.44 ,Moisture 6 ,Shortage in KG= 2  ,Oil% 39.77</v>
      </c>
      <c r="BP1692" s="464">
        <f t="shared" si="1226"/>
        <v>7989.7158213096573</v>
      </c>
      <c r="BQ1692" s="449"/>
      <c r="BR1692" s="449"/>
      <c r="BS1692" s="449"/>
      <c r="BT1692" s="449"/>
      <c r="BU1692" s="449"/>
      <c r="BV1692" s="449"/>
      <c r="BW1692" s="449"/>
      <c r="BX1692" s="147">
        <v>39.840000000000003</v>
      </c>
      <c r="BY1692" s="147">
        <v>39.770000000000003</v>
      </c>
      <c r="CA1692" s="56">
        <v>0</v>
      </c>
      <c r="CC1692" s="84">
        <f t="shared" si="1229"/>
        <v>42570</v>
      </c>
      <c r="CD1692" s="56">
        <f t="shared" si="1230"/>
        <v>40542.857142857145</v>
      </c>
      <c r="CO1692" s="460">
        <f t="shared" si="1231"/>
        <v>-39.840000000000003</v>
      </c>
      <c r="CP1692" s="460">
        <f t="shared" si="1232"/>
        <v>-39.770000000000003</v>
      </c>
    </row>
    <row r="1693" spans="1:94" ht="14.1" hidden="1" customHeight="1" x14ac:dyDescent="0.3">
      <c r="A1693" s="128" t="s">
        <v>3547</v>
      </c>
      <c r="B1693" s="129">
        <v>46248</v>
      </c>
      <c r="C1693" s="135">
        <v>1658</v>
      </c>
      <c r="D1693" s="128" t="s">
        <v>3573</v>
      </c>
      <c r="E1693" s="130">
        <v>46251</v>
      </c>
      <c r="F1693" s="128" t="s">
        <v>2190</v>
      </c>
      <c r="G1693" s="128" t="s">
        <v>2191</v>
      </c>
      <c r="H1693" s="128" t="s">
        <v>97</v>
      </c>
      <c r="I1693" s="136"/>
      <c r="J1693" s="128" t="s">
        <v>1146</v>
      </c>
      <c r="K1693" s="136"/>
      <c r="L1693" s="146">
        <v>46248</v>
      </c>
      <c r="M1693" s="136"/>
      <c r="N1693" s="281" t="s">
        <v>2916</v>
      </c>
      <c r="O1693" s="146">
        <v>46251</v>
      </c>
      <c r="P1693" s="138">
        <v>0</v>
      </c>
      <c r="Q1693" s="138">
        <v>111</v>
      </c>
      <c r="R1693" s="138">
        <v>40</v>
      </c>
      <c r="S1693" s="138">
        <v>151</v>
      </c>
      <c r="T1693" s="138">
        <v>151</v>
      </c>
      <c r="U1693" s="136"/>
      <c r="V1693" s="136"/>
      <c r="W1693" s="147">
        <v>91.4</v>
      </c>
      <c r="X1693" s="147">
        <v>91.3</v>
      </c>
      <c r="Y1693" s="445">
        <v>769679.4</v>
      </c>
      <c r="Z1693" s="128"/>
      <c r="AA1693" s="147">
        <v>19241.990000000002</v>
      </c>
      <c r="AB1693" s="147">
        <v>19241.990000000002</v>
      </c>
      <c r="AC1693" s="147">
        <v>808163.37</v>
      </c>
      <c r="AD1693" s="321">
        <f t="shared" si="1201"/>
        <v>807355.20663000003</v>
      </c>
      <c r="AE1693" s="147">
        <v>39.369999999999997</v>
      </c>
      <c r="AF1693" s="147">
        <v>42</v>
      </c>
      <c r="AG1693" s="147">
        <v>39.229999999999997</v>
      </c>
      <c r="AH1693" s="395">
        <v>3.8E-3</v>
      </c>
      <c r="AI1693" s="287">
        <v>0.03</v>
      </c>
      <c r="AJ1693" s="287">
        <v>5.2999999999999999E-2</v>
      </c>
      <c r="AK1693" s="318">
        <f t="shared" si="1210"/>
        <v>50762.189000000057</v>
      </c>
      <c r="AL1693" s="467">
        <v>0</v>
      </c>
      <c r="AM1693" s="321">
        <v>0</v>
      </c>
      <c r="AN1693" s="321">
        <v>0</v>
      </c>
      <c r="AO1693" s="318">
        <f t="shared" si="1211"/>
        <v>0</v>
      </c>
      <c r="AP1693" s="467">
        <v>0</v>
      </c>
      <c r="AQ1693" s="318">
        <v>0</v>
      </c>
      <c r="AR1693" s="318">
        <f t="shared" si="1212"/>
        <v>50762.189000000057</v>
      </c>
      <c r="AS1693" s="318">
        <f t="shared" si="1213"/>
        <v>53300</v>
      </c>
      <c r="AT1693" s="321">
        <v>0</v>
      </c>
      <c r="AU1693" s="464"/>
      <c r="AV1693" s="449"/>
      <c r="AW1693" s="318">
        <f t="shared" si="1214"/>
        <v>9140</v>
      </c>
      <c r="AX1693" s="467"/>
      <c r="AY1693" s="318">
        <f t="shared" si="1215"/>
        <v>9140</v>
      </c>
      <c r="AZ1693" s="318">
        <f t="shared" si="1216"/>
        <v>9130</v>
      </c>
      <c r="BA1693" s="318">
        <f t="shared" si="1217"/>
        <v>10</v>
      </c>
      <c r="BB1693" s="318">
        <f t="shared" si="1218"/>
        <v>18.28</v>
      </c>
      <c r="BC1693" s="318">
        <v>0</v>
      </c>
      <c r="BD1693" s="477"/>
      <c r="BE1693" s="147">
        <v>91.4</v>
      </c>
      <c r="BF1693" s="375">
        <f t="shared" si="1219"/>
        <v>0.1371</v>
      </c>
      <c r="BG1693" s="321">
        <f t="shared" si="1220"/>
        <v>91.262900000000002</v>
      </c>
      <c r="BH1693" s="321">
        <f t="shared" si="1221"/>
        <v>91.3</v>
      </c>
      <c r="BI1693" s="322">
        <f t="shared" si="1222"/>
        <v>10.000000000000853</v>
      </c>
      <c r="BJ1693" s="322">
        <v>0</v>
      </c>
      <c r="BK1693" s="318">
        <f t="shared" si="1223"/>
        <v>10.000000000000853</v>
      </c>
      <c r="BL1693" s="449"/>
      <c r="BM1693" s="449" t="str">
        <f t="shared" si="1224"/>
        <v>Unloading no. 1658 Bill No 2026-27/442 ,Deduction For Oil Deduction= 50762.1890000001 ,Bardana= 0 ,F.M= 0 Brokerage/Rate Difference 0 ,Shortage = 0 ,Greenish= 0 ,Moisture= 0</v>
      </c>
      <c r="BN1693" s="449"/>
      <c r="BO1693" s="449" t="str">
        <f t="shared" si="1225"/>
        <v xml:space="preserve"> Party Condition 42  ,F.M% 0.38 ,Greenish 3 ,Moisture 5.3 ,Shortage in KG= 0  ,Oil% 39.23</v>
      </c>
      <c r="BP1693" s="464">
        <f t="shared" si="1226"/>
        <v>7874.2301314348306</v>
      </c>
      <c r="BQ1693" s="449"/>
      <c r="BR1693" s="449"/>
      <c r="BS1693" s="449"/>
      <c r="BT1693" s="449"/>
      <c r="BU1693" s="449"/>
      <c r="BV1693" s="449"/>
      <c r="BW1693" s="449"/>
      <c r="BX1693" s="147">
        <v>39.369999999999997</v>
      </c>
      <c r="BY1693" s="147">
        <v>39.229999999999997</v>
      </c>
      <c r="CA1693" s="56">
        <v>0</v>
      </c>
      <c r="CC1693" s="84">
        <f t="shared" si="1229"/>
        <v>53300</v>
      </c>
      <c r="CD1693" s="56">
        <f t="shared" si="1230"/>
        <v>50761.904761904756</v>
      </c>
      <c r="CO1693" s="460">
        <f t="shared" si="1231"/>
        <v>-39.369999999999997</v>
      </c>
      <c r="CP1693" s="460">
        <f t="shared" si="1232"/>
        <v>-39.229999999999997</v>
      </c>
    </row>
    <row r="1694" spans="1:94" ht="14.1" hidden="1" customHeight="1" x14ac:dyDescent="0.3">
      <c r="A1694" s="128" t="s">
        <v>3547</v>
      </c>
      <c r="B1694" s="129">
        <v>46248</v>
      </c>
      <c r="C1694" s="135">
        <v>1659</v>
      </c>
      <c r="D1694" s="128" t="s">
        <v>3574</v>
      </c>
      <c r="E1694" s="130">
        <v>46251</v>
      </c>
      <c r="F1694" s="128" t="s">
        <v>2190</v>
      </c>
      <c r="G1694" s="128" t="s">
        <v>2191</v>
      </c>
      <c r="H1694" s="128" t="s">
        <v>97</v>
      </c>
      <c r="I1694" s="136"/>
      <c r="J1694" s="128" t="s">
        <v>1146</v>
      </c>
      <c r="K1694" s="136"/>
      <c r="L1694" s="146">
        <v>46248</v>
      </c>
      <c r="M1694" s="136"/>
      <c r="N1694" s="281" t="s">
        <v>2958</v>
      </c>
      <c r="O1694" s="146">
        <v>46251</v>
      </c>
      <c r="P1694" s="138">
        <v>0</v>
      </c>
      <c r="Q1694" s="138">
        <v>120</v>
      </c>
      <c r="R1694" s="138">
        <v>31</v>
      </c>
      <c r="S1694" s="138">
        <v>151</v>
      </c>
      <c r="T1694" s="138">
        <v>151</v>
      </c>
      <c r="U1694" s="136"/>
      <c r="V1694" s="136"/>
      <c r="W1694" s="147">
        <v>90.5</v>
      </c>
      <c r="X1694" s="147">
        <v>90.7</v>
      </c>
      <c r="Y1694" s="445">
        <v>762100.5</v>
      </c>
      <c r="Z1694" s="128"/>
      <c r="AA1694" s="147">
        <v>19052.509999999998</v>
      </c>
      <c r="AB1694" s="147">
        <v>19052.509999999998</v>
      </c>
      <c r="AC1694" s="147">
        <v>800205.53</v>
      </c>
      <c r="AD1694" s="321">
        <f t="shared" si="1201"/>
        <v>799405.32446999999</v>
      </c>
      <c r="AE1694" s="147">
        <v>38.25</v>
      </c>
      <c r="AF1694" s="147">
        <v>42</v>
      </c>
      <c r="AG1694" s="147">
        <v>39.17</v>
      </c>
      <c r="AH1694" s="395">
        <v>4.4999999999999997E-3</v>
      </c>
      <c r="AI1694" s="287">
        <v>3.2800000000000003E-2</v>
      </c>
      <c r="AJ1694" s="287">
        <v>5.2999999999999999E-2</v>
      </c>
      <c r="AK1694" s="318">
        <f t="shared" si="1210"/>
        <v>68044.6875</v>
      </c>
      <c r="AL1694" s="467">
        <v>0</v>
      </c>
      <c r="AM1694" s="321">
        <v>0</v>
      </c>
      <c r="AN1694" s="321">
        <v>0</v>
      </c>
      <c r="AO1694" s="318">
        <f t="shared" si="1211"/>
        <v>0</v>
      </c>
      <c r="AP1694" s="467">
        <v>0</v>
      </c>
      <c r="AQ1694" s="318">
        <v>0</v>
      </c>
      <c r="AR1694" s="318">
        <f t="shared" si="1212"/>
        <v>68044.6875</v>
      </c>
      <c r="AS1694" s="318">
        <f t="shared" si="1213"/>
        <v>71447</v>
      </c>
      <c r="AT1694" s="321">
        <v>0</v>
      </c>
      <c r="AU1694" s="464"/>
      <c r="AV1694" s="449"/>
      <c r="AW1694" s="318">
        <f t="shared" si="1214"/>
        <v>9050</v>
      </c>
      <c r="AX1694" s="467"/>
      <c r="AY1694" s="318">
        <f t="shared" si="1215"/>
        <v>9050</v>
      </c>
      <c r="AZ1694" s="318">
        <f t="shared" si="1216"/>
        <v>9070</v>
      </c>
      <c r="BA1694" s="318">
        <f t="shared" si="1217"/>
        <v>-20</v>
      </c>
      <c r="BB1694" s="318">
        <f t="shared" si="1218"/>
        <v>18.100000000000001</v>
      </c>
      <c r="BC1694" s="318">
        <v>0</v>
      </c>
      <c r="BD1694" s="477"/>
      <c r="BE1694" s="147">
        <v>90.5</v>
      </c>
      <c r="BF1694" s="375">
        <f t="shared" si="1219"/>
        <v>0.13574999999999998</v>
      </c>
      <c r="BG1694" s="321">
        <f t="shared" si="1220"/>
        <v>90.364249999999998</v>
      </c>
      <c r="BH1694" s="321">
        <f t="shared" si="1221"/>
        <v>90.7</v>
      </c>
      <c r="BI1694" s="322">
        <f t="shared" si="1222"/>
        <v>-20.000000000000284</v>
      </c>
      <c r="BJ1694" s="322">
        <v>0</v>
      </c>
      <c r="BK1694" s="318">
        <f t="shared" si="1223"/>
        <v>-20.000000000000284</v>
      </c>
      <c r="BL1694" s="449"/>
      <c r="BM1694" s="449" t="str">
        <f t="shared" si="1224"/>
        <v>Unloading no. 1659 Bill No 2026-27/443 ,Deduction For Oil Deduction= 68044.6875 ,Bardana= 0 ,F.M= 0 Brokerage/Rate Difference 0 ,Shortage = 0 ,Greenish= 0 ,Moisture= 0</v>
      </c>
      <c r="BN1694" s="449"/>
      <c r="BO1694" s="449" t="str">
        <f t="shared" si="1225"/>
        <v xml:space="preserve"> Party Condition 42  ,F.M% 0.45 ,Greenish 3.28 ,Moisture 5.3 ,Shortage in KG= 0  ,Oil% 38.25</v>
      </c>
      <c r="BP1694" s="464">
        <f t="shared" si="1226"/>
        <v>7652.2140297684673</v>
      </c>
      <c r="BQ1694" s="449"/>
      <c r="BR1694" s="449"/>
      <c r="BS1694" s="449"/>
      <c r="BT1694" s="449"/>
      <c r="BU1694" s="449"/>
      <c r="BV1694" s="449"/>
      <c r="BW1694" s="449"/>
      <c r="BX1694" s="147">
        <v>38.25</v>
      </c>
      <c r="BY1694" s="147">
        <v>39.17</v>
      </c>
      <c r="CA1694" s="56">
        <v>0</v>
      </c>
      <c r="CC1694" s="84">
        <f t="shared" si="1229"/>
        <v>71447</v>
      </c>
      <c r="CD1694" s="56">
        <f t="shared" si="1230"/>
        <v>68044.761904761908</v>
      </c>
      <c r="CO1694" s="460">
        <f t="shared" si="1231"/>
        <v>-38.25</v>
      </c>
      <c r="CP1694" s="460">
        <f t="shared" si="1232"/>
        <v>-39.17</v>
      </c>
    </row>
    <row r="1695" spans="1:94" ht="14.1" hidden="1" customHeight="1" x14ac:dyDescent="0.3">
      <c r="A1695" s="128" t="s">
        <v>3547</v>
      </c>
      <c r="B1695" s="129">
        <v>46248</v>
      </c>
      <c r="C1695" s="135">
        <v>1660</v>
      </c>
      <c r="D1695" s="128" t="s">
        <v>3575</v>
      </c>
      <c r="E1695" s="130">
        <v>46251</v>
      </c>
      <c r="F1695" s="128" t="s">
        <v>2190</v>
      </c>
      <c r="G1695" s="128" t="s">
        <v>2191</v>
      </c>
      <c r="H1695" s="128" t="s">
        <v>97</v>
      </c>
      <c r="I1695" s="136"/>
      <c r="J1695" s="128" t="s">
        <v>1146</v>
      </c>
      <c r="K1695" s="136"/>
      <c r="L1695" s="146">
        <v>46248</v>
      </c>
      <c r="M1695" s="136"/>
      <c r="N1695" s="281" t="s">
        <v>2913</v>
      </c>
      <c r="O1695" s="146">
        <v>46251</v>
      </c>
      <c r="P1695" s="138">
        <v>0</v>
      </c>
      <c r="Q1695" s="138">
        <v>100</v>
      </c>
      <c r="R1695" s="138">
        <v>51</v>
      </c>
      <c r="S1695" s="138">
        <v>151</v>
      </c>
      <c r="T1695" s="138">
        <v>151</v>
      </c>
      <c r="U1695" s="136"/>
      <c r="V1695" s="136"/>
      <c r="W1695" s="147">
        <v>90.4</v>
      </c>
      <c r="X1695" s="147">
        <v>90.4</v>
      </c>
      <c r="Y1695" s="445">
        <v>761258.4</v>
      </c>
      <c r="Z1695" s="128"/>
      <c r="AA1695" s="147">
        <v>19031.46</v>
      </c>
      <c r="AB1695" s="147">
        <v>19031.46</v>
      </c>
      <c r="AC1695" s="147">
        <v>799321.32</v>
      </c>
      <c r="AD1695" s="321">
        <f t="shared" si="1201"/>
        <v>798521.99867999996</v>
      </c>
      <c r="AE1695" s="147">
        <v>39.200000000000003</v>
      </c>
      <c r="AF1695" s="147">
        <v>42</v>
      </c>
      <c r="AG1695" s="147">
        <v>39.17</v>
      </c>
      <c r="AH1695" s="395">
        <v>2.5000000000000001E-3</v>
      </c>
      <c r="AI1695" s="287">
        <v>3.4000000000000002E-2</v>
      </c>
      <c r="AJ1695" s="287">
        <v>5.6000000000000001E-2</v>
      </c>
      <c r="AK1695" s="318">
        <f t="shared" si="1210"/>
        <v>51294.315999999977</v>
      </c>
      <c r="AL1695" s="467">
        <v>0</v>
      </c>
      <c r="AM1695" s="321">
        <v>0</v>
      </c>
      <c r="AN1695" s="321">
        <v>0</v>
      </c>
      <c r="AO1695" s="318">
        <f t="shared" si="1211"/>
        <v>0</v>
      </c>
      <c r="AP1695" s="467">
        <v>0</v>
      </c>
      <c r="AQ1695" s="318">
        <v>0</v>
      </c>
      <c r="AR1695" s="318">
        <f t="shared" si="1212"/>
        <v>51294.315999999977</v>
      </c>
      <c r="AS1695" s="318">
        <f t="shared" si="1213"/>
        <v>53859</v>
      </c>
      <c r="AT1695" s="321">
        <v>0</v>
      </c>
      <c r="AU1695" s="464"/>
      <c r="AV1695" s="449"/>
      <c r="AW1695" s="318">
        <f t="shared" si="1214"/>
        <v>9040</v>
      </c>
      <c r="AX1695" s="467"/>
      <c r="AY1695" s="318">
        <f t="shared" si="1215"/>
        <v>9040</v>
      </c>
      <c r="AZ1695" s="318">
        <f t="shared" si="1216"/>
        <v>9040</v>
      </c>
      <c r="BA1695" s="318">
        <f t="shared" si="1217"/>
        <v>0</v>
      </c>
      <c r="BB1695" s="318">
        <f t="shared" si="1218"/>
        <v>18.079999999999998</v>
      </c>
      <c r="BC1695" s="318">
        <v>0</v>
      </c>
      <c r="BD1695" s="477"/>
      <c r="BE1695" s="147">
        <v>90.4</v>
      </c>
      <c r="BF1695" s="375">
        <f t="shared" si="1219"/>
        <v>0.1356</v>
      </c>
      <c r="BG1695" s="321">
        <f t="shared" si="1220"/>
        <v>90.264400000000009</v>
      </c>
      <c r="BH1695" s="321">
        <f t="shared" si="1221"/>
        <v>90.4</v>
      </c>
      <c r="BI1695" s="322">
        <f t="shared" si="1222"/>
        <v>0</v>
      </c>
      <c r="BJ1695" s="322">
        <v>0</v>
      </c>
      <c r="BK1695" s="318">
        <f t="shared" si="1223"/>
        <v>0</v>
      </c>
      <c r="BL1695" s="449"/>
      <c r="BM1695" s="449" t="str">
        <f t="shared" si="1224"/>
        <v>Unloading no. 1660 Bill No 2026-27/440 ,Deduction For Oil Deduction= 51294.316 ,Bardana= 0 ,F.M= 0 Brokerage/Rate Difference 0 ,Shortage = 0 ,Greenish= 0 ,Moisture= 0</v>
      </c>
      <c r="BN1695" s="449"/>
      <c r="BO1695" s="449" t="str">
        <f t="shared" si="1225"/>
        <v xml:space="preserve"> Party Condition 42  ,F.M% 0.25 ,Greenish 3.4 ,Moisture 5.6 ,Shortage in KG= 0  ,Oil% 39.17</v>
      </c>
      <c r="BP1695" s="464">
        <f t="shared" si="1226"/>
        <v>7853.585</v>
      </c>
      <c r="BQ1695" s="449"/>
      <c r="BR1695" s="449"/>
      <c r="BS1695" s="449"/>
      <c r="BT1695" s="449"/>
      <c r="BU1695" s="449"/>
      <c r="BV1695" s="449"/>
      <c r="BW1695" s="449"/>
      <c r="BX1695" s="147">
        <v>39.200000000000003</v>
      </c>
      <c r="BY1695" s="147">
        <v>39.17</v>
      </c>
      <c r="CA1695" s="56">
        <v>0</v>
      </c>
      <c r="CC1695" s="84">
        <f t="shared" si="1229"/>
        <v>53859</v>
      </c>
      <c r="CD1695" s="56">
        <f t="shared" si="1230"/>
        <v>51294.285714285717</v>
      </c>
      <c r="CO1695" s="460">
        <f t="shared" si="1231"/>
        <v>-39.200000000000003</v>
      </c>
      <c r="CP1695" s="460">
        <f t="shared" si="1232"/>
        <v>-39.17</v>
      </c>
    </row>
    <row r="1696" spans="1:94" ht="14.1" hidden="1" customHeight="1" x14ac:dyDescent="0.3">
      <c r="A1696" s="128" t="s">
        <v>3547</v>
      </c>
      <c r="B1696" s="465">
        <v>46248</v>
      </c>
      <c r="C1696" s="281">
        <v>1661</v>
      </c>
      <c r="D1696" s="281" t="s">
        <v>3576</v>
      </c>
      <c r="E1696" s="465">
        <v>46252</v>
      </c>
      <c r="F1696" s="281" t="s">
        <v>2190</v>
      </c>
      <c r="G1696" s="128" t="s">
        <v>2191</v>
      </c>
      <c r="H1696" s="281" t="s">
        <v>97</v>
      </c>
      <c r="I1696" s="136"/>
      <c r="J1696" s="128" t="s">
        <v>1146</v>
      </c>
      <c r="K1696" s="136"/>
      <c r="L1696" s="146">
        <v>46248</v>
      </c>
      <c r="M1696" s="136"/>
      <c r="N1696" s="281" t="s">
        <v>2957</v>
      </c>
      <c r="O1696" s="129">
        <v>46251</v>
      </c>
      <c r="P1696" s="138">
        <v>0</v>
      </c>
      <c r="Q1696" s="138">
        <v>120</v>
      </c>
      <c r="R1696" s="138">
        <v>31</v>
      </c>
      <c r="S1696" s="138">
        <v>151</v>
      </c>
      <c r="T1696" s="138">
        <v>151</v>
      </c>
      <c r="U1696" s="136"/>
      <c r="V1696" s="136"/>
      <c r="W1696" s="147">
        <v>89.8</v>
      </c>
      <c r="X1696" s="147">
        <v>89.6</v>
      </c>
      <c r="Y1696" s="147">
        <v>756205.8</v>
      </c>
      <c r="Z1696" s="128"/>
      <c r="AA1696" s="147">
        <v>18905.150000000001</v>
      </c>
      <c r="AB1696" s="147">
        <v>18905.150000000001</v>
      </c>
      <c r="AC1696" s="147">
        <v>794016.09</v>
      </c>
      <c r="AD1696" s="321">
        <f t="shared" si="1201"/>
        <v>793222.07390999992</v>
      </c>
      <c r="AE1696" s="147">
        <v>40.049999999999997</v>
      </c>
      <c r="AF1696" s="147">
        <v>42</v>
      </c>
      <c r="AG1696" s="147">
        <v>40.06</v>
      </c>
      <c r="AH1696" s="287">
        <v>2.0999999999999999E-3</v>
      </c>
      <c r="AI1696" s="287">
        <v>3.4000000000000002E-2</v>
      </c>
      <c r="AJ1696" s="287">
        <v>5.5E-2</v>
      </c>
      <c r="AK1696" s="318">
        <f t="shared" si="1210"/>
        <v>35109.555000000058</v>
      </c>
      <c r="AL1696" s="467">
        <v>0</v>
      </c>
      <c r="AM1696" s="321">
        <v>0</v>
      </c>
      <c r="AN1696" s="321">
        <v>0</v>
      </c>
      <c r="AO1696" s="318">
        <f t="shared" si="1211"/>
        <v>168.42000000000002</v>
      </c>
      <c r="AP1696" s="467">
        <v>0</v>
      </c>
      <c r="AQ1696" s="318">
        <v>0</v>
      </c>
      <c r="AR1696" s="318">
        <f t="shared" si="1212"/>
        <v>35277.975000000057</v>
      </c>
      <c r="AS1696" s="318">
        <f t="shared" si="1213"/>
        <v>37042</v>
      </c>
      <c r="AT1696" s="321">
        <v>2</v>
      </c>
      <c r="AU1696" s="464"/>
      <c r="AV1696" s="449"/>
      <c r="AW1696" s="318">
        <f t="shared" si="1214"/>
        <v>8980</v>
      </c>
      <c r="AX1696" s="467"/>
      <c r="AY1696" s="318">
        <f t="shared" si="1215"/>
        <v>8980</v>
      </c>
      <c r="AZ1696" s="318">
        <f t="shared" si="1216"/>
        <v>8960</v>
      </c>
      <c r="BA1696" s="318">
        <f t="shared" si="1217"/>
        <v>20</v>
      </c>
      <c r="BB1696" s="318">
        <f t="shared" si="1218"/>
        <v>17.96</v>
      </c>
      <c r="BC1696" s="318">
        <v>0</v>
      </c>
      <c r="BD1696" s="467"/>
      <c r="BE1696" s="147">
        <v>89.8</v>
      </c>
      <c r="BF1696" s="321">
        <f t="shared" si="1219"/>
        <v>0.13469999999999999</v>
      </c>
      <c r="BG1696" s="321">
        <f t="shared" si="1220"/>
        <v>89.665300000000002</v>
      </c>
      <c r="BH1696" s="321">
        <f t="shared" si="1221"/>
        <v>89.6</v>
      </c>
      <c r="BI1696" s="322">
        <f t="shared" si="1222"/>
        <v>20.000000000000284</v>
      </c>
      <c r="BJ1696" s="322">
        <v>0</v>
      </c>
      <c r="BK1696" s="318">
        <f t="shared" si="1223"/>
        <v>20.000000000000284</v>
      </c>
      <c r="BL1696" s="449"/>
      <c r="BM1696" s="449" t="str">
        <f t="shared" si="1224"/>
        <v>Unloading no. 1661 Bill No 2026-27/446 ,Deduction For Oil Deduction= 35109.5550000001 ,Bardana= 0 ,F.M= 0 Brokerage/Rate Difference 0 ,Shortage = 168.42 ,Greenish= 0 ,Moisture= 0</v>
      </c>
      <c r="BN1696" s="449"/>
      <c r="BO1696" s="449" t="str">
        <f t="shared" si="1225"/>
        <v xml:space="preserve"> Party Condition 42  ,F.M% 0.21 ,Greenish 3.4 ,Moisture 5.5 ,Shortage in KG= 2  ,Oil% 40.05</v>
      </c>
      <c r="BP1696" s="464">
        <f t="shared" si="1226"/>
        <v>8046.0694754464284</v>
      </c>
      <c r="BQ1696" s="449"/>
      <c r="BR1696" s="449"/>
      <c r="BS1696" s="449"/>
      <c r="BT1696" s="449"/>
      <c r="BU1696" s="449"/>
      <c r="BV1696" s="449"/>
      <c r="BW1696" s="449"/>
      <c r="BX1696" s="147">
        <v>40.049999999999997</v>
      </c>
      <c r="BY1696" s="147">
        <v>40.06</v>
      </c>
      <c r="CA1696" s="56">
        <v>0</v>
      </c>
      <c r="CC1696" s="84">
        <f t="shared" si="1229"/>
        <v>37042</v>
      </c>
      <c r="CD1696" s="56">
        <f t="shared" si="1230"/>
        <v>35278.095238095237</v>
      </c>
      <c r="CO1696" s="460">
        <f t="shared" si="1231"/>
        <v>-40.049999999999997</v>
      </c>
      <c r="CP1696" s="460">
        <f t="shared" si="1232"/>
        <v>-40.06</v>
      </c>
    </row>
    <row r="1697" spans="1:94" ht="14.1" hidden="1" customHeight="1" x14ac:dyDescent="0.3">
      <c r="A1697" s="128" t="s">
        <v>3547</v>
      </c>
      <c r="B1697" s="465">
        <v>46248</v>
      </c>
      <c r="C1697" s="281">
        <v>1662</v>
      </c>
      <c r="D1697" s="281" t="s">
        <v>3577</v>
      </c>
      <c r="E1697" s="465">
        <v>46252</v>
      </c>
      <c r="F1697" s="281" t="s">
        <v>2190</v>
      </c>
      <c r="G1697" s="128" t="s">
        <v>2191</v>
      </c>
      <c r="H1697" s="281" t="s">
        <v>97</v>
      </c>
      <c r="I1697" s="136"/>
      <c r="J1697" s="128" t="s">
        <v>1146</v>
      </c>
      <c r="K1697" s="136"/>
      <c r="L1697" s="146">
        <v>46248</v>
      </c>
      <c r="M1697" s="136"/>
      <c r="N1697" s="281" t="s">
        <v>2917</v>
      </c>
      <c r="O1697" s="129">
        <v>46251</v>
      </c>
      <c r="P1697" s="138">
        <v>0</v>
      </c>
      <c r="Q1697" s="138">
        <v>120</v>
      </c>
      <c r="R1697" s="138">
        <v>31</v>
      </c>
      <c r="S1697" s="138">
        <v>151</v>
      </c>
      <c r="T1697" s="138">
        <v>151</v>
      </c>
      <c r="U1697" s="136"/>
      <c r="V1697" s="136"/>
      <c r="W1697" s="147">
        <v>88.2</v>
      </c>
      <c r="X1697" s="147">
        <v>88.3</v>
      </c>
      <c r="Y1697" s="147">
        <v>742732.2</v>
      </c>
      <c r="Z1697" s="128"/>
      <c r="AA1697" s="147">
        <v>18568.310000000001</v>
      </c>
      <c r="AB1697" s="147">
        <v>18568.310000000001</v>
      </c>
      <c r="AC1697" s="147">
        <v>779868.81</v>
      </c>
      <c r="AD1697" s="321">
        <f t="shared" si="1201"/>
        <v>779088.94119000004</v>
      </c>
      <c r="AE1697" s="147">
        <v>39.799999999999997</v>
      </c>
      <c r="AF1697" s="147">
        <v>42</v>
      </c>
      <c r="AG1697" s="147">
        <v>39.619999999999997</v>
      </c>
      <c r="AH1697" s="287">
        <v>2E-3</v>
      </c>
      <c r="AI1697" s="287">
        <v>3.3000000000000002E-2</v>
      </c>
      <c r="AJ1697" s="287">
        <v>5.6000000000000001E-2</v>
      </c>
      <c r="AK1697" s="318">
        <f t="shared" si="1210"/>
        <v>42088.158000000039</v>
      </c>
      <c r="AL1697" s="467">
        <v>0</v>
      </c>
      <c r="AM1697" s="321">
        <v>0</v>
      </c>
      <c r="AN1697" s="321">
        <v>0</v>
      </c>
      <c r="AO1697" s="318">
        <f t="shared" si="1211"/>
        <v>0</v>
      </c>
      <c r="AP1697" s="467">
        <v>0</v>
      </c>
      <c r="AQ1697" s="318">
        <v>0</v>
      </c>
      <c r="AR1697" s="318">
        <f t="shared" si="1212"/>
        <v>42088.158000000039</v>
      </c>
      <c r="AS1697" s="318">
        <f t="shared" si="1213"/>
        <v>44193</v>
      </c>
      <c r="AT1697" s="321">
        <v>0</v>
      </c>
      <c r="AU1697" s="464"/>
      <c r="AV1697" s="449"/>
      <c r="AW1697" s="318">
        <f t="shared" si="1214"/>
        <v>8820</v>
      </c>
      <c r="AX1697" s="467"/>
      <c r="AY1697" s="318">
        <f t="shared" si="1215"/>
        <v>8820</v>
      </c>
      <c r="AZ1697" s="318">
        <f t="shared" si="1216"/>
        <v>8830</v>
      </c>
      <c r="BA1697" s="318">
        <f t="shared" si="1217"/>
        <v>-10</v>
      </c>
      <c r="BB1697" s="318">
        <f t="shared" si="1218"/>
        <v>17.64</v>
      </c>
      <c r="BC1697" s="318">
        <v>0</v>
      </c>
      <c r="BD1697" s="467"/>
      <c r="BE1697" s="147">
        <v>88.2</v>
      </c>
      <c r="BF1697" s="321">
        <f t="shared" si="1219"/>
        <v>0.1323</v>
      </c>
      <c r="BG1697" s="321">
        <f t="shared" si="1220"/>
        <v>88.067700000000002</v>
      </c>
      <c r="BH1697" s="321">
        <f t="shared" si="1221"/>
        <v>88.3</v>
      </c>
      <c r="BI1697" s="322">
        <f t="shared" si="1222"/>
        <v>-9.9999999999994316</v>
      </c>
      <c r="BJ1697" s="322">
        <v>0</v>
      </c>
      <c r="BK1697" s="318">
        <f t="shared" si="1223"/>
        <v>-9.9999999999994316</v>
      </c>
      <c r="BL1697" s="449"/>
      <c r="BM1697" s="449" t="str">
        <f t="shared" si="1224"/>
        <v>Unloading no. 1662 Bill No 2026-27/444 ,Deduction For Oil Deduction= 42088.158 ,Bardana= 0 ,F.M= 0 Brokerage/Rate Difference 0 ,Shortage = 0 ,Greenish= 0 ,Moisture= 0</v>
      </c>
      <c r="BN1697" s="449"/>
      <c r="BO1697" s="449" t="str">
        <f t="shared" si="1225"/>
        <v xml:space="preserve"> Party Condition 42  ,F.M% 0.2 ,Greenish 3.3 ,Moisture 5.6 ,Shortage in KG= 0  ,Oil% 39.62</v>
      </c>
      <c r="BP1697" s="464">
        <f t="shared" si="1226"/>
        <v>7934.8136126840309</v>
      </c>
      <c r="BQ1697" s="449"/>
      <c r="BR1697" s="449"/>
      <c r="BS1697" s="449"/>
      <c r="BT1697" s="449"/>
      <c r="BU1697" s="449"/>
      <c r="BV1697" s="449"/>
      <c r="BW1697" s="449"/>
      <c r="BX1697" s="147">
        <v>39.799999999999997</v>
      </c>
      <c r="BY1697" s="147">
        <v>39.619999999999997</v>
      </c>
      <c r="CA1697" s="56">
        <v>0</v>
      </c>
      <c r="CC1697" s="84">
        <f t="shared" si="1229"/>
        <v>44193</v>
      </c>
      <c r="CD1697" s="56">
        <f t="shared" si="1230"/>
        <v>42088.571428571428</v>
      </c>
      <c r="CO1697" s="460">
        <f t="shared" si="1231"/>
        <v>-39.799999999999997</v>
      </c>
      <c r="CP1697" s="460">
        <f t="shared" si="1232"/>
        <v>-39.619999999999997</v>
      </c>
    </row>
    <row r="1698" spans="1:94" ht="14.1" hidden="1" customHeight="1" x14ac:dyDescent="0.3">
      <c r="A1698" s="128" t="s">
        <v>3547</v>
      </c>
      <c r="B1698" s="465">
        <v>46248</v>
      </c>
      <c r="C1698" s="281">
        <v>1663</v>
      </c>
      <c r="D1698" s="281" t="s">
        <v>3578</v>
      </c>
      <c r="E1698" s="465">
        <v>46252</v>
      </c>
      <c r="F1698" s="281" t="s">
        <v>2190</v>
      </c>
      <c r="G1698" s="128" t="s">
        <v>2191</v>
      </c>
      <c r="H1698" s="281" t="s">
        <v>97</v>
      </c>
      <c r="I1698" s="136"/>
      <c r="J1698" s="128" t="s">
        <v>1146</v>
      </c>
      <c r="K1698" s="136"/>
      <c r="L1698" s="146">
        <v>46248</v>
      </c>
      <c r="M1698" s="136"/>
      <c r="N1698" s="281" t="s">
        <v>2918</v>
      </c>
      <c r="O1698" s="129">
        <v>46251</v>
      </c>
      <c r="P1698" s="138">
        <v>0</v>
      </c>
      <c r="Q1698" s="138">
        <v>110</v>
      </c>
      <c r="R1698" s="138">
        <v>41</v>
      </c>
      <c r="S1698" s="138">
        <v>151</v>
      </c>
      <c r="T1698" s="138">
        <v>151</v>
      </c>
      <c r="U1698" s="136"/>
      <c r="V1698" s="136"/>
      <c r="W1698" s="147">
        <v>89</v>
      </c>
      <c r="X1698" s="147">
        <v>88.9</v>
      </c>
      <c r="Y1698" s="147">
        <v>749469</v>
      </c>
      <c r="Z1698" s="128"/>
      <c r="AA1698" s="147">
        <v>18736.73</v>
      </c>
      <c r="AB1698" s="147">
        <v>18736.73</v>
      </c>
      <c r="AC1698" s="147">
        <v>786942.45</v>
      </c>
      <c r="AD1698" s="321">
        <f t="shared" si="1201"/>
        <v>786155.50754999998</v>
      </c>
      <c r="AE1698" s="147">
        <v>40</v>
      </c>
      <c r="AF1698" s="147">
        <v>42</v>
      </c>
      <c r="AG1698" s="147">
        <v>39.78</v>
      </c>
      <c r="AH1698" s="287">
        <v>2.2000000000000001E-3</v>
      </c>
      <c r="AI1698" s="287">
        <v>3.5000000000000003E-2</v>
      </c>
      <c r="AJ1698" s="287">
        <v>5.5E-2</v>
      </c>
      <c r="AK1698" s="318">
        <f t="shared" si="1210"/>
        <v>39614.789999999979</v>
      </c>
      <c r="AL1698" s="467">
        <v>0</v>
      </c>
      <c r="AM1698" s="321">
        <v>0</v>
      </c>
      <c r="AN1698" s="321">
        <v>0</v>
      </c>
      <c r="AO1698" s="318">
        <f t="shared" si="1211"/>
        <v>0</v>
      </c>
      <c r="AP1698" s="467">
        <v>0</v>
      </c>
      <c r="AQ1698" s="318">
        <v>0</v>
      </c>
      <c r="AR1698" s="318">
        <f t="shared" si="1212"/>
        <v>39614.789999999979</v>
      </c>
      <c r="AS1698" s="318">
        <f t="shared" si="1213"/>
        <v>41596</v>
      </c>
      <c r="AT1698" s="321">
        <v>0</v>
      </c>
      <c r="AU1698" s="464"/>
      <c r="AV1698" s="449"/>
      <c r="AW1698" s="318">
        <f t="shared" si="1214"/>
        <v>8900</v>
      </c>
      <c r="AX1698" s="467"/>
      <c r="AY1698" s="318">
        <f t="shared" si="1215"/>
        <v>8900</v>
      </c>
      <c r="AZ1698" s="318">
        <f t="shared" si="1216"/>
        <v>8890</v>
      </c>
      <c r="BA1698" s="318">
        <f t="shared" si="1217"/>
        <v>10</v>
      </c>
      <c r="BB1698" s="318">
        <f t="shared" si="1218"/>
        <v>17.8</v>
      </c>
      <c r="BC1698" s="318">
        <v>0</v>
      </c>
      <c r="BD1698" s="467"/>
      <c r="BE1698" s="147">
        <v>89</v>
      </c>
      <c r="BF1698" s="321">
        <f t="shared" si="1219"/>
        <v>0.13350000000000001</v>
      </c>
      <c r="BG1698" s="321">
        <f t="shared" si="1220"/>
        <v>88.866500000000002</v>
      </c>
      <c r="BH1698" s="321">
        <f t="shared" si="1221"/>
        <v>88.9</v>
      </c>
      <c r="BI1698" s="322">
        <f t="shared" si="1222"/>
        <v>9.9999999999994316</v>
      </c>
      <c r="BJ1698" s="322">
        <v>0</v>
      </c>
      <c r="BK1698" s="318">
        <f t="shared" si="1223"/>
        <v>9.9999999999994316</v>
      </c>
      <c r="BL1698" s="449"/>
      <c r="BM1698" s="449" t="str">
        <f t="shared" si="1224"/>
        <v>Unloading no. 1663 Bill No 2026-27/445 ,Deduction For Oil Deduction= 39614.79 ,Bardana= 0 ,F.M= 0 Brokerage/Rate Difference 0 ,Shortage = 0 ,Greenish= 0 ,Moisture= 0</v>
      </c>
      <c r="BN1698" s="449"/>
      <c r="BO1698" s="449" t="str">
        <f t="shared" si="1225"/>
        <v xml:space="preserve"> Party Condition 42  ,F.M% 0.22 ,Greenish 3.5 ,Moisture 5.5 ,Shortage in KG= 0  ,Oil% 39.78</v>
      </c>
      <c r="BP1698" s="464">
        <f t="shared" si="1226"/>
        <v>7984.8617547806516</v>
      </c>
      <c r="BQ1698" s="449"/>
      <c r="BR1698" s="449"/>
      <c r="BS1698" s="449"/>
      <c r="BT1698" s="449"/>
      <c r="BU1698" s="449"/>
      <c r="BV1698" s="449"/>
      <c r="BW1698" s="449"/>
      <c r="BX1698" s="147">
        <v>40</v>
      </c>
      <c r="BY1698" s="147">
        <v>39.78</v>
      </c>
      <c r="CA1698" s="56">
        <v>0</v>
      </c>
      <c r="CC1698" s="84">
        <f t="shared" si="1229"/>
        <v>41596</v>
      </c>
      <c r="CD1698" s="56">
        <f t="shared" si="1230"/>
        <v>39615.238095238092</v>
      </c>
      <c r="CO1698" s="460">
        <f t="shared" si="1231"/>
        <v>-40</v>
      </c>
      <c r="CP1698" s="460">
        <f t="shared" si="1232"/>
        <v>-39.78</v>
      </c>
    </row>
    <row r="1699" spans="1:94" ht="14.1" hidden="1" customHeight="1" x14ac:dyDescent="0.3">
      <c r="A1699" s="128" t="s">
        <v>3548</v>
      </c>
      <c r="B1699" s="465">
        <v>46251</v>
      </c>
      <c r="C1699" s="281">
        <v>1664</v>
      </c>
      <c r="D1699" s="281" t="s">
        <v>3579</v>
      </c>
      <c r="E1699" s="465">
        <v>46252</v>
      </c>
      <c r="F1699" s="281" t="s">
        <v>1686</v>
      </c>
      <c r="G1699" s="128" t="s">
        <v>1687</v>
      </c>
      <c r="H1699" s="281" t="s">
        <v>1688</v>
      </c>
      <c r="I1699" s="136"/>
      <c r="J1699" s="128" t="s">
        <v>2499</v>
      </c>
      <c r="K1699" s="136"/>
      <c r="L1699" s="146">
        <v>46251</v>
      </c>
      <c r="M1699" s="136"/>
      <c r="N1699" s="281" t="s">
        <v>3593</v>
      </c>
      <c r="O1699" s="129">
        <v>46251</v>
      </c>
      <c r="P1699" s="138">
        <v>0</v>
      </c>
      <c r="Q1699" s="138">
        <v>175</v>
      </c>
      <c r="R1699" s="138">
        <v>100</v>
      </c>
      <c r="S1699" s="138">
        <v>275</v>
      </c>
      <c r="T1699" s="138">
        <v>275</v>
      </c>
      <c r="U1699" s="136"/>
      <c r="V1699" s="136"/>
      <c r="W1699" s="147">
        <v>167.7</v>
      </c>
      <c r="X1699" s="147">
        <v>167.5</v>
      </c>
      <c r="Y1699" s="147">
        <v>1408680</v>
      </c>
      <c r="Z1699" s="128"/>
      <c r="AA1699" s="147">
        <v>35217</v>
      </c>
      <c r="AB1699" s="147">
        <v>35217</v>
      </c>
      <c r="AC1699" s="147">
        <v>1479114</v>
      </c>
      <c r="AD1699" s="321">
        <f t="shared" si="1201"/>
        <v>1477634.8859999999</v>
      </c>
      <c r="AE1699" s="147">
        <v>39.659999999999997</v>
      </c>
      <c r="AF1699" s="147">
        <v>42</v>
      </c>
      <c r="AG1699" s="147">
        <v>39.520000000000003</v>
      </c>
      <c r="AH1699" s="287">
        <v>3.3999999999999998E-3</v>
      </c>
      <c r="AI1699" s="287">
        <v>3.15E-2</v>
      </c>
      <c r="AJ1699" s="287">
        <v>6.2E-2</v>
      </c>
      <c r="AK1699" s="318">
        <f t="shared" si="1210"/>
        <v>83179.199999999895</v>
      </c>
      <c r="AL1699" s="467">
        <v>0</v>
      </c>
      <c r="AM1699" s="321">
        <v>0</v>
      </c>
      <c r="AN1699" s="321">
        <v>0</v>
      </c>
      <c r="AO1699" s="318">
        <f t="shared" si="1211"/>
        <v>0</v>
      </c>
      <c r="AP1699" s="467">
        <v>0</v>
      </c>
      <c r="AQ1699" s="318">
        <v>0</v>
      </c>
      <c r="AR1699" s="318">
        <f t="shared" si="1212"/>
        <v>83179.199999999895</v>
      </c>
      <c r="AS1699" s="318">
        <f t="shared" si="1213"/>
        <v>87338</v>
      </c>
      <c r="AT1699" s="321">
        <v>0</v>
      </c>
      <c r="AU1699" s="464"/>
      <c r="AV1699" s="449"/>
      <c r="AW1699" s="318">
        <f t="shared" si="1214"/>
        <v>16770</v>
      </c>
      <c r="AX1699" s="467"/>
      <c r="AY1699" s="318">
        <f t="shared" si="1215"/>
        <v>16770</v>
      </c>
      <c r="AZ1699" s="318">
        <f t="shared" si="1216"/>
        <v>16750</v>
      </c>
      <c r="BA1699" s="318">
        <f t="shared" si="1217"/>
        <v>20</v>
      </c>
      <c r="BB1699" s="318">
        <f t="shared" si="1218"/>
        <v>33.54</v>
      </c>
      <c r="BC1699" s="318">
        <v>0</v>
      </c>
      <c r="BD1699" s="467"/>
      <c r="BE1699" s="147">
        <v>167.7</v>
      </c>
      <c r="BF1699" s="321">
        <f t="shared" si="1219"/>
        <v>0.25155</v>
      </c>
      <c r="BG1699" s="321">
        <f t="shared" si="1220"/>
        <v>167.44844999999998</v>
      </c>
      <c r="BH1699" s="321">
        <f t="shared" si="1221"/>
        <v>167.5</v>
      </c>
      <c r="BI1699" s="322">
        <f t="shared" si="1222"/>
        <v>19.999999999998863</v>
      </c>
      <c r="BJ1699" s="322">
        <v>0</v>
      </c>
      <c r="BK1699" s="318">
        <f t="shared" si="1223"/>
        <v>19.999999999998863</v>
      </c>
      <c r="BL1699" s="449"/>
      <c r="BM1699" s="449" t="str">
        <f t="shared" si="1224"/>
        <v>Unloading no. 1664 Bill No KAI/2026-27/192 ,Deduction For Oil Deduction= 83179.1999999999 ,Bardana= 0 ,F.M= 0 Brokerage/Rate Difference 0 ,Shortage = 0 ,Greenish= 0 ,Moisture= 0</v>
      </c>
      <c r="BN1699" s="449"/>
      <c r="BO1699" s="449" t="str">
        <f t="shared" si="1225"/>
        <v xml:space="preserve"> Party Condition 42  ,F.M% 0.34 ,Greenish 3.15 ,Moisture 6.2 ,Shortage in KG= 0  ,Oil% 39.52</v>
      </c>
      <c r="BP1699" s="464">
        <f t="shared" si="1226"/>
        <v>7913.4376119402987</v>
      </c>
      <c r="BQ1699" s="449"/>
      <c r="BR1699" s="449"/>
      <c r="BS1699" s="449"/>
      <c r="BT1699" s="449"/>
      <c r="BU1699" s="449"/>
      <c r="BV1699" s="449"/>
      <c r="BW1699" s="449"/>
      <c r="BX1699" s="147">
        <v>39.659999999999997</v>
      </c>
      <c r="BY1699" s="147">
        <v>39.520000000000003</v>
      </c>
      <c r="CA1699" s="56">
        <v>0</v>
      </c>
      <c r="CC1699" s="84">
        <f t="shared" si="1229"/>
        <v>87338</v>
      </c>
      <c r="CD1699" s="56">
        <f t="shared" si="1230"/>
        <v>83179.047619047618</v>
      </c>
      <c r="CO1699" s="460">
        <f t="shared" si="1231"/>
        <v>-39.659999999999997</v>
      </c>
      <c r="CP1699" s="460">
        <f t="shared" si="1232"/>
        <v>-39.520000000000003</v>
      </c>
    </row>
    <row r="1700" spans="1:94" ht="14.1" hidden="1" customHeight="1" x14ac:dyDescent="0.3">
      <c r="A1700" s="128" t="s">
        <v>3594</v>
      </c>
      <c r="B1700" s="465">
        <v>46251</v>
      </c>
      <c r="C1700" s="281">
        <v>1665</v>
      </c>
      <c r="D1700" s="281" t="s">
        <v>3596</v>
      </c>
      <c r="E1700" s="465">
        <v>46252</v>
      </c>
      <c r="F1700" s="281" t="s">
        <v>2397</v>
      </c>
      <c r="G1700" s="128" t="s">
        <v>2398</v>
      </c>
      <c r="H1700" s="281" t="s">
        <v>2399</v>
      </c>
      <c r="I1700" s="136"/>
      <c r="J1700" s="128" t="s">
        <v>2499</v>
      </c>
      <c r="K1700" s="136"/>
      <c r="L1700" s="146">
        <v>46251</v>
      </c>
      <c r="M1700" s="136"/>
      <c r="N1700" s="281" t="s">
        <v>3605</v>
      </c>
      <c r="O1700" s="129">
        <v>46251</v>
      </c>
      <c r="P1700" s="138">
        <v>0</v>
      </c>
      <c r="Q1700" s="138">
        <v>120</v>
      </c>
      <c r="R1700" s="138">
        <v>450</v>
      </c>
      <c r="S1700" s="138">
        <v>570</v>
      </c>
      <c r="T1700" s="138">
        <v>570</v>
      </c>
      <c r="U1700" s="136"/>
      <c r="V1700" s="136"/>
      <c r="W1700" s="138">
        <v>346.9</v>
      </c>
      <c r="X1700" s="138">
        <v>346.2</v>
      </c>
      <c r="Y1700" s="138">
        <v>2896615</v>
      </c>
      <c r="Z1700" s="128"/>
      <c r="AA1700" s="138">
        <v>72415.38</v>
      </c>
      <c r="AB1700" s="138">
        <v>72415.38</v>
      </c>
      <c r="AC1700" s="138">
        <v>3041445.75</v>
      </c>
      <c r="AD1700" s="321">
        <f t="shared" si="1201"/>
        <v>3038404.30425</v>
      </c>
      <c r="AE1700" s="138">
        <v>40.57</v>
      </c>
      <c r="AF1700" s="138">
        <v>42</v>
      </c>
      <c r="AG1700" s="138">
        <v>40.700000000000003</v>
      </c>
      <c r="AH1700" s="287">
        <v>2.5999999999999999E-3</v>
      </c>
      <c r="AI1700" s="287">
        <v>3.5000000000000003E-2</v>
      </c>
      <c r="AJ1700" s="287">
        <v>6.2E-2</v>
      </c>
      <c r="AK1700" s="318">
        <f t="shared" ref="AK1700:AK1708" si="1233">+IF(AF1700=42,IF(MIN(AE1700,AG1700)&lt;AF1700,Y1700*((AF1700-MIN(AE1700,AG1700))/AF1700)),IF(MIN(AE1700,AG1700)&lt;AF1700,Y1700*((AF1700-MIN(AE1700,AG1700))/AF1700),0))</f>
        <v>98622.84404761903</v>
      </c>
      <c r="AL1700" s="467">
        <v>0</v>
      </c>
      <c r="AM1700" s="321">
        <v>0</v>
      </c>
      <c r="AN1700" s="321">
        <v>0</v>
      </c>
      <c r="AO1700" s="318">
        <f t="shared" ref="AO1700:AO1708" si="1234">AT1700*Y1700/AW1700</f>
        <v>83.5</v>
      </c>
      <c r="AP1700" s="467">
        <v>0</v>
      </c>
      <c r="AQ1700" s="318">
        <v>0</v>
      </c>
      <c r="AR1700" s="318">
        <f t="shared" ref="AR1700:AR1708" si="1235">SUM(AK1700:AQ1700)</f>
        <v>98706.34404761903</v>
      </c>
      <c r="AS1700" s="318">
        <f t="shared" ref="AS1700:AS1708" si="1236">ROUND(AR1700*1.05,0)</f>
        <v>103642</v>
      </c>
      <c r="AT1700" s="321">
        <v>1</v>
      </c>
      <c r="AU1700" s="464"/>
      <c r="AV1700" s="449"/>
      <c r="AW1700" s="318">
        <f t="shared" ref="AW1700:AW1708" si="1237">W1700*100</f>
        <v>34690</v>
      </c>
      <c r="AX1700" s="467"/>
      <c r="AY1700" s="318">
        <f t="shared" ref="AY1700:AY1708" si="1238">+AW1700+AX1700</f>
        <v>34690</v>
      </c>
      <c r="AZ1700" s="318">
        <f t="shared" ref="AZ1700:AZ1708" si="1239">X1700*100</f>
        <v>34620</v>
      </c>
      <c r="BA1700" s="318">
        <f t="shared" ref="BA1700:BA1708" si="1240">AY1700-AZ1700</f>
        <v>70</v>
      </c>
      <c r="BB1700" s="318">
        <f t="shared" ref="BB1700:BB1708" si="1241">AW1700*2/1000</f>
        <v>69.38</v>
      </c>
      <c r="BC1700" s="318">
        <v>0</v>
      </c>
      <c r="BD1700" s="467"/>
      <c r="BE1700" s="138">
        <v>346.9</v>
      </c>
      <c r="BF1700" s="321">
        <f t="shared" ref="BF1700" si="1242">+BE1700*0.15/100</f>
        <v>0.52034999999999998</v>
      </c>
      <c r="BG1700" s="321">
        <f t="shared" ref="BG1700" si="1243">BE1700-BF1700</f>
        <v>346.37964999999997</v>
      </c>
      <c r="BH1700" s="321">
        <f t="shared" ref="BH1700" si="1244">X1700</f>
        <v>346.2</v>
      </c>
      <c r="BI1700" s="322">
        <f t="shared" ref="BI1700" si="1245">(BE1700-BH1700)*100</f>
        <v>69.999999999998863</v>
      </c>
      <c r="BJ1700" s="322">
        <v>0</v>
      </c>
      <c r="BK1700" s="318">
        <f t="shared" ref="BK1700" si="1246">BI1700</f>
        <v>69.999999999998863</v>
      </c>
      <c r="BL1700" s="449"/>
      <c r="BM1700" s="449" t="str">
        <f t="shared" ref="BM1700" si="1247">+$C$1&amp;" "&amp;C1700 &amp;" "&amp;$N$1&amp;" "&amp;N1700&amp;" "&amp;$BM$1&amp;" "&amp;$AK$1&amp;" "&amp;AK1700&amp;" "&amp;$AL$1&amp;" "&amp;AL1700&amp;" "&amp;$AM$1&amp;" "&amp;AM1700&amp;" "&amp;$AN$1&amp;" "&amp;AN1700&amp;" "&amp;$AO$1&amp;" "&amp;AO1700&amp;" "&amp;$AP$1&amp;" "&amp;AP1700&amp;" "&amp;$AQ$1&amp;" "&amp;AQ1700</f>
        <v>Unloading no. 1665 Bill No 2026-27/0343 ,Deduction For Oil Deduction= 98622.844047619 ,Bardana= 0 ,F.M= 0 Brokerage/Rate Difference 0 ,Shortage = 83.5 ,Greenish= 0 ,Moisture= 0</v>
      </c>
      <c r="BN1700" s="449"/>
      <c r="BO1700" s="449" t="str">
        <f t="shared" ref="BO1700" si="1248">+" "&amp;$AF$1&amp;" "&amp;AF1700&amp;" "&amp;" "&amp;$AH$1&amp;" "&amp;AH1700*100&amp;" "&amp;$AI$1&amp;" "&amp;AI1700*100&amp;" "&amp;$AJ$1&amp;" "&amp;AJ1700*100&amp;" ,"&amp;$AT$1&amp;" "&amp;AT1700&amp;" "&amp;IF(AE1700&gt;AG1700," ,Oil%"&amp;" "&amp;AG1700," ,Oil%"&amp;" "&amp;AE1700)</f>
        <v xml:space="preserve"> Party Condition 42  ,F.M% 0.26 ,Greenish 3.5 ,Moisture 6.2 ,Shortage in KG= 1  ,Oil% 40.57</v>
      </c>
      <c r="BP1700" s="464">
        <f t="shared" ref="BP1700" si="1249">(Y1700-AR1700)/X1700</f>
        <v>8081.7696590190099</v>
      </c>
      <c r="BQ1700" s="449"/>
      <c r="BR1700" s="449"/>
      <c r="BS1700" s="449"/>
      <c r="BT1700" s="449"/>
      <c r="BU1700" s="449"/>
      <c r="BV1700" s="449"/>
      <c r="BW1700" s="449"/>
      <c r="BX1700" s="138">
        <v>40.57</v>
      </c>
      <c r="BY1700" s="138">
        <v>40.700000000000003</v>
      </c>
      <c r="CA1700" s="56">
        <v>0</v>
      </c>
      <c r="CC1700" s="84">
        <f t="shared" si="1229"/>
        <v>103642</v>
      </c>
      <c r="CD1700" s="56">
        <f t="shared" si="1230"/>
        <v>98706.666666666672</v>
      </c>
      <c r="CO1700" s="460">
        <f t="shared" si="1231"/>
        <v>-40.57</v>
      </c>
      <c r="CP1700" s="460">
        <f t="shared" si="1232"/>
        <v>-40.700000000000003</v>
      </c>
    </row>
    <row r="1701" spans="1:94" ht="14.1" hidden="1" customHeight="1" x14ac:dyDescent="0.3">
      <c r="A1701" s="128" t="s">
        <v>3547</v>
      </c>
      <c r="B1701" s="465">
        <v>46248</v>
      </c>
      <c r="C1701" s="281">
        <v>1666</v>
      </c>
      <c r="D1701" s="281" t="s">
        <v>3597</v>
      </c>
      <c r="E1701" s="465">
        <v>46252</v>
      </c>
      <c r="F1701" s="281" t="s">
        <v>2190</v>
      </c>
      <c r="G1701" s="128" t="s">
        <v>2191</v>
      </c>
      <c r="H1701" s="281" t="s">
        <v>97</v>
      </c>
      <c r="I1701" s="136"/>
      <c r="J1701" s="128" t="s">
        <v>1146</v>
      </c>
      <c r="K1701" s="136"/>
      <c r="L1701" s="146">
        <v>46248</v>
      </c>
      <c r="M1701" s="136"/>
      <c r="N1701" s="281" t="s">
        <v>2927</v>
      </c>
      <c r="O1701" s="129">
        <v>46252</v>
      </c>
      <c r="P1701" s="138">
        <v>0</v>
      </c>
      <c r="Q1701" s="138">
        <v>55</v>
      </c>
      <c r="R1701" s="138">
        <v>100</v>
      </c>
      <c r="S1701" s="138">
        <v>155</v>
      </c>
      <c r="T1701" s="138">
        <v>155</v>
      </c>
      <c r="U1701" s="136"/>
      <c r="V1701" s="136"/>
      <c r="W1701" s="147">
        <v>92.1</v>
      </c>
      <c r="X1701" s="147">
        <v>92.1</v>
      </c>
      <c r="Y1701" s="147">
        <v>775574.1</v>
      </c>
      <c r="Z1701" s="169"/>
      <c r="AA1701" s="147">
        <v>19389.349999999999</v>
      </c>
      <c r="AB1701" s="147">
        <v>19389.349999999999</v>
      </c>
      <c r="AC1701" s="147">
        <v>814352.81</v>
      </c>
      <c r="AD1701" s="321">
        <f t="shared" si="1201"/>
        <v>813538.4571900001</v>
      </c>
      <c r="AE1701" s="147">
        <v>39.880000000000003</v>
      </c>
      <c r="AF1701" s="147">
        <v>42</v>
      </c>
      <c r="AG1701" s="147">
        <v>39.81</v>
      </c>
      <c r="AH1701" s="287">
        <v>3.5999999999999999E-3</v>
      </c>
      <c r="AI1701" s="287">
        <v>3.7199999999999997E-2</v>
      </c>
      <c r="AJ1701" s="287">
        <v>5.3999999999999999E-2</v>
      </c>
      <c r="AK1701" s="318">
        <f t="shared" si="1233"/>
        <v>40440.649499999956</v>
      </c>
      <c r="AL1701" s="467">
        <v>0</v>
      </c>
      <c r="AM1701" s="321">
        <v>0</v>
      </c>
      <c r="AN1701" s="321">
        <v>0</v>
      </c>
      <c r="AO1701" s="318">
        <f t="shared" si="1234"/>
        <v>0</v>
      </c>
      <c r="AP1701" s="467">
        <v>0</v>
      </c>
      <c r="AQ1701" s="318">
        <v>0</v>
      </c>
      <c r="AR1701" s="318">
        <f t="shared" si="1235"/>
        <v>40440.649499999956</v>
      </c>
      <c r="AS1701" s="318">
        <f t="shared" si="1236"/>
        <v>42463</v>
      </c>
      <c r="AT1701" s="321">
        <v>0</v>
      </c>
      <c r="AU1701" s="464"/>
      <c r="AV1701" s="449"/>
      <c r="AW1701" s="318">
        <f t="shared" si="1237"/>
        <v>9210</v>
      </c>
      <c r="AX1701" s="467"/>
      <c r="AY1701" s="318">
        <f t="shared" si="1238"/>
        <v>9210</v>
      </c>
      <c r="AZ1701" s="318">
        <f t="shared" si="1239"/>
        <v>9210</v>
      </c>
      <c r="BA1701" s="318">
        <f t="shared" si="1240"/>
        <v>0</v>
      </c>
      <c r="BB1701" s="318">
        <f t="shared" si="1241"/>
        <v>18.420000000000002</v>
      </c>
      <c r="BC1701" s="318">
        <v>0</v>
      </c>
      <c r="BD1701" s="467"/>
      <c r="BE1701" s="138">
        <v>92.1</v>
      </c>
      <c r="BF1701" s="321">
        <f t="shared" ref="BF1701:BF1708" si="1250">+BE1701*0.15/100</f>
        <v>0.13815</v>
      </c>
      <c r="BG1701" s="321">
        <f t="shared" ref="BG1701:BG1708" si="1251">BE1701-BF1701</f>
        <v>91.961849999999998</v>
      </c>
      <c r="BH1701" s="321">
        <f t="shared" ref="BH1701:BH1708" si="1252">X1701</f>
        <v>92.1</v>
      </c>
      <c r="BI1701" s="322">
        <f t="shared" ref="BI1701:BI1708" si="1253">(BE1701-BH1701)*100</f>
        <v>0</v>
      </c>
      <c r="BJ1701" s="322">
        <v>0</v>
      </c>
      <c r="BK1701" s="318">
        <f t="shared" ref="BK1701:BK1708" si="1254">BI1701</f>
        <v>0</v>
      </c>
      <c r="BL1701" s="449"/>
      <c r="BM1701" s="449" t="str">
        <f t="shared" ref="BM1701:BM1708" si="1255">+$C$1&amp;" "&amp;C1701 &amp;" "&amp;$N$1&amp;" "&amp;N1701&amp;" "&amp;$BM$1&amp;" "&amp;$AK$1&amp;" "&amp;AK1701&amp;" "&amp;$AL$1&amp;" "&amp;AL1701&amp;" "&amp;$AM$1&amp;" "&amp;AM1701&amp;" "&amp;$AN$1&amp;" "&amp;AN1701&amp;" "&amp;$AO$1&amp;" "&amp;AO1701&amp;" "&amp;$AP$1&amp;" "&amp;AP1701&amp;" "&amp;$AQ$1&amp;" "&amp;AQ1701</f>
        <v>Unloading no. 1666 Bill No 2026-27/448 ,Deduction For Oil Deduction= 40440.6495 ,Bardana= 0 ,F.M= 0 Brokerage/Rate Difference 0 ,Shortage = 0 ,Greenish= 0 ,Moisture= 0</v>
      </c>
      <c r="BN1701" s="449"/>
      <c r="BO1701" s="449" t="str">
        <f t="shared" ref="BO1701:BO1708" si="1256">+" "&amp;$AF$1&amp;" "&amp;AF1701&amp;" "&amp;" "&amp;$AH$1&amp;" "&amp;AH1701*100&amp;" "&amp;$AI$1&amp;" "&amp;AI1701*100&amp;" "&amp;$AJ$1&amp;" "&amp;AJ1701*100&amp;" ,"&amp;$AT$1&amp;" "&amp;AT1701&amp;" "&amp;IF(AE1701&gt;AG1701," ,Oil%"&amp;" "&amp;AG1701," ,Oil%"&amp;" "&amp;AE1701)</f>
        <v xml:space="preserve"> Party Condition 42  ,F.M% 0.36 ,Greenish 3.72 ,Moisture 5.4 ,Shortage in KG= 0  ,Oil% 39.81</v>
      </c>
      <c r="BP1701" s="464">
        <f t="shared" ref="BP1701:BP1708" si="1257">(Y1701-AR1701)/X1701</f>
        <v>7981.9050000000007</v>
      </c>
      <c r="BQ1701" s="449"/>
      <c r="BR1701" s="449"/>
      <c r="BS1701" s="449"/>
      <c r="BT1701" s="449"/>
      <c r="BU1701" s="449"/>
      <c r="BV1701" s="449"/>
      <c r="BW1701" s="449"/>
      <c r="BX1701" s="147">
        <v>39.880000000000003</v>
      </c>
      <c r="BY1701" s="147">
        <v>39.81</v>
      </c>
      <c r="CA1701" s="56">
        <v>0</v>
      </c>
      <c r="CC1701" s="84">
        <f t="shared" si="1229"/>
        <v>42463</v>
      </c>
      <c r="CD1701" s="56">
        <f t="shared" si="1230"/>
        <v>40440.952380952382</v>
      </c>
      <c r="CO1701" s="460">
        <f t="shared" si="1231"/>
        <v>-39.880000000000003</v>
      </c>
      <c r="CP1701" s="460">
        <f t="shared" si="1232"/>
        <v>-39.81</v>
      </c>
    </row>
    <row r="1702" spans="1:94" ht="14.1" hidden="1" customHeight="1" x14ac:dyDescent="0.3">
      <c r="A1702" s="128" t="s">
        <v>3547</v>
      </c>
      <c r="B1702" s="465">
        <v>46248</v>
      </c>
      <c r="C1702" s="281">
        <v>1667</v>
      </c>
      <c r="D1702" s="281" t="s">
        <v>3598</v>
      </c>
      <c r="E1702" s="465">
        <v>46252</v>
      </c>
      <c r="F1702" s="281" t="s">
        <v>2190</v>
      </c>
      <c r="G1702" s="128" t="s">
        <v>2191</v>
      </c>
      <c r="H1702" s="281" t="s">
        <v>97</v>
      </c>
      <c r="I1702" s="136"/>
      <c r="J1702" s="128" t="s">
        <v>1146</v>
      </c>
      <c r="K1702" s="136"/>
      <c r="L1702" s="146">
        <v>46248</v>
      </c>
      <c r="M1702" s="136"/>
      <c r="N1702" s="281" t="s">
        <v>2919</v>
      </c>
      <c r="O1702" s="129">
        <v>46252</v>
      </c>
      <c r="P1702" s="138">
        <v>0</v>
      </c>
      <c r="Q1702" s="138">
        <v>140</v>
      </c>
      <c r="R1702" s="138">
        <v>15</v>
      </c>
      <c r="S1702" s="138">
        <v>155</v>
      </c>
      <c r="T1702" s="138">
        <v>155</v>
      </c>
      <c r="U1702" s="136"/>
      <c r="V1702" s="136"/>
      <c r="W1702" s="147">
        <v>92.1</v>
      </c>
      <c r="X1702" s="147">
        <v>92.1</v>
      </c>
      <c r="Y1702" s="147">
        <v>775574</v>
      </c>
      <c r="Z1702" s="169"/>
      <c r="AA1702" s="147">
        <v>19389.349999999999</v>
      </c>
      <c r="AB1702" s="147">
        <v>19389.349999999999</v>
      </c>
      <c r="AC1702" s="147">
        <v>814352.7</v>
      </c>
      <c r="AD1702" s="321">
        <f t="shared" si="1201"/>
        <v>813538.34729999991</v>
      </c>
      <c r="AE1702" s="147">
        <v>39.799999999999997</v>
      </c>
      <c r="AF1702" s="147">
        <v>42</v>
      </c>
      <c r="AG1702" s="147">
        <v>39.79</v>
      </c>
      <c r="AH1702" s="287">
        <v>2.8E-3</v>
      </c>
      <c r="AI1702" s="287">
        <v>3.6200000000000003E-2</v>
      </c>
      <c r="AJ1702" s="287">
        <v>5.5E-2</v>
      </c>
      <c r="AK1702" s="318">
        <f t="shared" si="1233"/>
        <v>40809.965238095254</v>
      </c>
      <c r="AL1702" s="467">
        <v>0</v>
      </c>
      <c r="AM1702" s="321">
        <v>0</v>
      </c>
      <c r="AN1702" s="321">
        <v>0</v>
      </c>
      <c r="AO1702" s="318">
        <f t="shared" si="1234"/>
        <v>0</v>
      </c>
      <c r="AP1702" s="467">
        <v>0</v>
      </c>
      <c r="AQ1702" s="318">
        <v>0</v>
      </c>
      <c r="AR1702" s="318">
        <f t="shared" si="1235"/>
        <v>40809.965238095254</v>
      </c>
      <c r="AS1702" s="318">
        <f t="shared" si="1236"/>
        <v>42850</v>
      </c>
      <c r="AT1702" s="321">
        <v>0</v>
      </c>
      <c r="AU1702" s="464"/>
      <c r="AV1702" s="449"/>
      <c r="AW1702" s="318">
        <f t="shared" si="1237"/>
        <v>9210</v>
      </c>
      <c r="AX1702" s="467"/>
      <c r="AY1702" s="318">
        <f t="shared" si="1238"/>
        <v>9210</v>
      </c>
      <c r="AZ1702" s="318">
        <f t="shared" si="1239"/>
        <v>9210</v>
      </c>
      <c r="BA1702" s="318">
        <f t="shared" si="1240"/>
        <v>0</v>
      </c>
      <c r="BB1702" s="318">
        <f t="shared" si="1241"/>
        <v>18.420000000000002</v>
      </c>
      <c r="BC1702" s="318">
        <v>0</v>
      </c>
      <c r="BD1702" s="467"/>
      <c r="BE1702" s="138">
        <v>92.1</v>
      </c>
      <c r="BF1702" s="321">
        <f t="shared" si="1250"/>
        <v>0.13815</v>
      </c>
      <c r="BG1702" s="321">
        <f t="shared" si="1251"/>
        <v>91.961849999999998</v>
      </c>
      <c r="BH1702" s="321">
        <f t="shared" si="1252"/>
        <v>92.1</v>
      </c>
      <c r="BI1702" s="322">
        <f t="shared" si="1253"/>
        <v>0</v>
      </c>
      <c r="BJ1702" s="322">
        <v>0</v>
      </c>
      <c r="BK1702" s="318">
        <f t="shared" si="1254"/>
        <v>0</v>
      </c>
      <c r="BL1702" s="449"/>
      <c r="BM1702" s="449" t="str">
        <f t="shared" si="1255"/>
        <v>Unloading no. 1667 Bill No 2026-27/447 ,Deduction For Oil Deduction= 40809.9652380953 ,Bardana= 0 ,F.M= 0 Brokerage/Rate Difference 0 ,Shortage = 0 ,Greenish= 0 ,Moisture= 0</v>
      </c>
      <c r="BN1702" s="449"/>
      <c r="BO1702" s="449" t="str">
        <f t="shared" si="1256"/>
        <v xml:space="preserve"> Party Condition 42  ,F.M% 0.28 ,Greenish 3.62 ,Moisture 5.5 ,Shortage in KG= 0  ,Oil% 39.79</v>
      </c>
      <c r="BP1702" s="464">
        <f t="shared" si="1257"/>
        <v>7977.8939713561867</v>
      </c>
      <c r="BQ1702" s="449"/>
      <c r="BR1702" s="449"/>
      <c r="BS1702" s="449"/>
      <c r="BT1702" s="449"/>
      <c r="BU1702" s="449"/>
      <c r="BV1702" s="449"/>
      <c r="BW1702" s="449"/>
      <c r="BX1702" s="147">
        <v>39.799999999999997</v>
      </c>
      <c r="BY1702" s="147">
        <v>39.79</v>
      </c>
      <c r="CA1702" s="56">
        <v>0</v>
      </c>
      <c r="CC1702" s="84">
        <f t="shared" si="1229"/>
        <v>42850</v>
      </c>
      <c r="CD1702" s="56">
        <f t="shared" si="1230"/>
        <v>40809.523809523809</v>
      </c>
      <c r="CO1702" s="460">
        <f t="shared" si="1231"/>
        <v>-39.799999999999997</v>
      </c>
      <c r="CP1702" s="460">
        <f t="shared" si="1232"/>
        <v>-39.79</v>
      </c>
    </row>
    <row r="1703" spans="1:94" ht="14.1" hidden="1" customHeight="1" x14ac:dyDescent="0.3">
      <c r="A1703" s="128" t="s">
        <v>3547</v>
      </c>
      <c r="B1703" s="465">
        <v>46248</v>
      </c>
      <c r="C1703" s="281">
        <v>1668</v>
      </c>
      <c r="D1703" s="281" t="s">
        <v>3599</v>
      </c>
      <c r="E1703" s="465">
        <v>46252</v>
      </c>
      <c r="F1703" s="281" t="s">
        <v>2190</v>
      </c>
      <c r="G1703" s="128" t="s">
        <v>2191</v>
      </c>
      <c r="H1703" s="281" t="s">
        <v>97</v>
      </c>
      <c r="I1703" s="136"/>
      <c r="J1703" s="128" t="s">
        <v>1146</v>
      </c>
      <c r="K1703" s="136"/>
      <c r="L1703" s="146">
        <v>46248</v>
      </c>
      <c r="M1703" s="136"/>
      <c r="N1703" s="281" t="s">
        <v>2921</v>
      </c>
      <c r="O1703" s="129">
        <v>46252</v>
      </c>
      <c r="P1703" s="138">
        <v>0</v>
      </c>
      <c r="Q1703" s="138">
        <v>140</v>
      </c>
      <c r="R1703" s="138">
        <v>15</v>
      </c>
      <c r="S1703" s="138">
        <v>155</v>
      </c>
      <c r="T1703" s="138">
        <v>155</v>
      </c>
      <c r="U1703" s="136"/>
      <c r="V1703" s="136"/>
      <c r="W1703" s="147">
        <v>90.8</v>
      </c>
      <c r="X1703" s="147">
        <v>90.7</v>
      </c>
      <c r="Y1703" s="147">
        <v>764626.8</v>
      </c>
      <c r="Z1703" s="169"/>
      <c r="AA1703" s="147">
        <v>19115.669999999998</v>
      </c>
      <c r="AB1703" s="147">
        <v>19115.669999999998</v>
      </c>
      <c r="AC1703" s="147">
        <v>802858.14</v>
      </c>
      <c r="AD1703" s="321">
        <f t="shared" si="1201"/>
        <v>802055.28185999999</v>
      </c>
      <c r="AE1703" s="147">
        <v>40.340000000000003</v>
      </c>
      <c r="AF1703" s="147">
        <v>42</v>
      </c>
      <c r="AG1703" s="147">
        <v>40.11</v>
      </c>
      <c r="AH1703" s="287">
        <v>3.3E-3</v>
      </c>
      <c r="AI1703" s="287">
        <v>2.86E-2</v>
      </c>
      <c r="AJ1703" s="287">
        <v>0.05</v>
      </c>
      <c r="AK1703" s="318">
        <f t="shared" si="1233"/>
        <v>34408.206000000013</v>
      </c>
      <c r="AL1703" s="467">
        <v>0</v>
      </c>
      <c r="AM1703" s="321">
        <v>0</v>
      </c>
      <c r="AN1703" s="321">
        <v>0</v>
      </c>
      <c r="AO1703" s="318">
        <f t="shared" si="1234"/>
        <v>0</v>
      </c>
      <c r="AP1703" s="467">
        <v>0</v>
      </c>
      <c r="AQ1703" s="318">
        <v>0</v>
      </c>
      <c r="AR1703" s="318">
        <f t="shared" si="1235"/>
        <v>34408.206000000013</v>
      </c>
      <c r="AS1703" s="318">
        <f t="shared" si="1236"/>
        <v>36129</v>
      </c>
      <c r="AT1703" s="321">
        <v>0</v>
      </c>
      <c r="AU1703" s="464"/>
      <c r="AV1703" s="449"/>
      <c r="AW1703" s="318">
        <f t="shared" si="1237"/>
        <v>9080</v>
      </c>
      <c r="AX1703" s="467"/>
      <c r="AY1703" s="318">
        <f t="shared" si="1238"/>
        <v>9080</v>
      </c>
      <c r="AZ1703" s="318">
        <f t="shared" si="1239"/>
        <v>9070</v>
      </c>
      <c r="BA1703" s="318">
        <f t="shared" si="1240"/>
        <v>10</v>
      </c>
      <c r="BB1703" s="318">
        <f t="shared" si="1241"/>
        <v>18.16</v>
      </c>
      <c r="BC1703" s="318">
        <v>0</v>
      </c>
      <c r="BD1703" s="467"/>
      <c r="BE1703" s="138">
        <v>90.8</v>
      </c>
      <c r="BF1703" s="321">
        <f t="shared" si="1250"/>
        <v>0.13619999999999999</v>
      </c>
      <c r="BG1703" s="321">
        <f t="shared" si="1251"/>
        <v>90.663799999999995</v>
      </c>
      <c r="BH1703" s="321">
        <f t="shared" si="1252"/>
        <v>90.7</v>
      </c>
      <c r="BI1703" s="322">
        <f t="shared" si="1253"/>
        <v>9.9999999999994316</v>
      </c>
      <c r="BJ1703" s="322">
        <v>0</v>
      </c>
      <c r="BK1703" s="318">
        <f t="shared" si="1254"/>
        <v>9.9999999999994316</v>
      </c>
      <c r="BL1703" s="449"/>
      <c r="BM1703" s="449" t="str">
        <f t="shared" si="1255"/>
        <v>Unloading no. 1668 Bill No 2026-27/450 ,Deduction For Oil Deduction= 34408.206 ,Bardana= 0 ,F.M= 0 Brokerage/Rate Difference 0 ,Shortage = 0 ,Greenish= 0 ,Moisture= 0</v>
      </c>
      <c r="BN1703" s="449"/>
      <c r="BO1703" s="449" t="str">
        <f t="shared" si="1256"/>
        <v xml:space="preserve"> Party Condition 42  ,F.M% 0.33 ,Greenish 2.86 ,Moisture 5 ,Shortage in KG= 0  ,Oil% 40.11</v>
      </c>
      <c r="BP1703" s="464">
        <f t="shared" si="1257"/>
        <v>8050.921653803749</v>
      </c>
      <c r="BQ1703" s="449"/>
      <c r="BR1703" s="449"/>
      <c r="BS1703" s="449"/>
      <c r="BT1703" s="449"/>
      <c r="BU1703" s="449"/>
      <c r="BV1703" s="449"/>
      <c r="BW1703" s="449"/>
      <c r="BX1703" s="147">
        <v>40.340000000000003</v>
      </c>
      <c r="BY1703" s="147">
        <v>40.11</v>
      </c>
      <c r="CA1703" s="56">
        <v>0</v>
      </c>
      <c r="CC1703" s="84">
        <f t="shared" si="1229"/>
        <v>36129</v>
      </c>
      <c r="CD1703" s="56">
        <f t="shared" si="1230"/>
        <v>34408.571428571428</v>
      </c>
      <c r="CO1703" s="460">
        <f t="shared" si="1231"/>
        <v>-40.340000000000003</v>
      </c>
      <c r="CP1703" s="460">
        <f t="shared" si="1232"/>
        <v>-40.11</v>
      </c>
    </row>
    <row r="1704" spans="1:94" ht="14.1" hidden="1" customHeight="1" x14ac:dyDescent="0.3">
      <c r="A1704" s="128" t="s">
        <v>3547</v>
      </c>
      <c r="B1704" s="465">
        <v>46248</v>
      </c>
      <c r="C1704" s="281">
        <v>1669</v>
      </c>
      <c r="D1704" s="281" t="s">
        <v>3600</v>
      </c>
      <c r="E1704" s="465">
        <v>46252</v>
      </c>
      <c r="F1704" s="281" t="s">
        <v>2190</v>
      </c>
      <c r="G1704" s="128" t="s">
        <v>2191</v>
      </c>
      <c r="H1704" s="281" t="s">
        <v>97</v>
      </c>
      <c r="I1704" s="136"/>
      <c r="J1704" s="128" t="s">
        <v>1146</v>
      </c>
      <c r="K1704" s="136"/>
      <c r="L1704" s="146">
        <v>46248</v>
      </c>
      <c r="M1704" s="136"/>
      <c r="N1704" s="281" t="s">
        <v>2955</v>
      </c>
      <c r="O1704" s="129">
        <v>46252</v>
      </c>
      <c r="P1704" s="138">
        <v>0</v>
      </c>
      <c r="Q1704" s="138">
        <v>140</v>
      </c>
      <c r="R1704" s="138">
        <v>15</v>
      </c>
      <c r="S1704" s="138">
        <v>155</v>
      </c>
      <c r="T1704" s="138">
        <v>155</v>
      </c>
      <c r="U1704" s="136"/>
      <c r="V1704" s="136"/>
      <c r="W1704" s="147">
        <v>91.9</v>
      </c>
      <c r="X1704" s="147">
        <v>91.8</v>
      </c>
      <c r="Y1704" s="147">
        <v>773889.9</v>
      </c>
      <c r="Z1704" s="169"/>
      <c r="AA1704" s="147">
        <v>19347.25</v>
      </c>
      <c r="AB1704" s="147">
        <v>19347.25</v>
      </c>
      <c r="AC1704" s="147">
        <v>812584.4</v>
      </c>
      <c r="AD1704" s="321">
        <f t="shared" si="1201"/>
        <v>811771.81559999997</v>
      </c>
      <c r="AE1704" s="147">
        <v>39.74</v>
      </c>
      <c r="AF1704" s="147">
        <v>42</v>
      </c>
      <c r="AG1704" s="147">
        <v>39.67</v>
      </c>
      <c r="AH1704" s="287">
        <v>3.3999999999999998E-3</v>
      </c>
      <c r="AI1704" s="287">
        <v>0.03</v>
      </c>
      <c r="AJ1704" s="287">
        <v>0.05</v>
      </c>
      <c r="AK1704" s="318">
        <f t="shared" si="1233"/>
        <v>42932.463499999969</v>
      </c>
      <c r="AL1704" s="467">
        <v>0</v>
      </c>
      <c r="AM1704" s="321">
        <v>0</v>
      </c>
      <c r="AN1704" s="321">
        <v>0</v>
      </c>
      <c r="AO1704" s="318">
        <f t="shared" si="1234"/>
        <v>0</v>
      </c>
      <c r="AP1704" s="467">
        <v>0</v>
      </c>
      <c r="AQ1704" s="318">
        <v>0</v>
      </c>
      <c r="AR1704" s="318">
        <f t="shared" si="1235"/>
        <v>42932.463499999969</v>
      </c>
      <c r="AS1704" s="318">
        <f t="shared" si="1236"/>
        <v>45079</v>
      </c>
      <c r="AT1704" s="321">
        <v>0</v>
      </c>
      <c r="AU1704" s="464"/>
      <c r="AV1704" s="449"/>
      <c r="AW1704" s="318">
        <f t="shared" si="1237"/>
        <v>9190</v>
      </c>
      <c r="AX1704" s="467"/>
      <c r="AY1704" s="318">
        <f t="shared" si="1238"/>
        <v>9190</v>
      </c>
      <c r="AZ1704" s="318">
        <f t="shared" si="1239"/>
        <v>9180</v>
      </c>
      <c r="BA1704" s="318">
        <f t="shared" si="1240"/>
        <v>10</v>
      </c>
      <c r="BB1704" s="318">
        <f t="shared" si="1241"/>
        <v>18.38</v>
      </c>
      <c r="BC1704" s="318">
        <v>0</v>
      </c>
      <c r="BD1704" s="467"/>
      <c r="BE1704" s="138">
        <v>91.9</v>
      </c>
      <c r="BF1704" s="321">
        <f t="shared" si="1250"/>
        <v>0.13785</v>
      </c>
      <c r="BG1704" s="321">
        <f t="shared" si="1251"/>
        <v>91.762150000000005</v>
      </c>
      <c r="BH1704" s="321">
        <f t="shared" si="1252"/>
        <v>91.8</v>
      </c>
      <c r="BI1704" s="322">
        <f t="shared" si="1253"/>
        <v>10.000000000000853</v>
      </c>
      <c r="BJ1704" s="322">
        <v>0</v>
      </c>
      <c r="BK1704" s="318">
        <f t="shared" si="1254"/>
        <v>10.000000000000853</v>
      </c>
      <c r="BL1704" s="449"/>
      <c r="BM1704" s="449" t="str">
        <f t="shared" si="1255"/>
        <v>Unloading no. 1669 Bill No 2026-27/451 ,Deduction For Oil Deduction= 42932.4635 ,Bardana= 0 ,F.M= 0 Brokerage/Rate Difference 0 ,Shortage = 0 ,Greenish= 0 ,Moisture= 0</v>
      </c>
      <c r="BN1704" s="449"/>
      <c r="BO1704" s="449" t="str">
        <f t="shared" si="1256"/>
        <v xml:space="preserve"> Party Condition 42  ,F.M% 0.34 ,Greenish 3 ,Moisture 5 ,Shortage in KG= 0  ,Oil% 39.67</v>
      </c>
      <c r="BP1704" s="464">
        <f t="shared" si="1257"/>
        <v>7962.4993082788678</v>
      </c>
      <c r="BQ1704" s="449"/>
      <c r="BR1704" s="449"/>
      <c r="BS1704" s="449"/>
      <c r="BT1704" s="449"/>
      <c r="BU1704" s="449"/>
      <c r="BV1704" s="449"/>
      <c r="BW1704" s="449"/>
      <c r="BX1704" s="147">
        <v>39.74</v>
      </c>
      <c r="BY1704" s="147">
        <v>39.67</v>
      </c>
      <c r="CA1704" s="56">
        <v>0</v>
      </c>
      <c r="CC1704" s="84">
        <f t="shared" si="1229"/>
        <v>45079</v>
      </c>
      <c r="CD1704" s="56">
        <f t="shared" si="1230"/>
        <v>42932.380952380954</v>
      </c>
      <c r="CO1704" s="460">
        <f t="shared" si="1231"/>
        <v>-39.74</v>
      </c>
      <c r="CP1704" s="460">
        <f t="shared" si="1232"/>
        <v>-39.67</v>
      </c>
    </row>
    <row r="1705" spans="1:94" ht="14.1" hidden="1" customHeight="1" x14ac:dyDescent="0.3">
      <c r="A1705" s="128" t="s">
        <v>3544</v>
      </c>
      <c r="B1705" s="465">
        <v>46252</v>
      </c>
      <c r="C1705" s="281">
        <v>1670</v>
      </c>
      <c r="D1705" s="281" t="s">
        <v>3601</v>
      </c>
      <c r="E1705" s="465">
        <v>46253</v>
      </c>
      <c r="F1705" s="281" t="s">
        <v>3299</v>
      </c>
      <c r="G1705" s="128" t="s">
        <v>2630</v>
      </c>
      <c r="H1705" s="281" t="s">
        <v>1508</v>
      </c>
      <c r="I1705" s="136"/>
      <c r="J1705" s="128" t="s">
        <v>1146</v>
      </c>
      <c r="K1705" s="136"/>
      <c r="L1705" s="146">
        <v>46252</v>
      </c>
      <c r="M1705" s="136"/>
      <c r="N1705" s="281">
        <v>227</v>
      </c>
      <c r="O1705" s="129">
        <v>46251</v>
      </c>
      <c r="P1705" s="138">
        <v>0</v>
      </c>
      <c r="Q1705" s="138">
        <v>550</v>
      </c>
      <c r="R1705" s="138">
        <v>250</v>
      </c>
      <c r="S1705" s="138">
        <v>800</v>
      </c>
      <c r="T1705" s="138">
        <v>800</v>
      </c>
      <c r="U1705" s="136"/>
      <c r="V1705" s="136"/>
      <c r="W1705" s="147">
        <v>398.3</v>
      </c>
      <c r="X1705" s="147">
        <v>398.2</v>
      </c>
      <c r="Y1705" s="196">
        <f>3349703-31864</f>
        <v>3317839</v>
      </c>
      <c r="Z1705" s="236">
        <v>38.99</v>
      </c>
      <c r="AA1705" s="147">
        <v>83742.58</v>
      </c>
      <c r="AB1705" s="147">
        <v>83742.58</v>
      </c>
      <c r="AC1705" s="147">
        <v>3517188.15</v>
      </c>
      <c r="AD1705" s="321">
        <f t="shared" si="1201"/>
        <v>3513670.9618500001</v>
      </c>
      <c r="AE1705" s="236">
        <v>38.99</v>
      </c>
      <c r="AF1705" s="147">
        <v>42</v>
      </c>
      <c r="AG1705" s="236">
        <v>38.99</v>
      </c>
      <c r="AH1705" s="287">
        <v>5.0000000000000001E-3</v>
      </c>
      <c r="AI1705" s="287">
        <v>4.1799999999999997E-2</v>
      </c>
      <c r="AJ1705" s="287">
        <v>0.05</v>
      </c>
      <c r="AK1705" s="318">
        <f t="shared" si="1233"/>
        <v>237778.4616666665</v>
      </c>
      <c r="AL1705" s="467">
        <v>0</v>
      </c>
      <c r="AM1705" s="321">
        <v>0</v>
      </c>
      <c r="AN1705" s="321">
        <v>0</v>
      </c>
      <c r="AO1705" s="318">
        <f t="shared" si="1234"/>
        <v>0</v>
      </c>
      <c r="AP1705" s="467">
        <v>0</v>
      </c>
      <c r="AQ1705" s="318">
        <v>0</v>
      </c>
      <c r="AR1705" s="318">
        <f t="shared" si="1235"/>
        <v>237778.4616666665</v>
      </c>
      <c r="AS1705" s="318">
        <f t="shared" si="1236"/>
        <v>249667</v>
      </c>
      <c r="AT1705" s="321">
        <v>0</v>
      </c>
      <c r="AU1705" s="464"/>
      <c r="AV1705" s="449"/>
      <c r="AW1705" s="318">
        <f t="shared" si="1237"/>
        <v>39830</v>
      </c>
      <c r="AX1705" s="467"/>
      <c r="AY1705" s="318">
        <f t="shared" si="1238"/>
        <v>39830</v>
      </c>
      <c r="AZ1705" s="318">
        <f t="shared" si="1239"/>
        <v>39820</v>
      </c>
      <c r="BA1705" s="318">
        <f t="shared" si="1240"/>
        <v>10</v>
      </c>
      <c r="BB1705" s="318">
        <f t="shared" si="1241"/>
        <v>79.66</v>
      </c>
      <c r="BC1705" s="318">
        <v>0</v>
      </c>
      <c r="BD1705" s="467"/>
      <c r="BE1705" s="138">
        <v>398.3</v>
      </c>
      <c r="BF1705" s="321">
        <f t="shared" si="1250"/>
        <v>0.59744999999999993</v>
      </c>
      <c r="BG1705" s="321">
        <f t="shared" si="1251"/>
        <v>397.70255000000003</v>
      </c>
      <c r="BH1705" s="321">
        <f t="shared" si="1252"/>
        <v>398.2</v>
      </c>
      <c r="BI1705" s="322">
        <f t="shared" si="1253"/>
        <v>10.000000000002274</v>
      </c>
      <c r="BJ1705" s="322">
        <v>0</v>
      </c>
      <c r="BK1705" s="318">
        <f t="shared" si="1254"/>
        <v>10.000000000002274</v>
      </c>
      <c r="BL1705" s="449"/>
      <c r="BM1705" s="449" t="str">
        <f t="shared" si="1255"/>
        <v>Unloading no. 1670 Bill No 227 ,Deduction For Oil Deduction= 237778.461666666 ,Bardana= 0 ,F.M= 0 Brokerage/Rate Difference 0 ,Shortage = 0 ,Greenish= 0 ,Moisture= 0</v>
      </c>
      <c r="BN1705" s="449"/>
      <c r="BO1705" s="449" t="str">
        <f t="shared" si="1256"/>
        <v xml:space="preserve"> Party Condition 42  ,F.M% 0.5 ,Greenish 4.18 ,Moisture 5 ,Shortage in KG= 0  ,Oil% 38.99</v>
      </c>
      <c r="BP1705" s="464">
        <f t="shared" si="1257"/>
        <v>7734.9586598024453</v>
      </c>
      <c r="BQ1705" s="449"/>
      <c r="BR1705" s="449"/>
      <c r="BS1705" s="449"/>
      <c r="BT1705" s="449"/>
      <c r="BU1705" s="449"/>
      <c r="BV1705" s="449"/>
      <c r="BW1705" s="449"/>
      <c r="BX1705" s="147">
        <v>39.4</v>
      </c>
      <c r="BY1705" s="147">
        <v>39.35</v>
      </c>
      <c r="CA1705" s="56">
        <v>0</v>
      </c>
      <c r="CC1705" s="84">
        <f t="shared" si="1229"/>
        <v>249667</v>
      </c>
      <c r="CD1705" s="56">
        <f t="shared" si="1230"/>
        <v>237778.09523809524</v>
      </c>
      <c r="CO1705" s="460">
        <f t="shared" si="1231"/>
        <v>-0.40999999999999659</v>
      </c>
      <c r="CP1705" s="460">
        <f t="shared" si="1232"/>
        <v>-0.35999999999999943</v>
      </c>
    </row>
    <row r="1706" spans="1:94" ht="14.1" hidden="1" customHeight="1" x14ac:dyDescent="0.3">
      <c r="A1706" s="128" t="s">
        <v>3544</v>
      </c>
      <c r="B1706" s="465">
        <v>46252</v>
      </c>
      <c r="C1706" s="281">
        <v>1671</v>
      </c>
      <c r="D1706" s="281" t="s">
        <v>3602</v>
      </c>
      <c r="E1706" s="465">
        <v>46253</v>
      </c>
      <c r="F1706" s="281" t="s">
        <v>3299</v>
      </c>
      <c r="G1706" s="128" t="s">
        <v>2630</v>
      </c>
      <c r="H1706" s="281" t="s">
        <v>1508</v>
      </c>
      <c r="I1706" s="136"/>
      <c r="J1706" s="128" t="s">
        <v>1146</v>
      </c>
      <c r="K1706" s="136"/>
      <c r="L1706" s="146">
        <v>46252</v>
      </c>
      <c r="M1706" s="136"/>
      <c r="N1706" s="281">
        <v>228</v>
      </c>
      <c r="O1706" s="129">
        <v>46251</v>
      </c>
      <c r="P1706" s="138">
        <v>0</v>
      </c>
      <c r="Q1706" s="138">
        <v>500</v>
      </c>
      <c r="R1706" s="138">
        <v>232</v>
      </c>
      <c r="S1706" s="138">
        <v>732</v>
      </c>
      <c r="T1706" s="138">
        <v>732</v>
      </c>
      <c r="U1706" s="136"/>
      <c r="V1706" s="136"/>
      <c r="W1706" s="147">
        <v>364.1</v>
      </c>
      <c r="X1706" s="147">
        <v>364.3</v>
      </c>
      <c r="Y1706" s="196">
        <f>3062081-29128</f>
        <v>3032953</v>
      </c>
      <c r="Z1706" s="236">
        <v>39.450000000000003</v>
      </c>
      <c r="AA1706" s="147">
        <v>76552.03</v>
      </c>
      <c r="AB1706" s="147">
        <v>76552.03</v>
      </c>
      <c r="AC1706" s="147">
        <v>3215185.05</v>
      </c>
      <c r="AD1706" s="321">
        <f t="shared" si="1201"/>
        <v>3211969.8649499998</v>
      </c>
      <c r="AE1706" s="236">
        <v>39.450000000000003</v>
      </c>
      <c r="AF1706" s="147">
        <v>42</v>
      </c>
      <c r="AG1706" s="236">
        <v>39.450000000000003</v>
      </c>
      <c r="AH1706" s="287">
        <v>6.4000000000000003E-3</v>
      </c>
      <c r="AI1706" s="287">
        <v>4.1500000000000002E-2</v>
      </c>
      <c r="AJ1706" s="287">
        <v>0.05</v>
      </c>
      <c r="AK1706" s="318">
        <f t="shared" si="1233"/>
        <v>184143.57499999978</v>
      </c>
      <c r="AL1706" s="467">
        <v>0</v>
      </c>
      <c r="AM1706" s="321">
        <v>0</v>
      </c>
      <c r="AN1706" s="321">
        <v>0</v>
      </c>
      <c r="AO1706" s="318">
        <f t="shared" si="1234"/>
        <v>0</v>
      </c>
      <c r="AP1706" s="467">
        <v>0</v>
      </c>
      <c r="AQ1706" s="318">
        <v>0</v>
      </c>
      <c r="AR1706" s="318">
        <f t="shared" si="1235"/>
        <v>184143.57499999978</v>
      </c>
      <c r="AS1706" s="318">
        <f t="shared" si="1236"/>
        <v>193351</v>
      </c>
      <c r="AT1706" s="321">
        <v>0</v>
      </c>
      <c r="AU1706" s="464"/>
      <c r="AV1706" s="449"/>
      <c r="AW1706" s="318">
        <f t="shared" si="1237"/>
        <v>36410</v>
      </c>
      <c r="AX1706" s="467"/>
      <c r="AY1706" s="318">
        <f t="shared" si="1238"/>
        <v>36410</v>
      </c>
      <c r="AZ1706" s="318">
        <f t="shared" si="1239"/>
        <v>36430</v>
      </c>
      <c r="BA1706" s="318">
        <f t="shared" si="1240"/>
        <v>-20</v>
      </c>
      <c r="BB1706" s="318">
        <f t="shared" si="1241"/>
        <v>72.819999999999993</v>
      </c>
      <c r="BC1706" s="318">
        <v>0</v>
      </c>
      <c r="BD1706" s="467"/>
      <c r="BE1706" s="138">
        <v>364.1</v>
      </c>
      <c r="BF1706" s="321">
        <f t="shared" si="1250"/>
        <v>0.54615000000000002</v>
      </c>
      <c r="BG1706" s="321">
        <f t="shared" si="1251"/>
        <v>363.55385000000001</v>
      </c>
      <c r="BH1706" s="321">
        <f t="shared" si="1252"/>
        <v>364.3</v>
      </c>
      <c r="BI1706" s="322">
        <f t="shared" si="1253"/>
        <v>-19.999999999998863</v>
      </c>
      <c r="BJ1706" s="322">
        <v>0</v>
      </c>
      <c r="BK1706" s="318">
        <f t="shared" si="1254"/>
        <v>-19.999999999998863</v>
      </c>
      <c r="BL1706" s="449"/>
      <c r="BM1706" s="449" t="str">
        <f t="shared" si="1255"/>
        <v>Unloading no. 1671 Bill No 228 ,Deduction For Oil Deduction= 184143.575 ,Bardana= 0 ,F.M= 0 Brokerage/Rate Difference 0 ,Shortage = 0 ,Greenish= 0 ,Moisture= 0</v>
      </c>
      <c r="BN1706" s="449"/>
      <c r="BO1706" s="449" t="str">
        <f t="shared" si="1256"/>
        <v xml:space="preserve"> Party Condition 42  ,F.M% 0.64 ,Greenish 4.15 ,Moisture 5 ,Shortage in KG= 0  ,Oil% 39.45</v>
      </c>
      <c r="BP1706" s="464">
        <f t="shared" si="1257"/>
        <v>7819.9545017842447</v>
      </c>
      <c r="BQ1706" s="449"/>
      <c r="BR1706" s="449"/>
      <c r="BS1706" s="449"/>
      <c r="BT1706" s="449"/>
      <c r="BU1706" s="449"/>
      <c r="BV1706" s="449"/>
      <c r="BW1706" s="449"/>
      <c r="BX1706" s="147">
        <v>40.18</v>
      </c>
      <c r="BY1706" s="147">
        <v>40.14</v>
      </c>
      <c r="CA1706" s="56">
        <v>0</v>
      </c>
      <c r="CC1706" s="84">
        <f t="shared" si="1229"/>
        <v>193351</v>
      </c>
      <c r="CD1706" s="56">
        <f t="shared" si="1230"/>
        <v>184143.80952380953</v>
      </c>
      <c r="CO1706" s="460">
        <f t="shared" si="1231"/>
        <v>-0.72999999999999687</v>
      </c>
      <c r="CP1706" s="460">
        <f t="shared" si="1232"/>
        <v>-0.68999999999999773</v>
      </c>
    </row>
    <row r="1707" spans="1:94" ht="14.1" hidden="1" customHeight="1" x14ac:dyDescent="0.3">
      <c r="A1707" s="128" t="s">
        <v>3595</v>
      </c>
      <c r="B1707" s="465">
        <v>46251</v>
      </c>
      <c r="C1707" s="281">
        <v>1672</v>
      </c>
      <c r="D1707" s="281" t="s">
        <v>3603</v>
      </c>
      <c r="E1707" s="465">
        <v>46253</v>
      </c>
      <c r="F1707" s="281" t="s">
        <v>95</v>
      </c>
      <c r="G1707" s="128" t="s">
        <v>96</v>
      </c>
      <c r="H1707" s="281" t="s">
        <v>97</v>
      </c>
      <c r="I1707" s="136"/>
      <c r="J1707" s="128" t="s">
        <v>2499</v>
      </c>
      <c r="K1707" s="136"/>
      <c r="L1707" s="146">
        <v>46251</v>
      </c>
      <c r="M1707" s="136"/>
      <c r="N1707" s="281">
        <v>250</v>
      </c>
      <c r="O1707" s="129">
        <v>46252</v>
      </c>
      <c r="P1707" s="138">
        <v>0</v>
      </c>
      <c r="Q1707" s="138">
        <v>206</v>
      </c>
      <c r="R1707" s="138">
        <v>300</v>
      </c>
      <c r="S1707" s="138">
        <v>506</v>
      </c>
      <c r="T1707" s="138">
        <v>506</v>
      </c>
      <c r="U1707" s="136"/>
      <c r="V1707" s="136"/>
      <c r="W1707" s="147">
        <v>307.7</v>
      </c>
      <c r="X1707" s="147">
        <v>307.89999999999998</v>
      </c>
      <c r="Y1707" s="147">
        <v>2584680</v>
      </c>
      <c r="Z1707" s="169"/>
      <c r="AA1707" s="147">
        <v>64617</v>
      </c>
      <c r="AB1707" s="147">
        <v>64617</v>
      </c>
      <c r="AC1707" s="147">
        <v>2713914</v>
      </c>
      <c r="AD1707" s="321">
        <f t="shared" si="1201"/>
        <v>2711200.0860000001</v>
      </c>
      <c r="AE1707" s="147">
        <v>40.700000000000003</v>
      </c>
      <c r="AF1707" s="147">
        <v>42</v>
      </c>
      <c r="AG1707" s="147">
        <v>40.659999999999997</v>
      </c>
      <c r="AH1707" s="287">
        <v>1.6000000000000001E-3</v>
      </c>
      <c r="AI1707" s="287">
        <v>0.03</v>
      </c>
      <c r="AJ1707" s="287">
        <v>5.1999999999999998E-2</v>
      </c>
      <c r="AK1707" s="318">
        <f t="shared" si="1233"/>
        <v>82463.60000000021</v>
      </c>
      <c r="AL1707" s="467">
        <v>0</v>
      </c>
      <c r="AM1707" s="321">
        <v>0</v>
      </c>
      <c r="AN1707" s="321">
        <v>0</v>
      </c>
      <c r="AO1707" s="318">
        <f t="shared" si="1234"/>
        <v>0</v>
      </c>
      <c r="AP1707" s="467">
        <v>0</v>
      </c>
      <c r="AQ1707" s="318">
        <v>0</v>
      </c>
      <c r="AR1707" s="318">
        <f t="shared" si="1235"/>
        <v>82463.60000000021</v>
      </c>
      <c r="AS1707" s="318">
        <f t="shared" si="1236"/>
        <v>86587</v>
      </c>
      <c r="AT1707" s="321">
        <v>0</v>
      </c>
      <c r="AU1707" s="464"/>
      <c r="AV1707" s="449"/>
      <c r="AW1707" s="318">
        <f t="shared" si="1237"/>
        <v>30770</v>
      </c>
      <c r="AX1707" s="467"/>
      <c r="AY1707" s="318">
        <f t="shared" si="1238"/>
        <v>30770</v>
      </c>
      <c r="AZ1707" s="318">
        <f t="shared" si="1239"/>
        <v>30789.999999999996</v>
      </c>
      <c r="BA1707" s="318">
        <f t="shared" si="1240"/>
        <v>-19.999999999996362</v>
      </c>
      <c r="BB1707" s="318">
        <f t="shared" si="1241"/>
        <v>61.54</v>
      </c>
      <c r="BC1707" s="318">
        <v>0</v>
      </c>
      <c r="BD1707" s="467"/>
      <c r="BE1707" s="138">
        <v>307.7</v>
      </c>
      <c r="BF1707" s="321">
        <f t="shared" si="1250"/>
        <v>0.46154999999999996</v>
      </c>
      <c r="BG1707" s="321">
        <f t="shared" si="1251"/>
        <v>307.23845</v>
      </c>
      <c r="BH1707" s="321">
        <f t="shared" si="1252"/>
        <v>307.89999999999998</v>
      </c>
      <c r="BI1707" s="322">
        <f t="shared" si="1253"/>
        <v>-19.999999999998863</v>
      </c>
      <c r="BJ1707" s="322">
        <v>0</v>
      </c>
      <c r="BK1707" s="318">
        <f t="shared" si="1254"/>
        <v>-19.999999999998863</v>
      </c>
      <c r="BL1707" s="449"/>
      <c r="BM1707" s="449" t="str">
        <f t="shared" si="1255"/>
        <v>Unloading no. 1672 Bill No 250 ,Deduction For Oil Deduction= 82463.6000000002 ,Bardana= 0 ,F.M= 0 Brokerage/Rate Difference 0 ,Shortage = 0 ,Greenish= 0 ,Moisture= 0</v>
      </c>
      <c r="BN1707" s="449"/>
      <c r="BO1707" s="449" t="str">
        <f t="shared" si="1256"/>
        <v xml:space="preserve"> Party Condition 42  ,F.M% 0.16 ,Greenish 3 ,Moisture 5.2 ,Shortage in KG= 0  ,Oil% 40.66</v>
      </c>
      <c r="BP1707" s="464">
        <f t="shared" si="1257"/>
        <v>8126.7177655082824</v>
      </c>
      <c r="BQ1707" s="449"/>
      <c r="BR1707" s="449"/>
      <c r="BS1707" s="449"/>
      <c r="BT1707" s="449"/>
      <c r="BU1707" s="449"/>
      <c r="BV1707" s="449"/>
      <c r="BW1707" s="449"/>
      <c r="BX1707" s="147">
        <v>40.700000000000003</v>
      </c>
      <c r="BY1707" s="147">
        <v>40.659999999999997</v>
      </c>
      <c r="CA1707" s="56">
        <v>0</v>
      </c>
      <c r="CC1707" s="84">
        <f t="shared" si="1229"/>
        <v>86587</v>
      </c>
      <c r="CD1707" s="56">
        <f t="shared" si="1230"/>
        <v>82463.809523809527</v>
      </c>
      <c r="CO1707" s="460">
        <f t="shared" si="1231"/>
        <v>-40.700000000000003</v>
      </c>
      <c r="CP1707" s="460">
        <f t="shared" si="1232"/>
        <v>-40.659999999999997</v>
      </c>
    </row>
    <row r="1708" spans="1:94" ht="14.1" hidden="1" customHeight="1" x14ac:dyDescent="0.3">
      <c r="A1708" s="128" t="s">
        <v>3544</v>
      </c>
      <c r="B1708" s="465">
        <v>46252</v>
      </c>
      <c r="C1708" s="281">
        <v>1673</v>
      </c>
      <c r="D1708" s="281" t="s">
        <v>3604</v>
      </c>
      <c r="E1708" s="465">
        <v>46253</v>
      </c>
      <c r="F1708" s="281" t="s">
        <v>3299</v>
      </c>
      <c r="G1708" s="128" t="s">
        <v>2630</v>
      </c>
      <c r="H1708" s="281" t="s">
        <v>1508</v>
      </c>
      <c r="I1708" s="136"/>
      <c r="J1708" s="128" t="s">
        <v>1146</v>
      </c>
      <c r="K1708" s="136"/>
      <c r="L1708" s="146">
        <v>46252</v>
      </c>
      <c r="M1708" s="136"/>
      <c r="N1708" s="281">
        <v>229</v>
      </c>
      <c r="O1708" s="129">
        <v>46252</v>
      </c>
      <c r="P1708" s="138">
        <v>0</v>
      </c>
      <c r="Q1708" s="138">
        <v>450</v>
      </c>
      <c r="R1708" s="138">
        <v>171</v>
      </c>
      <c r="S1708" s="138">
        <v>621</v>
      </c>
      <c r="T1708" s="138">
        <v>621</v>
      </c>
      <c r="U1708" s="136"/>
      <c r="V1708" s="136"/>
      <c r="W1708" s="147">
        <v>369.1</v>
      </c>
      <c r="X1708" s="147">
        <v>369.4</v>
      </c>
      <c r="Y1708" s="196">
        <f>3104131-29528</f>
        <v>3074603</v>
      </c>
      <c r="Z1708" s="236">
        <v>39.49</v>
      </c>
      <c r="AA1708" s="147">
        <v>77603.28</v>
      </c>
      <c r="AB1708" s="147">
        <v>77603.28</v>
      </c>
      <c r="AC1708" s="147">
        <v>3259337.55</v>
      </c>
      <c r="AD1708" s="321">
        <f t="shared" si="1201"/>
        <v>3256078.21245</v>
      </c>
      <c r="AE1708" s="236">
        <v>39.49</v>
      </c>
      <c r="AF1708" s="147">
        <v>42</v>
      </c>
      <c r="AG1708" s="236">
        <v>39.49</v>
      </c>
      <c r="AH1708" s="287">
        <v>6.0000000000000001E-3</v>
      </c>
      <c r="AI1708" s="287">
        <v>4.8000000000000001E-2</v>
      </c>
      <c r="AJ1708" s="287">
        <v>5.8999999999999997E-2</v>
      </c>
      <c r="AK1708" s="318">
        <f t="shared" si="1233"/>
        <v>183744.13166666654</v>
      </c>
      <c r="AL1708" s="467">
        <v>0</v>
      </c>
      <c r="AM1708" s="321">
        <v>0</v>
      </c>
      <c r="AN1708" s="321">
        <v>0</v>
      </c>
      <c r="AO1708" s="318">
        <f t="shared" si="1234"/>
        <v>0</v>
      </c>
      <c r="AP1708" s="467">
        <v>0</v>
      </c>
      <c r="AQ1708" s="318">
        <v>0</v>
      </c>
      <c r="AR1708" s="318">
        <f t="shared" si="1235"/>
        <v>183744.13166666654</v>
      </c>
      <c r="AS1708" s="318">
        <f t="shared" si="1236"/>
        <v>192931</v>
      </c>
      <c r="AT1708" s="321">
        <v>0</v>
      </c>
      <c r="AU1708" s="464"/>
      <c r="AV1708" s="449"/>
      <c r="AW1708" s="318">
        <f t="shared" si="1237"/>
        <v>36910</v>
      </c>
      <c r="AX1708" s="467"/>
      <c r="AY1708" s="318">
        <f t="shared" si="1238"/>
        <v>36910</v>
      </c>
      <c r="AZ1708" s="318">
        <f t="shared" si="1239"/>
        <v>36940</v>
      </c>
      <c r="BA1708" s="318">
        <f t="shared" si="1240"/>
        <v>-30</v>
      </c>
      <c r="BB1708" s="318">
        <f t="shared" si="1241"/>
        <v>73.819999999999993</v>
      </c>
      <c r="BC1708" s="318">
        <v>0</v>
      </c>
      <c r="BD1708" s="467"/>
      <c r="BE1708" s="138">
        <v>369.1</v>
      </c>
      <c r="BF1708" s="321">
        <f t="shared" si="1250"/>
        <v>0.55364999999999998</v>
      </c>
      <c r="BG1708" s="321">
        <f t="shared" si="1251"/>
        <v>368.54635000000002</v>
      </c>
      <c r="BH1708" s="321">
        <f t="shared" si="1252"/>
        <v>369.4</v>
      </c>
      <c r="BI1708" s="322">
        <f t="shared" si="1253"/>
        <v>-29.999999999995453</v>
      </c>
      <c r="BJ1708" s="322">
        <v>0</v>
      </c>
      <c r="BK1708" s="318">
        <f t="shared" si="1254"/>
        <v>-29.999999999995453</v>
      </c>
      <c r="BL1708" s="449"/>
      <c r="BM1708" s="449" t="str">
        <f t="shared" si="1255"/>
        <v>Unloading no. 1673 Bill No 229 ,Deduction For Oil Deduction= 183744.131666667 ,Bardana= 0 ,F.M= 0 Brokerage/Rate Difference 0 ,Shortage = 0 ,Greenish= 0 ,Moisture= 0</v>
      </c>
      <c r="BN1708" s="449"/>
      <c r="BO1708" s="449" t="str">
        <f t="shared" si="1256"/>
        <v xml:space="preserve"> Party Condition 42  ,F.M% 0.6 ,Greenish 4.8 ,Moisture 5.9 ,Shortage in KG= 0  ,Oil% 39.49</v>
      </c>
      <c r="BP1708" s="464">
        <f t="shared" si="1257"/>
        <v>7825.8225997112449</v>
      </c>
      <c r="BQ1708" s="449"/>
      <c r="BR1708" s="449"/>
      <c r="BS1708" s="449"/>
      <c r="BT1708" s="449"/>
      <c r="BU1708" s="449"/>
      <c r="BV1708" s="449"/>
      <c r="BW1708" s="449"/>
      <c r="BX1708" s="238">
        <v>40.479999999999997</v>
      </c>
      <c r="BY1708" s="238">
        <v>40.31</v>
      </c>
      <c r="CA1708" s="56">
        <v>0</v>
      </c>
      <c r="CC1708" s="84">
        <f t="shared" si="1229"/>
        <v>192931</v>
      </c>
      <c r="CD1708" s="56">
        <f t="shared" si="1230"/>
        <v>183743.80952380953</v>
      </c>
      <c r="CO1708" s="460">
        <f t="shared" si="1231"/>
        <v>-0.98999999999999488</v>
      </c>
      <c r="CP1708" s="460">
        <f t="shared" si="1232"/>
        <v>-0.82000000000000028</v>
      </c>
    </row>
    <row r="1709" spans="1:94" ht="14.1" hidden="1" customHeight="1" x14ac:dyDescent="0.3">
      <c r="A1709" s="128" t="s">
        <v>3606</v>
      </c>
      <c r="B1709" s="465">
        <v>46252</v>
      </c>
      <c r="C1709" s="281">
        <v>1674</v>
      </c>
      <c r="D1709" s="128" t="s">
        <v>3609</v>
      </c>
      <c r="E1709" s="130">
        <v>46254</v>
      </c>
      <c r="F1709" s="281" t="s">
        <v>2190</v>
      </c>
      <c r="G1709" s="128" t="s">
        <v>2191</v>
      </c>
      <c r="H1709" s="128" t="s">
        <v>97</v>
      </c>
      <c r="I1709" s="136"/>
      <c r="J1709" s="138" t="s">
        <v>1146</v>
      </c>
      <c r="K1709" s="136"/>
      <c r="L1709" s="146">
        <v>46252</v>
      </c>
      <c r="M1709" s="136"/>
      <c r="N1709" s="281" t="s">
        <v>2926</v>
      </c>
      <c r="O1709" s="129">
        <v>46253</v>
      </c>
      <c r="P1709" s="138">
        <v>0</v>
      </c>
      <c r="Q1709" s="138">
        <v>400</v>
      </c>
      <c r="R1709" s="138">
        <v>151</v>
      </c>
      <c r="S1709" s="138">
        <v>551</v>
      </c>
      <c r="T1709" s="138">
        <v>551</v>
      </c>
      <c r="U1709" s="136"/>
      <c r="V1709" s="136"/>
      <c r="W1709" s="147">
        <v>334.9</v>
      </c>
      <c r="X1709" s="147">
        <v>335.1</v>
      </c>
      <c r="Y1709" s="147">
        <v>2820192.9</v>
      </c>
      <c r="Z1709" s="165"/>
      <c r="AA1709" s="147">
        <v>70504.820000000007</v>
      </c>
      <c r="AB1709" s="147">
        <v>70504.820000000007</v>
      </c>
      <c r="AC1709" s="147">
        <v>2961202.55</v>
      </c>
      <c r="AD1709" s="321">
        <f t="shared" si="1201"/>
        <v>2958241.3474499998</v>
      </c>
      <c r="AE1709" s="147">
        <v>40.32</v>
      </c>
      <c r="AF1709" s="147">
        <v>42</v>
      </c>
      <c r="AG1709" s="147">
        <v>40.29</v>
      </c>
      <c r="AH1709" s="287">
        <v>3.2000000000000002E-3</v>
      </c>
      <c r="AI1709" s="287">
        <v>2.8000000000000001E-2</v>
      </c>
      <c r="AJ1709" s="287">
        <v>0.05</v>
      </c>
      <c r="AK1709" s="318">
        <f t="shared" ref="AK1709:AK1716" si="1258">+IF(AF1709=42,IF(MIN(AE1709,AG1709)&lt;AF1709,Y1709*((AF1709-MIN(AE1709,AG1709))/AF1709)),IF(MIN(AE1709,AG1709)&lt;AF1709,Y1709*((AF1709-MIN(AE1709,AG1709))/AF1709),0))</f>
        <v>114822.13950000006</v>
      </c>
      <c r="AL1709" s="467">
        <v>0</v>
      </c>
      <c r="AM1709" s="321">
        <v>0</v>
      </c>
      <c r="AN1709" s="321">
        <v>0</v>
      </c>
      <c r="AO1709" s="318">
        <f t="shared" ref="AO1709:AO1716" si="1259">AT1709*Y1709/AW1709</f>
        <v>0</v>
      </c>
      <c r="AP1709" s="467">
        <v>0</v>
      </c>
      <c r="AQ1709" s="318">
        <v>0</v>
      </c>
      <c r="AR1709" s="318">
        <f t="shared" ref="AR1709:AR1716" si="1260">SUM(AK1709:AQ1709)</f>
        <v>114822.13950000006</v>
      </c>
      <c r="AS1709" s="318">
        <f t="shared" ref="AS1709:AS1716" si="1261">ROUND(AR1709*1.05,0)</f>
        <v>120563</v>
      </c>
      <c r="AT1709" s="321">
        <v>0</v>
      </c>
      <c r="AU1709" s="464"/>
      <c r="AV1709" s="449"/>
      <c r="AW1709" s="318">
        <f t="shared" ref="AW1709:AW1716" si="1262">W1709*100</f>
        <v>33490</v>
      </c>
      <c r="AX1709" s="467"/>
      <c r="AY1709" s="318">
        <f t="shared" ref="AY1709:AY1716" si="1263">+AW1709+AX1709</f>
        <v>33490</v>
      </c>
      <c r="AZ1709" s="318">
        <f t="shared" ref="AZ1709:AZ1716" si="1264">X1709*100</f>
        <v>33510</v>
      </c>
      <c r="BA1709" s="318">
        <f t="shared" ref="BA1709:BA1716" si="1265">AY1709-AZ1709</f>
        <v>-20</v>
      </c>
      <c r="BB1709" s="318">
        <f t="shared" ref="BB1709:BB1716" si="1266">AW1709*2/1000</f>
        <v>66.98</v>
      </c>
      <c r="BC1709" s="318">
        <v>0</v>
      </c>
      <c r="BD1709" s="467"/>
      <c r="BE1709" s="138">
        <v>334.9</v>
      </c>
      <c r="BF1709" s="321">
        <f t="shared" ref="BF1709:BF1716" si="1267">+BE1709*0.15/100</f>
        <v>0.50234999999999996</v>
      </c>
      <c r="BG1709" s="321">
        <f t="shared" ref="BG1709:BG1716" si="1268">BE1709-BF1709</f>
        <v>334.39765</v>
      </c>
      <c r="BH1709" s="321">
        <f t="shared" ref="BH1709:BH1716" si="1269">X1709</f>
        <v>335.1</v>
      </c>
      <c r="BI1709" s="322">
        <f t="shared" ref="BI1709:BI1716" si="1270">(BE1709-BH1709)*100</f>
        <v>-20.000000000004547</v>
      </c>
      <c r="BJ1709" s="322">
        <v>0</v>
      </c>
      <c r="BK1709" s="318">
        <f t="shared" ref="BK1709:BK1716" si="1271">BI1709</f>
        <v>-20.000000000004547</v>
      </c>
      <c r="BL1709" s="449"/>
      <c r="BM1709" s="449" t="str">
        <f t="shared" ref="BM1709:BM1716" si="1272">+$C$1&amp;" "&amp;C1709 &amp;" "&amp;$N$1&amp;" "&amp;N1709&amp;" "&amp;$BM$1&amp;" "&amp;$AK$1&amp;" "&amp;AK1709&amp;" "&amp;$AL$1&amp;" "&amp;AL1709&amp;" "&amp;$AM$1&amp;" "&amp;AM1709&amp;" "&amp;$AN$1&amp;" "&amp;AN1709&amp;" "&amp;$AO$1&amp;" "&amp;AO1709&amp;" "&amp;$AP$1&amp;" "&amp;AP1709&amp;" "&amp;$AQ$1&amp;" "&amp;AQ1709</f>
        <v>Unloading no. 1674 Bill No 2026-27/452 ,Deduction For Oil Deduction= 114822.1395 ,Bardana= 0 ,F.M= 0 Brokerage/Rate Difference 0 ,Shortage = 0 ,Greenish= 0 ,Moisture= 0</v>
      </c>
      <c r="BN1709" s="449"/>
      <c r="BO1709" s="449" t="str">
        <f t="shared" ref="BO1709:BO1716" si="1273">+" "&amp;$AF$1&amp;" "&amp;AF1709&amp;" "&amp;" "&amp;$AH$1&amp;" "&amp;AH1709*100&amp;" "&amp;$AI$1&amp;" "&amp;AI1709*100&amp;" "&amp;$AJ$1&amp;" "&amp;AJ1709*100&amp;" ,"&amp;$AT$1&amp;" "&amp;AT1709&amp;" "&amp;IF(AE1709&gt;AG1709," ,Oil%"&amp;" "&amp;AG1709," ,Oil%"&amp;" "&amp;AE1709)</f>
        <v xml:space="preserve"> Party Condition 42  ,F.M% 0.32 ,Greenish 2.8 ,Moisture 5 ,Shortage in KG= 0  ,Oil% 40.29</v>
      </c>
      <c r="BP1709" s="464">
        <f t="shared" ref="BP1709:BP1716" si="1274">(Y1709-AR1709)/X1709</f>
        <v>8073.3236660698285</v>
      </c>
      <c r="BQ1709" s="449"/>
      <c r="BR1709" s="449"/>
      <c r="BS1709" s="449"/>
      <c r="BT1709" s="449"/>
      <c r="BU1709" s="449"/>
      <c r="BV1709" s="449"/>
      <c r="BW1709" s="449"/>
      <c r="BX1709" s="147">
        <v>40.32</v>
      </c>
      <c r="BY1709" s="147">
        <v>40.29</v>
      </c>
      <c r="CA1709" s="56">
        <v>0</v>
      </c>
      <c r="CC1709" s="84">
        <f t="shared" ref="CC1709:CC1716" si="1275">AS1709-CA1709</f>
        <v>120563</v>
      </c>
      <c r="CD1709" s="56">
        <f t="shared" ref="CD1709:CD1716" si="1276">CC1709/105*100</f>
        <v>114821.90476190476</v>
      </c>
      <c r="CO1709" s="460">
        <f t="shared" ref="CO1709:CO1716" si="1277">Z1709-BX1709</f>
        <v>-40.32</v>
      </c>
      <c r="CP1709" s="460">
        <f t="shared" ref="CP1709:CP1716" si="1278">Z1709-BY1709</f>
        <v>-40.29</v>
      </c>
    </row>
    <row r="1710" spans="1:94" ht="14.1" hidden="1" customHeight="1" x14ac:dyDescent="0.3">
      <c r="A1710" s="128" t="s">
        <v>3607</v>
      </c>
      <c r="B1710" s="465">
        <v>46253</v>
      </c>
      <c r="C1710" s="281">
        <v>1675</v>
      </c>
      <c r="D1710" s="128" t="s">
        <v>3610</v>
      </c>
      <c r="E1710" s="130">
        <v>46254</v>
      </c>
      <c r="F1710" s="281" t="s">
        <v>3582</v>
      </c>
      <c r="G1710" s="128" t="s">
        <v>3583</v>
      </c>
      <c r="H1710" s="128" t="s">
        <v>1514</v>
      </c>
      <c r="I1710" s="136"/>
      <c r="J1710" s="138" t="s">
        <v>3617</v>
      </c>
      <c r="K1710" s="136"/>
      <c r="L1710" s="146">
        <v>46253</v>
      </c>
      <c r="M1710" s="136"/>
      <c r="N1710" s="281" t="s">
        <v>1151</v>
      </c>
      <c r="O1710" s="129">
        <v>46253</v>
      </c>
      <c r="P1710" s="138">
        <v>0</v>
      </c>
      <c r="Q1710" s="138">
        <v>281</v>
      </c>
      <c r="R1710" s="138">
        <v>200</v>
      </c>
      <c r="S1710" s="138">
        <v>481</v>
      </c>
      <c r="T1710" s="138">
        <v>481</v>
      </c>
      <c r="U1710" s="136"/>
      <c r="V1710" s="136"/>
      <c r="W1710" s="147">
        <v>290.95</v>
      </c>
      <c r="X1710" s="147">
        <v>289.89999999999998</v>
      </c>
      <c r="Y1710" s="147">
        <v>2449799</v>
      </c>
      <c r="Z1710" s="165"/>
      <c r="AA1710" s="147">
        <v>61244.98</v>
      </c>
      <c r="AB1710" s="147">
        <v>61244.98</v>
      </c>
      <c r="AC1710" s="147">
        <v>2572288.9500000002</v>
      </c>
      <c r="AD1710" s="321">
        <f t="shared" si="1201"/>
        <v>2569716.6610500002</v>
      </c>
      <c r="AE1710" s="147">
        <v>38.299999999999997</v>
      </c>
      <c r="AF1710" s="147">
        <v>42</v>
      </c>
      <c r="AG1710" s="147">
        <v>38.22</v>
      </c>
      <c r="AH1710" s="287">
        <v>6.4999999999999997E-3</v>
      </c>
      <c r="AI1710" s="287">
        <v>4.24E-2</v>
      </c>
      <c r="AJ1710" s="397">
        <v>5.8000000000000003E-2</v>
      </c>
      <c r="AK1710" s="318">
        <f t="shared" si="1258"/>
        <v>220481.91000000006</v>
      </c>
      <c r="AL1710" s="467">
        <f>281*10+200*15</f>
        <v>5810</v>
      </c>
      <c r="AM1710" s="321">
        <f>Y1710*AH1710</f>
        <v>15923.693499999999</v>
      </c>
      <c r="AN1710" s="321">
        <f>X1710*14</f>
        <v>4058.5999999999995</v>
      </c>
      <c r="AO1710" s="318">
        <f t="shared" si="1259"/>
        <v>8841</v>
      </c>
      <c r="AP1710" s="467">
        <v>0</v>
      </c>
      <c r="AQ1710" s="318">
        <f>Y1710*0.8/100</f>
        <v>19598.392000000003</v>
      </c>
      <c r="AR1710" s="318">
        <f t="shared" si="1260"/>
        <v>274713.59550000005</v>
      </c>
      <c r="AS1710" s="318">
        <f t="shared" si="1261"/>
        <v>288449</v>
      </c>
      <c r="AT1710" s="321">
        <v>105</v>
      </c>
      <c r="AU1710" s="464"/>
      <c r="AV1710" s="449"/>
      <c r="AW1710" s="318">
        <f t="shared" si="1262"/>
        <v>29095</v>
      </c>
      <c r="AX1710" s="467"/>
      <c r="AY1710" s="318">
        <f t="shared" si="1263"/>
        <v>29095</v>
      </c>
      <c r="AZ1710" s="318">
        <f t="shared" si="1264"/>
        <v>28989.999999999996</v>
      </c>
      <c r="BA1710" s="318">
        <f t="shared" si="1265"/>
        <v>105.00000000000364</v>
      </c>
      <c r="BB1710" s="318">
        <f t="shared" si="1266"/>
        <v>58.19</v>
      </c>
      <c r="BC1710" s="318">
        <v>0</v>
      </c>
      <c r="BD1710" s="467"/>
      <c r="BE1710" s="138">
        <v>290.95</v>
      </c>
      <c r="BF1710" s="321">
        <f t="shared" si="1267"/>
        <v>0.43642500000000001</v>
      </c>
      <c r="BG1710" s="321">
        <f t="shared" si="1268"/>
        <v>290.513575</v>
      </c>
      <c r="BH1710" s="321">
        <f t="shared" si="1269"/>
        <v>289.89999999999998</v>
      </c>
      <c r="BI1710" s="322">
        <f t="shared" si="1270"/>
        <v>105.00000000000114</v>
      </c>
      <c r="BJ1710" s="322">
        <v>0</v>
      </c>
      <c r="BK1710" s="318">
        <f t="shared" si="1271"/>
        <v>105.00000000000114</v>
      </c>
      <c r="BL1710" s="449"/>
      <c r="BM1710" s="449" t="str">
        <f t="shared" si="1272"/>
        <v>Unloading no. 1675 Bill No 2026-27/22 ,Deduction For Oil Deduction= 220481.91 ,Bardana= 5810 ,F.M= 15923.6935 Brokerage/Rate Difference 4058.6 ,Shortage = 8841 ,Greenish= 0 ,Moisture= 19598.392</v>
      </c>
      <c r="BN1710" s="449"/>
      <c r="BO1710" s="449" t="str">
        <f t="shared" si="1273"/>
        <v xml:space="preserve"> Party Condition 42  ,F.M% 0.65 ,Greenish 4.24 ,Moisture 5.8 ,Shortage in KG= 105  ,Oil% 38.22</v>
      </c>
      <c r="BP1710" s="464">
        <f t="shared" si="1274"/>
        <v>7502.8816988616773</v>
      </c>
      <c r="BQ1710" s="449"/>
      <c r="BR1710" s="449"/>
      <c r="BS1710" s="449"/>
      <c r="BT1710" s="449"/>
      <c r="BU1710" s="449"/>
      <c r="BV1710" s="449"/>
      <c r="BW1710" s="449"/>
      <c r="BX1710" s="147">
        <v>38.299999999999997</v>
      </c>
      <c r="BY1710" s="147">
        <v>38.22</v>
      </c>
      <c r="CA1710" s="56">
        <v>273530.05</v>
      </c>
      <c r="CC1710" s="84">
        <f t="shared" si="1275"/>
        <v>14918.950000000012</v>
      </c>
      <c r="CD1710" s="56">
        <f t="shared" si="1276"/>
        <v>14208.52380952382</v>
      </c>
      <c r="CO1710" s="460">
        <f t="shared" si="1277"/>
        <v>-38.299999999999997</v>
      </c>
      <c r="CP1710" s="460">
        <f t="shared" si="1278"/>
        <v>-38.22</v>
      </c>
    </row>
    <row r="1711" spans="1:94" ht="14.1" hidden="1" customHeight="1" x14ac:dyDescent="0.3">
      <c r="A1711" s="128" t="s">
        <v>3608</v>
      </c>
      <c r="B1711" s="465">
        <v>46253</v>
      </c>
      <c r="C1711" s="281">
        <v>1676</v>
      </c>
      <c r="D1711" s="128" t="s">
        <v>3611</v>
      </c>
      <c r="E1711" s="130">
        <v>46254</v>
      </c>
      <c r="F1711" s="281" t="s">
        <v>95</v>
      </c>
      <c r="G1711" s="128" t="s">
        <v>96</v>
      </c>
      <c r="H1711" s="128" t="s">
        <v>97</v>
      </c>
      <c r="I1711" s="136"/>
      <c r="J1711" s="138" t="s">
        <v>3617</v>
      </c>
      <c r="K1711" s="136"/>
      <c r="L1711" s="146">
        <v>46253</v>
      </c>
      <c r="M1711" s="136"/>
      <c r="N1711" s="281">
        <v>254</v>
      </c>
      <c r="O1711" s="129">
        <v>46253</v>
      </c>
      <c r="P1711" s="138">
        <v>0</v>
      </c>
      <c r="Q1711" s="138">
        <v>300</v>
      </c>
      <c r="R1711" s="138">
        <v>205</v>
      </c>
      <c r="S1711" s="138">
        <v>505</v>
      </c>
      <c r="T1711" s="138">
        <v>505</v>
      </c>
      <c r="U1711" s="136"/>
      <c r="V1711" s="136"/>
      <c r="W1711" s="147">
        <v>306.89999999999998</v>
      </c>
      <c r="X1711" s="147">
        <v>307.10000000000002</v>
      </c>
      <c r="Y1711" s="147">
        <v>2593305</v>
      </c>
      <c r="Z1711" s="165"/>
      <c r="AA1711" s="147">
        <v>64832.63</v>
      </c>
      <c r="AB1711" s="147">
        <v>64832.63</v>
      </c>
      <c r="AC1711" s="147">
        <v>2722970.25</v>
      </c>
      <c r="AD1711" s="321">
        <f t="shared" si="1201"/>
        <v>2720247.2797500002</v>
      </c>
      <c r="AE1711" s="147">
        <v>40.32</v>
      </c>
      <c r="AF1711" s="147">
        <v>42</v>
      </c>
      <c r="AG1711" s="147">
        <v>40.090000000000003</v>
      </c>
      <c r="AH1711" s="418">
        <v>2.3999999999999998E-3</v>
      </c>
      <c r="AI1711" s="287">
        <v>3.5000000000000003E-2</v>
      </c>
      <c r="AJ1711" s="397">
        <v>5.2699999999999997E-2</v>
      </c>
      <c r="AK1711" s="318">
        <f t="shared" si="1258"/>
        <v>117933.63214285692</v>
      </c>
      <c r="AL1711" s="467">
        <f>300*10+205*15</f>
        <v>6075</v>
      </c>
      <c r="AM1711" s="321">
        <f>Y1711*AH1711</f>
        <v>6223.9319999999998</v>
      </c>
      <c r="AN1711" s="321">
        <v>0</v>
      </c>
      <c r="AO1711" s="318">
        <f t="shared" si="1259"/>
        <v>0</v>
      </c>
      <c r="AP1711" s="467">
        <v>0</v>
      </c>
      <c r="AQ1711" s="318">
        <f>Y1711*0.27/100</f>
        <v>7001.9235000000008</v>
      </c>
      <c r="AR1711" s="318">
        <f t="shared" si="1260"/>
        <v>137234.48764285693</v>
      </c>
      <c r="AS1711" s="318">
        <f t="shared" si="1261"/>
        <v>144096</v>
      </c>
      <c r="AT1711" s="321">
        <v>0</v>
      </c>
      <c r="AU1711" s="464"/>
      <c r="AV1711" s="449"/>
      <c r="AW1711" s="318">
        <f t="shared" si="1262"/>
        <v>30689.999999999996</v>
      </c>
      <c r="AX1711" s="467"/>
      <c r="AY1711" s="318">
        <f t="shared" si="1263"/>
        <v>30689.999999999996</v>
      </c>
      <c r="AZ1711" s="318">
        <f t="shared" si="1264"/>
        <v>30710.000000000004</v>
      </c>
      <c r="BA1711" s="318">
        <f t="shared" si="1265"/>
        <v>-20.000000000007276</v>
      </c>
      <c r="BB1711" s="318">
        <f t="shared" si="1266"/>
        <v>61.379999999999995</v>
      </c>
      <c r="BC1711" s="318">
        <v>0</v>
      </c>
      <c r="BD1711" s="467"/>
      <c r="BE1711" s="138">
        <v>306.89999999999998</v>
      </c>
      <c r="BF1711" s="321">
        <f t="shared" si="1267"/>
        <v>0.46034999999999998</v>
      </c>
      <c r="BG1711" s="321">
        <f t="shared" si="1268"/>
        <v>306.43964999999997</v>
      </c>
      <c r="BH1711" s="321">
        <f t="shared" si="1269"/>
        <v>307.10000000000002</v>
      </c>
      <c r="BI1711" s="322">
        <f t="shared" si="1270"/>
        <v>-20.000000000004547</v>
      </c>
      <c r="BJ1711" s="322">
        <v>0</v>
      </c>
      <c r="BK1711" s="318">
        <f t="shared" si="1271"/>
        <v>-20.000000000004547</v>
      </c>
      <c r="BL1711" s="449"/>
      <c r="BM1711" s="449" t="str">
        <f t="shared" si="1272"/>
        <v>Unloading no. 1676 Bill No 254 ,Deduction For Oil Deduction= 117933.632142857 ,Bardana= 6075 ,F.M= 6223.932 Brokerage/Rate Difference 0 ,Shortage = 0 ,Greenish= 0 ,Moisture= 7001.9235</v>
      </c>
      <c r="BN1711" s="449"/>
      <c r="BO1711" s="449" t="str">
        <f t="shared" si="1273"/>
        <v xml:space="preserve"> Party Condition 42  ,F.M% 0.24 ,Greenish 3.5 ,Moisture 5.27 ,Shortage in KG= 0  ,Oil% 40.09</v>
      </c>
      <c r="BP1711" s="464">
        <f t="shared" si="1274"/>
        <v>7997.6245925012799</v>
      </c>
      <c r="BQ1711" s="449"/>
      <c r="BR1711" s="449"/>
      <c r="BS1711" s="449"/>
      <c r="BT1711" s="449"/>
      <c r="BU1711" s="449"/>
      <c r="BV1711" s="449"/>
      <c r="BW1711" s="449"/>
      <c r="BX1711" s="147">
        <v>40.32</v>
      </c>
      <c r="BY1711" s="147">
        <v>40.090000000000003</v>
      </c>
      <c r="CA1711" s="56">
        <v>144096.22</v>
      </c>
      <c r="CC1711" s="84">
        <f t="shared" si="1275"/>
        <v>-0.22000000000116415</v>
      </c>
      <c r="CD1711" s="56">
        <f t="shared" si="1276"/>
        <v>-0.20952380952491823</v>
      </c>
      <c r="CO1711" s="460">
        <f t="shared" si="1277"/>
        <v>-40.32</v>
      </c>
      <c r="CP1711" s="460">
        <f t="shared" si="1278"/>
        <v>-40.090000000000003</v>
      </c>
    </row>
    <row r="1712" spans="1:94" ht="14.1" hidden="1" customHeight="1" x14ac:dyDescent="0.3">
      <c r="A1712" s="128" t="s">
        <v>3608</v>
      </c>
      <c r="B1712" s="465">
        <v>46253</v>
      </c>
      <c r="C1712" s="281">
        <v>1677</v>
      </c>
      <c r="D1712" s="128" t="s">
        <v>3612</v>
      </c>
      <c r="E1712" s="130">
        <v>46254</v>
      </c>
      <c r="F1712" s="281" t="s">
        <v>95</v>
      </c>
      <c r="G1712" s="128" t="s">
        <v>96</v>
      </c>
      <c r="H1712" s="128" t="s">
        <v>97</v>
      </c>
      <c r="I1712" s="136"/>
      <c r="J1712" s="138" t="s">
        <v>3617</v>
      </c>
      <c r="K1712" s="136"/>
      <c r="L1712" s="146">
        <v>46253</v>
      </c>
      <c r="M1712" s="136"/>
      <c r="N1712" s="281">
        <v>255</v>
      </c>
      <c r="O1712" s="129">
        <v>46253</v>
      </c>
      <c r="P1712" s="138">
        <v>0</v>
      </c>
      <c r="Q1712" s="138">
        <v>209</v>
      </c>
      <c r="R1712" s="138">
        <v>400</v>
      </c>
      <c r="S1712" s="138">
        <v>609</v>
      </c>
      <c r="T1712" s="138">
        <v>609</v>
      </c>
      <c r="U1712" s="136"/>
      <c r="V1712" s="136"/>
      <c r="W1712" s="147">
        <v>371.4</v>
      </c>
      <c r="X1712" s="147">
        <v>371.5</v>
      </c>
      <c r="Y1712" s="147">
        <v>3138330</v>
      </c>
      <c r="Z1712" s="165"/>
      <c r="AA1712" s="147">
        <v>78458.25</v>
      </c>
      <c r="AB1712" s="147">
        <v>78458.25</v>
      </c>
      <c r="AC1712" s="147">
        <v>3295246.5</v>
      </c>
      <c r="AD1712" s="321">
        <f t="shared" si="1201"/>
        <v>3291951.2535000001</v>
      </c>
      <c r="AE1712" s="147">
        <v>40.520000000000003</v>
      </c>
      <c r="AF1712" s="147">
        <v>42</v>
      </c>
      <c r="AG1712" s="147">
        <v>40.32</v>
      </c>
      <c r="AH1712" s="287">
        <v>2.2000000000000001E-3</v>
      </c>
      <c r="AI1712" s="287">
        <v>3.6999999999999998E-2</v>
      </c>
      <c r="AJ1712" s="397">
        <v>5.21E-2</v>
      </c>
      <c r="AK1712" s="318">
        <f t="shared" si="1258"/>
        <v>125533.19999999998</v>
      </c>
      <c r="AL1712" s="467">
        <f>209*10+400*15</f>
        <v>8090</v>
      </c>
      <c r="AM1712" s="321">
        <f>Y1712*AH1712</f>
        <v>6904.326</v>
      </c>
      <c r="AN1712" s="321">
        <v>0</v>
      </c>
      <c r="AO1712" s="318">
        <f t="shared" si="1259"/>
        <v>0</v>
      </c>
      <c r="AP1712" s="467">
        <v>0</v>
      </c>
      <c r="AQ1712" s="318">
        <f>Y1712*0.21/100</f>
        <v>6590.4929999999995</v>
      </c>
      <c r="AR1712" s="318">
        <f t="shared" si="1260"/>
        <v>147118.01899999997</v>
      </c>
      <c r="AS1712" s="318">
        <f t="shared" si="1261"/>
        <v>154474</v>
      </c>
      <c r="AT1712" s="321">
        <v>0</v>
      </c>
      <c r="AU1712" s="464"/>
      <c r="AV1712" s="449"/>
      <c r="AW1712" s="318">
        <f t="shared" si="1262"/>
        <v>37140</v>
      </c>
      <c r="AX1712" s="467"/>
      <c r="AY1712" s="318">
        <f t="shared" si="1263"/>
        <v>37140</v>
      </c>
      <c r="AZ1712" s="318">
        <f t="shared" si="1264"/>
        <v>37150</v>
      </c>
      <c r="BA1712" s="318">
        <f t="shared" si="1265"/>
        <v>-10</v>
      </c>
      <c r="BB1712" s="318">
        <f t="shared" si="1266"/>
        <v>74.28</v>
      </c>
      <c r="BC1712" s="318">
        <v>0</v>
      </c>
      <c r="BD1712" s="467"/>
      <c r="BE1712" s="138">
        <v>371.4</v>
      </c>
      <c r="BF1712" s="321">
        <f t="shared" si="1267"/>
        <v>0.55709999999999993</v>
      </c>
      <c r="BG1712" s="321">
        <f t="shared" si="1268"/>
        <v>370.84289999999999</v>
      </c>
      <c r="BH1712" s="321">
        <f t="shared" si="1269"/>
        <v>371.5</v>
      </c>
      <c r="BI1712" s="322">
        <f t="shared" si="1270"/>
        <v>-10.000000000002274</v>
      </c>
      <c r="BJ1712" s="322">
        <v>0</v>
      </c>
      <c r="BK1712" s="318">
        <f t="shared" si="1271"/>
        <v>-10.000000000002274</v>
      </c>
      <c r="BL1712" s="449"/>
      <c r="BM1712" s="449" t="str">
        <f t="shared" si="1272"/>
        <v>Unloading no. 1677 Bill No 255 ,Deduction For Oil Deduction= 125533.2 ,Bardana= 8090 ,F.M= 6904.326 Brokerage/Rate Difference 0 ,Shortage = 0 ,Greenish= 0 ,Moisture= 6590.493</v>
      </c>
      <c r="BN1712" s="449"/>
      <c r="BO1712" s="449" t="str">
        <f t="shared" si="1273"/>
        <v xml:space="preserve"> Party Condition 42  ,F.M% 0.22 ,Greenish 3.7 ,Moisture 5.21 ,Shortage in KG= 0  ,Oil% 40.32</v>
      </c>
      <c r="BP1712" s="464">
        <f t="shared" si="1274"/>
        <v>8051.7146191117099</v>
      </c>
      <c r="BQ1712" s="449"/>
      <c r="BR1712" s="449"/>
      <c r="BS1712" s="449"/>
      <c r="BT1712" s="449"/>
      <c r="BU1712" s="449"/>
      <c r="BV1712" s="449"/>
      <c r="BW1712" s="449"/>
      <c r="BX1712" s="147">
        <v>40.520000000000003</v>
      </c>
      <c r="BY1712" s="147">
        <v>40.32</v>
      </c>
      <c r="CA1712" s="56">
        <v>152167.25</v>
      </c>
      <c r="CC1712" s="84">
        <f t="shared" si="1275"/>
        <v>2306.75</v>
      </c>
      <c r="CD1712" s="56">
        <f t="shared" si="1276"/>
        <v>2196.9047619047619</v>
      </c>
      <c r="CO1712" s="460">
        <f t="shared" si="1277"/>
        <v>-40.520000000000003</v>
      </c>
      <c r="CP1712" s="460">
        <f t="shared" si="1278"/>
        <v>-40.32</v>
      </c>
    </row>
    <row r="1713" spans="1:94" ht="14.1" hidden="1" customHeight="1" x14ac:dyDescent="0.3">
      <c r="A1713" s="128" t="s">
        <v>3608</v>
      </c>
      <c r="B1713" s="465">
        <v>46253</v>
      </c>
      <c r="C1713" s="281">
        <v>1678</v>
      </c>
      <c r="D1713" s="128" t="s">
        <v>3613</v>
      </c>
      <c r="E1713" s="130">
        <v>46254</v>
      </c>
      <c r="F1713" s="281" t="s">
        <v>95</v>
      </c>
      <c r="G1713" s="128" t="s">
        <v>96</v>
      </c>
      <c r="H1713" s="128" t="s">
        <v>97</v>
      </c>
      <c r="I1713" s="136"/>
      <c r="J1713" s="138" t="s">
        <v>3617</v>
      </c>
      <c r="K1713" s="136"/>
      <c r="L1713" s="146">
        <v>46253</v>
      </c>
      <c r="M1713" s="136"/>
      <c r="N1713" s="281">
        <v>253</v>
      </c>
      <c r="O1713" s="129">
        <v>46253</v>
      </c>
      <c r="P1713" s="138">
        <v>0</v>
      </c>
      <c r="Q1713" s="138">
        <v>400</v>
      </c>
      <c r="R1713" s="138">
        <v>100</v>
      </c>
      <c r="S1713" s="138">
        <v>500</v>
      </c>
      <c r="T1713" s="138">
        <v>500</v>
      </c>
      <c r="U1713" s="136"/>
      <c r="V1713" s="136"/>
      <c r="W1713" s="147">
        <v>303.60000000000002</v>
      </c>
      <c r="X1713" s="147">
        <v>303.60000000000002</v>
      </c>
      <c r="Y1713" s="147">
        <v>2565420</v>
      </c>
      <c r="Z1713" s="165"/>
      <c r="AA1713" s="147">
        <v>64135.5</v>
      </c>
      <c r="AB1713" s="147">
        <v>64135.5</v>
      </c>
      <c r="AC1713" s="147">
        <v>2693691</v>
      </c>
      <c r="AD1713" s="321">
        <f t="shared" si="1201"/>
        <v>2690997.3089999999</v>
      </c>
      <c r="AE1713" s="238">
        <v>40.25</v>
      </c>
      <c r="AF1713" s="147">
        <v>42</v>
      </c>
      <c r="AG1713" s="147">
        <v>40.130000000000003</v>
      </c>
      <c r="AH1713" s="287">
        <v>3.3E-3</v>
      </c>
      <c r="AI1713" s="404">
        <v>5.16E-2</v>
      </c>
      <c r="AJ1713" s="397">
        <v>5.3800000000000001E-2</v>
      </c>
      <c r="AK1713" s="318">
        <f t="shared" si="1258"/>
        <v>114222.27142857129</v>
      </c>
      <c r="AL1713" s="467">
        <f>400*10+100*15</f>
        <v>5500</v>
      </c>
      <c r="AM1713" s="321">
        <f>Y1713*AH1713</f>
        <v>8465.8860000000004</v>
      </c>
      <c r="AN1713" s="321">
        <v>0</v>
      </c>
      <c r="AO1713" s="318">
        <f t="shared" si="1259"/>
        <v>0</v>
      </c>
      <c r="AP1713" s="467">
        <f>Y1713*0.08/100</f>
        <v>2052.3360000000002</v>
      </c>
      <c r="AQ1713" s="318">
        <f>Y1713*0.38/100</f>
        <v>9748.5959999999995</v>
      </c>
      <c r="AR1713" s="318">
        <f t="shared" si="1260"/>
        <v>139989.08942857129</v>
      </c>
      <c r="AS1713" s="318">
        <f t="shared" si="1261"/>
        <v>146989</v>
      </c>
      <c r="AT1713" s="321">
        <v>0</v>
      </c>
      <c r="AU1713" s="464"/>
      <c r="AV1713" s="449"/>
      <c r="AW1713" s="318">
        <f t="shared" si="1262"/>
        <v>30360.000000000004</v>
      </c>
      <c r="AX1713" s="467"/>
      <c r="AY1713" s="318">
        <f t="shared" si="1263"/>
        <v>30360.000000000004</v>
      </c>
      <c r="AZ1713" s="318">
        <f t="shared" si="1264"/>
        <v>30360.000000000004</v>
      </c>
      <c r="BA1713" s="318">
        <f t="shared" si="1265"/>
        <v>0</v>
      </c>
      <c r="BB1713" s="318">
        <f t="shared" si="1266"/>
        <v>60.720000000000006</v>
      </c>
      <c r="BC1713" s="318">
        <v>0</v>
      </c>
      <c r="BD1713" s="467"/>
      <c r="BE1713" s="138">
        <v>303.60000000000002</v>
      </c>
      <c r="BF1713" s="321">
        <f t="shared" si="1267"/>
        <v>0.45539999999999997</v>
      </c>
      <c r="BG1713" s="321">
        <f t="shared" si="1268"/>
        <v>303.14460000000003</v>
      </c>
      <c r="BH1713" s="321">
        <f t="shared" si="1269"/>
        <v>303.60000000000002</v>
      </c>
      <c r="BI1713" s="322">
        <f t="shared" si="1270"/>
        <v>0</v>
      </c>
      <c r="BJ1713" s="322">
        <v>0</v>
      </c>
      <c r="BK1713" s="318">
        <f t="shared" si="1271"/>
        <v>0</v>
      </c>
      <c r="BL1713" s="449"/>
      <c r="BM1713" s="449" t="str">
        <f t="shared" si="1272"/>
        <v>Unloading no. 1678 Bill No 253 ,Deduction For Oil Deduction= 114222.271428571 ,Bardana= 5500 ,F.M= 8465.886 Brokerage/Rate Difference 0 ,Shortage = 0 ,Greenish= 2052.336 ,Moisture= 9748.596</v>
      </c>
      <c r="BN1713" s="449"/>
      <c r="BO1713" s="449" t="str">
        <f t="shared" si="1273"/>
        <v xml:space="preserve"> Party Condition 42  ,F.M% 0.33 ,Greenish 5.16 ,Moisture 5.38 ,Shortage in KG= 0  ,Oil% 40.13</v>
      </c>
      <c r="BP1713" s="464">
        <f t="shared" si="1274"/>
        <v>7988.9028674948249</v>
      </c>
      <c r="BQ1713" s="449"/>
      <c r="BR1713" s="449"/>
      <c r="BS1713" s="449"/>
      <c r="BT1713" s="449"/>
      <c r="BU1713" s="449"/>
      <c r="BV1713" s="449"/>
      <c r="BW1713" s="449"/>
      <c r="BX1713" s="238">
        <v>40.25</v>
      </c>
      <c r="BY1713" s="147">
        <v>40.130000000000003</v>
      </c>
      <c r="CA1713" s="56">
        <v>139715.15</v>
      </c>
      <c r="CC1713" s="84">
        <f t="shared" si="1275"/>
        <v>7273.8500000000058</v>
      </c>
      <c r="CD1713" s="56">
        <f t="shared" si="1276"/>
        <v>6927.4761904761963</v>
      </c>
      <c r="CO1713" s="460">
        <f t="shared" si="1277"/>
        <v>-40.25</v>
      </c>
      <c r="CP1713" s="460">
        <f t="shared" si="1278"/>
        <v>-40.130000000000003</v>
      </c>
    </row>
    <row r="1714" spans="1:94" ht="14.1" hidden="1" customHeight="1" x14ac:dyDescent="0.3">
      <c r="A1714" s="128" t="s">
        <v>3606</v>
      </c>
      <c r="B1714" s="465">
        <v>46252</v>
      </c>
      <c r="C1714" s="281">
        <v>1679</v>
      </c>
      <c r="D1714" s="128" t="s">
        <v>3614</v>
      </c>
      <c r="E1714" s="130">
        <v>46254</v>
      </c>
      <c r="F1714" s="281" t="s">
        <v>2190</v>
      </c>
      <c r="G1714" s="128" t="s">
        <v>2191</v>
      </c>
      <c r="H1714" s="128" t="s">
        <v>97</v>
      </c>
      <c r="I1714" s="136"/>
      <c r="J1714" s="138" t="s">
        <v>1146</v>
      </c>
      <c r="K1714" s="136"/>
      <c r="L1714" s="146">
        <v>46252</v>
      </c>
      <c r="M1714" s="136"/>
      <c r="N1714" s="281" t="s">
        <v>2922</v>
      </c>
      <c r="O1714" s="129">
        <v>46254</v>
      </c>
      <c r="P1714" s="138">
        <v>0</v>
      </c>
      <c r="Q1714" s="138">
        <v>100</v>
      </c>
      <c r="R1714" s="138">
        <v>67</v>
      </c>
      <c r="S1714" s="138">
        <v>167</v>
      </c>
      <c r="T1714" s="138">
        <v>167</v>
      </c>
      <c r="U1714" s="136"/>
      <c r="V1714" s="136"/>
      <c r="W1714" s="147">
        <v>99.5</v>
      </c>
      <c r="X1714" s="147">
        <v>99.4</v>
      </c>
      <c r="Y1714" s="147">
        <v>837889.5</v>
      </c>
      <c r="Z1714" s="165"/>
      <c r="AA1714" s="147">
        <v>20947.240000000002</v>
      </c>
      <c r="AB1714" s="147">
        <v>20947.240000000002</v>
      </c>
      <c r="AC1714" s="147">
        <v>879783.98</v>
      </c>
      <c r="AD1714" s="321">
        <f t="shared" si="1201"/>
        <v>878904.19602000003</v>
      </c>
      <c r="AE1714" s="238">
        <v>39.44</v>
      </c>
      <c r="AF1714" s="147">
        <v>42</v>
      </c>
      <c r="AG1714" s="147">
        <v>39.479999999999997</v>
      </c>
      <c r="AH1714" s="287">
        <v>2.3E-3</v>
      </c>
      <c r="AI1714" s="287">
        <v>3.1199999999999999E-2</v>
      </c>
      <c r="AJ1714" s="287">
        <v>5.8000000000000003E-2</v>
      </c>
      <c r="AK1714" s="318">
        <f t="shared" si="1258"/>
        <v>51071.360000000044</v>
      </c>
      <c r="AL1714" s="467">
        <v>0</v>
      </c>
      <c r="AM1714" s="321">
        <v>0</v>
      </c>
      <c r="AN1714" s="321">
        <v>0</v>
      </c>
      <c r="AO1714" s="318">
        <f t="shared" si="1259"/>
        <v>0</v>
      </c>
      <c r="AP1714" s="467">
        <v>0</v>
      </c>
      <c r="AQ1714" s="318">
        <v>0</v>
      </c>
      <c r="AR1714" s="318">
        <f t="shared" si="1260"/>
        <v>51071.360000000044</v>
      </c>
      <c r="AS1714" s="318">
        <f t="shared" si="1261"/>
        <v>53625</v>
      </c>
      <c r="AT1714" s="321">
        <v>0</v>
      </c>
      <c r="AU1714" s="464"/>
      <c r="AV1714" s="449"/>
      <c r="AW1714" s="318">
        <f t="shared" si="1262"/>
        <v>9950</v>
      </c>
      <c r="AX1714" s="467"/>
      <c r="AY1714" s="318">
        <f t="shared" si="1263"/>
        <v>9950</v>
      </c>
      <c r="AZ1714" s="318">
        <f t="shared" si="1264"/>
        <v>9940</v>
      </c>
      <c r="BA1714" s="318">
        <f t="shared" si="1265"/>
        <v>10</v>
      </c>
      <c r="BB1714" s="318">
        <f t="shared" si="1266"/>
        <v>19.899999999999999</v>
      </c>
      <c r="BC1714" s="318">
        <v>0</v>
      </c>
      <c r="BD1714" s="467"/>
      <c r="BE1714" s="138">
        <v>99.5</v>
      </c>
      <c r="BF1714" s="321">
        <f t="shared" si="1267"/>
        <v>0.14924999999999999</v>
      </c>
      <c r="BG1714" s="321">
        <f t="shared" si="1268"/>
        <v>99.350750000000005</v>
      </c>
      <c r="BH1714" s="321">
        <f t="shared" si="1269"/>
        <v>99.4</v>
      </c>
      <c r="BI1714" s="322">
        <f t="shared" si="1270"/>
        <v>9.9999999999994316</v>
      </c>
      <c r="BJ1714" s="322">
        <v>0</v>
      </c>
      <c r="BK1714" s="318">
        <f t="shared" si="1271"/>
        <v>9.9999999999994316</v>
      </c>
      <c r="BL1714" s="449"/>
      <c r="BM1714" s="449" t="str">
        <f t="shared" si="1272"/>
        <v>Unloading no. 1679 Bill No 2026-27/453 ,Deduction For Oil Deduction= 51071.36 ,Bardana= 0 ,F.M= 0 Brokerage/Rate Difference 0 ,Shortage = 0 ,Greenish= 0 ,Moisture= 0</v>
      </c>
      <c r="BN1714" s="449"/>
      <c r="BO1714" s="449" t="str">
        <f t="shared" si="1273"/>
        <v xml:space="preserve"> Party Condition 42  ,F.M% 0.23 ,Greenish 3.12 ,Moisture 5.8 ,Shortage in KG= 0  ,Oil% 39.44</v>
      </c>
      <c r="BP1714" s="464">
        <f t="shared" si="1274"/>
        <v>7915.6754527162966</v>
      </c>
      <c r="BQ1714" s="449"/>
      <c r="BR1714" s="449"/>
      <c r="BS1714" s="449"/>
      <c r="BT1714" s="449"/>
      <c r="BU1714" s="449"/>
      <c r="BV1714" s="449"/>
      <c r="BW1714" s="449"/>
      <c r="BX1714" s="238">
        <v>39.44</v>
      </c>
      <c r="BY1714" s="147">
        <v>39.479999999999997</v>
      </c>
      <c r="CA1714" s="56">
        <v>0</v>
      </c>
      <c r="CC1714" s="84">
        <f t="shared" si="1275"/>
        <v>53625</v>
      </c>
      <c r="CD1714" s="56">
        <f t="shared" si="1276"/>
        <v>51071.428571428572</v>
      </c>
      <c r="CO1714" s="460">
        <f t="shared" si="1277"/>
        <v>-39.44</v>
      </c>
      <c r="CP1714" s="460">
        <f t="shared" si="1278"/>
        <v>-39.479999999999997</v>
      </c>
    </row>
    <row r="1715" spans="1:94" ht="14.1" hidden="1" customHeight="1" x14ac:dyDescent="0.3">
      <c r="A1715" s="128" t="s">
        <v>3606</v>
      </c>
      <c r="B1715" s="465">
        <v>46252</v>
      </c>
      <c r="C1715" s="281">
        <v>1680</v>
      </c>
      <c r="D1715" s="128" t="s">
        <v>3615</v>
      </c>
      <c r="E1715" s="130">
        <v>46254</v>
      </c>
      <c r="F1715" s="281" t="s">
        <v>2190</v>
      </c>
      <c r="G1715" s="128" t="s">
        <v>2191</v>
      </c>
      <c r="H1715" s="128" t="s">
        <v>97</v>
      </c>
      <c r="I1715" s="136"/>
      <c r="J1715" s="138" t="s">
        <v>1146</v>
      </c>
      <c r="K1715" s="136"/>
      <c r="L1715" s="146">
        <v>46252</v>
      </c>
      <c r="M1715" s="136"/>
      <c r="N1715" s="281" t="s">
        <v>2923</v>
      </c>
      <c r="O1715" s="129">
        <v>46254</v>
      </c>
      <c r="P1715" s="138">
        <v>0</v>
      </c>
      <c r="Q1715" s="138">
        <v>125</v>
      </c>
      <c r="R1715" s="138">
        <v>20</v>
      </c>
      <c r="S1715" s="138">
        <v>145</v>
      </c>
      <c r="T1715" s="138">
        <v>145</v>
      </c>
      <c r="U1715" s="136"/>
      <c r="V1715" s="136"/>
      <c r="W1715" s="147">
        <v>86.6</v>
      </c>
      <c r="X1715" s="147">
        <v>86.2</v>
      </c>
      <c r="Y1715" s="147">
        <v>729258.6</v>
      </c>
      <c r="Z1715" s="165"/>
      <c r="AA1715" s="147">
        <v>18231.47</v>
      </c>
      <c r="AB1715" s="147">
        <v>18231.47</v>
      </c>
      <c r="AC1715" s="147">
        <v>765721.53</v>
      </c>
      <c r="AD1715" s="321">
        <f t="shared" si="1201"/>
        <v>764955.80847000005</v>
      </c>
      <c r="AE1715" s="238">
        <v>39.6</v>
      </c>
      <c r="AF1715" s="147">
        <v>42</v>
      </c>
      <c r="AG1715" s="147">
        <v>39.53</v>
      </c>
      <c r="AH1715" s="287">
        <v>1.6000000000000001E-3</v>
      </c>
      <c r="AI1715" s="287">
        <v>0.03</v>
      </c>
      <c r="AJ1715" s="287">
        <v>5.8999999999999997E-2</v>
      </c>
      <c r="AK1715" s="318">
        <f t="shared" si="1258"/>
        <v>42887.350999999981</v>
      </c>
      <c r="AL1715" s="467">
        <v>0</v>
      </c>
      <c r="AM1715" s="321">
        <v>0</v>
      </c>
      <c r="AN1715" s="321">
        <v>0</v>
      </c>
      <c r="AO1715" s="318">
        <f t="shared" si="1259"/>
        <v>0</v>
      </c>
      <c r="AP1715" s="467">
        <v>0</v>
      </c>
      <c r="AQ1715" s="318">
        <v>0</v>
      </c>
      <c r="AR1715" s="318">
        <f t="shared" si="1260"/>
        <v>42887.350999999981</v>
      </c>
      <c r="AS1715" s="318">
        <f t="shared" si="1261"/>
        <v>45032</v>
      </c>
      <c r="AT1715" s="321">
        <v>0</v>
      </c>
      <c r="AU1715" s="464"/>
      <c r="AV1715" s="449"/>
      <c r="AW1715" s="318">
        <f t="shared" si="1262"/>
        <v>8660</v>
      </c>
      <c r="AX1715" s="467"/>
      <c r="AY1715" s="318">
        <f t="shared" si="1263"/>
        <v>8660</v>
      </c>
      <c r="AZ1715" s="318">
        <f t="shared" si="1264"/>
        <v>8620</v>
      </c>
      <c r="BA1715" s="318">
        <f t="shared" si="1265"/>
        <v>40</v>
      </c>
      <c r="BB1715" s="318">
        <f t="shared" si="1266"/>
        <v>17.32</v>
      </c>
      <c r="BC1715" s="318">
        <v>0</v>
      </c>
      <c r="BD1715" s="467"/>
      <c r="BE1715" s="138">
        <v>86.6</v>
      </c>
      <c r="BF1715" s="321">
        <f t="shared" si="1267"/>
        <v>0.12989999999999999</v>
      </c>
      <c r="BG1715" s="321">
        <f t="shared" si="1268"/>
        <v>86.470099999999988</v>
      </c>
      <c r="BH1715" s="321">
        <f t="shared" si="1269"/>
        <v>86.2</v>
      </c>
      <c r="BI1715" s="322">
        <f t="shared" si="1270"/>
        <v>39.999999999999147</v>
      </c>
      <c r="BJ1715" s="322">
        <v>0</v>
      </c>
      <c r="BK1715" s="318">
        <f t="shared" si="1271"/>
        <v>39.999999999999147</v>
      </c>
      <c r="BL1715" s="449"/>
      <c r="BM1715" s="449" t="str">
        <f t="shared" si="1272"/>
        <v>Unloading no. 1680 Bill No 2026-27/454 ,Deduction For Oil Deduction= 42887.351 ,Bardana= 0 ,F.M= 0 Brokerage/Rate Difference 0 ,Shortage = 0 ,Greenish= 0 ,Moisture= 0</v>
      </c>
      <c r="BN1715" s="449"/>
      <c r="BO1715" s="449" t="str">
        <f t="shared" si="1273"/>
        <v xml:space="preserve"> Party Condition 42  ,F.M% 0.16 ,Greenish 3 ,Moisture 5.9 ,Shortage in KG= 0  ,Oil% 39.53</v>
      </c>
      <c r="BP1715" s="464">
        <f t="shared" si="1274"/>
        <v>7962.5434918793499</v>
      </c>
      <c r="BQ1715" s="449"/>
      <c r="BR1715" s="449"/>
      <c r="BS1715" s="449"/>
      <c r="BT1715" s="449"/>
      <c r="BU1715" s="449"/>
      <c r="BV1715" s="449"/>
      <c r="BW1715" s="449"/>
      <c r="BX1715" s="238">
        <v>39.6</v>
      </c>
      <c r="BY1715" s="147">
        <v>39.53</v>
      </c>
      <c r="CA1715" s="56">
        <v>0</v>
      </c>
      <c r="CC1715" s="84">
        <f t="shared" si="1275"/>
        <v>45032</v>
      </c>
      <c r="CD1715" s="56">
        <f t="shared" si="1276"/>
        <v>42887.619047619046</v>
      </c>
      <c r="CO1715" s="460">
        <f t="shared" si="1277"/>
        <v>-39.6</v>
      </c>
      <c r="CP1715" s="460">
        <f t="shared" si="1278"/>
        <v>-39.53</v>
      </c>
    </row>
    <row r="1716" spans="1:94" ht="14.1" hidden="1" customHeight="1" x14ac:dyDescent="0.3">
      <c r="A1716" s="128" t="s">
        <v>3606</v>
      </c>
      <c r="B1716" s="465">
        <v>46252</v>
      </c>
      <c r="C1716" s="281">
        <v>1681</v>
      </c>
      <c r="D1716" s="128" t="s">
        <v>3616</v>
      </c>
      <c r="E1716" s="130">
        <v>46254</v>
      </c>
      <c r="F1716" s="281" t="s">
        <v>2190</v>
      </c>
      <c r="G1716" s="128" t="s">
        <v>2191</v>
      </c>
      <c r="H1716" s="128" t="s">
        <v>97</v>
      </c>
      <c r="I1716" s="136"/>
      <c r="J1716" s="138" t="s">
        <v>1146</v>
      </c>
      <c r="K1716" s="136"/>
      <c r="L1716" s="146">
        <v>46252</v>
      </c>
      <c r="M1716" s="136"/>
      <c r="N1716" s="281" t="s">
        <v>2924</v>
      </c>
      <c r="O1716" s="129">
        <v>46254</v>
      </c>
      <c r="P1716" s="138">
        <v>0</v>
      </c>
      <c r="Q1716" s="138">
        <v>95</v>
      </c>
      <c r="R1716" s="138">
        <v>50</v>
      </c>
      <c r="S1716" s="138">
        <v>145</v>
      </c>
      <c r="T1716" s="138">
        <v>145</v>
      </c>
      <c r="U1716" s="136"/>
      <c r="V1716" s="136"/>
      <c r="W1716" s="147">
        <v>86.8</v>
      </c>
      <c r="X1716" s="147">
        <v>86.8</v>
      </c>
      <c r="Y1716" s="147">
        <v>730942.8</v>
      </c>
      <c r="Z1716" s="165"/>
      <c r="AA1716" s="147">
        <v>18273.57</v>
      </c>
      <c r="AB1716" s="147">
        <v>18273.57</v>
      </c>
      <c r="AC1716" s="147">
        <v>767489.94</v>
      </c>
      <c r="AD1716" s="321">
        <f t="shared" si="1201"/>
        <v>766722.45005999994</v>
      </c>
      <c r="AE1716" s="238">
        <v>39.6</v>
      </c>
      <c r="AF1716" s="147">
        <v>42</v>
      </c>
      <c r="AG1716" s="147">
        <v>39.54</v>
      </c>
      <c r="AH1716" s="287">
        <v>2.2000000000000001E-3</v>
      </c>
      <c r="AI1716" s="287">
        <v>0.03</v>
      </c>
      <c r="AJ1716" s="287">
        <v>5.1999999999999998E-2</v>
      </c>
      <c r="AK1716" s="318">
        <f t="shared" si="1258"/>
        <v>42812.364000000016</v>
      </c>
      <c r="AL1716" s="467">
        <v>0</v>
      </c>
      <c r="AM1716" s="321">
        <v>0</v>
      </c>
      <c r="AN1716" s="321">
        <v>0</v>
      </c>
      <c r="AO1716" s="318">
        <f t="shared" si="1259"/>
        <v>0</v>
      </c>
      <c r="AP1716" s="467">
        <v>0</v>
      </c>
      <c r="AQ1716" s="318">
        <v>0</v>
      </c>
      <c r="AR1716" s="318">
        <f t="shared" si="1260"/>
        <v>42812.364000000016</v>
      </c>
      <c r="AS1716" s="318">
        <f t="shared" si="1261"/>
        <v>44953</v>
      </c>
      <c r="AT1716" s="321">
        <v>0</v>
      </c>
      <c r="AU1716" s="464"/>
      <c r="AV1716" s="449"/>
      <c r="AW1716" s="318">
        <f t="shared" si="1262"/>
        <v>8680</v>
      </c>
      <c r="AX1716" s="467"/>
      <c r="AY1716" s="318">
        <f t="shared" si="1263"/>
        <v>8680</v>
      </c>
      <c r="AZ1716" s="318">
        <f t="shared" si="1264"/>
        <v>8680</v>
      </c>
      <c r="BA1716" s="318">
        <f t="shared" si="1265"/>
        <v>0</v>
      </c>
      <c r="BB1716" s="318">
        <f t="shared" si="1266"/>
        <v>17.36</v>
      </c>
      <c r="BC1716" s="318">
        <v>0</v>
      </c>
      <c r="BD1716" s="467"/>
      <c r="BE1716" s="138">
        <v>86.8</v>
      </c>
      <c r="BF1716" s="321">
        <f t="shared" si="1267"/>
        <v>0.13019999999999998</v>
      </c>
      <c r="BG1716" s="321">
        <f t="shared" si="1268"/>
        <v>86.669799999999995</v>
      </c>
      <c r="BH1716" s="321">
        <f t="shared" si="1269"/>
        <v>86.8</v>
      </c>
      <c r="BI1716" s="322">
        <f t="shared" si="1270"/>
        <v>0</v>
      </c>
      <c r="BJ1716" s="322">
        <v>0</v>
      </c>
      <c r="BK1716" s="318">
        <f t="shared" si="1271"/>
        <v>0</v>
      </c>
      <c r="BL1716" s="449"/>
      <c r="BM1716" s="449" t="str">
        <f t="shared" si="1272"/>
        <v>Unloading no. 1681 Bill No 2026-27/455 ,Deduction For Oil Deduction= 42812.364 ,Bardana= 0 ,F.M= 0 Brokerage/Rate Difference 0 ,Shortage = 0 ,Greenish= 0 ,Moisture= 0</v>
      </c>
      <c r="BN1716" s="449"/>
      <c r="BO1716" s="449" t="str">
        <f t="shared" si="1273"/>
        <v xml:space="preserve"> Party Condition 42  ,F.M% 0.22 ,Greenish 3 ,Moisture 5.2 ,Shortage in KG= 0  ,Oil% 39.54</v>
      </c>
      <c r="BP1716" s="464">
        <f t="shared" si="1274"/>
        <v>7927.77</v>
      </c>
      <c r="BQ1716" s="449"/>
      <c r="BR1716" s="449"/>
      <c r="BS1716" s="449"/>
      <c r="BT1716" s="449"/>
      <c r="BU1716" s="449"/>
      <c r="BV1716" s="449"/>
      <c r="BW1716" s="449"/>
      <c r="BX1716" s="238">
        <v>39.6</v>
      </c>
      <c r="BY1716" s="147">
        <v>39.54</v>
      </c>
      <c r="CA1716" s="56">
        <v>0</v>
      </c>
      <c r="CC1716" s="84">
        <f t="shared" si="1275"/>
        <v>44953</v>
      </c>
      <c r="CD1716" s="56">
        <f t="shared" si="1276"/>
        <v>42812.380952380954</v>
      </c>
      <c r="CO1716" s="460">
        <f t="shared" si="1277"/>
        <v>-39.6</v>
      </c>
      <c r="CP1716" s="460">
        <f t="shared" si="1278"/>
        <v>-39.54</v>
      </c>
    </row>
    <row r="1717" spans="1:94" ht="14.1" hidden="1" customHeight="1" x14ac:dyDescent="0.3">
      <c r="A1717" s="281" t="s">
        <v>3618</v>
      </c>
      <c r="B1717" s="146">
        <v>46254</v>
      </c>
      <c r="C1717" s="281">
        <v>1682</v>
      </c>
      <c r="D1717" s="281" t="s">
        <v>3622</v>
      </c>
      <c r="E1717" s="130">
        <v>46255</v>
      </c>
      <c r="F1717" s="128" t="s">
        <v>1686</v>
      </c>
      <c r="G1717" s="128" t="s">
        <v>1687</v>
      </c>
      <c r="H1717" s="128" t="s">
        <v>1688</v>
      </c>
      <c r="I1717" s="136"/>
      <c r="J1717" s="138" t="s">
        <v>1146</v>
      </c>
      <c r="K1717" s="136"/>
      <c r="L1717" s="146">
        <v>46254</v>
      </c>
      <c r="M1717" s="136"/>
      <c r="N1717" s="281" t="s">
        <v>3638</v>
      </c>
      <c r="O1717" s="129">
        <v>46254</v>
      </c>
      <c r="P1717" s="138">
        <v>0</v>
      </c>
      <c r="Q1717" s="138">
        <v>270</v>
      </c>
      <c r="R1717" s="138">
        <v>10</v>
      </c>
      <c r="S1717" s="138">
        <v>280</v>
      </c>
      <c r="T1717" s="138">
        <v>280</v>
      </c>
      <c r="U1717" s="136"/>
      <c r="V1717" s="136"/>
      <c r="W1717" s="138">
        <v>170</v>
      </c>
      <c r="X1717" s="138">
        <v>170.1</v>
      </c>
      <c r="Y1717" s="138">
        <v>1428000</v>
      </c>
      <c r="Z1717" s="165"/>
      <c r="AA1717" s="128">
        <v>35700</v>
      </c>
      <c r="AB1717" s="128">
        <v>35700</v>
      </c>
      <c r="AC1717" s="128">
        <v>1499400</v>
      </c>
      <c r="AD1717" s="490">
        <f t="shared" si="1201"/>
        <v>1497900.6</v>
      </c>
      <c r="AE1717" s="173">
        <v>40.86</v>
      </c>
      <c r="AF1717" s="147">
        <v>42</v>
      </c>
      <c r="AG1717" s="173">
        <v>40.700000000000003</v>
      </c>
      <c r="AH1717" s="287">
        <v>1.6999999999999999E-3</v>
      </c>
      <c r="AI1717" s="287">
        <v>3.2500000000000001E-2</v>
      </c>
      <c r="AJ1717" s="287">
        <v>5.6000000000000001E-2</v>
      </c>
      <c r="AK1717" s="318">
        <f t="shared" ref="AK1717:AK1730" si="1279">+IF(AF1717=42,IF(MIN(AE1717,AG1717)&lt;AF1717,Y1717*((AF1717-MIN(AE1717,AG1717))/AF1717)),IF(MIN(AE1717,AG1717)&lt;AF1717,Y1717*((AF1717-MIN(AE1717,AG1717))/AF1717),0))</f>
        <v>44199.999999999905</v>
      </c>
      <c r="AL1717" s="467">
        <v>0</v>
      </c>
      <c r="AM1717" s="321">
        <v>0</v>
      </c>
      <c r="AN1717" s="321">
        <v>0</v>
      </c>
      <c r="AO1717" s="318">
        <f t="shared" ref="AO1717:AO1730" si="1280">AT1717*Y1717/AW1717</f>
        <v>0</v>
      </c>
      <c r="AP1717" s="467">
        <v>0</v>
      </c>
      <c r="AQ1717" s="318">
        <v>0</v>
      </c>
      <c r="AR1717" s="318">
        <f t="shared" ref="AR1717:AR1730" si="1281">SUM(AK1717:AQ1717)</f>
        <v>44199.999999999905</v>
      </c>
      <c r="AS1717" s="318">
        <f t="shared" ref="AS1717:AS1730" si="1282">ROUND(AR1717*1.05,0)</f>
        <v>46410</v>
      </c>
      <c r="AT1717" s="321">
        <v>0</v>
      </c>
      <c r="AU1717" s="464"/>
      <c r="AV1717" s="449"/>
      <c r="AW1717" s="318">
        <f t="shared" ref="AW1717:AW1730" si="1283">W1717*100</f>
        <v>17000</v>
      </c>
      <c r="AX1717" s="467"/>
      <c r="AY1717" s="318">
        <f t="shared" ref="AY1717:AY1730" si="1284">+AW1717+AX1717</f>
        <v>17000</v>
      </c>
      <c r="AZ1717" s="318">
        <f t="shared" ref="AZ1717:AZ1730" si="1285">X1717*100</f>
        <v>17010</v>
      </c>
      <c r="BA1717" s="318">
        <f t="shared" ref="BA1717:BA1730" si="1286">AY1717-AZ1717</f>
        <v>-10</v>
      </c>
      <c r="BB1717" s="318">
        <f t="shared" ref="BB1717:BB1730" si="1287">AW1717*2/1000</f>
        <v>34</v>
      </c>
      <c r="BC1717" s="318">
        <v>0</v>
      </c>
      <c r="BD1717" s="467"/>
      <c r="BE1717" s="138">
        <v>170</v>
      </c>
      <c r="BF1717" s="321">
        <f t="shared" ref="BF1717:BF1727" si="1288">+BE1717*0.15/100</f>
        <v>0.255</v>
      </c>
      <c r="BG1717" s="321">
        <f t="shared" ref="BG1717:BG1727" si="1289">BE1717-BF1717</f>
        <v>169.745</v>
      </c>
      <c r="BH1717" s="321">
        <f t="shared" ref="BH1717:BH1727" si="1290">X1717</f>
        <v>170.1</v>
      </c>
      <c r="BI1717" s="322">
        <f t="shared" ref="BI1717:BI1727" si="1291">(BE1717-BH1717)*100</f>
        <v>-9.9999999999994316</v>
      </c>
      <c r="BJ1717" s="322">
        <v>0</v>
      </c>
      <c r="BK1717" s="318">
        <f t="shared" ref="BK1717:BK1727" si="1292">BI1717</f>
        <v>-9.9999999999994316</v>
      </c>
      <c r="BL1717" s="449"/>
      <c r="BM1717" s="449" t="str">
        <f t="shared" ref="BM1717:BM1727" si="1293">+$C$1&amp;" "&amp;C1717 &amp;" "&amp;$N$1&amp;" "&amp;N1717&amp;" "&amp;$BM$1&amp;" "&amp;$AK$1&amp;" "&amp;AK1717&amp;" "&amp;$AL$1&amp;" "&amp;AL1717&amp;" "&amp;$AM$1&amp;" "&amp;AM1717&amp;" "&amp;$AN$1&amp;" "&amp;AN1717&amp;" "&amp;$AO$1&amp;" "&amp;AO1717&amp;" "&amp;$AP$1&amp;" "&amp;AP1717&amp;" "&amp;$AQ$1&amp;" "&amp;AQ1717</f>
        <v>Unloading no. 1682 Bill No KAI/2026-27/194 ,Deduction For Oil Deduction= 44199.9999999999 ,Bardana= 0 ,F.M= 0 Brokerage/Rate Difference 0 ,Shortage = 0 ,Greenish= 0 ,Moisture= 0</v>
      </c>
      <c r="BN1717" s="449"/>
      <c r="BO1717" s="449" t="str">
        <f t="shared" ref="BO1717:BO1727" si="1294">+" "&amp;$AF$1&amp;" "&amp;AF1717&amp;" "&amp;" "&amp;$AH$1&amp;" "&amp;AH1717*100&amp;" "&amp;$AI$1&amp;" "&amp;AI1717*100&amp;" "&amp;$AJ$1&amp;" "&amp;AJ1717*100&amp;" ,"&amp;$AT$1&amp;" "&amp;AT1717&amp;" "&amp;IF(AE1717&gt;AG1717," ,Oil%"&amp;" "&amp;AG1717," ,Oil%"&amp;" "&amp;AE1717)</f>
        <v xml:space="preserve"> Party Condition 42  ,F.M% 0.17 ,Greenish 3.25 ,Moisture 5.6 ,Shortage in KG= 0  ,Oil% 40.7</v>
      </c>
      <c r="BP1717" s="464">
        <f t="shared" ref="BP1717:BP1727" si="1295">(Y1717-AR1717)/X1717</f>
        <v>8135.2145796590248</v>
      </c>
      <c r="BQ1717" s="449"/>
      <c r="BR1717" s="449"/>
      <c r="BS1717" s="449"/>
      <c r="BT1717" s="449"/>
      <c r="BU1717" s="449"/>
      <c r="BV1717" s="449"/>
      <c r="BW1717" s="449"/>
      <c r="BX1717" s="147">
        <v>0</v>
      </c>
      <c r="BY1717" s="147">
        <v>0</v>
      </c>
    </row>
    <row r="1718" spans="1:94" ht="14.1" hidden="1" customHeight="1" x14ac:dyDescent="0.3">
      <c r="A1718" s="281" t="s">
        <v>3618</v>
      </c>
      <c r="B1718" s="146">
        <v>46254</v>
      </c>
      <c r="C1718" s="281">
        <v>1683</v>
      </c>
      <c r="D1718" s="281" t="s">
        <v>3623</v>
      </c>
      <c r="E1718" s="130">
        <v>46255</v>
      </c>
      <c r="F1718" s="128" t="s">
        <v>1686</v>
      </c>
      <c r="G1718" s="128" t="s">
        <v>1687</v>
      </c>
      <c r="H1718" s="128" t="s">
        <v>1688</v>
      </c>
      <c r="I1718" s="136"/>
      <c r="J1718" s="138" t="s">
        <v>1146</v>
      </c>
      <c r="K1718" s="136"/>
      <c r="L1718" s="146">
        <v>46254</v>
      </c>
      <c r="M1718" s="136"/>
      <c r="N1718" s="281" t="s">
        <v>3639</v>
      </c>
      <c r="O1718" s="129">
        <v>46254</v>
      </c>
      <c r="P1718" s="138">
        <v>0</v>
      </c>
      <c r="Q1718" s="138">
        <v>250</v>
      </c>
      <c r="R1718" s="138">
        <v>25</v>
      </c>
      <c r="S1718" s="138">
        <v>275</v>
      </c>
      <c r="T1718" s="138">
        <v>275</v>
      </c>
      <c r="U1718" s="136"/>
      <c r="V1718" s="136"/>
      <c r="W1718" s="138">
        <v>167</v>
      </c>
      <c r="X1718" s="138">
        <v>166.8</v>
      </c>
      <c r="Y1718" s="138">
        <v>1402800</v>
      </c>
      <c r="Z1718" s="165"/>
      <c r="AA1718" s="128">
        <v>35070</v>
      </c>
      <c r="AB1718" s="128">
        <v>35070</v>
      </c>
      <c r="AC1718" s="128">
        <v>1472940</v>
      </c>
      <c r="AD1718" s="490">
        <f t="shared" si="1201"/>
        <v>1471467.06</v>
      </c>
      <c r="AE1718" s="173">
        <v>40.44</v>
      </c>
      <c r="AF1718" s="147">
        <v>42</v>
      </c>
      <c r="AG1718" s="173">
        <v>40.33</v>
      </c>
      <c r="AH1718" s="287">
        <v>1.8E-3</v>
      </c>
      <c r="AI1718" s="287">
        <v>0.03</v>
      </c>
      <c r="AJ1718" s="287">
        <v>5.7000000000000002E-2</v>
      </c>
      <c r="AK1718" s="318">
        <f t="shared" si="1279"/>
        <v>55778.000000000058</v>
      </c>
      <c r="AL1718" s="467">
        <v>0</v>
      </c>
      <c r="AM1718" s="321">
        <v>0</v>
      </c>
      <c r="AN1718" s="321">
        <v>0</v>
      </c>
      <c r="AO1718" s="318">
        <f t="shared" si="1280"/>
        <v>0</v>
      </c>
      <c r="AP1718" s="467">
        <v>0</v>
      </c>
      <c r="AQ1718" s="318">
        <v>0</v>
      </c>
      <c r="AR1718" s="318">
        <f t="shared" si="1281"/>
        <v>55778.000000000058</v>
      </c>
      <c r="AS1718" s="318">
        <f t="shared" si="1282"/>
        <v>58567</v>
      </c>
      <c r="AT1718" s="321">
        <v>0</v>
      </c>
      <c r="AU1718" s="464"/>
      <c r="AV1718" s="449"/>
      <c r="AW1718" s="318">
        <f t="shared" si="1283"/>
        <v>16700</v>
      </c>
      <c r="AX1718" s="467"/>
      <c r="AY1718" s="318">
        <f t="shared" si="1284"/>
        <v>16700</v>
      </c>
      <c r="AZ1718" s="318">
        <f t="shared" si="1285"/>
        <v>16680</v>
      </c>
      <c r="BA1718" s="318">
        <f t="shared" si="1286"/>
        <v>20</v>
      </c>
      <c r="BB1718" s="318">
        <f t="shared" si="1287"/>
        <v>33.4</v>
      </c>
      <c r="BC1718" s="318">
        <v>0</v>
      </c>
      <c r="BD1718" s="467"/>
      <c r="BE1718" s="138">
        <v>167</v>
      </c>
      <c r="BF1718" s="321">
        <f t="shared" si="1288"/>
        <v>0.2505</v>
      </c>
      <c r="BG1718" s="321">
        <f t="shared" si="1289"/>
        <v>166.74950000000001</v>
      </c>
      <c r="BH1718" s="321">
        <f t="shared" si="1290"/>
        <v>166.8</v>
      </c>
      <c r="BI1718" s="322">
        <f t="shared" si="1291"/>
        <v>19.999999999998863</v>
      </c>
      <c r="BJ1718" s="322">
        <v>0</v>
      </c>
      <c r="BK1718" s="318">
        <f t="shared" si="1292"/>
        <v>19.999999999998863</v>
      </c>
      <c r="BL1718" s="449"/>
      <c r="BM1718" s="449" t="str">
        <f t="shared" si="1293"/>
        <v>Unloading no. 1683 Bill No KAI/2026-27/195 ,Deduction For Oil Deduction= 55778.0000000001 ,Bardana= 0 ,F.M= 0 Brokerage/Rate Difference 0 ,Shortage = 0 ,Greenish= 0 ,Moisture= 0</v>
      </c>
      <c r="BN1718" s="449"/>
      <c r="BO1718" s="449" t="str">
        <f t="shared" si="1294"/>
        <v xml:space="preserve"> Party Condition 42  ,F.M% 0.18 ,Greenish 3 ,Moisture 5.7 ,Shortage in KG= 0  ,Oil% 40.33</v>
      </c>
      <c r="BP1718" s="464">
        <f t="shared" si="1295"/>
        <v>8075.6714628297359</v>
      </c>
      <c r="BQ1718" s="449"/>
      <c r="BR1718" s="449"/>
      <c r="BS1718" s="449"/>
      <c r="BT1718" s="449"/>
      <c r="BU1718" s="449"/>
      <c r="BV1718" s="449"/>
      <c r="BW1718" s="449"/>
      <c r="BX1718" s="147">
        <v>0</v>
      </c>
      <c r="BY1718" s="147">
        <v>0</v>
      </c>
    </row>
    <row r="1719" spans="1:94" ht="14.1" hidden="1" customHeight="1" x14ac:dyDescent="0.3">
      <c r="A1719" s="281" t="s">
        <v>3618</v>
      </c>
      <c r="B1719" s="146">
        <v>46254</v>
      </c>
      <c r="C1719" s="281">
        <v>1684</v>
      </c>
      <c r="D1719" s="281" t="s">
        <v>3624</v>
      </c>
      <c r="E1719" s="130">
        <v>46255</v>
      </c>
      <c r="F1719" s="128" t="s">
        <v>1686</v>
      </c>
      <c r="G1719" s="128" t="s">
        <v>1687</v>
      </c>
      <c r="H1719" s="128" t="s">
        <v>1688</v>
      </c>
      <c r="I1719" s="136"/>
      <c r="J1719" s="138" t="s">
        <v>1146</v>
      </c>
      <c r="K1719" s="136"/>
      <c r="L1719" s="146">
        <v>46254</v>
      </c>
      <c r="M1719" s="136"/>
      <c r="N1719" s="281" t="s">
        <v>3640</v>
      </c>
      <c r="O1719" s="129">
        <v>46254</v>
      </c>
      <c r="P1719" s="138">
        <v>0</v>
      </c>
      <c r="Q1719" s="138">
        <v>230</v>
      </c>
      <c r="R1719" s="138">
        <v>45</v>
      </c>
      <c r="S1719" s="138">
        <v>275</v>
      </c>
      <c r="T1719" s="138">
        <v>275</v>
      </c>
      <c r="U1719" s="136"/>
      <c r="V1719" s="136"/>
      <c r="W1719" s="138">
        <v>167</v>
      </c>
      <c r="X1719" s="138">
        <v>166.9</v>
      </c>
      <c r="Y1719" s="138">
        <v>1402800</v>
      </c>
      <c r="Z1719" s="165"/>
      <c r="AA1719" s="128">
        <v>35070</v>
      </c>
      <c r="AB1719" s="128">
        <v>35070</v>
      </c>
      <c r="AC1719" s="128">
        <v>1472940</v>
      </c>
      <c r="AD1719" s="490">
        <f t="shared" si="1201"/>
        <v>1471467.06</v>
      </c>
      <c r="AE1719" s="173">
        <v>39.69</v>
      </c>
      <c r="AF1719" s="147">
        <v>42</v>
      </c>
      <c r="AG1719" s="173">
        <v>39.619999999999997</v>
      </c>
      <c r="AH1719" s="287">
        <v>1.9E-3</v>
      </c>
      <c r="AI1719" s="287">
        <v>3.1E-2</v>
      </c>
      <c r="AJ1719" s="287">
        <v>5.8999999999999997E-2</v>
      </c>
      <c r="AK1719" s="318">
        <f t="shared" si="1279"/>
        <v>79492.000000000087</v>
      </c>
      <c r="AL1719" s="467">
        <v>0</v>
      </c>
      <c r="AM1719" s="321">
        <v>0</v>
      </c>
      <c r="AN1719" s="321">
        <v>0</v>
      </c>
      <c r="AO1719" s="318">
        <f t="shared" si="1280"/>
        <v>0</v>
      </c>
      <c r="AP1719" s="467">
        <v>0</v>
      </c>
      <c r="AQ1719" s="318">
        <v>0</v>
      </c>
      <c r="AR1719" s="318">
        <f t="shared" si="1281"/>
        <v>79492.000000000087</v>
      </c>
      <c r="AS1719" s="318">
        <f t="shared" si="1282"/>
        <v>83467</v>
      </c>
      <c r="AT1719" s="321">
        <v>0</v>
      </c>
      <c r="AU1719" s="464"/>
      <c r="AV1719" s="449"/>
      <c r="AW1719" s="318">
        <f t="shared" si="1283"/>
        <v>16700</v>
      </c>
      <c r="AX1719" s="467"/>
      <c r="AY1719" s="318">
        <f t="shared" si="1284"/>
        <v>16700</v>
      </c>
      <c r="AZ1719" s="318">
        <f t="shared" si="1285"/>
        <v>16690</v>
      </c>
      <c r="BA1719" s="318">
        <f t="shared" si="1286"/>
        <v>10</v>
      </c>
      <c r="BB1719" s="318">
        <f t="shared" si="1287"/>
        <v>33.4</v>
      </c>
      <c r="BC1719" s="318">
        <v>0</v>
      </c>
      <c r="BD1719" s="467"/>
      <c r="BE1719" s="138">
        <v>167</v>
      </c>
      <c r="BF1719" s="321">
        <f t="shared" si="1288"/>
        <v>0.2505</v>
      </c>
      <c r="BG1719" s="321">
        <f t="shared" si="1289"/>
        <v>166.74950000000001</v>
      </c>
      <c r="BH1719" s="321">
        <f t="shared" si="1290"/>
        <v>166.9</v>
      </c>
      <c r="BI1719" s="322">
        <f t="shared" si="1291"/>
        <v>9.9999999999994316</v>
      </c>
      <c r="BJ1719" s="322">
        <v>0</v>
      </c>
      <c r="BK1719" s="318">
        <f t="shared" si="1292"/>
        <v>9.9999999999994316</v>
      </c>
      <c r="BL1719" s="449"/>
      <c r="BM1719" s="449" t="str">
        <f t="shared" si="1293"/>
        <v>Unloading no. 1684 Bill No KAI/2026-27/196 ,Deduction For Oil Deduction= 79492.0000000001 ,Bardana= 0 ,F.M= 0 Brokerage/Rate Difference 0 ,Shortage = 0 ,Greenish= 0 ,Moisture= 0</v>
      </c>
      <c r="BN1719" s="449"/>
      <c r="BO1719" s="449" t="str">
        <f t="shared" si="1294"/>
        <v xml:space="preserve"> Party Condition 42  ,F.M% 0.19 ,Greenish 3.1 ,Moisture 5.9 ,Shortage in KG= 0  ,Oil% 39.62</v>
      </c>
      <c r="BP1719" s="464">
        <f t="shared" si="1295"/>
        <v>7928.7477531455961</v>
      </c>
      <c r="BQ1719" s="449"/>
      <c r="BR1719" s="449"/>
      <c r="BS1719" s="449"/>
      <c r="BT1719" s="449"/>
      <c r="BU1719" s="449"/>
      <c r="BV1719" s="449"/>
      <c r="BW1719" s="449"/>
      <c r="BX1719" s="147">
        <v>0</v>
      </c>
      <c r="BY1719" s="147">
        <v>0</v>
      </c>
    </row>
    <row r="1720" spans="1:94" ht="14.1" hidden="1" customHeight="1" x14ac:dyDescent="0.3">
      <c r="A1720" s="281" t="s">
        <v>3619</v>
      </c>
      <c r="B1720" s="146">
        <v>46254</v>
      </c>
      <c r="C1720" s="281">
        <v>1685</v>
      </c>
      <c r="D1720" s="281" t="s">
        <v>3625</v>
      </c>
      <c r="E1720" s="130">
        <v>46255</v>
      </c>
      <c r="F1720" s="128" t="s">
        <v>1807</v>
      </c>
      <c r="G1720" s="128" t="s">
        <v>1808</v>
      </c>
      <c r="H1720" s="128" t="s">
        <v>100</v>
      </c>
      <c r="I1720" s="136"/>
      <c r="J1720" s="138" t="s">
        <v>1146</v>
      </c>
      <c r="K1720" s="136"/>
      <c r="L1720" s="146">
        <v>46254</v>
      </c>
      <c r="M1720" s="136"/>
      <c r="N1720" s="281" t="s">
        <v>1161</v>
      </c>
      <c r="O1720" s="129">
        <v>46254</v>
      </c>
      <c r="P1720" s="138">
        <v>0</v>
      </c>
      <c r="Q1720" s="138">
        <v>350</v>
      </c>
      <c r="R1720" s="138">
        <v>150</v>
      </c>
      <c r="S1720" s="138">
        <v>500</v>
      </c>
      <c r="T1720" s="138">
        <v>500</v>
      </c>
      <c r="U1720" s="136"/>
      <c r="V1720" s="136"/>
      <c r="W1720" s="138">
        <v>255</v>
      </c>
      <c r="X1720" s="138">
        <v>254.1</v>
      </c>
      <c r="Y1720" s="138">
        <v>2144550</v>
      </c>
      <c r="Z1720" s="165"/>
      <c r="AA1720" s="128">
        <v>53613.75</v>
      </c>
      <c r="AB1720" s="128">
        <v>53613.75</v>
      </c>
      <c r="AC1720" s="128">
        <v>2251777.5</v>
      </c>
      <c r="AD1720" s="490">
        <f t="shared" si="1201"/>
        <v>2249525.7225000001</v>
      </c>
      <c r="AE1720" s="173">
        <v>40.840000000000003</v>
      </c>
      <c r="AF1720" s="147">
        <v>42</v>
      </c>
      <c r="AG1720" s="173">
        <v>40.83</v>
      </c>
      <c r="AH1720" s="287">
        <v>1.5E-3</v>
      </c>
      <c r="AI1720" s="287">
        <v>3.15E-2</v>
      </c>
      <c r="AJ1720" s="287">
        <v>5.8999999999999997E-2</v>
      </c>
      <c r="AK1720" s="318">
        <f t="shared" si="1279"/>
        <v>59741.035714285797</v>
      </c>
      <c r="AL1720" s="467">
        <v>0</v>
      </c>
      <c r="AM1720" s="321">
        <v>0</v>
      </c>
      <c r="AN1720" s="321">
        <v>0</v>
      </c>
      <c r="AO1720" s="318">
        <f t="shared" si="1280"/>
        <v>3279.9</v>
      </c>
      <c r="AP1720" s="467">
        <v>0</v>
      </c>
      <c r="AQ1720" s="318">
        <v>0</v>
      </c>
      <c r="AR1720" s="318">
        <f t="shared" si="1281"/>
        <v>63020.935714285799</v>
      </c>
      <c r="AS1720" s="318">
        <f t="shared" si="1282"/>
        <v>66172</v>
      </c>
      <c r="AT1720" s="321">
        <v>39</v>
      </c>
      <c r="AU1720" s="464"/>
      <c r="AV1720" s="449"/>
      <c r="AW1720" s="318">
        <f t="shared" si="1283"/>
        <v>25500</v>
      </c>
      <c r="AX1720" s="467"/>
      <c r="AY1720" s="318">
        <f t="shared" si="1284"/>
        <v>25500</v>
      </c>
      <c r="AZ1720" s="318">
        <f t="shared" si="1285"/>
        <v>25410</v>
      </c>
      <c r="BA1720" s="318">
        <f t="shared" si="1286"/>
        <v>90</v>
      </c>
      <c r="BB1720" s="318">
        <f t="shared" si="1287"/>
        <v>51</v>
      </c>
      <c r="BC1720" s="318">
        <v>0</v>
      </c>
      <c r="BD1720" s="467"/>
      <c r="BE1720" s="138">
        <v>255</v>
      </c>
      <c r="BF1720" s="321">
        <f t="shared" si="1288"/>
        <v>0.38250000000000001</v>
      </c>
      <c r="BG1720" s="321">
        <f t="shared" si="1289"/>
        <v>254.61750000000001</v>
      </c>
      <c r="BH1720" s="321">
        <f t="shared" si="1290"/>
        <v>254.1</v>
      </c>
      <c r="BI1720" s="322">
        <f t="shared" si="1291"/>
        <v>90.000000000000568</v>
      </c>
      <c r="BJ1720" s="322">
        <v>0</v>
      </c>
      <c r="BK1720" s="318">
        <f t="shared" si="1292"/>
        <v>90.000000000000568</v>
      </c>
      <c r="BL1720" s="449"/>
      <c r="BM1720" s="449" t="str">
        <f t="shared" si="1293"/>
        <v>Unloading no. 1685 Bill No 2026-27/32 ,Deduction For Oil Deduction= 59741.0357142858 ,Bardana= 0 ,F.M= 0 Brokerage/Rate Difference 0 ,Shortage = 3279.9 ,Greenish= 0 ,Moisture= 0</v>
      </c>
      <c r="BN1720" s="449"/>
      <c r="BO1720" s="449" t="str">
        <f t="shared" si="1294"/>
        <v xml:space="preserve"> Party Condition 42  ,F.M% 0.15 ,Greenish 3.15 ,Moisture 5.9 ,Shortage in KG= 39  ,Oil% 40.83</v>
      </c>
      <c r="BP1720" s="464">
        <f t="shared" si="1295"/>
        <v>8191.77120931017</v>
      </c>
      <c r="BQ1720" s="449"/>
      <c r="BR1720" s="449"/>
      <c r="BS1720" s="449"/>
      <c r="BT1720" s="449"/>
      <c r="BU1720" s="449"/>
      <c r="BV1720" s="449"/>
      <c r="BW1720" s="449"/>
      <c r="BX1720" s="147">
        <v>0</v>
      </c>
      <c r="BY1720" s="147">
        <v>0</v>
      </c>
      <c r="CG1720" s="56" t="s">
        <v>3720</v>
      </c>
      <c r="CI1720" s="56" t="s">
        <v>2819</v>
      </c>
    </row>
    <row r="1721" spans="1:94" ht="14.1" hidden="1" customHeight="1" x14ac:dyDescent="0.3">
      <c r="A1721" s="281" t="s">
        <v>3620</v>
      </c>
      <c r="B1721" s="146">
        <v>46253</v>
      </c>
      <c r="C1721" s="281">
        <v>1686</v>
      </c>
      <c r="D1721" s="281" t="s">
        <v>3626</v>
      </c>
      <c r="E1721" s="130">
        <v>46255</v>
      </c>
      <c r="F1721" s="128" t="s">
        <v>95</v>
      </c>
      <c r="G1721" s="128" t="s">
        <v>96</v>
      </c>
      <c r="H1721" s="128" t="s">
        <v>97</v>
      </c>
      <c r="I1721" s="136"/>
      <c r="J1721" s="138" t="s">
        <v>3617</v>
      </c>
      <c r="K1721" s="136"/>
      <c r="L1721" s="146">
        <v>46253</v>
      </c>
      <c r="M1721" s="136"/>
      <c r="N1721" s="281">
        <v>256</v>
      </c>
      <c r="O1721" s="129">
        <v>46254</v>
      </c>
      <c r="P1721" s="138">
        <v>0</v>
      </c>
      <c r="Q1721" s="138">
        <v>400</v>
      </c>
      <c r="R1721" s="138">
        <v>175</v>
      </c>
      <c r="S1721" s="138">
        <v>575</v>
      </c>
      <c r="T1721" s="138">
        <v>575</v>
      </c>
      <c r="U1721" s="136"/>
      <c r="V1721" s="136"/>
      <c r="W1721" s="138">
        <v>349.8</v>
      </c>
      <c r="X1721" s="138">
        <v>349.1</v>
      </c>
      <c r="Y1721" s="138">
        <v>2945316</v>
      </c>
      <c r="Z1721" s="165"/>
      <c r="AA1721" s="128">
        <v>73632.899999999994</v>
      </c>
      <c r="AB1721" s="128">
        <v>73632.899999999994</v>
      </c>
      <c r="AC1721" s="128">
        <v>3092581.8</v>
      </c>
      <c r="AD1721" s="490">
        <f t="shared" ref="AD1721:AD1784" si="1296">SUM(AC1721-AC1721*0.1%)</f>
        <v>3089489.2182</v>
      </c>
      <c r="AE1721" s="173">
        <v>39.020000000000003</v>
      </c>
      <c r="AF1721" s="147">
        <v>42</v>
      </c>
      <c r="AG1721" s="173">
        <v>39.14</v>
      </c>
      <c r="AH1721" s="418">
        <v>4.1999999999999997E-3</v>
      </c>
      <c r="AI1721" s="287">
        <v>3.3500000000000002E-2</v>
      </c>
      <c r="AJ1721" s="397">
        <v>5.8000000000000003E-2</v>
      </c>
      <c r="AK1721" s="454">
        <f t="shared" si="1279"/>
        <v>208977.18285714264</v>
      </c>
      <c r="AL1721" s="467">
        <f>400*10+175*15</f>
        <v>6625</v>
      </c>
      <c r="AM1721" s="321">
        <f>Y1721*AH1721</f>
        <v>12370.3272</v>
      </c>
      <c r="AN1721" s="321">
        <v>0</v>
      </c>
      <c r="AO1721" s="318">
        <f t="shared" si="1280"/>
        <v>5894</v>
      </c>
      <c r="AP1721" s="467">
        <v>0</v>
      </c>
      <c r="AQ1721" s="454">
        <f>Y1721*0.8/100</f>
        <v>23562.528000000002</v>
      </c>
      <c r="AR1721" s="318">
        <f t="shared" si="1281"/>
        <v>257429.03805714264</v>
      </c>
      <c r="AS1721" s="318">
        <f t="shared" si="1282"/>
        <v>270300</v>
      </c>
      <c r="AT1721" s="321">
        <v>70</v>
      </c>
      <c r="AU1721" s="464"/>
      <c r="AV1721" s="449"/>
      <c r="AW1721" s="318">
        <f t="shared" si="1283"/>
        <v>34980</v>
      </c>
      <c r="AX1721" s="467"/>
      <c r="AY1721" s="318">
        <f t="shared" si="1284"/>
        <v>34980</v>
      </c>
      <c r="AZ1721" s="318">
        <f t="shared" si="1285"/>
        <v>34910</v>
      </c>
      <c r="BA1721" s="318">
        <f t="shared" si="1286"/>
        <v>70</v>
      </c>
      <c r="BB1721" s="318">
        <f t="shared" si="1287"/>
        <v>69.959999999999994</v>
      </c>
      <c r="BC1721" s="318">
        <v>0</v>
      </c>
      <c r="BD1721" s="467"/>
      <c r="BE1721" s="138">
        <v>349.8</v>
      </c>
      <c r="BF1721" s="321">
        <f t="shared" si="1288"/>
        <v>0.52469999999999994</v>
      </c>
      <c r="BG1721" s="321">
        <f t="shared" si="1289"/>
        <v>349.27530000000002</v>
      </c>
      <c r="BH1721" s="321">
        <f t="shared" si="1290"/>
        <v>349.1</v>
      </c>
      <c r="BI1721" s="322">
        <f t="shared" si="1291"/>
        <v>69.999999999998863</v>
      </c>
      <c r="BJ1721" s="322">
        <v>0</v>
      </c>
      <c r="BK1721" s="318">
        <f t="shared" si="1292"/>
        <v>69.999999999998863</v>
      </c>
      <c r="BL1721" s="449"/>
      <c r="BM1721" s="449" t="str">
        <f t="shared" si="1293"/>
        <v>Unloading no. 1686 Bill No 256 ,Deduction For Oil Deduction= 208977.182857143 ,Bardana= 6625 ,F.M= 12370.3272 Brokerage/Rate Difference 0 ,Shortage = 5894 ,Greenish= 0 ,Moisture= 23562.528</v>
      </c>
      <c r="BN1721" s="449"/>
      <c r="BO1721" s="449" t="str">
        <f t="shared" si="1294"/>
        <v xml:space="preserve"> Party Condition 42  ,F.M% 0.42 ,Greenish 3.35 ,Moisture 5.8 ,Shortage in KG= 70  ,Oil% 39.02</v>
      </c>
      <c r="BP1721" s="464">
        <f t="shared" si="1295"/>
        <v>7699.4756858861556</v>
      </c>
      <c r="BQ1721" s="449"/>
      <c r="BR1721" s="449"/>
      <c r="BS1721" s="449"/>
      <c r="BT1721" s="449"/>
      <c r="BU1721" s="449"/>
      <c r="BV1721" s="449"/>
      <c r="BW1721" s="449"/>
      <c r="BX1721" s="147">
        <v>0</v>
      </c>
      <c r="BY1721" s="147">
        <v>0</v>
      </c>
      <c r="CA1721" s="56">
        <v>245692.4</v>
      </c>
      <c r="CC1721" s="84">
        <f t="shared" ref="CC1721" si="1297">AS1721-CA1721</f>
        <v>24607.600000000006</v>
      </c>
      <c r="CD1721" s="56">
        <f t="shared" ref="CD1721" si="1298">CC1721/105*100</f>
        <v>23435.80952380953</v>
      </c>
      <c r="CF1721" s="56">
        <v>200561.99</v>
      </c>
      <c r="CG1721" s="492">
        <f>AK1721-CF1721</f>
        <v>8415.1928571426542</v>
      </c>
      <c r="CH1721" s="56">
        <v>8541.42</v>
      </c>
      <c r="CI1721" s="492">
        <f>AQ1721-CH1721</f>
        <v>15021.108000000002</v>
      </c>
    </row>
    <row r="1722" spans="1:94" ht="14.1" hidden="1" customHeight="1" x14ac:dyDescent="0.3">
      <c r="A1722" s="281" t="s">
        <v>3618</v>
      </c>
      <c r="B1722" s="146">
        <v>46254</v>
      </c>
      <c r="C1722" s="281">
        <v>1687</v>
      </c>
      <c r="D1722" s="281" t="s">
        <v>3627</v>
      </c>
      <c r="E1722" s="130">
        <v>46255</v>
      </c>
      <c r="F1722" s="128" t="s">
        <v>1686</v>
      </c>
      <c r="G1722" s="128" t="s">
        <v>1687</v>
      </c>
      <c r="H1722" s="128" t="s">
        <v>1688</v>
      </c>
      <c r="I1722" s="136"/>
      <c r="J1722" s="138" t="s">
        <v>1146</v>
      </c>
      <c r="K1722" s="136"/>
      <c r="L1722" s="146">
        <v>46254</v>
      </c>
      <c r="M1722" s="136"/>
      <c r="N1722" s="281" t="s">
        <v>3641</v>
      </c>
      <c r="O1722" s="129">
        <v>46254</v>
      </c>
      <c r="P1722" s="138">
        <v>0</v>
      </c>
      <c r="Q1722" s="138">
        <v>190</v>
      </c>
      <c r="R1722" s="138">
        <v>85</v>
      </c>
      <c r="S1722" s="138">
        <v>275</v>
      </c>
      <c r="T1722" s="138">
        <v>275</v>
      </c>
      <c r="U1722" s="136"/>
      <c r="V1722" s="136"/>
      <c r="W1722" s="138">
        <v>166.9</v>
      </c>
      <c r="X1722" s="138">
        <v>166.7</v>
      </c>
      <c r="Y1722" s="138">
        <v>1401960</v>
      </c>
      <c r="Z1722" s="165"/>
      <c r="AA1722" s="128">
        <v>35049</v>
      </c>
      <c r="AB1722" s="128">
        <v>35049</v>
      </c>
      <c r="AC1722" s="128">
        <v>1472058</v>
      </c>
      <c r="AD1722" s="490">
        <f t="shared" si="1296"/>
        <v>1470585.942</v>
      </c>
      <c r="AE1722" s="173">
        <v>40.75</v>
      </c>
      <c r="AF1722" s="147">
        <v>42</v>
      </c>
      <c r="AG1722" s="173">
        <v>40.46</v>
      </c>
      <c r="AH1722" s="287">
        <v>2E-3</v>
      </c>
      <c r="AI1722" s="287">
        <v>3.3000000000000002E-2</v>
      </c>
      <c r="AJ1722" s="287">
        <v>5.8999999999999997E-2</v>
      </c>
      <c r="AK1722" s="318">
        <f t="shared" si="1279"/>
        <v>51405.199999999968</v>
      </c>
      <c r="AL1722" s="467">
        <v>0</v>
      </c>
      <c r="AM1722" s="321">
        <v>0</v>
      </c>
      <c r="AN1722" s="321">
        <v>0</v>
      </c>
      <c r="AO1722" s="318">
        <f t="shared" si="1280"/>
        <v>0</v>
      </c>
      <c r="AP1722" s="467">
        <v>0</v>
      </c>
      <c r="AQ1722" s="318">
        <v>0</v>
      </c>
      <c r="AR1722" s="318">
        <f t="shared" si="1281"/>
        <v>51405.199999999968</v>
      </c>
      <c r="AS1722" s="318">
        <f t="shared" si="1282"/>
        <v>53975</v>
      </c>
      <c r="AT1722" s="321">
        <v>0</v>
      </c>
      <c r="AU1722" s="464"/>
      <c r="AV1722" s="449"/>
      <c r="AW1722" s="318">
        <f t="shared" si="1283"/>
        <v>16690</v>
      </c>
      <c r="AX1722" s="467"/>
      <c r="AY1722" s="318">
        <f t="shared" si="1284"/>
        <v>16690</v>
      </c>
      <c r="AZ1722" s="318">
        <f t="shared" si="1285"/>
        <v>16670</v>
      </c>
      <c r="BA1722" s="318">
        <f t="shared" si="1286"/>
        <v>20</v>
      </c>
      <c r="BB1722" s="318">
        <f t="shared" si="1287"/>
        <v>33.380000000000003</v>
      </c>
      <c r="BC1722" s="318">
        <v>0</v>
      </c>
      <c r="BD1722" s="467"/>
      <c r="BE1722" s="138">
        <v>166.9</v>
      </c>
      <c r="BF1722" s="321">
        <f t="shared" si="1288"/>
        <v>0.25035000000000002</v>
      </c>
      <c r="BG1722" s="321">
        <f t="shared" si="1289"/>
        <v>166.64965000000001</v>
      </c>
      <c r="BH1722" s="321">
        <f t="shared" si="1290"/>
        <v>166.7</v>
      </c>
      <c r="BI1722" s="322">
        <f t="shared" si="1291"/>
        <v>20.000000000001705</v>
      </c>
      <c r="BJ1722" s="322">
        <v>0</v>
      </c>
      <c r="BK1722" s="318">
        <f t="shared" si="1292"/>
        <v>20.000000000001705</v>
      </c>
      <c r="BL1722" s="449"/>
      <c r="BM1722" s="449" t="str">
        <f t="shared" si="1293"/>
        <v>Unloading no. 1687 Bill No KAI/2026-27/193 ,Deduction For Oil Deduction= 51405.2 ,Bardana= 0 ,F.M= 0 Brokerage/Rate Difference 0 ,Shortage = 0 ,Greenish= 0 ,Moisture= 0</v>
      </c>
      <c r="BN1722" s="449"/>
      <c r="BO1722" s="449" t="str">
        <f t="shared" si="1294"/>
        <v xml:space="preserve"> Party Condition 42  ,F.M% 0.2 ,Greenish 3.3 ,Moisture 5.9 ,Shortage in KG= 0  ,Oil% 40.46</v>
      </c>
      <c r="BP1722" s="464">
        <f t="shared" si="1295"/>
        <v>8101.7084583083388</v>
      </c>
      <c r="BQ1722" s="449"/>
      <c r="BR1722" s="449"/>
      <c r="BS1722" s="449"/>
      <c r="BT1722" s="449"/>
      <c r="BU1722" s="449"/>
      <c r="BV1722" s="449"/>
      <c r="BW1722" s="449"/>
      <c r="BX1722" s="147">
        <v>0</v>
      </c>
      <c r="BY1722" s="147">
        <v>0</v>
      </c>
    </row>
    <row r="1723" spans="1:94" ht="14.1" hidden="1" customHeight="1" x14ac:dyDescent="0.3">
      <c r="A1723" s="281" t="s">
        <v>3621</v>
      </c>
      <c r="B1723" s="146">
        <v>46252</v>
      </c>
      <c r="C1723" s="281">
        <v>1688</v>
      </c>
      <c r="D1723" s="281" t="s">
        <v>3628</v>
      </c>
      <c r="E1723" s="130">
        <v>46255</v>
      </c>
      <c r="F1723" s="128" t="s">
        <v>3636</v>
      </c>
      <c r="G1723" s="128" t="s">
        <v>3637</v>
      </c>
      <c r="H1723" s="128" t="s">
        <v>2081</v>
      </c>
      <c r="I1723" s="136"/>
      <c r="J1723" s="138" t="s">
        <v>1146</v>
      </c>
      <c r="K1723" s="136"/>
      <c r="L1723" s="146">
        <v>46252</v>
      </c>
      <c r="M1723" s="136"/>
      <c r="N1723" s="281" t="s">
        <v>3642</v>
      </c>
      <c r="O1723" s="129">
        <v>46255</v>
      </c>
      <c r="P1723" s="138">
        <v>0</v>
      </c>
      <c r="Q1723" s="138">
        <v>140</v>
      </c>
      <c r="R1723" s="138">
        <v>30</v>
      </c>
      <c r="S1723" s="138">
        <v>170</v>
      </c>
      <c r="T1723" s="138">
        <v>170</v>
      </c>
      <c r="U1723" s="136"/>
      <c r="V1723" s="136"/>
      <c r="W1723" s="138">
        <v>103.1</v>
      </c>
      <c r="X1723" s="138">
        <v>102.9</v>
      </c>
      <c r="Y1723" s="138">
        <v>829955</v>
      </c>
      <c r="Z1723" s="165"/>
      <c r="AA1723" s="128">
        <v>20748.88</v>
      </c>
      <c r="AB1723" s="128">
        <v>20748.88</v>
      </c>
      <c r="AC1723" s="128">
        <v>871452.75</v>
      </c>
      <c r="AD1723" s="490">
        <f t="shared" si="1296"/>
        <v>870581.29724999995</v>
      </c>
      <c r="AE1723" s="173">
        <v>40.619999999999997</v>
      </c>
      <c r="AF1723" s="147">
        <v>39.85</v>
      </c>
      <c r="AG1723" s="173">
        <v>40.6</v>
      </c>
      <c r="AH1723" s="287">
        <v>2.8E-3</v>
      </c>
      <c r="AI1723" s="287">
        <v>2.64E-2</v>
      </c>
      <c r="AJ1723" s="287">
        <v>4.9000000000000002E-2</v>
      </c>
      <c r="AK1723" s="318">
        <f t="shared" si="1279"/>
        <v>0</v>
      </c>
      <c r="AL1723" s="467">
        <v>0</v>
      </c>
      <c r="AM1723" s="321">
        <v>0</v>
      </c>
      <c r="AN1723" s="321">
        <v>0</v>
      </c>
      <c r="AO1723" s="318">
        <f t="shared" si="1280"/>
        <v>0</v>
      </c>
      <c r="AP1723" s="467">
        <v>0</v>
      </c>
      <c r="AQ1723" s="318">
        <v>0</v>
      </c>
      <c r="AR1723" s="318">
        <f t="shared" si="1281"/>
        <v>0</v>
      </c>
      <c r="AS1723" s="318">
        <f t="shared" si="1282"/>
        <v>0</v>
      </c>
      <c r="AT1723" s="321">
        <v>0</v>
      </c>
      <c r="AU1723" s="464"/>
      <c r="AV1723" s="449"/>
      <c r="AW1723" s="318">
        <f t="shared" si="1283"/>
        <v>10310</v>
      </c>
      <c r="AX1723" s="467"/>
      <c r="AY1723" s="318">
        <f t="shared" si="1284"/>
        <v>10310</v>
      </c>
      <c r="AZ1723" s="318">
        <f t="shared" si="1285"/>
        <v>10290</v>
      </c>
      <c r="BA1723" s="318">
        <f t="shared" si="1286"/>
        <v>20</v>
      </c>
      <c r="BB1723" s="318">
        <f t="shared" si="1287"/>
        <v>20.62</v>
      </c>
      <c r="BC1723" s="318">
        <v>0</v>
      </c>
      <c r="BD1723" s="467"/>
      <c r="BE1723" s="138">
        <v>103.1</v>
      </c>
      <c r="BF1723" s="321">
        <f t="shared" si="1288"/>
        <v>0.15464999999999998</v>
      </c>
      <c r="BG1723" s="321">
        <f t="shared" si="1289"/>
        <v>102.94534999999999</v>
      </c>
      <c r="BH1723" s="321">
        <f t="shared" si="1290"/>
        <v>102.9</v>
      </c>
      <c r="BI1723" s="322">
        <f t="shared" si="1291"/>
        <v>19.999999999998863</v>
      </c>
      <c r="BJ1723" s="322">
        <v>0</v>
      </c>
      <c r="BK1723" s="318">
        <f t="shared" si="1292"/>
        <v>19.999999999998863</v>
      </c>
      <c r="BL1723" s="449"/>
      <c r="BM1723" s="449" t="str">
        <f t="shared" si="1293"/>
        <v>Unloading no. 1688 Bill No RJT751/2026-27 ,Deduction For Oil Deduction= 0 ,Bardana= 0 ,F.M= 0 Brokerage/Rate Difference 0 ,Shortage = 0 ,Greenish= 0 ,Moisture= 0</v>
      </c>
      <c r="BN1723" s="449"/>
      <c r="BO1723" s="449" t="str">
        <f t="shared" si="1294"/>
        <v xml:space="preserve"> Party Condition 39.85  ,F.M% 0.28 ,Greenish 2.64 ,Moisture 4.9 ,Shortage in KG= 0  ,Oil% 40.6</v>
      </c>
      <c r="BP1723" s="464">
        <f t="shared" si="1295"/>
        <v>8065.6462585034005</v>
      </c>
      <c r="BQ1723" s="449"/>
      <c r="BR1723" s="449"/>
      <c r="BS1723" s="449"/>
      <c r="BT1723" s="449"/>
      <c r="BU1723" s="449"/>
      <c r="BV1723" s="449"/>
      <c r="BW1723" s="449"/>
      <c r="BX1723" s="147">
        <v>0</v>
      </c>
      <c r="BY1723" s="147">
        <v>0</v>
      </c>
    </row>
    <row r="1724" spans="1:94" ht="14.1" hidden="1" customHeight="1" x14ac:dyDescent="0.3">
      <c r="A1724" s="281" t="s">
        <v>3621</v>
      </c>
      <c r="B1724" s="146">
        <v>46252</v>
      </c>
      <c r="C1724" s="281">
        <v>1689</v>
      </c>
      <c r="D1724" s="281" t="s">
        <v>3629</v>
      </c>
      <c r="E1724" s="130">
        <v>46255</v>
      </c>
      <c r="F1724" s="128" t="s">
        <v>3636</v>
      </c>
      <c r="G1724" s="128" t="s">
        <v>3637</v>
      </c>
      <c r="H1724" s="128" t="s">
        <v>2081</v>
      </c>
      <c r="I1724" s="136"/>
      <c r="J1724" s="138" t="s">
        <v>1146</v>
      </c>
      <c r="K1724" s="136"/>
      <c r="L1724" s="146">
        <v>46252</v>
      </c>
      <c r="M1724" s="136"/>
      <c r="N1724" s="281" t="s">
        <v>3643</v>
      </c>
      <c r="O1724" s="129">
        <v>46255</v>
      </c>
      <c r="P1724" s="138">
        <v>0</v>
      </c>
      <c r="Q1724" s="138">
        <v>140</v>
      </c>
      <c r="R1724" s="138">
        <v>30</v>
      </c>
      <c r="S1724" s="138">
        <v>170</v>
      </c>
      <c r="T1724" s="138">
        <v>170</v>
      </c>
      <c r="U1724" s="136"/>
      <c r="V1724" s="136"/>
      <c r="W1724" s="138">
        <v>102.3</v>
      </c>
      <c r="X1724" s="138">
        <v>102.2</v>
      </c>
      <c r="Y1724" s="138">
        <v>823515</v>
      </c>
      <c r="Z1724" s="165"/>
      <c r="AA1724" s="128">
        <v>20587.88</v>
      </c>
      <c r="AB1724" s="128">
        <v>20587.88</v>
      </c>
      <c r="AC1724" s="128">
        <v>864690.75</v>
      </c>
      <c r="AD1724" s="490">
        <f t="shared" si="1296"/>
        <v>863826.05925000005</v>
      </c>
      <c r="AE1724" s="173">
        <v>40.770000000000003</v>
      </c>
      <c r="AF1724" s="147">
        <v>39.85</v>
      </c>
      <c r="AG1724" s="173">
        <v>40.46</v>
      </c>
      <c r="AH1724" s="287">
        <v>2.5000000000000001E-3</v>
      </c>
      <c r="AI1724" s="287">
        <v>3.3500000000000002E-2</v>
      </c>
      <c r="AJ1724" s="287">
        <v>0.05</v>
      </c>
      <c r="AK1724" s="318">
        <f t="shared" si="1279"/>
        <v>0</v>
      </c>
      <c r="AL1724" s="467">
        <v>0</v>
      </c>
      <c r="AM1724" s="321">
        <v>0</v>
      </c>
      <c r="AN1724" s="321">
        <v>0</v>
      </c>
      <c r="AO1724" s="318">
        <f t="shared" si="1280"/>
        <v>0</v>
      </c>
      <c r="AP1724" s="467">
        <v>0</v>
      </c>
      <c r="AQ1724" s="318">
        <v>0</v>
      </c>
      <c r="AR1724" s="318">
        <f t="shared" si="1281"/>
        <v>0</v>
      </c>
      <c r="AS1724" s="318">
        <f t="shared" si="1282"/>
        <v>0</v>
      </c>
      <c r="AT1724" s="321">
        <v>0</v>
      </c>
      <c r="AU1724" s="464"/>
      <c r="AV1724" s="449"/>
      <c r="AW1724" s="318">
        <f t="shared" si="1283"/>
        <v>10230</v>
      </c>
      <c r="AX1724" s="467"/>
      <c r="AY1724" s="318">
        <f t="shared" si="1284"/>
        <v>10230</v>
      </c>
      <c r="AZ1724" s="318">
        <f t="shared" si="1285"/>
        <v>10220</v>
      </c>
      <c r="BA1724" s="318">
        <f t="shared" si="1286"/>
        <v>10</v>
      </c>
      <c r="BB1724" s="318">
        <f t="shared" si="1287"/>
        <v>20.46</v>
      </c>
      <c r="BC1724" s="318">
        <v>0</v>
      </c>
      <c r="BD1724" s="467"/>
      <c r="BE1724" s="138">
        <v>102.3</v>
      </c>
      <c r="BF1724" s="321">
        <f t="shared" si="1288"/>
        <v>0.15344999999999998</v>
      </c>
      <c r="BG1724" s="321">
        <f t="shared" si="1289"/>
        <v>102.14654999999999</v>
      </c>
      <c r="BH1724" s="321">
        <f t="shared" si="1290"/>
        <v>102.2</v>
      </c>
      <c r="BI1724" s="322">
        <f t="shared" si="1291"/>
        <v>9.9999999999994316</v>
      </c>
      <c r="BJ1724" s="322">
        <v>0</v>
      </c>
      <c r="BK1724" s="318">
        <f t="shared" si="1292"/>
        <v>9.9999999999994316</v>
      </c>
      <c r="BL1724" s="449"/>
      <c r="BM1724" s="449" t="str">
        <f t="shared" si="1293"/>
        <v>Unloading no. 1689 Bill No RJT752/2026-27 ,Deduction For Oil Deduction= 0 ,Bardana= 0 ,F.M= 0 Brokerage/Rate Difference 0 ,Shortage = 0 ,Greenish= 0 ,Moisture= 0</v>
      </c>
      <c r="BN1724" s="449"/>
      <c r="BO1724" s="449" t="str">
        <f t="shared" si="1294"/>
        <v xml:space="preserve"> Party Condition 39.85  ,F.M% 0.25 ,Greenish 3.35 ,Moisture 5 ,Shortage in KG= 0  ,Oil% 40.46</v>
      </c>
      <c r="BP1724" s="464">
        <f t="shared" si="1295"/>
        <v>8057.8767123287671</v>
      </c>
      <c r="BQ1724" s="449"/>
      <c r="BR1724" s="449"/>
      <c r="BS1724" s="449"/>
      <c r="BT1724" s="449"/>
      <c r="BU1724" s="449"/>
      <c r="BV1724" s="449"/>
      <c r="BW1724" s="449"/>
      <c r="BX1724" s="147">
        <v>0</v>
      </c>
      <c r="BY1724" s="147">
        <v>0</v>
      </c>
    </row>
    <row r="1725" spans="1:94" ht="14.1" hidden="1" customHeight="1" x14ac:dyDescent="0.3">
      <c r="A1725" s="281" t="s">
        <v>3621</v>
      </c>
      <c r="B1725" s="146">
        <v>46252</v>
      </c>
      <c r="C1725" s="281">
        <v>1690</v>
      </c>
      <c r="D1725" s="281" t="s">
        <v>3630</v>
      </c>
      <c r="E1725" s="130">
        <v>46255</v>
      </c>
      <c r="F1725" s="128" t="s">
        <v>3636</v>
      </c>
      <c r="G1725" s="128" t="s">
        <v>3637</v>
      </c>
      <c r="H1725" s="128" t="s">
        <v>2081</v>
      </c>
      <c r="I1725" s="136"/>
      <c r="J1725" s="138" t="s">
        <v>1146</v>
      </c>
      <c r="K1725" s="136"/>
      <c r="L1725" s="146">
        <v>46252</v>
      </c>
      <c r="M1725" s="136"/>
      <c r="N1725" s="281" t="s">
        <v>3644</v>
      </c>
      <c r="O1725" s="129">
        <v>46255</v>
      </c>
      <c r="P1725" s="138">
        <v>0</v>
      </c>
      <c r="Q1725" s="138">
        <v>150</v>
      </c>
      <c r="R1725" s="138">
        <v>20</v>
      </c>
      <c r="S1725" s="138">
        <v>170</v>
      </c>
      <c r="T1725" s="138">
        <v>170</v>
      </c>
      <c r="U1725" s="136"/>
      <c r="V1725" s="136"/>
      <c r="W1725" s="138">
        <v>102.3</v>
      </c>
      <c r="X1725" s="138">
        <v>102.1</v>
      </c>
      <c r="Y1725" s="138">
        <v>823515</v>
      </c>
      <c r="Z1725" s="165"/>
      <c r="AA1725" s="128">
        <v>20587.88</v>
      </c>
      <c r="AB1725" s="128">
        <v>20587.88</v>
      </c>
      <c r="AC1725" s="128">
        <v>864690.75</v>
      </c>
      <c r="AD1725" s="490">
        <f t="shared" si="1296"/>
        <v>863826.05925000005</v>
      </c>
      <c r="AE1725" s="384"/>
      <c r="AF1725" s="147">
        <v>39.85</v>
      </c>
      <c r="AG1725" s="173">
        <v>40.68</v>
      </c>
      <c r="AH1725" s="287">
        <v>2.3E-3</v>
      </c>
      <c r="AI1725" s="287">
        <v>2.8000000000000001E-2</v>
      </c>
      <c r="AJ1725" s="287">
        <v>5.0999999999999997E-2</v>
      </c>
      <c r="AK1725" s="318">
        <f t="shared" si="1279"/>
        <v>0</v>
      </c>
      <c r="AL1725" s="467">
        <v>0</v>
      </c>
      <c r="AM1725" s="321">
        <v>0</v>
      </c>
      <c r="AN1725" s="321">
        <v>0</v>
      </c>
      <c r="AO1725" s="318">
        <f t="shared" si="1280"/>
        <v>0</v>
      </c>
      <c r="AP1725" s="467">
        <v>0</v>
      </c>
      <c r="AQ1725" s="318">
        <v>0</v>
      </c>
      <c r="AR1725" s="318">
        <f t="shared" si="1281"/>
        <v>0</v>
      </c>
      <c r="AS1725" s="318">
        <f t="shared" si="1282"/>
        <v>0</v>
      </c>
      <c r="AT1725" s="321">
        <v>0</v>
      </c>
      <c r="AU1725" s="464"/>
      <c r="AV1725" s="449"/>
      <c r="AW1725" s="318">
        <f t="shared" si="1283"/>
        <v>10230</v>
      </c>
      <c r="AX1725" s="467"/>
      <c r="AY1725" s="318">
        <f t="shared" si="1284"/>
        <v>10230</v>
      </c>
      <c r="AZ1725" s="318">
        <f t="shared" si="1285"/>
        <v>10210</v>
      </c>
      <c r="BA1725" s="318">
        <f t="shared" si="1286"/>
        <v>20</v>
      </c>
      <c r="BB1725" s="318">
        <f t="shared" si="1287"/>
        <v>20.46</v>
      </c>
      <c r="BC1725" s="318">
        <v>0</v>
      </c>
      <c r="BD1725" s="467"/>
      <c r="BE1725" s="138">
        <v>102.3</v>
      </c>
      <c r="BF1725" s="321">
        <f t="shared" si="1288"/>
        <v>0.15344999999999998</v>
      </c>
      <c r="BG1725" s="321">
        <f t="shared" si="1289"/>
        <v>102.14654999999999</v>
      </c>
      <c r="BH1725" s="321">
        <f t="shared" si="1290"/>
        <v>102.1</v>
      </c>
      <c r="BI1725" s="322">
        <f t="shared" si="1291"/>
        <v>20.000000000000284</v>
      </c>
      <c r="BJ1725" s="322">
        <v>0</v>
      </c>
      <c r="BK1725" s="318">
        <f t="shared" si="1292"/>
        <v>20.000000000000284</v>
      </c>
      <c r="BL1725" s="449"/>
      <c r="BM1725" s="449" t="str">
        <f t="shared" si="1293"/>
        <v>Unloading no. 1690 Bill No RJT753/2026-27 ,Deduction For Oil Deduction= 0 ,Bardana= 0 ,F.M= 0 Brokerage/Rate Difference 0 ,Shortage = 0 ,Greenish= 0 ,Moisture= 0</v>
      </c>
      <c r="BN1725" s="449"/>
      <c r="BO1725" s="449" t="str">
        <f t="shared" si="1294"/>
        <v xml:space="preserve"> Party Condition 39.85  ,F.M% 0.23 ,Greenish 2.8 ,Moisture 5.1 ,Shortage in KG= 0  ,Oil% </v>
      </c>
      <c r="BP1725" s="464">
        <f t="shared" si="1295"/>
        <v>8065.7688540646432</v>
      </c>
      <c r="BQ1725" s="449"/>
      <c r="BR1725" s="449"/>
      <c r="BS1725" s="449"/>
      <c r="BT1725" s="449"/>
      <c r="BU1725" s="449"/>
      <c r="BV1725" s="449"/>
      <c r="BW1725" s="449"/>
      <c r="BX1725" s="147">
        <v>0</v>
      </c>
      <c r="BY1725" s="147">
        <v>0</v>
      </c>
    </row>
    <row r="1726" spans="1:94" ht="14.1" hidden="1" customHeight="1" x14ac:dyDescent="0.3">
      <c r="A1726" s="281" t="s">
        <v>3621</v>
      </c>
      <c r="B1726" s="146">
        <v>46252</v>
      </c>
      <c r="C1726" s="281">
        <v>1691</v>
      </c>
      <c r="D1726" s="281" t="s">
        <v>3631</v>
      </c>
      <c r="E1726" s="130">
        <v>46255</v>
      </c>
      <c r="F1726" s="128" t="s">
        <v>3636</v>
      </c>
      <c r="G1726" s="128" t="s">
        <v>3637</v>
      </c>
      <c r="H1726" s="128" t="s">
        <v>2081</v>
      </c>
      <c r="I1726" s="136"/>
      <c r="J1726" s="138" t="s">
        <v>1146</v>
      </c>
      <c r="K1726" s="136"/>
      <c r="L1726" s="146">
        <v>46252</v>
      </c>
      <c r="M1726" s="136"/>
      <c r="N1726" s="281" t="s">
        <v>3645</v>
      </c>
      <c r="O1726" s="129">
        <v>46255</v>
      </c>
      <c r="P1726" s="138">
        <v>0</v>
      </c>
      <c r="Q1726" s="138">
        <v>100</v>
      </c>
      <c r="R1726" s="138">
        <v>70</v>
      </c>
      <c r="S1726" s="138">
        <v>170</v>
      </c>
      <c r="T1726" s="138">
        <v>170</v>
      </c>
      <c r="U1726" s="136"/>
      <c r="V1726" s="136"/>
      <c r="W1726" s="138">
        <v>102.5</v>
      </c>
      <c r="X1726" s="138">
        <v>102.3</v>
      </c>
      <c r="Y1726" s="138">
        <v>825125</v>
      </c>
      <c r="Z1726" s="165"/>
      <c r="AA1726" s="128">
        <v>20628.13</v>
      </c>
      <c r="AB1726" s="128">
        <v>20628.13</v>
      </c>
      <c r="AC1726" s="128">
        <v>866381.25</v>
      </c>
      <c r="AD1726" s="490">
        <f t="shared" si="1296"/>
        <v>865514.86875000002</v>
      </c>
      <c r="AE1726" s="384"/>
      <c r="AF1726" s="147">
        <v>39.85</v>
      </c>
      <c r="AG1726" s="173">
        <v>40.15</v>
      </c>
      <c r="AH1726" s="287">
        <v>1.5E-3</v>
      </c>
      <c r="AI1726" s="287">
        <v>0.03</v>
      </c>
      <c r="AJ1726" s="287">
        <v>5.5E-2</v>
      </c>
      <c r="AK1726" s="318">
        <f t="shared" si="1279"/>
        <v>0</v>
      </c>
      <c r="AL1726" s="467">
        <v>0</v>
      </c>
      <c r="AM1726" s="321">
        <v>0</v>
      </c>
      <c r="AN1726" s="321">
        <v>0</v>
      </c>
      <c r="AO1726" s="318">
        <f t="shared" si="1280"/>
        <v>0</v>
      </c>
      <c r="AP1726" s="467">
        <v>0</v>
      </c>
      <c r="AQ1726" s="318">
        <v>0</v>
      </c>
      <c r="AR1726" s="318">
        <f t="shared" si="1281"/>
        <v>0</v>
      </c>
      <c r="AS1726" s="318">
        <f t="shared" si="1282"/>
        <v>0</v>
      </c>
      <c r="AT1726" s="321">
        <v>0</v>
      </c>
      <c r="AU1726" s="464"/>
      <c r="AV1726" s="449"/>
      <c r="AW1726" s="318">
        <f t="shared" si="1283"/>
        <v>10250</v>
      </c>
      <c r="AX1726" s="467"/>
      <c r="AY1726" s="318">
        <f t="shared" si="1284"/>
        <v>10250</v>
      </c>
      <c r="AZ1726" s="318">
        <f t="shared" si="1285"/>
        <v>10230</v>
      </c>
      <c r="BA1726" s="318">
        <f t="shared" si="1286"/>
        <v>20</v>
      </c>
      <c r="BB1726" s="318">
        <f t="shared" si="1287"/>
        <v>20.5</v>
      </c>
      <c r="BC1726" s="318">
        <v>0</v>
      </c>
      <c r="BD1726" s="467"/>
      <c r="BE1726" s="138">
        <v>102.5</v>
      </c>
      <c r="BF1726" s="321">
        <f t="shared" si="1288"/>
        <v>0.15375</v>
      </c>
      <c r="BG1726" s="321">
        <f t="shared" si="1289"/>
        <v>102.34625</v>
      </c>
      <c r="BH1726" s="321">
        <f t="shared" si="1290"/>
        <v>102.3</v>
      </c>
      <c r="BI1726" s="322">
        <f t="shared" si="1291"/>
        <v>20.000000000000284</v>
      </c>
      <c r="BJ1726" s="322">
        <v>0</v>
      </c>
      <c r="BK1726" s="318">
        <f t="shared" si="1292"/>
        <v>20.000000000000284</v>
      </c>
      <c r="BL1726" s="449"/>
      <c r="BM1726" s="449" t="str">
        <f t="shared" si="1293"/>
        <v>Unloading no. 1691 Bill No RJT755/2026-27 ,Deduction For Oil Deduction= 0 ,Bardana= 0 ,F.M= 0 Brokerage/Rate Difference 0 ,Shortage = 0 ,Greenish= 0 ,Moisture= 0</v>
      </c>
      <c r="BN1726" s="449"/>
      <c r="BO1726" s="449" t="str">
        <f t="shared" si="1294"/>
        <v xml:space="preserve"> Party Condition 39.85  ,F.M% 0.15 ,Greenish 3 ,Moisture 5.5 ,Shortage in KG= 0  ,Oil% </v>
      </c>
      <c r="BP1726" s="464">
        <f t="shared" si="1295"/>
        <v>8065.738025415445</v>
      </c>
      <c r="BQ1726" s="449"/>
      <c r="BR1726" s="449"/>
      <c r="BS1726" s="449"/>
      <c r="BT1726" s="449"/>
      <c r="BU1726" s="449"/>
      <c r="BV1726" s="449"/>
      <c r="BW1726" s="449"/>
      <c r="BX1726" s="147">
        <v>0</v>
      </c>
      <c r="BY1726" s="147">
        <v>0</v>
      </c>
    </row>
    <row r="1727" spans="1:94" ht="14.1" hidden="1" customHeight="1" x14ac:dyDescent="0.3">
      <c r="A1727" s="281" t="s">
        <v>3621</v>
      </c>
      <c r="B1727" s="146">
        <v>46252</v>
      </c>
      <c r="C1727" s="281">
        <v>1692</v>
      </c>
      <c r="D1727" s="281" t="s">
        <v>3632</v>
      </c>
      <c r="E1727" s="130">
        <v>46255</v>
      </c>
      <c r="F1727" s="128" t="s">
        <v>3636</v>
      </c>
      <c r="G1727" s="128" t="s">
        <v>3637</v>
      </c>
      <c r="H1727" s="128" t="s">
        <v>2081</v>
      </c>
      <c r="I1727" s="136"/>
      <c r="J1727" s="138" t="s">
        <v>1146</v>
      </c>
      <c r="K1727" s="136"/>
      <c r="L1727" s="146">
        <v>46252</v>
      </c>
      <c r="M1727" s="136"/>
      <c r="N1727" s="281" t="s">
        <v>3646</v>
      </c>
      <c r="O1727" s="129">
        <v>46255</v>
      </c>
      <c r="P1727" s="138">
        <v>0</v>
      </c>
      <c r="Q1727" s="138">
        <v>150</v>
      </c>
      <c r="R1727" s="138">
        <v>20</v>
      </c>
      <c r="S1727" s="138">
        <v>170</v>
      </c>
      <c r="T1727" s="138">
        <v>170</v>
      </c>
      <c r="U1727" s="136"/>
      <c r="V1727" s="136"/>
      <c r="W1727" s="138">
        <v>103.4</v>
      </c>
      <c r="X1727" s="138">
        <v>103.2</v>
      </c>
      <c r="Y1727" s="138">
        <v>832370</v>
      </c>
      <c r="Z1727" s="165"/>
      <c r="AA1727" s="128">
        <v>20809.25</v>
      </c>
      <c r="AB1727" s="128">
        <v>20809.25</v>
      </c>
      <c r="AC1727" s="128">
        <v>873988.5</v>
      </c>
      <c r="AD1727" s="490">
        <f t="shared" si="1296"/>
        <v>873114.51150000002</v>
      </c>
      <c r="AE1727" s="384"/>
      <c r="AF1727" s="147">
        <v>39.85</v>
      </c>
      <c r="AG1727" s="173">
        <v>40.6</v>
      </c>
      <c r="AH1727" s="287">
        <v>1.5E-3</v>
      </c>
      <c r="AI1727" s="287">
        <v>0.03</v>
      </c>
      <c r="AJ1727" s="287">
        <v>5.1999999999999998E-2</v>
      </c>
      <c r="AK1727" s="318">
        <f t="shared" si="1279"/>
        <v>0</v>
      </c>
      <c r="AL1727" s="467">
        <v>0</v>
      </c>
      <c r="AM1727" s="321">
        <v>0</v>
      </c>
      <c r="AN1727" s="321">
        <v>0</v>
      </c>
      <c r="AO1727" s="318">
        <f t="shared" si="1280"/>
        <v>0</v>
      </c>
      <c r="AP1727" s="467">
        <v>0</v>
      </c>
      <c r="AQ1727" s="318">
        <v>0</v>
      </c>
      <c r="AR1727" s="318">
        <f t="shared" si="1281"/>
        <v>0</v>
      </c>
      <c r="AS1727" s="318">
        <f t="shared" si="1282"/>
        <v>0</v>
      </c>
      <c r="AT1727" s="321">
        <v>0</v>
      </c>
      <c r="AU1727" s="464"/>
      <c r="AV1727" s="449"/>
      <c r="AW1727" s="318">
        <f t="shared" si="1283"/>
        <v>10340</v>
      </c>
      <c r="AX1727" s="467"/>
      <c r="AY1727" s="318">
        <f t="shared" si="1284"/>
        <v>10340</v>
      </c>
      <c r="AZ1727" s="318">
        <f t="shared" si="1285"/>
        <v>10320</v>
      </c>
      <c r="BA1727" s="318">
        <f t="shared" si="1286"/>
        <v>20</v>
      </c>
      <c r="BB1727" s="318">
        <f t="shared" si="1287"/>
        <v>20.68</v>
      </c>
      <c r="BC1727" s="318">
        <v>0</v>
      </c>
      <c r="BD1727" s="467"/>
      <c r="BE1727" s="138">
        <v>103.4</v>
      </c>
      <c r="BF1727" s="321">
        <f t="shared" si="1288"/>
        <v>0.15509999999999999</v>
      </c>
      <c r="BG1727" s="321">
        <f t="shared" si="1289"/>
        <v>103.2449</v>
      </c>
      <c r="BH1727" s="321">
        <f t="shared" si="1290"/>
        <v>103.2</v>
      </c>
      <c r="BI1727" s="322">
        <f t="shared" si="1291"/>
        <v>20.000000000000284</v>
      </c>
      <c r="BJ1727" s="322">
        <v>0</v>
      </c>
      <c r="BK1727" s="318">
        <f t="shared" si="1292"/>
        <v>20.000000000000284</v>
      </c>
      <c r="BL1727" s="449"/>
      <c r="BM1727" s="449" t="str">
        <f t="shared" si="1293"/>
        <v>Unloading no. 1692 Bill No RJT754/2026-27 ,Deduction For Oil Deduction= 0 ,Bardana= 0 ,F.M= 0 Brokerage/Rate Difference 0 ,Shortage = 0 ,Greenish= 0 ,Moisture= 0</v>
      </c>
      <c r="BN1727" s="449"/>
      <c r="BO1727" s="449" t="str">
        <f t="shared" si="1294"/>
        <v xml:space="preserve"> Party Condition 39.85  ,F.M% 0.15 ,Greenish 3 ,Moisture 5.2 ,Shortage in KG= 0  ,Oil% </v>
      </c>
      <c r="BP1727" s="464">
        <f t="shared" si="1295"/>
        <v>8065.6007751937987</v>
      </c>
      <c r="BQ1727" s="449"/>
      <c r="BR1727" s="449"/>
      <c r="BS1727" s="449"/>
      <c r="BT1727" s="449"/>
      <c r="BU1727" s="449"/>
      <c r="BV1727" s="449"/>
      <c r="BW1727" s="449"/>
      <c r="BX1727" s="147">
        <v>0</v>
      </c>
      <c r="BY1727" s="147">
        <v>0</v>
      </c>
    </row>
    <row r="1728" spans="1:94" ht="14.1" hidden="1" customHeight="1" x14ac:dyDescent="0.3">
      <c r="A1728" s="281" t="s">
        <v>3621</v>
      </c>
      <c r="B1728" s="146">
        <v>46252</v>
      </c>
      <c r="C1728" s="281">
        <v>1693</v>
      </c>
      <c r="D1728" s="281" t="s">
        <v>3633</v>
      </c>
      <c r="E1728" s="130">
        <v>46255</v>
      </c>
      <c r="F1728" s="128" t="s">
        <v>3636</v>
      </c>
      <c r="G1728" s="128" t="s">
        <v>3637</v>
      </c>
      <c r="H1728" s="128" t="s">
        <v>2081</v>
      </c>
      <c r="I1728" s="136"/>
      <c r="J1728" s="138" t="s">
        <v>1146</v>
      </c>
      <c r="K1728" s="136"/>
      <c r="L1728" s="146">
        <v>46252</v>
      </c>
      <c r="M1728" s="136"/>
      <c r="N1728" s="281" t="s">
        <v>3647</v>
      </c>
      <c r="O1728" s="129">
        <v>46255</v>
      </c>
      <c r="P1728" s="138">
        <v>0</v>
      </c>
      <c r="Q1728" s="138">
        <v>160</v>
      </c>
      <c r="R1728" s="138">
        <v>10</v>
      </c>
      <c r="S1728" s="138">
        <v>170</v>
      </c>
      <c r="T1728" s="138">
        <v>170</v>
      </c>
      <c r="U1728" s="136"/>
      <c r="V1728" s="136"/>
      <c r="W1728" s="138">
        <v>102.8</v>
      </c>
      <c r="X1728" s="138">
        <v>102.6</v>
      </c>
      <c r="Y1728" s="138">
        <v>827540</v>
      </c>
      <c r="Z1728" s="165"/>
      <c r="AA1728" s="128">
        <v>20688.5</v>
      </c>
      <c r="AB1728" s="128">
        <v>20688.5</v>
      </c>
      <c r="AC1728" s="128">
        <v>868917</v>
      </c>
      <c r="AD1728" s="490">
        <f t="shared" si="1296"/>
        <v>868048.08299999998</v>
      </c>
      <c r="AE1728" s="384"/>
      <c r="AF1728" s="147">
        <v>39.85</v>
      </c>
      <c r="AG1728" s="173">
        <v>39.9</v>
      </c>
      <c r="AH1728" s="287">
        <v>1.6999999999999999E-3</v>
      </c>
      <c r="AI1728" s="287">
        <v>2.5000000000000001E-2</v>
      </c>
      <c r="AJ1728" s="287">
        <v>5.2999999999999999E-2</v>
      </c>
      <c r="AK1728" s="318">
        <f t="shared" si="1279"/>
        <v>0</v>
      </c>
      <c r="AL1728" s="467">
        <v>0</v>
      </c>
      <c r="AM1728" s="321">
        <v>0</v>
      </c>
      <c r="AN1728" s="321">
        <v>0</v>
      </c>
      <c r="AO1728" s="318">
        <f t="shared" si="1280"/>
        <v>0</v>
      </c>
      <c r="AP1728" s="467">
        <v>0</v>
      </c>
      <c r="AQ1728" s="318">
        <v>0</v>
      </c>
      <c r="AR1728" s="318">
        <f t="shared" si="1281"/>
        <v>0</v>
      </c>
      <c r="AS1728" s="318">
        <f t="shared" si="1282"/>
        <v>0</v>
      </c>
      <c r="AT1728" s="321">
        <v>0</v>
      </c>
      <c r="AU1728" s="464"/>
      <c r="AV1728" s="449"/>
      <c r="AW1728" s="318">
        <f t="shared" si="1283"/>
        <v>10280</v>
      </c>
      <c r="AX1728" s="467"/>
      <c r="AY1728" s="318">
        <f t="shared" si="1284"/>
        <v>10280</v>
      </c>
      <c r="AZ1728" s="318">
        <f t="shared" si="1285"/>
        <v>10260</v>
      </c>
      <c r="BA1728" s="318">
        <f t="shared" si="1286"/>
        <v>20</v>
      </c>
      <c r="BB1728" s="318">
        <f t="shared" si="1287"/>
        <v>20.56</v>
      </c>
      <c r="BC1728" s="318">
        <v>0</v>
      </c>
      <c r="BD1728" s="467"/>
      <c r="BE1728" s="138">
        <v>102.8</v>
      </c>
      <c r="BF1728" s="321">
        <f t="shared" ref="BF1728:BF1730" si="1299">+BE1728*0.15/100</f>
        <v>0.15419999999999998</v>
      </c>
      <c r="BG1728" s="321">
        <f t="shared" ref="BG1728:BG1730" si="1300">BE1728-BF1728</f>
        <v>102.64579999999999</v>
      </c>
      <c r="BH1728" s="321">
        <f t="shared" ref="BH1728:BH1730" si="1301">X1728</f>
        <v>102.6</v>
      </c>
      <c r="BI1728" s="322">
        <f t="shared" ref="BI1728:BI1730" si="1302">(BE1728-BH1728)*100</f>
        <v>20.000000000000284</v>
      </c>
      <c r="BJ1728" s="322">
        <v>0</v>
      </c>
      <c r="BK1728" s="318">
        <f t="shared" ref="BK1728:BK1730" si="1303">BI1728</f>
        <v>20.000000000000284</v>
      </c>
      <c r="BL1728" s="449"/>
      <c r="BM1728" s="449" t="str">
        <f t="shared" ref="BM1728:BM1730" si="1304">+$C$1&amp;" "&amp;C1728 &amp;" "&amp;$N$1&amp;" "&amp;N1728&amp;" "&amp;$BM$1&amp;" "&amp;$AK$1&amp;" "&amp;AK1728&amp;" "&amp;$AL$1&amp;" "&amp;AL1728&amp;" "&amp;$AM$1&amp;" "&amp;AM1728&amp;" "&amp;$AN$1&amp;" "&amp;AN1728&amp;" "&amp;$AO$1&amp;" "&amp;AO1728&amp;" "&amp;$AP$1&amp;" "&amp;AP1728&amp;" "&amp;$AQ$1&amp;" "&amp;AQ1728</f>
        <v>Unloading no. 1693 Bill No RJT756/2026-27 ,Deduction For Oil Deduction= 0 ,Bardana= 0 ,F.M= 0 Brokerage/Rate Difference 0 ,Shortage = 0 ,Greenish= 0 ,Moisture= 0</v>
      </c>
      <c r="BN1728" s="449"/>
      <c r="BO1728" s="449" t="str">
        <f t="shared" ref="BO1728:BO1730" si="1305">+" "&amp;$AF$1&amp;" "&amp;AF1728&amp;" "&amp;" "&amp;$AH$1&amp;" "&amp;AH1728*100&amp;" "&amp;$AI$1&amp;" "&amp;AI1728*100&amp;" "&amp;$AJ$1&amp;" "&amp;AJ1728*100&amp;" ,"&amp;$AT$1&amp;" "&amp;AT1728&amp;" "&amp;IF(AE1728&gt;AG1728," ,Oil%"&amp;" "&amp;AG1728," ,Oil%"&amp;" "&amp;AE1728)</f>
        <v xml:space="preserve"> Party Condition 39.85  ,F.M% 0.17 ,Greenish 2.5 ,Moisture 5.3 ,Shortage in KG= 0  ,Oil% </v>
      </c>
      <c r="BP1728" s="464">
        <f t="shared" ref="BP1728:BP1730" si="1306">(Y1728-AR1728)/X1728</f>
        <v>8065.6920077972718</v>
      </c>
      <c r="BQ1728" s="449"/>
      <c r="BR1728" s="449"/>
      <c r="BS1728" s="449"/>
      <c r="BT1728" s="449"/>
      <c r="BU1728" s="449"/>
      <c r="BV1728" s="449"/>
      <c r="BW1728" s="449"/>
      <c r="BX1728" s="147">
        <v>0</v>
      </c>
      <c r="BY1728" s="147">
        <v>0</v>
      </c>
    </row>
    <row r="1729" spans="1:87" ht="14.1" hidden="1" customHeight="1" x14ac:dyDescent="0.3">
      <c r="A1729" s="281" t="s">
        <v>3621</v>
      </c>
      <c r="B1729" s="146">
        <v>46252</v>
      </c>
      <c r="C1729" s="281">
        <v>1694</v>
      </c>
      <c r="D1729" s="281" t="s">
        <v>3634</v>
      </c>
      <c r="E1729" s="130">
        <v>46255</v>
      </c>
      <c r="F1729" s="128" t="s">
        <v>3636</v>
      </c>
      <c r="G1729" s="128" t="s">
        <v>3637</v>
      </c>
      <c r="H1729" s="128" t="s">
        <v>2081</v>
      </c>
      <c r="I1729" s="136"/>
      <c r="J1729" s="138" t="s">
        <v>1146</v>
      </c>
      <c r="K1729" s="136"/>
      <c r="L1729" s="146">
        <v>46252</v>
      </c>
      <c r="M1729" s="136"/>
      <c r="N1729" s="281" t="s">
        <v>3648</v>
      </c>
      <c r="O1729" s="129">
        <v>46255</v>
      </c>
      <c r="P1729" s="138">
        <v>0</v>
      </c>
      <c r="Q1729" s="138">
        <v>120</v>
      </c>
      <c r="R1729" s="138">
        <v>50</v>
      </c>
      <c r="S1729" s="138">
        <v>170</v>
      </c>
      <c r="T1729" s="138">
        <v>170</v>
      </c>
      <c r="U1729" s="136"/>
      <c r="V1729" s="136"/>
      <c r="W1729" s="138">
        <v>103</v>
      </c>
      <c r="X1729" s="138">
        <v>102.8</v>
      </c>
      <c r="Y1729" s="138">
        <v>829150</v>
      </c>
      <c r="Z1729" s="165"/>
      <c r="AA1729" s="128">
        <v>20728.75</v>
      </c>
      <c r="AB1729" s="128">
        <v>20728.75</v>
      </c>
      <c r="AC1729" s="128">
        <v>870607.5</v>
      </c>
      <c r="AD1729" s="490">
        <f t="shared" si="1296"/>
        <v>869736.89249999996</v>
      </c>
      <c r="AE1729" s="384"/>
      <c r="AF1729" s="147">
        <v>39.85</v>
      </c>
      <c r="AG1729" s="173">
        <v>39.869999999999997</v>
      </c>
      <c r="AH1729" s="287">
        <v>4.0000000000000001E-3</v>
      </c>
      <c r="AI1729" s="287">
        <v>2.5000000000000001E-2</v>
      </c>
      <c r="AJ1729" s="287">
        <v>5.3999999999999999E-2</v>
      </c>
      <c r="AK1729" s="318">
        <f t="shared" si="1279"/>
        <v>0</v>
      </c>
      <c r="AL1729" s="467">
        <v>0</v>
      </c>
      <c r="AM1729" s="321">
        <v>0</v>
      </c>
      <c r="AN1729" s="321">
        <v>0</v>
      </c>
      <c r="AO1729" s="318">
        <f t="shared" si="1280"/>
        <v>0</v>
      </c>
      <c r="AP1729" s="467">
        <v>0</v>
      </c>
      <c r="AQ1729" s="318">
        <v>0</v>
      </c>
      <c r="AR1729" s="318">
        <f t="shared" si="1281"/>
        <v>0</v>
      </c>
      <c r="AS1729" s="318">
        <f t="shared" si="1282"/>
        <v>0</v>
      </c>
      <c r="AT1729" s="321">
        <v>0</v>
      </c>
      <c r="AU1729" s="464"/>
      <c r="AV1729" s="449"/>
      <c r="AW1729" s="318">
        <f t="shared" si="1283"/>
        <v>10300</v>
      </c>
      <c r="AX1729" s="467"/>
      <c r="AY1729" s="318">
        <f t="shared" si="1284"/>
        <v>10300</v>
      </c>
      <c r="AZ1729" s="318">
        <f t="shared" si="1285"/>
        <v>10280</v>
      </c>
      <c r="BA1729" s="318">
        <f t="shared" si="1286"/>
        <v>20</v>
      </c>
      <c r="BB1729" s="318">
        <f t="shared" si="1287"/>
        <v>20.6</v>
      </c>
      <c r="BC1729" s="318">
        <v>0</v>
      </c>
      <c r="BD1729" s="467"/>
      <c r="BE1729" s="138">
        <v>103</v>
      </c>
      <c r="BF1729" s="321">
        <f t="shared" si="1299"/>
        <v>0.1545</v>
      </c>
      <c r="BG1729" s="321">
        <f t="shared" si="1300"/>
        <v>102.8455</v>
      </c>
      <c r="BH1729" s="321">
        <f t="shared" si="1301"/>
        <v>102.8</v>
      </c>
      <c r="BI1729" s="322">
        <f t="shared" si="1302"/>
        <v>20.000000000000284</v>
      </c>
      <c r="BJ1729" s="322">
        <v>0</v>
      </c>
      <c r="BK1729" s="318">
        <f t="shared" si="1303"/>
        <v>20.000000000000284</v>
      </c>
      <c r="BL1729" s="449"/>
      <c r="BM1729" s="449" t="str">
        <f t="shared" si="1304"/>
        <v>Unloading no. 1694 Bill No RJT757/2026-27 ,Deduction For Oil Deduction= 0 ,Bardana= 0 ,F.M= 0 Brokerage/Rate Difference 0 ,Shortage = 0 ,Greenish= 0 ,Moisture= 0</v>
      </c>
      <c r="BN1729" s="449"/>
      <c r="BO1729" s="449" t="str">
        <f t="shared" si="1305"/>
        <v xml:space="preserve"> Party Condition 39.85  ,F.M% 0.4 ,Greenish 2.5 ,Moisture 5.4 ,Shortage in KG= 0  ,Oil% </v>
      </c>
      <c r="BP1729" s="464">
        <f t="shared" si="1306"/>
        <v>8065.6614785992224</v>
      </c>
      <c r="BQ1729" s="449"/>
      <c r="BR1729" s="449"/>
      <c r="BS1729" s="449"/>
      <c r="BT1729" s="449"/>
      <c r="BU1729" s="449"/>
      <c r="BV1729" s="449"/>
      <c r="BW1729" s="449"/>
      <c r="BX1729" s="147">
        <v>0</v>
      </c>
      <c r="BY1729" s="147">
        <v>0</v>
      </c>
    </row>
    <row r="1730" spans="1:87" ht="14.1" hidden="1" customHeight="1" x14ac:dyDescent="0.3">
      <c r="A1730" s="281" t="s">
        <v>3621</v>
      </c>
      <c r="B1730" s="146">
        <v>46252</v>
      </c>
      <c r="C1730" s="281">
        <v>1695</v>
      </c>
      <c r="D1730" s="281" t="s">
        <v>3635</v>
      </c>
      <c r="E1730" s="130">
        <v>46255</v>
      </c>
      <c r="F1730" s="128" t="s">
        <v>3636</v>
      </c>
      <c r="G1730" s="128" t="s">
        <v>3637</v>
      </c>
      <c r="H1730" s="128" t="s">
        <v>2081</v>
      </c>
      <c r="I1730" s="136"/>
      <c r="J1730" s="138" t="s">
        <v>1146</v>
      </c>
      <c r="K1730" s="136"/>
      <c r="L1730" s="146">
        <v>46252</v>
      </c>
      <c r="M1730" s="136"/>
      <c r="N1730" s="281" t="s">
        <v>3649</v>
      </c>
      <c r="O1730" s="129">
        <v>46255</v>
      </c>
      <c r="P1730" s="138">
        <v>0</v>
      </c>
      <c r="Q1730" s="138">
        <v>140</v>
      </c>
      <c r="R1730" s="138">
        <v>30</v>
      </c>
      <c r="S1730" s="138">
        <v>170</v>
      </c>
      <c r="T1730" s="138">
        <v>170</v>
      </c>
      <c r="U1730" s="136"/>
      <c r="V1730" s="136"/>
      <c r="W1730" s="138">
        <v>101.4</v>
      </c>
      <c r="X1730" s="138">
        <v>101.3</v>
      </c>
      <c r="Y1730" s="138">
        <v>816270</v>
      </c>
      <c r="Z1730" s="165"/>
      <c r="AA1730" s="128">
        <v>20406.75</v>
      </c>
      <c r="AB1730" s="128">
        <v>20406.75</v>
      </c>
      <c r="AC1730" s="128">
        <v>857083.5</v>
      </c>
      <c r="AD1730" s="490">
        <f t="shared" si="1296"/>
        <v>856226.41650000005</v>
      </c>
      <c r="AE1730" s="384"/>
      <c r="AF1730" s="147">
        <v>39.85</v>
      </c>
      <c r="AG1730" s="173">
        <v>40.19</v>
      </c>
      <c r="AH1730" s="287">
        <v>3.0000000000000001E-3</v>
      </c>
      <c r="AI1730" s="287">
        <v>2.6800000000000001E-2</v>
      </c>
      <c r="AJ1730" s="287">
        <v>5.3999999999999999E-2</v>
      </c>
      <c r="AK1730" s="318">
        <f t="shared" si="1279"/>
        <v>0</v>
      </c>
      <c r="AL1730" s="467">
        <v>0</v>
      </c>
      <c r="AM1730" s="321">
        <v>0</v>
      </c>
      <c r="AN1730" s="321">
        <v>0</v>
      </c>
      <c r="AO1730" s="318">
        <f t="shared" si="1280"/>
        <v>0</v>
      </c>
      <c r="AP1730" s="467">
        <v>0</v>
      </c>
      <c r="AQ1730" s="318">
        <v>0</v>
      </c>
      <c r="AR1730" s="318">
        <f t="shared" si="1281"/>
        <v>0</v>
      </c>
      <c r="AS1730" s="318">
        <f t="shared" si="1282"/>
        <v>0</v>
      </c>
      <c r="AT1730" s="321">
        <v>0</v>
      </c>
      <c r="AU1730" s="464"/>
      <c r="AV1730" s="449"/>
      <c r="AW1730" s="318">
        <f t="shared" si="1283"/>
        <v>10140</v>
      </c>
      <c r="AX1730" s="467"/>
      <c r="AY1730" s="318">
        <f t="shared" si="1284"/>
        <v>10140</v>
      </c>
      <c r="AZ1730" s="318">
        <f t="shared" si="1285"/>
        <v>10130</v>
      </c>
      <c r="BA1730" s="318">
        <f t="shared" si="1286"/>
        <v>10</v>
      </c>
      <c r="BB1730" s="318">
        <f t="shared" si="1287"/>
        <v>20.28</v>
      </c>
      <c r="BC1730" s="318">
        <v>0</v>
      </c>
      <c r="BD1730" s="467"/>
      <c r="BE1730" s="138">
        <v>101.4</v>
      </c>
      <c r="BF1730" s="321">
        <f t="shared" si="1299"/>
        <v>0.15210000000000001</v>
      </c>
      <c r="BG1730" s="321">
        <f t="shared" si="1300"/>
        <v>101.2479</v>
      </c>
      <c r="BH1730" s="321">
        <f t="shared" si="1301"/>
        <v>101.3</v>
      </c>
      <c r="BI1730" s="322">
        <f t="shared" si="1302"/>
        <v>10.000000000000853</v>
      </c>
      <c r="BJ1730" s="322">
        <v>0</v>
      </c>
      <c r="BK1730" s="318">
        <f t="shared" si="1303"/>
        <v>10.000000000000853</v>
      </c>
      <c r="BL1730" s="449"/>
      <c r="BM1730" s="449" t="str">
        <f t="shared" si="1304"/>
        <v>Unloading no. 1695 Bill No RIT764/2026-27 ,Deduction For Oil Deduction= 0 ,Bardana= 0 ,F.M= 0 Brokerage/Rate Difference 0 ,Shortage = 0 ,Greenish= 0 ,Moisture= 0</v>
      </c>
      <c r="BN1730" s="449"/>
      <c r="BO1730" s="449" t="str">
        <f t="shared" si="1305"/>
        <v xml:space="preserve"> Party Condition 39.85  ,F.M% 0.3 ,Greenish 2.68 ,Moisture 5.4 ,Shortage in KG= 0  ,Oil% </v>
      </c>
      <c r="BP1730" s="464">
        <f t="shared" si="1306"/>
        <v>8057.9466929911159</v>
      </c>
      <c r="BQ1730" s="449"/>
      <c r="BR1730" s="449"/>
      <c r="BS1730" s="449"/>
      <c r="BT1730" s="449"/>
      <c r="BU1730" s="449"/>
      <c r="BV1730" s="449"/>
      <c r="BW1730" s="449"/>
      <c r="BX1730" s="147">
        <v>0</v>
      </c>
      <c r="BY1730" s="147">
        <v>0</v>
      </c>
    </row>
    <row r="1731" spans="1:87" ht="14.1" hidden="1" customHeight="1" x14ac:dyDescent="0.3">
      <c r="A1731" s="128" t="s">
        <v>3621</v>
      </c>
      <c r="B1731" s="146">
        <v>46252</v>
      </c>
      <c r="C1731" s="138">
        <v>1696</v>
      </c>
      <c r="D1731" s="128" t="s">
        <v>3652</v>
      </c>
      <c r="E1731" s="129">
        <v>46256</v>
      </c>
      <c r="F1731" s="128" t="s">
        <v>3636</v>
      </c>
      <c r="G1731" s="128" t="s">
        <v>3637</v>
      </c>
      <c r="H1731" s="128" t="s">
        <v>2081</v>
      </c>
      <c r="I1731" s="136"/>
      <c r="J1731" s="138" t="s">
        <v>1146</v>
      </c>
      <c r="K1731" s="136"/>
      <c r="L1731" s="146">
        <v>46252</v>
      </c>
      <c r="M1731" s="136"/>
      <c r="N1731" s="281" t="s">
        <v>3690</v>
      </c>
      <c r="O1731" s="146">
        <v>46255</v>
      </c>
      <c r="P1731" s="138">
        <v>0</v>
      </c>
      <c r="Q1731" s="138">
        <v>60</v>
      </c>
      <c r="R1731" s="138">
        <v>110</v>
      </c>
      <c r="S1731" s="138">
        <v>170</v>
      </c>
      <c r="T1731" s="138">
        <v>170</v>
      </c>
      <c r="U1731" s="136"/>
      <c r="V1731" s="136"/>
      <c r="W1731" s="138">
        <v>102.9</v>
      </c>
      <c r="X1731" s="138">
        <v>102.7</v>
      </c>
      <c r="Y1731" s="138">
        <v>828345</v>
      </c>
      <c r="Z1731" s="165"/>
      <c r="AA1731" s="128">
        <v>20708.63</v>
      </c>
      <c r="AB1731" s="128">
        <v>20708.63</v>
      </c>
      <c r="AC1731" s="128">
        <v>869762.25</v>
      </c>
      <c r="AD1731" s="490">
        <f t="shared" si="1296"/>
        <v>868892.48774999997</v>
      </c>
      <c r="AE1731" s="165"/>
      <c r="AF1731" s="138">
        <v>39.85</v>
      </c>
      <c r="AG1731" s="138">
        <v>39.71</v>
      </c>
      <c r="AH1731" s="287">
        <v>1.8E-3</v>
      </c>
      <c r="AI1731" s="287">
        <v>2.8899999999999999E-2</v>
      </c>
      <c r="AJ1731" s="287">
        <v>5.0999999999999997E-2</v>
      </c>
      <c r="AK1731" s="318">
        <f t="shared" ref="AK1731:AK1768" si="1307">+IF(AF1731=42,IF(MIN(AE1731,AG1731)&lt;AF1731,Y1731*((AF1731-MIN(AE1731,AG1731))/AF1731)),IF(MIN(AE1731,AG1731)&lt;AF1731,Y1731*((AF1731-MIN(AE1731,AG1731))/AF1731),0))</f>
        <v>2910.1204516938637</v>
      </c>
      <c r="AL1731" s="467">
        <v>0</v>
      </c>
      <c r="AM1731" s="321">
        <v>0</v>
      </c>
      <c r="AN1731" s="321">
        <v>0</v>
      </c>
      <c r="AO1731" s="318">
        <f t="shared" ref="AO1731:AO1768" si="1308">AT1731*Y1731/AW1731</f>
        <v>0</v>
      </c>
      <c r="AP1731" s="467">
        <v>0</v>
      </c>
      <c r="AQ1731" s="318">
        <v>0</v>
      </c>
      <c r="AR1731" s="318">
        <f t="shared" ref="AR1731:AR1768" si="1309">SUM(AK1731:AQ1731)</f>
        <v>2910.1204516938637</v>
      </c>
      <c r="AS1731" s="318">
        <f t="shared" ref="AS1731:AS1768" si="1310">ROUND(AR1731*1.05,0)</f>
        <v>3056</v>
      </c>
      <c r="AT1731" s="321">
        <v>0</v>
      </c>
      <c r="AU1731" s="464"/>
      <c r="AV1731" s="449"/>
      <c r="AW1731" s="318">
        <f t="shared" ref="AW1731:AW1768" si="1311">W1731*100</f>
        <v>10290</v>
      </c>
      <c r="AX1731" s="467"/>
      <c r="AY1731" s="318">
        <f t="shared" ref="AY1731:AY1768" si="1312">+AW1731+AX1731</f>
        <v>10290</v>
      </c>
      <c r="AZ1731" s="318">
        <f t="shared" ref="AZ1731:AZ1768" si="1313">X1731*100</f>
        <v>10270</v>
      </c>
      <c r="BA1731" s="318">
        <f t="shared" ref="BA1731:BA1768" si="1314">AY1731-AZ1731</f>
        <v>20</v>
      </c>
      <c r="BB1731" s="318">
        <f t="shared" ref="BB1731:BB1768" si="1315">AW1731*2/1000</f>
        <v>20.58</v>
      </c>
      <c r="BC1731" s="318">
        <v>0</v>
      </c>
      <c r="BD1731" s="467"/>
      <c r="BE1731" s="138">
        <v>102.9</v>
      </c>
      <c r="BF1731" s="321">
        <f t="shared" ref="BF1731:BF1768" si="1316">+BE1731*0.15/100</f>
        <v>0.15435000000000001</v>
      </c>
      <c r="BG1731" s="321">
        <f t="shared" ref="BG1731:BG1768" si="1317">BE1731-BF1731</f>
        <v>102.74565000000001</v>
      </c>
      <c r="BH1731" s="321">
        <f t="shared" ref="BH1731:BH1768" si="1318">X1731</f>
        <v>102.7</v>
      </c>
      <c r="BI1731" s="322">
        <f t="shared" ref="BI1731:BI1768" si="1319">(BE1731-BH1731)*100</f>
        <v>20.000000000000284</v>
      </c>
      <c r="BJ1731" s="322">
        <v>0</v>
      </c>
      <c r="BK1731" s="318">
        <f t="shared" ref="BK1731:BK1768" si="1320">BI1731</f>
        <v>20.000000000000284</v>
      </c>
      <c r="BL1731" s="449"/>
      <c r="BM1731" s="449" t="str">
        <f t="shared" ref="BM1731:BM1768" si="1321">+$C$1&amp;" "&amp;C1731 &amp;" "&amp;$N$1&amp;" "&amp;N1731&amp;" "&amp;$BM$1&amp;" "&amp;$AK$1&amp;" "&amp;AK1731&amp;" "&amp;$AL$1&amp;" "&amp;AL1731&amp;" "&amp;$AM$1&amp;" "&amp;AM1731&amp;" "&amp;$AN$1&amp;" "&amp;AN1731&amp;" "&amp;$AO$1&amp;" "&amp;AO1731&amp;" "&amp;$AP$1&amp;" "&amp;AP1731&amp;" "&amp;$AQ$1&amp;" "&amp;AQ1731</f>
        <v>Unloading no. 1696 Bill No RJT765/2026-27 ,Deduction For Oil Deduction= 2910.12045169386 ,Bardana= 0 ,F.M= 0 Brokerage/Rate Difference 0 ,Shortage = 0 ,Greenish= 0 ,Moisture= 0</v>
      </c>
      <c r="BN1731" s="449"/>
      <c r="BO1731" s="449" t="str">
        <f t="shared" ref="BO1731:BO1768" si="1322">+" "&amp;$AF$1&amp;" "&amp;AF1731&amp;" "&amp;" "&amp;$AH$1&amp;" "&amp;AH1731*100&amp;" "&amp;$AI$1&amp;" "&amp;AI1731*100&amp;" "&amp;$AJ$1&amp;" "&amp;AJ1731*100&amp;" ,"&amp;$AT$1&amp;" "&amp;AT1731&amp;" "&amp;IF(AE1731&gt;AG1731," ,Oil%"&amp;" "&amp;AG1731," ,Oil%"&amp;" "&amp;AE1731)</f>
        <v xml:space="preserve"> Party Condition 39.85  ,F.M% 0.18 ,Greenish 2.89 ,Moisture 5.1 ,Shortage in KG= 0  ,Oil% </v>
      </c>
      <c r="BP1731" s="464">
        <f t="shared" ref="BP1731:BP1768" si="1323">(Y1731-AR1731)/X1731</f>
        <v>8037.3405993019096</v>
      </c>
      <c r="BQ1731" s="449"/>
      <c r="BR1731" s="449"/>
      <c r="BS1731" s="449"/>
      <c r="BT1731" s="449"/>
      <c r="BU1731" s="449"/>
      <c r="BV1731" s="449"/>
      <c r="BW1731" s="449"/>
      <c r="BX1731" s="147">
        <v>0</v>
      </c>
      <c r="BY1731" s="147">
        <v>0</v>
      </c>
    </row>
    <row r="1732" spans="1:87" ht="14.1" hidden="1" customHeight="1" x14ac:dyDescent="0.3">
      <c r="A1732" s="128" t="s">
        <v>3621</v>
      </c>
      <c r="B1732" s="146">
        <v>46252</v>
      </c>
      <c r="C1732" s="138">
        <v>1697</v>
      </c>
      <c r="D1732" s="128" t="s">
        <v>3653</v>
      </c>
      <c r="E1732" s="129">
        <v>46256</v>
      </c>
      <c r="F1732" s="128" t="s">
        <v>3636</v>
      </c>
      <c r="G1732" s="128" t="s">
        <v>3637</v>
      </c>
      <c r="H1732" s="128" t="s">
        <v>2081</v>
      </c>
      <c r="I1732" s="136"/>
      <c r="J1732" s="138" t="s">
        <v>1146</v>
      </c>
      <c r="K1732" s="136"/>
      <c r="L1732" s="146">
        <v>46252</v>
      </c>
      <c r="M1732" s="136"/>
      <c r="N1732" s="281" t="s">
        <v>3691</v>
      </c>
      <c r="O1732" s="146">
        <v>46255</v>
      </c>
      <c r="P1732" s="138">
        <v>0</v>
      </c>
      <c r="Q1732" s="138">
        <v>70</v>
      </c>
      <c r="R1732" s="138">
        <v>100</v>
      </c>
      <c r="S1732" s="138">
        <v>170</v>
      </c>
      <c r="T1732" s="138">
        <v>170</v>
      </c>
      <c r="U1732" s="136"/>
      <c r="V1732" s="136"/>
      <c r="W1732" s="138">
        <v>103.1</v>
      </c>
      <c r="X1732" s="138">
        <v>102.9</v>
      </c>
      <c r="Y1732" s="138">
        <v>829955</v>
      </c>
      <c r="Z1732" s="165"/>
      <c r="AA1732" s="128">
        <v>20748.88</v>
      </c>
      <c r="AB1732" s="128">
        <v>20748.88</v>
      </c>
      <c r="AC1732" s="128">
        <v>871452.75</v>
      </c>
      <c r="AD1732" s="490">
        <f t="shared" si="1296"/>
        <v>870581.29724999995</v>
      </c>
      <c r="AE1732" s="165"/>
      <c r="AF1732" s="138">
        <v>39.85</v>
      </c>
      <c r="AG1732" s="138">
        <v>40.880000000000003</v>
      </c>
      <c r="AH1732" s="287">
        <v>1.5E-3</v>
      </c>
      <c r="AI1732" s="287">
        <v>3.2199999999999999E-2</v>
      </c>
      <c r="AJ1732" s="287">
        <v>5.3999999999999999E-2</v>
      </c>
      <c r="AK1732" s="318">
        <f t="shared" si="1307"/>
        <v>0</v>
      </c>
      <c r="AL1732" s="467">
        <v>0</v>
      </c>
      <c r="AM1732" s="321">
        <v>0</v>
      </c>
      <c r="AN1732" s="321">
        <v>0</v>
      </c>
      <c r="AO1732" s="318">
        <f t="shared" si="1308"/>
        <v>0</v>
      </c>
      <c r="AP1732" s="467">
        <v>0</v>
      </c>
      <c r="AQ1732" s="318">
        <v>0</v>
      </c>
      <c r="AR1732" s="318">
        <f t="shared" si="1309"/>
        <v>0</v>
      </c>
      <c r="AS1732" s="318">
        <f t="shared" si="1310"/>
        <v>0</v>
      </c>
      <c r="AT1732" s="321">
        <v>0</v>
      </c>
      <c r="AU1732" s="464"/>
      <c r="AV1732" s="449"/>
      <c r="AW1732" s="318">
        <f t="shared" si="1311"/>
        <v>10310</v>
      </c>
      <c r="AX1732" s="467"/>
      <c r="AY1732" s="318">
        <f t="shared" si="1312"/>
        <v>10310</v>
      </c>
      <c r="AZ1732" s="318">
        <f t="shared" si="1313"/>
        <v>10290</v>
      </c>
      <c r="BA1732" s="318">
        <f t="shared" si="1314"/>
        <v>20</v>
      </c>
      <c r="BB1732" s="318">
        <f t="shared" si="1315"/>
        <v>20.62</v>
      </c>
      <c r="BC1732" s="318">
        <v>0</v>
      </c>
      <c r="BD1732" s="467"/>
      <c r="BE1732" s="138">
        <v>103.1</v>
      </c>
      <c r="BF1732" s="321">
        <f t="shared" si="1316"/>
        <v>0.15464999999999998</v>
      </c>
      <c r="BG1732" s="321">
        <f t="shared" si="1317"/>
        <v>102.94534999999999</v>
      </c>
      <c r="BH1732" s="321">
        <f t="shared" si="1318"/>
        <v>102.9</v>
      </c>
      <c r="BI1732" s="322">
        <f t="shared" si="1319"/>
        <v>19.999999999998863</v>
      </c>
      <c r="BJ1732" s="322">
        <v>0</v>
      </c>
      <c r="BK1732" s="318">
        <f t="shared" si="1320"/>
        <v>19.999999999998863</v>
      </c>
      <c r="BL1732" s="449"/>
      <c r="BM1732" s="449" t="str">
        <f t="shared" si="1321"/>
        <v>Unloading no. 1697 Bill No RJT763/2026-27 ,Deduction For Oil Deduction= 0 ,Bardana= 0 ,F.M= 0 Brokerage/Rate Difference 0 ,Shortage = 0 ,Greenish= 0 ,Moisture= 0</v>
      </c>
      <c r="BN1732" s="449"/>
      <c r="BO1732" s="449" t="str">
        <f t="shared" si="1322"/>
        <v xml:space="preserve"> Party Condition 39.85  ,F.M% 0.15 ,Greenish 3.22 ,Moisture 5.4 ,Shortage in KG= 0  ,Oil% </v>
      </c>
      <c r="BP1732" s="464">
        <f t="shared" si="1323"/>
        <v>8065.6462585034005</v>
      </c>
      <c r="BQ1732" s="449"/>
      <c r="BR1732" s="449"/>
      <c r="BS1732" s="449"/>
      <c r="BT1732" s="449"/>
      <c r="BU1732" s="449"/>
      <c r="BV1732" s="449"/>
      <c r="BW1732" s="449"/>
      <c r="BX1732" s="147">
        <v>0</v>
      </c>
      <c r="BY1732" s="147">
        <v>0</v>
      </c>
    </row>
    <row r="1733" spans="1:87" ht="14.1" hidden="1" customHeight="1" x14ac:dyDescent="0.3">
      <c r="A1733" s="128" t="s">
        <v>3621</v>
      </c>
      <c r="B1733" s="146">
        <v>46252</v>
      </c>
      <c r="C1733" s="138">
        <v>1698</v>
      </c>
      <c r="D1733" s="128" t="s">
        <v>3654</v>
      </c>
      <c r="E1733" s="129">
        <v>46256</v>
      </c>
      <c r="F1733" s="128" t="s">
        <v>3636</v>
      </c>
      <c r="G1733" s="128" t="s">
        <v>3637</v>
      </c>
      <c r="H1733" s="128" t="s">
        <v>2081</v>
      </c>
      <c r="I1733" s="136"/>
      <c r="J1733" s="138" t="s">
        <v>1146</v>
      </c>
      <c r="K1733" s="136"/>
      <c r="L1733" s="146">
        <v>46252</v>
      </c>
      <c r="M1733" s="136"/>
      <c r="N1733" s="281" t="s">
        <v>3692</v>
      </c>
      <c r="O1733" s="146">
        <v>46255</v>
      </c>
      <c r="P1733" s="138">
        <v>0</v>
      </c>
      <c r="Q1733" s="138">
        <v>50</v>
      </c>
      <c r="R1733" s="138">
        <v>120</v>
      </c>
      <c r="S1733" s="138">
        <v>170</v>
      </c>
      <c r="T1733" s="138">
        <v>170</v>
      </c>
      <c r="U1733" s="136"/>
      <c r="V1733" s="136"/>
      <c r="W1733" s="138">
        <v>102.8</v>
      </c>
      <c r="X1733" s="138">
        <v>102.6</v>
      </c>
      <c r="Y1733" s="138">
        <v>827540</v>
      </c>
      <c r="Z1733" s="165"/>
      <c r="AA1733" s="128">
        <v>20688.5</v>
      </c>
      <c r="AB1733" s="128">
        <v>20688.5</v>
      </c>
      <c r="AC1733" s="128">
        <v>868917</v>
      </c>
      <c r="AD1733" s="490">
        <f t="shared" si="1296"/>
        <v>868048.08299999998</v>
      </c>
      <c r="AE1733" s="165"/>
      <c r="AF1733" s="138">
        <v>39.85</v>
      </c>
      <c r="AG1733" s="138">
        <v>40.15</v>
      </c>
      <c r="AH1733" s="287">
        <v>2.5000000000000001E-3</v>
      </c>
      <c r="AI1733" s="287">
        <v>3.2399999999999998E-2</v>
      </c>
      <c r="AJ1733" s="287">
        <v>5.1999999999999998E-2</v>
      </c>
      <c r="AK1733" s="318">
        <f t="shared" si="1307"/>
        <v>0</v>
      </c>
      <c r="AL1733" s="467">
        <v>0</v>
      </c>
      <c r="AM1733" s="321">
        <v>0</v>
      </c>
      <c r="AN1733" s="321">
        <v>0</v>
      </c>
      <c r="AO1733" s="318">
        <f t="shared" si="1308"/>
        <v>0</v>
      </c>
      <c r="AP1733" s="467">
        <v>0</v>
      </c>
      <c r="AQ1733" s="318">
        <v>0</v>
      </c>
      <c r="AR1733" s="318">
        <f t="shared" si="1309"/>
        <v>0</v>
      </c>
      <c r="AS1733" s="318">
        <f t="shared" si="1310"/>
        <v>0</v>
      </c>
      <c r="AT1733" s="321">
        <v>0</v>
      </c>
      <c r="AU1733" s="464"/>
      <c r="AV1733" s="449"/>
      <c r="AW1733" s="318">
        <f t="shared" si="1311"/>
        <v>10280</v>
      </c>
      <c r="AX1733" s="467"/>
      <c r="AY1733" s="318">
        <f t="shared" si="1312"/>
        <v>10280</v>
      </c>
      <c r="AZ1733" s="318">
        <f t="shared" si="1313"/>
        <v>10260</v>
      </c>
      <c r="BA1733" s="318">
        <f t="shared" si="1314"/>
        <v>20</v>
      </c>
      <c r="BB1733" s="318">
        <f t="shared" si="1315"/>
        <v>20.56</v>
      </c>
      <c r="BC1733" s="318">
        <v>0</v>
      </c>
      <c r="BD1733" s="467"/>
      <c r="BE1733" s="138">
        <v>102.8</v>
      </c>
      <c r="BF1733" s="321">
        <f t="shared" si="1316"/>
        <v>0.15419999999999998</v>
      </c>
      <c r="BG1733" s="321">
        <f t="shared" si="1317"/>
        <v>102.64579999999999</v>
      </c>
      <c r="BH1733" s="321">
        <f t="shared" si="1318"/>
        <v>102.6</v>
      </c>
      <c r="BI1733" s="322">
        <f t="shared" si="1319"/>
        <v>20.000000000000284</v>
      </c>
      <c r="BJ1733" s="322">
        <v>0</v>
      </c>
      <c r="BK1733" s="318">
        <f t="shared" si="1320"/>
        <v>20.000000000000284</v>
      </c>
      <c r="BL1733" s="449"/>
      <c r="BM1733" s="449" t="str">
        <f t="shared" si="1321"/>
        <v>Unloading no. 1698 Bill No RJT762/2026-27 ,Deduction For Oil Deduction= 0 ,Bardana= 0 ,F.M= 0 Brokerage/Rate Difference 0 ,Shortage = 0 ,Greenish= 0 ,Moisture= 0</v>
      </c>
      <c r="BN1733" s="449"/>
      <c r="BO1733" s="449" t="str">
        <f t="shared" si="1322"/>
        <v xml:space="preserve"> Party Condition 39.85  ,F.M% 0.25 ,Greenish 3.24 ,Moisture 5.2 ,Shortage in KG= 0  ,Oil% </v>
      </c>
      <c r="BP1733" s="464">
        <f t="shared" si="1323"/>
        <v>8065.6920077972718</v>
      </c>
      <c r="BQ1733" s="449"/>
      <c r="BR1733" s="449"/>
      <c r="BS1733" s="449"/>
      <c r="BT1733" s="449"/>
      <c r="BU1733" s="449"/>
      <c r="BV1733" s="449"/>
      <c r="BW1733" s="449"/>
      <c r="BX1733" s="147">
        <v>0</v>
      </c>
      <c r="BY1733" s="147">
        <v>0</v>
      </c>
    </row>
    <row r="1734" spans="1:87" ht="14.1" hidden="1" customHeight="1" x14ac:dyDescent="0.3">
      <c r="A1734" s="128" t="s">
        <v>3621</v>
      </c>
      <c r="B1734" s="146">
        <v>46252</v>
      </c>
      <c r="C1734" s="138">
        <v>1699</v>
      </c>
      <c r="D1734" s="128" t="s">
        <v>3655</v>
      </c>
      <c r="E1734" s="129">
        <v>46256</v>
      </c>
      <c r="F1734" s="128" t="s">
        <v>3636</v>
      </c>
      <c r="G1734" s="128" t="s">
        <v>3637</v>
      </c>
      <c r="H1734" s="128" t="s">
        <v>2081</v>
      </c>
      <c r="I1734" s="136"/>
      <c r="J1734" s="138" t="s">
        <v>1146</v>
      </c>
      <c r="K1734" s="136"/>
      <c r="L1734" s="146">
        <v>46252</v>
      </c>
      <c r="M1734" s="136"/>
      <c r="N1734" s="281" t="s">
        <v>3693</v>
      </c>
      <c r="O1734" s="146">
        <v>46255</v>
      </c>
      <c r="P1734" s="138">
        <v>0</v>
      </c>
      <c r="Q1734" s="138">
        <v>110</v>
      </c>
      <c r="R1734" s="138">
        <v>60</v>
      </c>
      <c r="S1734" s="138">
        <v>170</v>
      </c>
      <c r="T1734" s="138">
        <v>170</v>
      </c>
      <c r="U1734" s="136"/>
      <c r="V1734" s="136"/>
      <c r="W1734" s="138">
        <v>102</v>
      </c>
      <c r="X1734" s="138">
        <v>101.8</v>
      </c>
      <c r="Y1734" s="138">
        <v>821100</v>
      </c>
      <c r="Z1734" s="165"/>
      <c r="AA1734" s="128">
        <v>20527.5</v>
      </c>
      <c r="AB1734" s="128">
        <v>20527.5</v>
      </c>
      <c r="AC1734" s="128">
        <v>862155</v>
      </c>
      <c r="AD1734" s="490">
        <f t="shared" si="1296"/>
        <v>861292.84499999997</v>
      </c>
      <c r="AE1734" s="165"/>
      <c r="AF1734" s="138">
        <v>39.85</v>
      </c>
      <c r="AG1734" s="138">
        <v>40.03</v>
      </c>
      <c r="AH1734" s="287">
        <v>2.3999999999999998E-3</v>
      </c>
      <c r="AI1734" s="287">
        <v>3.1E-2</v>
      </c>
      <c r="AJ1734" s="287">
        <v>5.2999999999999999E-2</v>
      </c>
      <c r="AK1734" s="318">
        <f t="shared" si="1307"/>
        <v>0</v>
      </c>
      <c r="AL1734" s="467">
        <v>0</v>
      </c>
      <c r="AM1734" s="321">
        <v>0</v>
      </c>
      <c r="AN1734" s="321">
        <v>0</v>
      </c>
      <c r="AO1734" s="318">
        <f t="shared" si="1308"/>
        <v>0</v>
      </c>
      <c r="AP1734" s="467">
        <v>0</v>
      </c>
      <c r="AQ1734" s="318">
        <v>0</v>
      </c>
      <c r="AR1734" s="318">
        <f t="shared" si="1309"/>
        <v>0</v>
      </c>
      <c r="AS1734" s="318">
        <f t="shared" si="1310"/>
        <v>0</v>
      </c>
      <c r="AT1734" s="321">
        <v>0</v>
      </c>
      <c r="AU1734" s="464"/>
      <c r="AV1734" s="449"/>
      <c r="AW1734" s="318">
        <f t="shared" si="1311"/>
        <v>10200</v>
      </c>
      <c r="AX1734" s="467"/>
      <c r="AY1734" s="318">
        <f t="shared" si="1312"/>
        <v>10200</v>
      </c>
      <c r="AZ1734" s="318">
        <f t="shared" si="1313"/>
        <v>10180</v>
      </c>
      <c r="BA1734" s="318">
        <f t="shared" si="1314"/>
        <v>20</v>
      </c>
      <c r="BB1734" s="318">
        <f t="shared" si="1315"/>
        <v>20.399999999999999</v>
      </c>
      <c r="BC1734" s="318">
        <v>0</v>
      </c>
      <c r="BD1734" s="467"/>
      <c r="BE1734" s="138">
        <v>102</v>
      </c>
      <c r="BF1734" s="321">
        <f t="shared" si="1316"/>
        <v>0.153</v>
      </c>
      <c r="BG1734" s="321">
        <f t="shared" si="1317"/>
        <v>101.84699999999999</v>
      </c>
      <c r="BH1734" s="321">
        <f t="shared" si="1318"/>
        <v>101.8</v>
      </c>
      <c r="BI1734" s="322">
        <f t="shared" si="1319"/>
        <v>20.000000000000284</v>
      </c>
      <c r="BJ1734" s="322">
        <v>0</v>
      </c>
      <c r="BK1734" s="318">
        <f t="shared" si="1320"/>
        <v>20.000000000000284</v>
      </c>
      <c r="BL1734" s="449"/>
      <c r="BM1734" s="449" t="str">
        <f t="shared" si="1321"/>
        <v>Unloading no. 1699 Bill No RJT772/2026-27 ,Deduction For Oil Deduction= 0 ,Bardana= 0 ,F.M= 0 Brokerage/Rate Difference 0 ,Shortage = 0 ,Greenish= 0 ,Moisture= 0</v>
      </c>
      <c r="BN1734" s="449"/>
      <c r="BO1734" s="449" t="str">
        <f t="shared" si="1322"/>
        <v xml:space="preserve"> Party Condition 39.85  ,F.M% 0.24 ,Greenish 3.1 ,Moisture 5.3 ,Shortage in KG= 0  ,Oil% </v>
      </c>
      <c r="BP1734" s="464">
        <f t="shared" si="1323"/>
        <v>8065.8153241650298</v>
      </c>
      <c r="BQ1734" s="449"/>
      <c r="BR1734" s="449"/>
      <c r="BS1734" s="449"/>
      <c r="BT1734" s="449"/>
      <c r="BU1734" s="449"/>
      <c r="BV1734" s="449"/>
      <c r="BW1734" s="449"/>
      <c r="BX1734" s="147">
        <v>0</v>
      </c>
      <c r="BY1734" s="147">
        <v>0</v>
      </c>
    </row>
    <row r="1735" spans="1:87" ht="14.1" hidden="1" customHeight="1" x14ac:dyDescent="0.3">
      <c r="A1735" s="128" t="s">
        <v>3621</v>
      </c>
      <c r="B1735" s="146">
        <v>46252</v>
      </c>
      <c r="C1735" s="138">
        <v>1700</v>
      </c>
      <c r="D1735" s="128" t="s">
        <v>3656</v>
      </c>
      <c r="E1735" s="129">
        <v>46256</v>
      </c>
      <c r="F1735" s="128" t="s">
        <v>3636</v>
      </c>
      <c r="G1735" s="128" t="s">
        <v>3637</v>
      </c>
      <c r="H1735" s="128" t="s">
        <v>2081</v>
      </c>
      <c r="I1735" s="136"/>
      <c r="J1735" s="138" t="s">
        <v>1146</v>
      </c>
      <c r="K1735" s="136"/>
      <c r="L1735" s="146">
        <v>46252</v>
      </c>
      <c r="M1735" s="136"/>
      <c r="N1735" s="281" t="s">
        <v>3694</v>
      </c>
      <c r="O1735" s="146">
        <v>46255</v>
      </c>
      <c r="P1735" s="138">
        <v>0</v>
      </c>
      <c r="Q1735" s="138">
        <v>90</v>
      </c>
      <c r="R1735" s="138">
        <v>80</v>
      </c>
      <c r="S1735" s="138">
        <v>170</v>
      </c>
      <c r="T1735" s="138">
        <v>170</v>
      </c>
      <c r="U1735" s="136"/>
      <c r="V1735" s="136"/>
      <c r="W1735" s="138">
        <v>102.3</v>
      </c>
      <c r="X1735" s="138">
        <v>102.2</v>
      </c>
      <c r="Y1735" s="138">
        <v>823515</v>
      </c>
      <c r="Z1735" s="165"/>
      <c r="AA1735" s="128">
        <v>20587.88</v>
      </c>
      <c r="AB1735" s="128">
        <v>20587.88</v>
      </c>
      <c r="AC1735" s="128">
        <v>864690.75</v>
      </c>
      <c r="AD1735" s="490">
        <f t="shared" si="1296"/>
        <v>863826.05925000005</v>
      </c>
      <c r="AE1735" s="165"/>
      <c r="AF1735" s="138">
        <v>39.85</v>
      </c>
      <c r="AG1735" s="138">
        <v>40.18</v>
      </c>
      <c r="AH1735" s="287">
        <v>2.5000000000000001E-3</v>
      </c>
      <c r="AI1735" s="287">
        <v>3.0300000000000001E-2</v>
      </c>
      <c r="AJ1735" s="287">
        <v>5.3999999999999999E-2</v>
      </c>
      <c r="AK1735" s="318">
        <f t="shared" si="1307"/>
        <v>0</v>
      </c>
      <c r="AL1735" s="467">
        <v>0</v>
      </c>
      <c r="AM1735" s="321">
        <v>0</v>
      </c>
      <c r="AN1735" s="321">
        <v>0</v>
      </c>
      <c r="AO1735" s="318">
        <f t="shared" si="1308"/>
        <v>0</v>
      </c>
      <c r="AP1735" s="467">
        <v>0</v>
      </c>
      <c r="AQ1735" s="318">
        <v>0</v>
      </c>
      <c r="AR1735" s="318">
        <f t="shared" si="1309"/>
        <v>0</v>
      </c>
      <c r="AS1735" s="318">
        <f t="shared" si="1310"/>
        <v>0</v>
      </c>
      <c r="AT1735" s="321">
        <v>0</v>
      </c>
      <c r="AU1735" s="464"/>
      <c r="AV1735" s="449"/>
      <c r="AW1735" s="318">
        <f t="shared" si="1311"/>
        <v>10230</v>
      </c>
      <c r="AX1735" s="467"/>
      <c r="AY1735" s="318">
        <f t="shared" si="1312"/>
        <v>10230</v>
      </c>
      <c r="AZ1735" s="318">
        <f t="shared" si="1313"/>
        <v>10220</v>
      </c>
      <c r="BA1735" s="318">
        <f t="shared" si="1314"/>
        <v>10</v>
      </c>
      <c r="BB1735" s="318">
        <f t="shared" si="1315"/>
        <v>20.46</v>
      </c>
      <c r="BC1735" s="318">
        <v>0</v>
      </c>
      <c r="BD1735" s="467"/>
      <c r="BE1735" s="138">
        <v>102.3</v>
      </c>
      <c r="BF1735" s="321">
        <f t="shared" si="1316"/>
        <v>0.15344999999999998</v>
      </c>
      <c r="BG1735" s="321">
        <f t="shared" si="1317"/>
        <v>102.14654999999999</v>
      </c>
      <c r="BH1735" s="321">
        <f t="shared" si="1318"/>
        <v>102.2</v>
      </c>
      <c r="BI1735" s="322">
        <f t="shared" si="1319"/>
        <v>9.9999999999994316</v>
      </c>
      <c r="BJ1735" s="322">
        <v>0</v>
      </c>
      <c r="BK1735" s="318">
        <f t="shared" si="1320"/>
        <v>9.9999999999994316</v>
      </c>
      <c r="BL1735" s="449"/>
      <c r="BM1735" s="449" t="str">
        <f t="shared" si="1321"/>
        <v>Unloading no. 1700 Bill No RJT771/2026-27 ,Deduction For Oil Deduction= 0 ,Bardana= 0 ,F.M= 0 Brokerage/Rate Difference 0 ,Shortage = 0 ,Greenish= 0 ,Moisture= 0</v>
      </c>
      <c r="BN1735" s="449"/>
      <c r="BO1735" s="449" t="str">
        <f t="shared" si="1322"/>
        <v xml:space="preserve"> Party Condition 39.85  ,F.M% 0.25 ,Greenish 3.03 ,Moisture 5.4 ,Shortage in KG= 0  ,Oil% </v>
      </c>
      <c r="BP1735" s="464">
        <f t="shared" si="1323"/>
        <v>8057.8767123287671</v>
      </c>
      <c r="BQ1735" s="449"/>
      <c r="BR1735" s="449"/>
      <c r="BS1735" s="449"/>
      <c r="BT1735" s="449"/>
      <c r="BU1735" s="449"/>
      <c r="BV1735" s="449"/>
      <c r="BW1735" s="449"/>
      <c r="BX1735" s="147">
        <v>0</v>
      </c>
      <c r="BY1735" s="147">
        <v>0</v>
      </c>
    </row>
    <row r="1736" spans="1:87" ht="14.1" hidden="1" customHeight="1" x14ac:dyDescent="0.3">
      <c r="A1736" s="128" t="s">
        <v>3621</v>
      </c>
      <c r="B1736" s="146">
        <v>46252</v>
      </c>
      <c r="C1736" s="138">
        <v>1701</v>
      </c>
      <c r="D1736" s="128" t="s">
        <v>3657</v>
      </c>
      <c r="E1736" s="129">
        <v>46256</v>
      </c>
      <c r="F1736" s="128" t="s">
        <v>3636</v>
      </c>
      <c r="G1736" s="128" t="s">
        <v>3637</v>
      </c>
      <c r="H1736" s="128" t="s">
        <v>2081</v>
      </c>
      <c r="I1736" s="136"/>
      <c r="J1736" s="138" t="s">
        <v>1146</v>
      </c>
      <c r="K1736" s="136"/>
      <c r="L1736" s="146">
        <v>46252</v>
      </c>
      <c r="M1736" s="136"/>
      <c r="N1736" s="281" t="s">
        <v>3695</v>
      </c>
      <c r="O1736" s="146">
        <v>46255</v>
      </c>
      <c r="P1736" s="138">
        <v>0</v>
      </c>
      <c r="Q1736" s="138">
        <v>100</v>
      </c>
      <c r="R1736" s="138">
        <v>70</v>
      </c>
      <c r="S1736" s="138">
        <v>170</v>
      </c>
      <c r="T1736" s="138">
        <v>170</v>
      </c>
      <c r="U1736" s="136"/>
      <c r="V1736" s="136"/>
      <c r="W1736" s="138">
        <v>101.5</v>
      </c>
      <c r="X1736" s="138">
        <v>101.4</v>
      </c>
      <c r="Y1736" s="138">
        <v>817075</v>
      </c>
      <c r="Z1736" s="165"/>
      <c r="AA1736" s="128">
        <v>20426.88</v>
      </c>
      <c r="AB1736" s="128">
        <v>20426.88</v>
      </c>
      <c r="AC1736" s="128">
        <v>857928.75</v>
      </c>
      <c r="AD1736" s="490">
        <f t="shared" si="1296"/>
        <v>857070.82125000004</v>
      </c>
      <c r="AE1736" s="165"/>
      <c r="AF1736" s="138">
        <v>39.85</v>
      </c>
      <c r="AG1736" s="138">
        <v>40.409999999999997</v>
      </c>
      <c r="AH1736" s="287">
        <v>3.0000000000000001E-3</v>
      </c>
      <c r="AI1736" s="287">
        <v>3.1E-2</v>
      </c>
      <c r="AJ1736" s="287">
        <v>5.2999999999999999E-2</v>
      </c>
      <c r="AK1736" s="318">
        <f t="shared" si="1307"/>
        <v>0</v>
      </c>
      <c r="AL1736" s="467">
        <v>0</v>
      </c>
      <c r="AM1736" s="321">
        <v>0</v>
      </c>
      <c r="AN1736" s="321">
        <v>0</v>
      </c>
      <c r="AO1736" s="318">
        <f t="shared" si="1308"/>
        <v>0</v>
      </c>
      <c r="AP1736" s="467">
        <v>0</v>
      </c>
      <c r="AQ1736" s="318">
        <v>0</v>
      </c>
      <c r="AR1736" s="318">
        <f t="shared" si="1309"/>
        <v>0</v>
      </c>
      <c r="AS1736" s="318">
        <f t="shared" si="1310"/>
        <v>0</v>
      </c>
      <c r="AT1736" s="321">
        <v>0</v>
      </c>
      <c r="AU1736" s="464"/>
      <c r="AV1736" s="449"/>
      <c r="AW1736" s="318">
        <f t="shared" si="1311"/>
        <v>10150</v>
      </c>
      <c r="AX1736" s="467"/>
      <c r="AY1736" s="318">
        <f t="shared" si="1312"/>
        <v>10150</v>
      </c>
      <c r="AZ1736" s="318">
        <f t="shared" si="1313"/>
        <v>10140</v>
      </c>
      <c r="BA1736" s="318">
        <f t="shared" si="1314"/>
        <v>10</v>
      </c>
      <c r="BB1736" s="318">
        <f t="shared" si="1315"/>
        <v>20.3</v>
      </c>
      <c r="BC1736" s="318">
        <v>0</v>
      </c>
      <c r="BD1736" s="467"/>
      <c r="BE1736" s="138">
        <v>101.5</v>
      </c>
      <c r="BF1736" s="321">
        <f t="shared" si="1316"/>
        <v>0.15225</v>
      </c>
      <c r="BG1736" s="321">
        <f t="shared" si="1317"/>
        <v>101.34775</v>
      </c>
      <c r="BH1736" s="321">
        <f t="shared" si="1318"/>
        <v>101.4</v>
      </c>
      <c r="BI1736" s="322">
        <f t="shared" si="1319"/>
        <v>9.9999999999994316</v>
      </c>
      <c r="BJ1736" s="322">
        <v>0</v>
      </c>
      <c r="BK1736" s="318">
        <f t="shared" si="1320"/>
        <v>9.9999999999994316</v>
      </c>
      <c r="BL1736" s="449"/>
      <c r="BM1736" s="449" t="str">
        <f t="shared" si="1321"/>
        <v>Unloading no. 1701 Bill No RJT770/2026-27 ,Deduction For Oil Deduction= 0 ,Bardana= 0 ,F.M= 0 Brokerage/Rate Difference 0 ,Shortage = 0 ,Greenish= 0 ,Moisture= 0</v>
      </c>
      <c r="BN1736" s="449"/>
      <c r="BO1736" s="449" t="str">
        <f t="shared" si="1322"/>
        <v xml:space="preserve"> Party Condition 39.85  ,F.M% 0.3 ,Greenish 3.1 ,Moisture 5.3 ,Shortage in KG= 0  ,Oil% </v>
      </c>
      <c r="BP1736" s="464">
        <f t="shared" si="1323"/>
        <v>8057.9388560157786</v>
      </c>
      <c r="BQ1736" s="449"/>
      <c r="BR1736" s="449"/>
      <c r="BS1736" s="449"/>
      <c r="BT1736" s="449"/>
      <c r="BU1736" s="449"/>
      <c r="BV1736" s="449"/>
      <c r="BW1736" s="449"/>
      <c r="BX1736" s="147">
        <v>0</v>
      </c>
      <c r="BY1736" s="147">
        <v>0</v>
      </c>
    </row>
    <row r="1737" spans="1:87" ht="14.1" hidden="1" customHeight="1" x14ac:dyDescent="0.3">
      <c r="A1737" s="128" t="s">
        <v>3621</v>
      </c>
      <c r="B1737" s="146">
        <v>46252</v>
      </c>
      <c r="C1737" s="138">
        <v>1702</v>
      </c>
      <c r="D1737" s="128" t="s">
        <v>3658</v>
      </c>
      <c r="E1737" s="129">
        <v>46256</v>
      </c>
      <c r="F1737" s="128" t="s">
        <v>3636</v>
      </c>
      <c r="G1737" s="128" t="s">
        <v>3637</v>
      </c>
      <c r="H1737" s="128" t="s">
        <v>2081</v>
      </c>
      <c r="I1737" s="136"/>
      <c r="J1737" s="138" t="s">
        <v>1146</v>
      </c>
      <c r="K1737" s="136"/>
      <c r="L1737" s="146">
        <v>46252</v>
      </c>
      <c r="M1737" s="136"/>
      <c r="N1737" s="281" t="s">
        <v>3696</v>
      </c>
      <c r="O1737" s="146">
        <v>46255</v>
      </c>
      <c r="P1737" s="138">
        <v>0</v>
      </c>
      <c r="Q1737" s="138">
        <v>70</v>
      </c>
      <c r="R1737" s="138">
        <v>100</v>
      </c>
      <c r="S1737" s="138">
        <v>170</v>
      </c>
      <c r="T1737" s="138">
        <v>170</v>
      </c>
      <c r="U1737" s="136"/>
      <c r="V1737" s="136"/>
      <c r="W1737" s="138">
        <v>103</v>
      </c>
      <c r="X1737" s="138">
        <v>102.9</v>
      </c>
      <c r="Y1737" s="138">
        <v>829150</v>
      </c>
      <c r="Z1737" s="165"/>
      <c r="AA1737" s="128">
        <v>20728.75</v>
      </c>
      <c r="AB1737" s="128">
        <v>20728.75</v>
      </c>
      <c r="AC1737" s="128">
        <v>870607.5</v>
      </c>
      <c r="AD1737" s="490">
        <f t="shared" si="1296"/>
        <v>869736.89249999996</v>
      </c>
      <c r="AE1737" s="182"/>
      <c r="AF1737" s="138">
        <v>39.85</v>
      </c>
      <c r="AG1737" s="138">
        <v>40.99</v>
      </c>
      <c r="AH1737" s="287">
        <v>2.5999999999999999E-3</v>
      </c>
      <c r="AI1737" s="287">
        <v>3.1600000000000003E-2</v>
      </c>
      <c r="AJ1737" s="287">
        <v>5.1999999999999998E-2</v>
      </c>
      <c r="AK1737" s="318">
        <f t="shared" si="1307"/>
        <v>0</v>
      </c>
      <c r="AL1737" s="467">
        <v>0</v>
      </c>
      <c r="AM1737" s="321">
        <v>0</v>
      </c>
      <c r="AN1737" s="321">
        <v>0</v>
      </c>
      <c r="AO1737" s="318">
        <f t="shared" si="1308"/>
        <v>0</v>
      </c>
      <c r="AP1737" s="467">
        <v>0</v>
      </c>
      <c r="AQ1737" s="318">
        <v>0</v>
      </c>
      <c r="AR1737" s="318">
        <f t="shared" si="1309"/>
        <v>0</v>
      </c>
      <c r="AS1737" s="318">
        <f t="shared" si="1310"/>
        <v>0</v>
      </c>
      <c r="AT1737" s="321">
        <v>0</v>
      </c>
      <c r="AU1737" s="464"/>
      <c r="AV1737" s="449"/>
      <c r="AW1737" s="318">
        <f t="shared" si="1311"/>
        <v>10300</v>
      </c>
      <c r="AX1737" s="467"/>
      <c r="AY1737" s="318">
        <f t="shared" si="1312"/>
        <v>10300</v>
      </c>
      <c r="AZ1737" s="318">
        <f t="shared" si="1313"/>
        <v>10290</v>
      </c>
      <c r="BA1737" s="318">
        <f t="shared" si="1314"/>
        <v>10</v>
      </c>
      <c r="BB1737" s="318">
        <f t="shared" si="1315"/>
        <v>20.6</v>
      </c>
      <c r="BC1737" s="318">
        <v>0</v>
      </c>
      <c r="BD1737" s="467"/>
      <c r="BE1737" s="138">
        <v>103</v>
      </c>
      <c r="BF1737" s="321">
        <f t="shared" si="1316"/>
        <v>0.1545</v>
      </c>
      <c r="BG1737" s="321">
        <f t="shared" si="1317"/>
        <v>102.8455</v>
      </c>
      <c r="BH1737" s="321">
        <f t="shared" si="1318"/>
        <v>102.9</v>
      </c>
      <c r="BI1737" s="322">
        <f t="shared" si="1319"/>
        <v>9.9999999999994316</v>
      </c>
      <c r="BJ1737" s="322">
        <v>0</v>
      </c>
      <c r="BK1737" s="318">
        <f t="shared" si="1320"/>
        <v>9.9999999999994316</v>
      </c>
      <c r="BL1737" s="449"/>
      <c r="BM1737" s="449" t="str">
        <f t="shared" si="1321"/>
        <v>Unloading no. 1702 Bill No RJT769/2026-27 ,Deduction For Oil Deduction= 0 ,Bardana= 0 ,F.M= 0 Brokerage/Rate Difference 0 ,Shortage = 0 ,Greenish= 0 ,Moisture= 0</v>
      </c>
      <c r="BN1737" s="449"/>
      <c r="BO1737" s="449" t="str">
        <f t="shared" si="1322"/>
        <v xml:space="preserve"> Party Condition 39.85  ,F.M% 0.26 ,Greenish 3.16 ,Moisture 5.2 ,Shortage in KG= 0  ,Oil% </v>
      </c>
      <c r="BP1737" s="464">
        <f t="shared" si="1323"/>
        <v>8057.8231292517003</v>
      </c>
      <c r="BQ1737" s="449"/>
      <c r="BR1737" s="449"/>
      <c r="BS1737" s="449"/>
      <c r="BT1737" s="449"/>
      <c r="BU1737" s="449"/>
      <c r="BV1737" s="449"/>
      <c r="BW1737" s="449"/>
      <c r="BX1737" s="147">
        <v>0</v>
      </c>
      <c r="BY1737" s="147">
        <v>0</v>
      </c>
    </row>
    <row r="1738" spans="1:87" ht="14.1" hidden="1" customHeight="1" x14ac:dyDescent="0.3">
      <c r="A1738" s="128" t="s">
        <v>3619</v>
      </c>
      <c r="B1738" s="146">
        <v>46254</v>
      </c>
      <c r="C1738" s="138">
        <v>1703</v>
      </c>
      <c r="D1738" s="128" t="s">
        <v>3659</v>
      </c>
      <c r="E1738" s="129">
        <v>46256</v>
      </c>
      <c r="F1738" s="128" t="s">
        <v>1807</v>
      </c>
      <c r="G1738" s="128" t="s">
        <v>1808</v>
      </c>
      <c r="H1738" s="128" t="s">
        <v>100</v>
      </c>
      <c r="I1738" s="136"/>
      <c r="J1738" s="138" t="s">
        <v>1146</v>
      </c>
      <c r="K1738" s="136"/>
      <c r="L1738" s="146">
        <v>46254</v>
      </c>
      <c r="M1738" s="136"/>
      <c r="N1738" s="281" t="s">
        <v>1165</v>
      </c>
      <c r="O1738" s="146">
        <v>46255</v>
      </c>
      <c r="P1738" s="138">
        <v>0</v>
      </c>
      <c r="Q1738" s="138">
        <v>600</v>
      </c>
      <c r="R1738" s="138">
        <v>65</v>
      </c>
      <c r="S1738" s="138">
        <v>665</v>
      </c>
      <c r="T1738" s="138">
        <v>665</v>
      </c>
      <c r="U1738" s="136"/>
      <c r="V1738" s="136"/>
      <c r="W1738" s="147">
        <v>401.75</v>
      </c>
      <c r="X1738" s="147">
        <v>401.6</v>
      </c>
      <c r="Y1738" s="147">
        <v>3378717.5</v>
      </c>
      <c r="Z1738" s="165"/>
      <c r="AA1738" s="169">
        <v>84467.94</v>
      </c>
      <c r="AB1738" s="169">
        <v>84467.94</v>
      </c>
      <c r="AC1738" s="169">
        <v>3547653.38</v>
      </c>
      <c r="AD1738" s="493">
        <f t="shared" si="1296"/>
        <v>3544105.7266199999</v>
      </c>
      <c r="AE1738" s="147">
        <v>39.78</v>
      </c>
      <c r="AF1738" s="390">
        <v>42</v>
      </c>
      <c r="AG1738" s="147">
        <v>39.67</v>
      </c>
      <c r="AH1738" s="287">
        <v>4.7999999999999996E-3</v>
      </c>
      <c r="AI1738" s="287">
        <v>3.1E-2</v>
      </c>
      <c r="AJ1738" s="287">
        <v>5.8999999999999997E-2</v>
      </c>
      <c r="AK1738" s="318">
        <f t="shared" si="1307"/>
        <v>187438.37559523797</v>
      </c>
      <c r="AL1738" s="467">
        <v>0</v>
      </c>
      <c r="AM1738" s="321">
        <v>0</v>
      </c>
      <c r="AN1738" s="321">
        <v>0</v>
      </c>
      <c r="AO1738" s="318">
        <f t="shared" si="1308"/>
        <v>0</v>
      </c>
      <c r="AP1738" s="467">
        <v>0</v>
      </c>
      <c r="AQ1738" s="318">
        <v>0</v>
      </c>
      <c r="AR1738" s="318">
        <f t="shared" si="1309"/>
        <v>187438.37559523797</v>
      </c>
      <c r="AS1738" s="318">
        <f t="shared" si="1310"/>
        <v>196810</v>
      </c>
      <c r="AT1738" s="321">
        <v>0</v>
      </c>
      <c r="AU1738" s="464"/>
      <c r="AV1738" s="449"/>
      <c r="AW1738" s="318">
        <f t="shared" si="1311"/>
        <v>40175</v>
      </c>
      <c r="AX1738" s="467"/>
      <c r="AY1738" s="318">
        <f t="shared" si="1312"/>
        <v>40175</v>
      </c>
      <c r="AZ1738" s="318">
        <f t="shared" si="1313"/>
        <v>40160</v>
      </c>
      <c r="BA1738" s="318">
        <f t="shared" si="1314"/>
        <v>15</v>
      </c>
      <c r="BB1738" s="318">
        <f t="shared" si="1315"/>
        <v>80.349999999999994</v>
      </c>
      <c r="BC1738" s="318">
        <v>0</v>
      </c>
      <c r="BD1738" s="467"/>
      <c r="BE1738" s="147">
        <v>401.75</v>
      </c>
      <c r="BF1738" s="321">
        <f t="shared" si="1316"/>
        <v>0.60262499999999997</v>
      </c>
      <c r="BG1738" s="321">
        <f t="shared" si="1317"/>
        <v>401.14737500000001</v>
      </c>
      <c r="BH1738" s="321">
        <f t="shared" si="1318"/>
        <v>401.6</v>
      </c>
      <c r="BI1738" s="322">
        <f t="shared" si="1319"/>
        <v>14.999999999997726</v>
      </c>
      <c r="BJ1738" s="322">
        <v>0</v>
      </c>
      <c r="BK1738" s="318">
        <f t="shared" si="1320"/>
        <v>14.999999999997726</v>
      </c>
      <c r="BL1738" s="449"/>
      <c r="BM1738" s="449" t="str">
        <f t="shared" si="1321"/>
        <v>Unloading no. 1703 Bill No 2026-27/34 ,Deduction For Oil Deduction= 187438.375595238 ,Bardana= 0 ,F.M= 0 Brokerage/Rate Difference 0 ,Shortage = 0 ,Greenish= 0 ,Moisture= 0</v>
      </c>
      <c r="BN1738" s="449"/>
      <c r="BO1738" s="449" t="str">
        <f t="shared" si="1322"/>
        <v xml:space="preserve"> Party Condition 42  ,F.M% 0.48 ,Greenish 3.1 ,Moisture 5.9 ,Shortage in KG= 0  ,Oil% 39.67</v>
      </c>
      <c r="BP1738" s="464">
        <f t="shared" si="1323"/>
        <v>7946.4121623624542</v>
      </c>
      <c r="BQ1738" s="449"/>
      <c r="BR1738" s="449"/>
      <c r="BS1738" s="449"/>
      <c r="BT1738" s="449"/>
      <c r="BU1738" s="449"/>
      <c r="BV1738" s="449"/>
      <c r="BW1738" s="449"/>
      <c r="BX1738" s="147">
        <v>0</v>
      </c>
      <c r="BY1738" s="147">
        <v>0</v>
      </c>
    </row>
    <row r="1739" spans="1:87" ht="14.1" hidden="1" customHeight="1" x14ac:dyDescent="0.3">
      <c r="A1739" s="128" t="s">
        <v>3619</v>
      </c>
      <c r="B1739" s="146">
        <v>46254</v>
      </c>
      <c r="C1739" s="138">
        <v>1704</v>
      </c>
      <c r="D1739" s="128" t="s">
        <v>3660</v>
      </c>
      <c r="E1739" s="129">
        <v>46256</v>
      </c>
      <c r="F1739" s="128" t="s">
        <v>1807</v>
      </c>
      <c r="G1739" s="128" t="s">
        <v>1808</v>
      </c>
      <c r="H1739" s="128" t="s">
        <v>100</v>
      </c>
      <c r="I1739" s="136"/>
      <c r="J1739" s="138" t="s">
        <v>1146</v>
      </c>
      <c r="K1739" s="136"/>
      <c r="L1739" s="146">
        <v>46254</v>
      </c>
      <c r="M1739" s="136"/>
      <c r="N1739" s="281" t="s">
        <v>1164</v>
      </c>
      <c r="O1739" s="146">
        <v>46255</v>
      </c>
      <c r="P1739" s="138">
        <v>0</v>
      </c>
      <c r="Q1739" s="138">
        <v>500</v>
      </c>
      <c r="R1739" s="138">
        <v>150</v>
      </c>
      <c r="S1739" s="138">
        <v>650</v>
      </c>
      <c r="T1739" s="138">
        <v>650</v>
      </c>
      <c r="U1739" s="136"/>
      <c r="V1739" s="136"/>
      <c r="W1739" s="147">
        <v>391.4</v>
      </c>
      <c r="X1739" s="147">
        <v>391.2</v>
      </c>
      <c r="Y1739" s="147">
        <v>3291674</v>
      </c>
      <c r="Z1739" s="165"/>
      <c r="AA1739" s="169">
        <v>82291.850000000006</v>
      </c>
      <c r="AB1739" s="169">
        <v>82291.850000000006</v>
      </c>
      <c r="AC1739" s="169">
        <v>3456257.7</v>
      </c>
      <c r="AD1739" s="493">
        <f t="shared" si="1296"/>
        <v>3452801.4423000002</v>
      </c>
      <c r="AE1739" s="147">
        <v>39.25</v>
      </c>
      <c r="AF1739" s="390">
        <v>42</v>
      </c>
      <c r="AG1739" s="147">
        <v>39.14</v>
      </c>
      <c r="AH1739" s="287">
        <v>2.2000000000000001E-3</v>
      </c>
      <c r="AI1739" s="287">
        <v>3.4000000000000002E-2</v>
      </c>
      <c r="AJ1739" s="287">
        <v>5.8999999999999997E-2</v>
      </c>
      <c r="AK1739" s="318">
        <f t="shared" si="1307"/>
        <v>224147.32476190472</v>
      </c>
      <c r="AL1739" s="467">
        <v>0</v>
      </c>
      <c r="AM1739" s="321">
        <v>0</v>
      </c>
      <c r="AN1739" s="321">
        <v>0</v>
      </c>
      <c r="AO1739" s="318">
        <f t="shared" si="1308"/>
        <v>0</v>
      </c>
      <c r="AP1739" s="467">
        <v>0</v>
      </c>
      <c r="AQ1739" s="318">
        <v>0</v>
      </c>
      <c r="AR1739" s="318">
        <f t="shared" si="1309"/>
        <v>224147.32476190472</v>
      </c>
      <c r="AS1739" s="318">
        <f t="shared" si="1310"/>
        <v>235355</v>
      </c>
      <c r="AT1739" s="321">
        <v>0</v>
      </c>
      <c r="AU1739" s="464"/>
      <c r="AV1739" s="449"/>
      <c r="AW1739" s="318">
        <f t="shared" si="1311"/>
        <v>39140</v>
      </c>
      <c r="AX1739" s="467"/>
      <c r="AY1739" s="318">
        <f t="shared" si="1312"/>
        <v>39140</v>
      </c>
      <c r="AZ1739" s="318">
        <f t="shared" si="1313"/>
        <v>39120</v>
      </c>
      <c r="BA1739" s="318">
        <f t="shared" si="1314"/>
        <v>20</v>
      </c>
      <c r="BB1739" s="318">
        <f t="shared" si="1315"/>
        <v>78.28</v>
      </c>
      <c r="BC1739" s="318">
        <v>0</v>
      </c>
      <c r="BD1739" s="467"/>
      <c r="BE1739" s="147">
        <v>391.4</v>
      </c>
      <c r="BF1739" s="321">
        <f t="shared" si="1316"/>
        <v>0.58709999999999996</v>
      </c>
      <c r="BG1739" s="321">
        <f t="shared" si="1317"/>
        <v>390.81289999999996</v>
      </c>
      <c r="BH1739" s="321">
        <f t="shared" si="1318"/>
        <v>391.2</v>
      </c>
      <c r="BI1739" s="322">
        <f t="shared" si="1319"/>
        <v>19.999999999998863</v>
      </c>
      <c r="BJ1739" s="322">
        <v>0</v>
      </c>
      <c r="BK1739" s="318">
        <f t="shared" si="1320"/>
        <v>19.999999999998863</v>
      </c>
      <c r="BL1739" s="449"/>
      <c r="BM1739" s="449" t="str">
        <f t="shared" si="1321"/>
        <v>Unloading no. 1704 Bill No 2026-27/36 ,Deduction For Oil Deduction= 224147.324761905 ,Bardana= 0 ,F.M= 0 Brokerage/Rate Difference 0 ,Shortage = 0 ,Greenish= 0 ,Moisture= 0</v>
      </c>
      <c r="BN1739" s="449"/>
      <c r="BO1739" s="449" t="str">
        <f t="shared" si="1322"/>
        <v xml:space="preserve"> Party Condition 42  ,F.M% 0.22 ,Greenish 3.4 ,Moisture 5.9 ,Shortage in KG= 0  ,Oil% 39.14</v>
      </c>
      <c r="BP1739" s="464">
        <f t="shared" si="1323"/>
        <v>7841.3258569480968</v>
      </c>
      <c r="BQ1739" s="449"/>
      <c r="BR1739" s="449"/>
      <c r="BS1739" s="449"/>
      <c r="BT1739" s="449"/>
      <c r="BU1739" s="449"/>
      <c r="BV1739" s="449"/>
      <c r="BW1739" s="449"/>
      <c r="BX1739" s="147">
        <v>0</v>
      </c>
      <c r="BY1739" s="147">
        <v>0</v>
      </c>
    </row>
    <row r="1740" spans="1:87" ht="14.1" hidden="1" customHeight="1" x14ac:dyDescent="0.3">
      <c r="A1740" s="128" t="s">
        <v>3619</v>
      </c>
      <c r="B1740" s="146">
        <v>46254</v>
      </c>
      <c r="C1740" s="138">
        <v>1705</v>
      </c>
      <c r="D1740" s="128" t="s">
        <v>3661</v>
      </c>
      <c r="E1740" s="129">
        <v>46256</v>
      </c>
      <c r="F1740" s="128" t="s">
        <v>1807</v>
      </c>
      <c r="G1740" s="128" t="s">
        <v>1808</v>
      </c>
      <c r="H1740" s="128" t="s">
        <v>100</v>
      </c>
      <c r="I1740" s="136"/>
      <c r="J1740" s="138" t="s">
        <v>1146</v>
      </c>
      <c r="K1740" s="136"/>
      <c r="L1740" s="146">
        <v>46254</v>
      </c>
      <c r="M1740" s="136"/>
      <c r="N1740" s="281" t="s">
        <v>1163</v>
      </c>
      <c r="O1740" s="146">
        <v>46255</v>
      </c>
      <c r="P1740" s="138">
        <v>0</v>
      </c>
      <c r="Q1740" s="138">
        <v>350</v>
      </c>
      <c r="R1740" s="138">
        <v>325</v>
      </c>
      <c r="S1740" s="138">
        <v>675</v>
      </c>
      <c r="T1740" s="138">
        <v>675</v>
      </c>
      <c r="U1740" s="136"/>
      <c r="V1740" s="136"/>
      <c r="W1740" s="147">
        <v>410.4</v>
      </c>
      <c r="X1740" s="147">
        <v>409.8</v>
      </c>
      <c r="Y1740" s="147">
        <v>3451464</v>
      </c>
      <c r="Z1740" s="165"/>
      <c r="AA1740" s="169">
        <v>86286.6</v>
      </c>
      <c r="AB1740" s="169">
        <v>86286.6</v>
      </c>
      <c r="AC1740" s="169">
        <v>3624037.2</v>
      </c>
      <c r="AD1740" s="493">
        <f t="shared" si="1296"/>
        <v>3620413.1628</v>
      </c>
      <c r="AE1740" s="147">
        <v>38.93</v>
      </c>
      <c r="AF1740" s="390">
        <v>42</v>
      </c>
      <c r="AG1740" s="147">
        <v>39.090000000000003</v>
      </c>
      <c r="AH1740" s="287">
        <v>1.6000000000000001E-3</v>
      </c>
      <c r="AI1740" s="287">
        <v>3.15E-2</v>
      </c>
      <c r="AJ1740" s="287">
        <v>5.7000000000000002E-2</v>
      </c>
      <c r="AK1740" s="318">
        <f t="shared" si="1307"/>
        <v>252285.58285714287</v>
      </c>
      <c r="AL1740" s="467">
        <v>0</v>
      </c>
      <c r="AM1740" s="321">
        <v>0</v>
      </c>
      <c r="AN1740" s="321">
        <v>0</v>
      </c>
      <c r="AO1740" s="318">
        <f t="shared" si="1308"/>
        <v>0</v>
      </c>
      <c r="AP1740" s="467">
        <v>0</v>
      </c>
      <c r="AQ1740" s="318">
        <v>0</v>
      </c>
      <c r="AR1740" s="318">
        <f t="shared" si="1309"/>
        <v>252285.58285714287</v>
      </c>
      <c r="AS1740" s="318">
        <f t="shared" si="1310"/>
        <v>264900</v>
      </c>
      <c r="AT1740" s="321">
        <v>0</v>
      </c>
      <c r="AU1740" s="464"/>
      <c r="AV1740" s="449"/>
      <c r="AW1740" s="318">
        <f t="shared" si="1311"/>
        <v>41040</v>
      </c>
      <c r="AX1740" s="467"/>
      <c r="AY1740" s="318">
        <f t="shared" si="1312"/>
        <v>41040</v>
      </c>
      <c r="AZ1740" s="318">
        <f t="shared" si="1313"/>
        <v>40980</v>
      </c>
      <c r="BA1740" s="318">
        <f t="shared" si="1314"/>
        <v>60</v>
      </c>
      <c r="BB1740" s="318">
        <f t="shared" si="1315"/>
        <v>82.08</v>
      </c>
      <c r="BC1740" s="318">
        <v>0</v>
      </c>
      <c r="BD1740" s="467"/>
      <c r="BE1740" s="147">
        <v>410.4</v>
      </c>
      <c r="BF1740" s="321">
        <f t="shared" si="1316"/>
        <v>0.61559999999999993</v>
      </c>
      <c r="BG1740" s="321">
        <f t="shared" si="1317"/>
        <v>409.78440000000001</v>
      </c>
      <c r="BH1740" s="321">
        <f t="shared" si="1318"/>
        <v>409.8</v>
      </c>
      <c r="BI1740" s="322">
        <f t="shared" si="1319"/>
        <v>59.999999999996589</v>
      </c>
      <c r="BJ1740" s="322">
        <v>0</v>
      </c>
      <c r="BK1740" s="318">
        <f t="shared" si="1320"/>
        <v>59.999999999996589</v>
      </c>
      <c r="BL1740" s="449"/>
      <c r="BM1740" s="449" t="str">
        <f t="shared" si="1321"/>
        <v>Unloading no. 1705 Bill No 2026-27/35 ,Deduction For Oil Deduction= 252285.582857143 ,Bardana= 0 ,F.M= 0 Brokerage/Rate Difference 0 ,Shortage = 0 ,Greenish= 0 ,Moisture= 0</v>
      </c>
      <c r="BN1740" s="449"/>
      <c r="BO1740" s="449" t="str">
        <f t="shared" si="1322"/>
        <v xml:space="preserve"> Party Condition 42  ,F.M% 0.16 ,Greenish 3.15 ,Moisture 5.7 ,Shortage in KG= 0  ,Oil% 38.93</v>
      </c>
      <c r="BP1740" s="464">
        <f t="shared" si="1323"/>
        <v>7806.6823258732484</v>
      </c>
      <c r="BQ1740" s="449"/>
      <c r="BR1740" s="449"/>
      <c r="BS1740" s="449"/>
      <c r="BT1740" s="449"/>
      <c r="BU1740" s="449"/>
      <c r="BV1740" s="449"/>
      <c r="BW1740" s="449"/>
      <c r="BX1740" s="147">
        <v>0</v>
      </c>
      <c r="BY1740" s="147">
        <v>0</v>
      </c>
      <c r="CH1740" s="56" t="s">
        <v>2819</v>
      </c>
    </row>
    <row r="1741" spans="1:87" ht="14.1" hidden="1" customHeight="1" x14ac:dyDescent="0.3">
      <c r="A1741" s="128" t="s">
        <v>3620</v>
      </c>
      <c r="B1741" s="146">
        <v>46253</v>
      </c>
      <c r="C1741" s="138">
        <v>1706</v>
      </c>
      <c r="D1741" s="128" t="s">
        <v>3662</v>
      </c>
      <c r="E1741" s="129">
        <v>46256</v>
      </c>
      <c r="F1741" s="128" t="s">
        <v>95</v>
      </c>
      <c r="G1741" s="159" t="s">
        <v>96</v>
      </c>
      <c r="H1741" s="128" t="s">
        <v>97</v>
      </c>
      <c r="I1741" s="136"/>
      <c r="J1741" s="138" t="s">
        <v>2499</v>
      </c>
      <c r="K1741" s="136"/>
      <c r="L1741" s="146">
        <v>46253</v>
      </c>
      <c r="M1741" s="136"/>
      <c r="N1741" s="281">
        <v>257</v>
      </c>
      <c r="O1741" s="146">
        <v>46255</v>
      </c>
      <c r="P1741" s="138">
        <v>0</v>
      </c>
      <c r="Q1741" s="138">
        <v>50</v>
      </c>
      <c r="R1741" s="138">
        <v>304</v>
      </c>
      <c r="S1741" s="138">
        <v>354</v>
      </c>
      <c r="T1741" s="138">
        <v>354</v>
      </c>
      <c r="U1741" s="136"/>
      <c r="V1741" s="136"/>
      <c r="W1741" s="147">
        <v>215</v>
      </c>
      <c r="X1741" s="147">
        <v>214.9</v>
      </c>
      <c r="Y1741" s="147">
        <v>1810300</v>
      </c>
      <c r="Z1741" s="165"/>
      <c r="AA1741" s="169">
        <v>45257.5</v>
      </c>
      <c r="AB1741" s="169">
        <v>45257.5</v>
      </c>
      <c r="AC1741" s="169">
        <v>1900815</v>
      </c>
      <c r="AD1741" s="493">
        <f t="shared" si="1296"/>
        <v>1898914.1850000001</v>
      </c>
      <c r="AE1741" s="147">
        <v>39.520000000000003</v>
      </c>
      <c r="AF1741" s="390">
        <v>42</v>
      </c>
      <c r="AG1741" s="147">
        <v>39.450000000000003</v>
      </c>
      <c r="AH1741" s="418">
        <v>3.0000000000000001E-3</v>
      </c>
      <c r="AI1741" s="287">
        <v>3.2500000000000001E-2</v>
      </c>
      <c r="AJ1741" s="287">
        <v>5.7000000000000002E-2</v>
      </c>
      <c r="AK1741" s="318">
        <f t="shared" si="1307"/>
        <v>109911.0714285713</v>
      </c>
      <c r="AL1741" s="467">
        <f>50*10+304*15</f>
        <v>5060</v>
      </c>
      <c r="AM1741" s="321">
        <f>Y1741*AH1741</f>
        <v>5430.9000000000005</v>
      </c>
      <c r="AN1741" s="321">
        <v>0</v>
      </c>
      <c r="AO1741" s="318">
        <f t="shared" si="1308"/>
        <v>842</v>
      </c>
      <c r="AP1741" s="467">
        <v>0</v>
      </c>
      <c r="AQ1741" s="454">
        <f>Y1741*0.7/100</f>
        <v>12672.1</v>
      </c>
      <c r="AR1741" s="318">
        <f t="shared" si="1309"/>
        <v>133916.0714285713</v>
      </c>
      <c r="AS1741" s="318">
        <f t="shared" si="1310"/>
        <v>140612</v>
      </c>
      <c r="AT1741" s="321">
        <v>10</v>
      </c>
      <c r="AU1741" s="464"/>
      <c r="AV1741" s="449"/>
      <c r="AW1741" s="318">
        <f t="shared" si="1311"/>
        <v>21500</v>
      </c>
      <c r="AX1741" s="467"/>
      <c r="AY1741" s="318">
        <f t="shared" si="1312"/>
        <v>21500</v>
      </c>
      <c r="AZ1741" s="318">
        <f t="shared" si="1313"/>
        <v>21490</v>
      </c>
      <c r="BA1741" s="318">
        <f t="shared" si="1314"/>
        <v>10</v>
      </c>
      <c r="BB1741" s="318">
        <f t="shared" si="1315"/>
        <v>43</v>
      </c>
      <c r="BC1741" s="318">
        <v>0</v>
      </c>
      <c r="BD1741" s="467"/>
      <c r="BE1741" s="147">
        <v>215</v>
      </c>
      <c r="BF1741" s="321">
        <f t="shared" si="1316"/>
        <v>0.32250000000000001</v>
      </c>
      <c r="BG1741" s="321">
        <f t="shared" si="1317"/>
        <v>214.67750000000001</v>
      </c>
      <c r="BH1741" s="321">
        <f t="shared" si="1318"/>
        <v>214.9</v>
      </c>
      <c r="BI1741" s="322">
        <f t="shared" si="1319"/>
        <v>9.9999999999994316</v>
      </c>
      <c r="BJ1741" s="322">
        <v>0</v>
      </c>
      <c r="BK1741" s="318">
        <f t="shared" si="1320"/>
        <v>9.9999999999994316</v>
      </c>
      <c r="BL1741" s="449"/>
      <c r="BM1741" s="449" t="str">
        <f t="shared" si="1321"/>
        <v>Unloading no. 1706 Bill No 257 ,Deduction For Oil Deduction= 109911.071428571 ,Bardana= 5060 ,F.M= 5430.9 Brokerage/Rate Difference 0 ,Shortage = 842 ,Greenish= 0 ,Moisture= 12672.1</v>
      </c>
      <c r="BN1741" s="449"/>
      <c r="BO1741" s="449" t="str">
        <f t="shared" si="1322"/>
        <v xml:space="preserve"> Party Condition 42  ,F.M% 0.3 ,Greenish 3.25 ,Moisture 5.7 ,Shortage in KG= 10  ,Oil% 39.45</v>
      </c>
      <c r="BP1741" s="464">
        <f t="shared" si="1323"/>
        <v>7800.7628132686305</v>
      </c>
      <c r="BQ1741" s="449"/>
      <c r="BR1741" s="449"/>
      <c r="BS1741" s="449"/>
      <c r="BT1741" s="449"/>
      <c r="BU1741" s="449"/>
      <c r="BV1741" s="449"/>
      <c r="BW1741" s="449"/>
      <c r="BX1741" s="147">
        <v>0</v>
      </c>
      <c r="BY1741" s="147">
        <v>0</v>
      </c>
      <c r="CA1741" s="56">
        <v>136049.91</v>
      </c>
      <c r="CC1741" s="84">
        <f t="shared" ref="CC1741" si="1324">AS1741-CA1741</f>
        <v>4562.0899999999965</v>
      </c>
      <c r="CD1741" s="56">
        <f t="shared" ref="CD1741" si="1325">CC1741/105*100</f>
        <v>4344.8476190476158</v>
      </c>
      <c r="CG1741" s="495"/>
      <c r="CH1741" s="56">
        <v>8327.3799999999992</v>
      </c>
      <c r="CI1741" s="492">
        <f>AQ1741-CH1741</f>
        <v>4344.7200000000012</v>
      </c>
    </row>
    <row r="1742" spans="1:87" ht="14.1" hidden="1" customHeight="1" x14ac:dyDescent="0.3">
      <c r="A1742" s="128" t="s">
        <v>3650</v>
      </c>
      <c r="B1742" s="146">
        <v>46255</v>
      </c>
      <c r="C1742" s="138">
        <v>1707</v>
      </c>
      <c r="D1742" s="128" t="s">
        <v>3663</v>
      </c>
      <c r="E1742" s="129">
        <v>46256</v>
      </c>
      <c r="F1742" s="128" t="s">
        <v>2190</v>
      </c>
      <c r="G1742" s="128" t="s">
        <v>2191</v>
      </c>
      <c r="H1742" s="128" t="s">
        <v>97</v>
      </c>
      <c r="I1742" s="136"/>
      <c r="J1742" s="138" t="s">
        <v>2499</v>
      </c>
      <c r="K1742" s="136"/>
      <c r="L1742" s="146">
        <v>46255</v>
      </c>
      <c r="M1742" s="136"/>
      <c r="N1742" s="281" t="s">
        <v>2956</v>
      </c>
      <c r="O1742" s="146">
        <v>46256</v>
      </c>
      <c r="P1742" s="138">
        <v>0</v>
      </c>
      <c r="Q1742" s="138">
        <v>110</v>
      </c>
      <c r="R1742" s="138">
        <v>38</v>
      </c>
      <c r="S1742" s="138">
        <v>148</v>
      </c>
      <c r="T1742" s="138">
        <v>148</v>
      </c>
      <c r="U1742" s="136"/>
      <c r="V1742" s="136"/>
      <c r="W1742" s="147">
        <v>89.6</v>
      </c>
      <c r="X1742" s="147">
        <v>89.5</v>
      </c>
      <c r="Y1742" s="147">
        <v>752640</v>
      </c>
      <c r="Z1742" s="165"/>
      <c r="AA1742" s="169">
        <v>18816</v>
      </c>
      <c r="AB1742" s="169">
        <v>18816</v>
      </c>
      <c r="AC1742" s="169">
        <v>790272</v>
      </c>
      <c r="AD1742" s="493">
        <f t="shared" si="1296"/>
        <v>789481.728</v>
      </c>
      <c r="AE1742" s="147">
        <v>39.619999999999997</v>
      </c>
      <c r="AF1742" s="390">
        <v>42</v>
      </c>
      <c r="AG1742" s="147">
        <v>39.54</v>
      </c>
      <c r="AH1742" s="287">
        <v>1.6000000000000001E-3</v>
      </c>
      <c r="AI1742" s="287">
        <v>2.3E-2</v>
      </c>
      <c r="AJ1742" s="287">
        <v>5.1999999999999998E-2</v>
      </c>
      <c r="AK1742" s="318">
        <f t="shared" si="1307"/>
        <v>44083.200000000019</v>
      </c>
      <c r="AL1742" s="467">
        <v>0</v>
      </c>
      <c r="AM1742" s="321">
        <v>0</v>
      </c>
      <c r="AN1742" s="321">
        <v>0</v>
      </c>
      <c r="AO1742" s="318">
        <f t="shared" si="1308"/>
        <v>0</v>
      </c>
      <c r="AP1742" s="467">
        <v>0</v>
      </c>
      <c r="AQ1742" s="318">
        <v>0</v>
      </c>
      <c r="AR1742" s="318">
        <f t="shared" si="1309"/>
        <v>44083.200000000019</v>
      </c>
      <c r="AS1742" s="318">
        <f t="shared" si="1310"/>
        <v>46287</v>
      </c>
      <c r="AT1742" s="321">
        <v>0</v>
      </c>
      <c r="AU1742" s="464"/>
      <c r="AV1742" s="449"/>
      <c r="AW1742" s="318">
        <f t="shared" si="1311"/>
        <v>8960</v>
      </c>
      <c r="AX1742" s="467"/>
      <c r="AY1742" s="318">
        <f t="shared" si="1312"/>
        <v>8960</v>
      </c>
      <c r="AZ1742" s="318">
        <f t="shared" si="1313"/>
        <v>8950</v>
      </c>
      <c r="BA1742" s="318">
        <f t="shared" si="1314"/>
        <v>10</v>
      </c>
      <c r="BB1742" s="318">
        <f t="shared" si="1315"/>
        <v>17.920000000000002</v>
      </c>
      <c r="BC1742" s="318">
        <v>0</v>
      </c>
      <c r="BD1742" s="467"/>
      <c r="BE1742" s="147">
        <v>89.6</v>
      </c>
      <c r="BF1742" s="321">
        <f t="shared" si="1316"/>
        <v>0.13439999999999999</v>
      </c>
      <c r="BG1742" s="321">
        <f t="shared" si="1317"/>
        <v>89.465599999999995</v>
      </c>
      <c r="BH1742" s="321">
        <f t="shared" si="1318"/>
        <v>89.5</v>
      </c>
      <c r="BI1742" s="322">
        <f t="shared" si="1319"/>
        <v>9.9999999999994316</v>
      </c>
      <c r="BJ1742" s="322">
        <v>0</v>
      </c>
      <c r="BK1742" s="318">
        <f t="shared" si="1320"/>
        <v>9.9999999999994316</v>
      </c>
      <c r="BL1742" s="449"/>
      <c r="BM1742" s="449" t="str">
        <f t="shared" si="1321"/>
        <v>Unloading no. 1707 Bill No 2026-27/458 ,Deduction For Oil Deduction= 44083.2 ,Bardana= 0 ,F.M= 0 Brokerage/Rate Difference 0 ,Shortage = 0 ,Greenish= 0 ,Moisture= 0</v>
      </c>
      <c r="BN1742" s="449"/>
      <c r="BO1742" s="449" t="str">
        <f t="shared" si="1322"/>
        <v xml:space="preserve"> Party Condition 42  ,F.M% 0.16 ,Greenish 2.3 ,Moisture 5.2 ,Shortage in KG= 0  ,Oil% 39.54</v>
      </c>
      <c r="BP1742" s="464">
        <f t="shared" si="1323"/>
        <v>7916.8357541899431</v>
      </c>
      <c r="BQ1742" s="449"/>
      <c r="BR1742" s="449"/>
      <c r="BS1742" s="449"/>
      <c r="BT1742" s="449"/>
      <c r="BU1742" s="449"/>
      <c r="BV1742" s="449"/>
      <c r="BW1742" s="449"/>
      <c r="BX1742" s="147">
        <v>0</v>
      </c>
      <c r="BY1742" s="147">
        <v>0</v>
      </c>
    </row>
    <row r="1743" spans="1:87" ht="14.1" hidden="1" customHeight="1" x14ac:dyDescent="0.3">
      <c r="A1743" s="128" t="s">
        <v>3650</v>
      </c>
      <c r="B1743" s="146">
        <v>46255</v>
      </c>
      <c r="C1743" s="138">
        <v>1708</v>
      </c>
      <c r="D1743" s="128" t="s">
        <v>3664</v>
      </c>
      <c r="E1743" s="129">
        <v>46256</v>
      </c>
      <c r="F1743" s="128" t="s">
        <v>2190</v>
      </c>
      <c r="G1743" s="128" t="s">
        <v>2191</v>
      </c>
      <c r="H1743" s="128" t="s">
        <v>97</v>
      </c>
      <c r="I1743" s="136"/>
      <c r="J1743" s="138" t="s">
        <v>2499</v>
      </c>
      <c r="K1743" s="136"/>
      <c r="L1743" s="146">
        <v>46255</v>
      </c>
      <c r="M1743" s="136"/>
      <c r="N1743" s="281" t="s">
        <v>2959</v>
      </c>
      <c r="O1743" s="146">
        <v>46256</v>
      </c>
      <c r="P1743" s="138">
        <v>0</v>
      </c>
      <c r="Q1743" s="138">
        <v>130</v>
      </c>
      <c r="R1743" s="138">
        <v>20</v>
      </c>
      <c r="S1743" s="138">
        <v>150</v>
      </c>
      <c r="T1743" s="138">
        <v>150</v>
      </c>
      <c r="U1743" s="136"/>
      <c r="V1743" s="136"/>
      <c r="W1743" s="147">
        <v>89.7</v>
      </c>
      <c r="X1743" s="147">
        <v>89.6</v>
      </c>
      <c r="Y1743" s="147">
        <v>753480</v>
      </c>
      <c r="Z1743" s="165"/>
      <c r="AA1743" s="169">
        <v>18837</v>
      </c>
      <c r="AB1743" s="169">
        <v>18837</v>
      </c>
      <c r="AC1743" s="169">
        <v>791154</v>
      </c>
      <c r="AD1743" s="493">
        <f t="shared" si="1296"/>
        <v>790362.84600000002</v>
      </c>
      <c r="AE1743" s="147">
        <v>39.53</v>
      </c>
      <c r="AF1743" s="390">
        <v>42</v>
      </c>
      <c r="AG1743" s="147">
        <v>39.49</v>
      </c>
      <c r="AH1743" s="287">
        <v>2E-3</v>
      </c>
      <c r="AI1743" s="287">
        <v>2.4799999999999999E-2</v>
      </c>
      <c r="AJ1743" s="287">
        <v>5.1999999999999998E-2</v>
      </c>
      <c r="AK1743" s="318">
        <f t="shared" si="1307"/>
        <v>45029.399999999965</v>
      </c>
      <c r="AL1743" s="467">
        <v>0</v>
      </c>
      <c r="AM1743" s="321">
        <v>0</v>
      </c>
      <c r="AN1743" s="321">
        <v>0</v>
      </c>
      <c r="AO1743" s="318">
        <f t="shared" si="1308"/>
        <v>0</v>
      </c>
      <c r="AP1743" s="467">
        <v>0</v>
      </c>
      <c r="AQ1743" s="318">
        <v>0</v>
      </c>
      <c r="AR1743" s="318">
        <f t="shared" si="1309"/>
        <v>45029.399999999965</v>
      </c>
      <c r="AS1743" s="318">
        <f t="shared" si="1310"/>
        <v>47281</v>
      </c>
      <c r="AT1743" s="321">
        <v>0</v>
      </c>
      <c r="AU1743" s="464"/>
      <c r="AV1743" s="449"/>
      <c r="AW1743" s="318">
        <f t="shared" si="1311"/>
        <v>8970</v>
      </c>
      <c r="AX1743" s="467"/>
      <c r="AY1743" s="318">
        <f t="shared" si="1312"/>
        <v>8970</v>
      </c>
      <c r="AZ1743" s="318">
        <f t="shared" si="1313"/>
        <v>8960</v>
      </c>
      <c r="BA1743" s="318">
        <f t="shared" si="1314"/>
        <v>10</v>
      </c>
      <c r="BB1743" s="318">
        <f t="shared" si="1315"/>
        <v>17.940000000000001</v>
      </c>
      <c r="BC1743" s="318">
        <v>0</v>
      </c>
      <c r="BD1743" s="467"/>
      <c r="BE1743" s="147">
        <v>89.7</v>
      </c>
      <c r="BF1743" s="321">
        <f t="shared" si="1316"/>
        <v>0.13455</v>
      </c>
      <c r="BG1743" s="321">
        <f t="shared" si="1317"/>
        <v>89.565449999999998</v>
      </c>
      <c r="BH1743" s="321">
        <f t="shared" si="1318"/>
        <v>89.6</v>
      </c>
      <c r="BI1743" s="322">
        <f t="shared" si="1319"/>
        <v>10.000000000000853</v>
      </c>
      <c r="BJ1743" s="322">
        <v>0</v>
      </c>
      <c r="BK1743" s="318">
        <f t="shared" si="1320"/>
        <v>10.000000000000853</v>
      </c>
      <c r="BL1743" s="449"/>
      <c r="BM1743" s="449" t="str">
        <f t="shared" si="1321"/>
        <v>Unloading no. 1708 Bill No 2026-27/457 ,Deduction For Oil Deduction= 45029.4 ,Bardana= 0 ,F.M= 0 Brokerage/Rate Difference 0 ,Shortage = 0 ,Greenish= 0 ,Moisture= 0</v>
      </c>
      <c r="BN1743" s="449"/>
      <c r="BO1743" s="449" t="str">
        <f t="shared" si="1322"/>
        <v xml:space="preserve"> Party Condition 42  ,F.M% 0.2 ,Greenish 2.48 ,Moisture 5.2 ,Shortage in KG= 0  ,Oil% 39.49</v>
      </c>
      <c r="BP1743" s="464">
        <f t="shared" si="1323"/>
        <v>7906.8147321428587</v>
      </c>
      <c r="BQ1743" s="449"/>
      <c r="BR1743" s="449"/>
      <c r="BS1743" s="449"/>
      <c r="BT1743" s="449"/>
      <c r="BU1743" s="449"/>
      <c r="BV1743" s="449"/>
      <c r="BW1743" s="449"/>
      <c r="BX1743" s="147">
        <v>0</v>
      </c>
      <c r="BY1743" s="147">
        <v>0</v>
      </c>
    </row>
    <row r="1744" spans="1:87" ht="14.1" hidden="1" customHeight="1" x14ac:dyDescent="0.3">
      <c r="A1744" s="128" t="s">
        <v>3650</v>
      </c>
      <c r="B1744" s="146">
        <v>46255</v>
      </c>
      <c r="C1744" s="138">
        <v>1709</v>
      </c>
      <c r="D1744" s="128" t="s">
        <v>3665</v>
      </c>
      <c r="E1744" s="129">
        <v>46256</v>
      </c>
      <c r="F1744" s="128" t="s">
        <v>2190</v>
      </c>
      <c r="G1744" s="128" t="s">
        <v>2191</v>
      </c>
      <c r="H1744" s="128" t="s">
        <v>97</v>
      </c>
      <c r="I1744" s="136"/>
      <c r="J1744" s="138" t="s">
        <v>2499</v>
      </c>
      <c r="K1744" s="136"/>
      <c r="L1744" s="146">
        <v>46255</v>
      </c>
      <c r="M1744" s="136"/>
      <c r="N1744" s="281" t="s">
        <v>3697</v>
      </c>
      <c r="O1744" s="146">
        <v>46256</v>
      </c>
      <c r="P1744" s="138">
        <v>0</v>
      </c>
      <c r="Q1744" s="138">
        <v>120</v>
      </c>
      <c r="R1744" s="138">
        <v>30</v>
      </c>
      <c r="S1744" s="138">
        <v>150</v>
      </c>
      <c r="T1744" s="138">
        <v>150</v>
      </c>
      <c r="U1744" s="136"/>
      <c r="V1744" s="136"/>
      <c r="W1744" s="147">
        <v>89.2</v>
      </c>
      <c r="X1744" s="147">
        <v>89.3</v>
      </c>
      <c r="Y1744" s="147">
        <v>749280</v>
      </c>
      <c r="Z1744" s="165"/>
      <c r="AA1744" s="169">
        <v>18732</v>
      </c>
      <c r="AB1744" s="169">
        <v>18732</v>
      </c>
      <c r="AC1744" s="169">
        <v>786744</v>
      </c>
      <c r="AD1744" s="493">
        <f t="shared" si="1296"/>
        <v>785957.25600000005</v>
      </c>
      <c r="AE1744" s="147">
        <v>40.159999999999997</v>
      </c>
      <c r="AF1744" s="390">
        <v>42</v>
      </c>
      <c r="AG1744" s="147">
        <v>39.96</v>
      </c>
      <c r="AH1744" s="287">
        <v>2.2000000000000001E-3</v>
      </c>
      <c r="AI1744" s="287">
        <v>2.7199999999999998E-2</v>
      </c>
      <c r="AJ1744" s="287">
        <v>0.05</v>
      </c>
      <c r="AK1744" s="318">
        <f t="shared" si="1307"/>
        <v>36393.599999999984</v>
      </c>
      <c r="AL1744" s="467">
        <v>0</v>
      </c>
      <c r="AM1744" s="321">
        <v>0</v>
      </c>
      <c r="AN1744" s="321">
        <v>0</v>
      </c>
      <c r="AO1744" s="318">
        <f t="shared" si="1308"/>
        <v>0</v>
      </c>
      <c r="AP1744" s="467">
        <v>0</v>
      </c>
      <c r="AQ1744" s="318">
        <v>0</v>
      </c>
      <c r="AR1744" s="318">
        <f t="shared" si="1309"/>
        <v>36393.599999999984</v>
      </c>
      <c r="AS1744" s="318">
        <f t="shared" si="1310"/>
        <v>38213</v>
      </c>
      <c r="AT1744" s="321">
        <v>0</v>
      </c>
      <c r="AU1744" s="464"/>
      <c r="AV1744" s="449"/>
      <c r="AW1744" s="318">
        <f t="shared" si="1311"/>
        <v>8920</v>
      </c>
      <c r="AX1744" s="467"/>
      <c r="AY1744" s="318">
        <f t="shared" si="1312"/>
        <v>8920</v>
      </c>
      <c r="AZ1744" s="318">
        <f t="shared" si="1313"/>
        <v>8930</v>
      </c>
      <c r="BA1744" s="318">
        <f t="shared" si="1314"/>
        <v>-10</v>
      </c>
      <c r="BB1744" s="318">
        <f t="shared" si="1315"/>
        <v>17.84</v>
      </c>
      <c r="BC1744" s="318">
        <v>0</v>
      </c>
      <c r="BD1744" s="467"/>
      <c r="BE1744" s="147">
        <v>89.2</v>
      </c>
      <c r="BF1744" s="321">
        <f t="shared" si="1316"/>
        <v>0.1338</v>
      </c>
      <c r="BG1744" s="321">
        <f t="shared" si="1317"/>
        <v>89.066200000000009</v>
      </c>
      <c r="BH1744" s="321">
        <f t="shared" si="1318"/>
        <v>89.3</v>
      </c>
      <c r="BI1744" s="322">
        <f t="shared" si="1319"/>
        <v>-9.9999999999994316</v>
      </c>
      <c r="BJ1744" s="322">
        <v>0</v>
      </c>
      <c r="BK1744" s="318">
        <f t="shared" si="1320"/>
        <v>-9.9999999999994316</v>
      </c>
      <c r="BL1744" s="449"/>
      <c r="BM1744" s="449" t="str">
        <f t="shared" si="1321"/>
        <v>Unloading no. 1709 Bill No 2026-27/459 ,Deduction For Oil Deduction= 36393.6 ,Bardana= 0 ,F.M= 0 Brokerage/Rate Difference 0 ,Shortage = 0 ,Greenish= 0 ,Moisture= 0</v>
      </c>
      <c r="BN1744" s="449"/>
      <c r="BO1744" s="449" t="str">
        <f t="shared" si="1322"/>
        <v xml:space="preserve"> Party Condition 42  ,F.M% 0.22 ,Greenish 2.72 ,Moisture 5 ,Shortage in KG= 0  ,Oil% 39.96</v>
      </c>
      <c r="BP1744" s="464">
        <f t="shared" si="1323"/>
        <v>7983.0503919372904</v>
      </c>
      <c r="BQ1744" s="449"/>
      <c r="BR1744" s="449"/>
      <c r="BS1744" s="449"/>
      <c r="BT1744" s="449"/>
      <c r="BU1744" s="449"/>
      <c r="BV1744" s="449"/>
      <c r="BW1744" s="449"/>
      <c r="BX1744" s="147">
        <v>0</v>
      </c>
      <c r="BY1744" s="147">
        <v>0</v>
      </c>
    </row>
    <row r="1745" spans="1:77" ht="14.1" hidden="1" customHeight="1" x14ac:dyDescent="0.3">
      <c r="A1745" s="128" t="s">
        <v>3651</v>
      </c>
      <c r="B1745" s="146">
        <v>46252</v>
      </c>
      <c r="C1745" s="138">
        <v>1710</v>
      </c>
      <c r="D1745" s="128" t="s">
        <v>3666</v>
      </c>
      <c r="E1745" s="129">
        <v>46256</v>
      </c>
      <c r="F1745" s="128" t="s">
        <v>1575</v>
      </c>
      <c r="G1745" s="128" t="s">
        <v>1576</v>
      </c>
      <c r="H1745" s="128" t="s">
        <v>103</v>
      </c>
      <c r="I1745" s="136"/>
      <c r="J1745" s="138" t="s">
        <v>1146</v>
      </c>
      <c r="K1745" s="136"/>
      <c r="L1745" s="146">
        <v>46252</v>
      </c>
      <c r="M1745" s="136"/>
      <c r="N1745" s="281" t="s">
        <v>3698</v>
      </c>
      <c r="O1745" s="146">
        <v>46256</v>
      </c>
      <c r="P1745" s="138">
        <v>0</v>
      </c>
      <c r="Q1745" s="138">
        <v>150</v>
      </c>
      <c r="R1745" s="138">
        <v>16</v>
      </c>
      <c r="S1745" s="138">
        <v>166</v>
      </c>
      <c r="T1745" s="138">
        <v>166</v>
      </c>
      <c r="U1745" s="136"/>
      <c r="V1745" s="136"/>
      <c r="W1745" s="147">
        <v>83.7</v>
      </c>
      <c r="X1745" s="147">
        <v>83.8</v>
      </c>
      <c r="Y1745" s="147">
        <v>704837.7</v>
      </c>
      <c r="Z1745" s="165" t="s">
        <v>3719</v>
      </c>
      <c r="AA1745" s="169">
        <v>17620.939999999999</v>
      </c>
      <c r="AB1745" s="169">
        <v>17620.939999999999</v>
      </c>
      <c r="AC1745" s="169">
        <v>740079.59</v>
      </c>
      <c r="AD1745" s="493">
        <f t="shared" si="1296"/>
        <v>739339.51040999999</v>
      </c>
      <c r="AE1745" s="147">
        <v>40.090000000000003</v>
      </c>
      <c r="AF1745" s="390">
        <v>42</v>
      </c>
      <c r="AG1745" s="147">
        <v>39.82</v>
      </c>
      <c r="AH1745" s="287">
        <v>2.0999999999999999E-3</v>
      </c>
      <c r="AI1745" s="287">
        <v>2.5000000000000001E-2</v>
      </c>
      <c r="AJ1745" s="287">
        <v>5.5E-2</v>
      </c>
      <c r="AK1745" s="318">
        <f t="shared" si="1307"/>
        <v>36584.43299999999</v>
      </c>
      <c r="AL1745" s="467">
        <v>0</v>
      </c>
      <c r="AM1745" s="321">
        <v>0</v>
      </c>
      <c r="AN1745" s="321">
        <v>0</v>
      </c>
      <c r="AO1745" s="318">
        <f t="shared" si="1308"/>
        <v>0</v>
      </c>
      <c r="AP1745" s="467">
        <v>0</v>
      </c>
      <c r="AQ1745" s="318">
        <v>0</v>
      </c>
      <c r="AR1745" s="318">
        <f t="shared" si="1309"/>
        <v>36584.43299999999</v>
      </c>
      <c r="AS1745" s="318">
        <f t="shared" si="1310"/>
        <v>38414</v>
      </c>
      <c r="AT1745" s="321">
        <v>0</v>
      </c>
      <c r="AU1745" s="464"/>
      <c r="AV1745" s="449"/>
      <c r="AW1745" s="318">
        <f t="shared" si="1311"/>
        <v>8370</v>
      </c>
      <c r="AX1745" s="467"/>
      <c r="AY1745" s="318">
        <f t="shared" si="1312"/>
        <v>8370</v>
      </c>
      <c r="AZ1745" s="318">
        <f t="shared" si="1313"/>
        <v>8380</v>
      </c>
      <c r="BA1745" s="318">
        <f t="shared" si="1314"/>
        <v>-10</v>
      </c>
      <c r="BB1745" s="318">
        <f t="shared" si="1315"/>
        <v>16.739999999999998</v>
      </c>
      <c r="BC1745" s="318">
        <v>0</v>
      </c>
      <c r="BD1745" s="467"/>
      <c r="BE1745" s="147">
        <v>83.7</v>
      </c>
      <c r="BF1745" s="321">
        <f t="shared" si="1316"/>
        <v>0.12554999999999999</v>
      </c>
      <c r="BG1745" s="321">
        <f t="shared" si="1317"/>
        <v>83.574449999999999</v>
      </c>
      <c r="BH1745" s="321">
        <f t="shared" si="1318"/>
        <v>83.8</v>
      </c>
      <c r="BI1745" s="322">
        <f t="shared" si="1319"/>
        <v>-9.9999999999994316</v>
      </c>
      <c r="BJ1745" s="322">
        <v>0</v>
      </c>
      <c r="BK1745" s="318">
        <f t="shared" si="1320"/>
        <v>-9.9999999999994316</v>
      </c>
      <c r="BL1745" s="449"/>
      <c r="BM1745" s="449" t="str">
        <f t="shared" si="1321"/>
        <v>Unloading no. 1710 Bill No 2026-27/00181 ,Deduction For Oil Deduction= 36584.433 ,Bardana= 0 ,F.M= 0 Brokerage/Rate Difference 0 ,Shortage = 0 ,Greenish= 0 ,Moisture= 0</v>
      </c>
      <c r="BN1745" s="449"/>
      <c r="BO1745" s="449" t="str">
        <f t="shared" si="1322"/>
        <v xml:space="preserve"> Party Condition 42  ,F.M% 0.21 ,Greenish 2.5 ,Moisture 5.5 ,Shortage in KG= 0  ,Oil% 39.82</v>
      </c>
      <c r="BP1745" s="464">
        <f t="shared" si="1323"/>
        <v>7974.3826610978522</v>
      </c>
      <c r="BQ1745" s="449"/>
      <c r="BR1745" s="449"/>
      <c r="BS1745" s="449"/>
      <c r="BT1745" s="449"/>
      <c r="BU1745" s="449"/>
      <c r="BV1745" s="449"/>
      <c r="BW1745" s="449"/>
      <c r="BX1745" s="147">
        <v>0</v>
      </c>
      <c r="BY1745" s="147">
        <v>0</v>
      </c>
    </row>
    <row r="1746" spans="1:77" ht="14.1" hidden="1" customHeight="1" x14ac:dyDescent="0.3">
      <c r="A1746" s="128" t="s">
        <v>3651</v>
      </c>
      <c r="B1746" s="146">
        <v>46252</v>
      </c>
      <c r="C1746" s="138">
        <v>1711</v>
      </c>
      <c r="D1746" s="128" t="s">
        <v>3667</v>
      </c>
      <c r="E1746" s="129">
        <v>46256</v>
      </c>
      <c r="F1746" s="128" t="s">
        <v>1575</v>
      </c>
      <c r="G1746" s="128" t="s">
        <v>1576</v>
      </c>
      <c r="H1746" s="128" t="s">
        <v>103</v>
      </c>
      <c r="I1746" s="136"/>
      <c r="J1746" s="138" t="s">
        <v>1146</v>
      </c>
      <c r="K1746" s="136"/>
      <c r="L1746" s="146">
        <v>46252</v>
      </c>
      <c r="M1746" s="136"/>
      <c r="N1746" s="281" t="s">
        <v>3699</v>
      </c>
      <c r="O1746" s="146">
        <v>46256</v>
      </c>
      <c r="P1746" s="138">
        <v>0</v>
      </c>
      <c r="Q1746" s="138">
        <v>126</v>
      </c>
      <c r="R1746" s="138">
        <v>40</v>
      </c>
      <c r="S1746" s="138">
        <v>166</v>
      </c>
      <c r="T1746" s="138">
        <v>166</v>
      </c>
      <c r="U1746" s="136"/>
      <c r="V1746" s="136"/>
      <c r="W1746" s="147">
        <v>84.1</v>
      </c>
      <c r="X1746" s="147">
        <v>84</v>
      </c>
      <c r="Y1746" s="147">
        <v>708206.1</v>
      </c>
      <c r="Z1746" s="165" t="s">
        <v>3719</v>
      </c>
      <c r="AA1746" s="169">
        <v>17705.150000000001</v>
      </c>
      <c r="AB1746" s="169">
        <v>17705.150000000001</v>
      </c>
      <c r="AC1746" s="169">
        <v>743616.41</v>
      </c>
      <c r="AD1746" s="493">
        <f t="shared" si="1296"/>
        <v>742872.79359000002</v>
      </c>
      <c r="AE1746" s="147">
        <v>39.700000000000003</v>
      </c>
      <c r="AF1746" s="390">
        <v>42</v>
      </c>
      <c r="AG1746" s="147">
        <v>39.590000000000003</v>
      </c>
      <c r="AH1746" s="287">
        <v>2.2000000000000001E-3</v>
      </c>
      <c r="AI1746" s="287">
        <v>2.63E-2</v>
      </c>
      <c r="AJ1746" s="287">
        <v>5.3999999999999999E-2</v>
      </c>
      <c r="AK1746" s="318">
        <f t="shared" si="1307"/>
        <v>40637.540499999937</v>
      </c>
      <c r="AL1746" s="467">
        <v>0</v>
      </c>
      <c r="AM1746" s="321">
        <v>0</v>
      </c>
      <c r="AN1746" s="321">
        <v>0</v>
      </c>
      <c r="AO1746" s="318">
        <f t="shared" si="1308"/>
        <v>0</v>
      </c>
      <c r="AP1746" s="467">
        <v>0</v>
      </c>
      <c r="AQ1746" s="318">
        <v>0</v>
      </c>
      <c r="AR1746" s="318">
        <f t="shared" si="1309"/>
        <v>40637.540499999937</v>
      </c>
      <c r="AS1746" s="318">
        <f t="shared" si="1310"/>
        <v>42669</v>
      </c>
      <c r="AT1746" s="321">
        <v>0</v>
      </c>
      <c r="AU1746" s="464"/>
      <c r="AV1746" s="449"/>
      <c r="AW1746" s="318">
        <f t="shared" si="1311"/>
        <v>8410</v>
      </c>
      <c r="AX1746" s="467"/>
      <c r="AY1746" s="318">
        <f t="shared" si="1312"/>
        <v>8410</v>
      </c>
      <c r="AZ1746" s="318">
        <f t="shared" si="1313"/>
        <v>8400</v>
      </c>
      <c r="BA1746" s="318">
        <f t="shared" si="1314"/>
        <v>10</v>
      </c>
      <c r="BB1746" s="318">
        <f t="shared" si="1315"/>
        <v>16.82</v>
      </c>
      <c r="BC1746" s="318">
        <v>0</v>
      </c>
      <c r="BD1746" s="467"/>
      <c r="BE1746" s="147">
        <v>84.1</v>
      </c>
      <c r="BF1746" s="321">
        <f t="shared" si="1316"/>
        <v>0.12614999999999998</v>
      </c>
      <c r="BG1746" s="321">
        <f t="shared" si="1317"/>
        <v>83.973849999999999</v>
      </c>
      <c r="BH1746" s="321">
        <f t="shared" si="1318"/>
        <v>84</v>
      </c>
      <c r="BI1746" s="322">
        <f t="shared" si="1319"/>
        <v>9.9999999999994316</v>
      </c>
      <c r="BJ1746" s="322">
        <v>0</v>
      </c>
      <c r="BK1746" s="318">
        <f t="shared" si="1320"/>
        <v>9.9999999999994316</v>
      </c>
      <c r="BL1746" s="449"/>
      <c r="BM1746" s="449" t="str">
        <f t="shared" si="1321"/>
        <v>Unloading no. 1711 Bill No 2026-27/00182 ,Deduction For Oil Deduction= 40637.5404999999 ,Bardana= 0 ,F.M= 0 Brokerage/Rate Difference 0 ,Shortage = 0 ,Greenish= 0 ,Moisture= 0</v>
      </c>
      <c r="BN1746" s="449"/>
      <c r="BO1746" s="449" t="str">
        <f t="shared" si="1322"/>
        <v xml:space="preserve"> Party Condition 42  ,F.M% 0.22 ,Greenish 2.63 ,Moisture 5.4 ,Shortage in KG= 0  ,Oil% 39.59</v>
      </c>
      <c r="BP1746" s="464">
        <f t="shared" si="1323"/>
        <v>7947.2447559523816</v>
      </c>
      <c r="BQ1746" s="449"/>
      <c r="BR1746" s="449"/>
      <c r="BS1746" s="449"/>
      <c r="BT1746" s="449"/>
      <c r="BU1746" s="449"/>
      <c r="BV1746" s="449"/>
      <c r="BW1746" s="449"/>
      <c r="BX1746" s="147">
        <v>0</v>
      </c>
      <c r="BY1746" s="147">
        <v>0</v>
      </c>
    </row>
    <row r="1747" spans="1:77" ht="14.1" hidden="1" customHeight="1" x14ac:dyDescent="0.3">
      <c r="A1747" s="128" t="s">
        <v>3651</v>
      </c>
      <c r="B1747" s="146">
        <v>46252</v>
      </c>
      <c r="C1747" s="138">
        <v>1712</v>
      </c>
      <c r="D1747" s="128" t="s">
        <v>3668</v>
      </c>
      <c r="E1747" s="129">
        <v>46256</v>
      </c>
      <c r="F1747" s="128" t="s">
        <v>1575</v>
      </c>
      <c r="G1747" s="128" t="s">
        <v>1576</v>
      </c>
      <c r="H1747" s="128" t="s">
        <v>103</v>
      </c>
      <c r="I1747" s="136"/>
      <c r="J1747" s="138" t="s">
        <v>1146</v>
      </c>
      <c r="K1747" s="136"/>
      <c r="L1747" s="146">
        <v>46252</v>
      </c>
      <c r="M1747" s="136"/>
      <c r="N1747" s="281" t="s">
        <v>3700</v>
      </c>
      <c r="O1747" s="146">
        <v>46256</v>
      </c>
      <c r="P1747" s="138">
        <v>0</v>
      </c>
      <c r="Q1747" s="138">
        <v>150</v>
      </c>
      <c r="R1747" s="138">
        <v>15</v>
      </c>
      <c r="S1747" s="138">
        <v>165</v>
      </c>
      <c r="T1747" s="138">
        <v>165</v>
      </c>
      <c r="U1747" s="136"/>
      <c r="V1747" s="136"/>
      <c r="W1747" s="147">
        <v>83</v>
      </c>
      <c r="X1747" s="147">
        <v>82.7</v>
      </c>
      <c r="Y1747" s="147">
        <v>698943</v>
      </c>
      <c r="Z1747" s="165" t="s">
        <v>3719</v>
      </c>
      <c r="AA1747" s="169">
        <v>17473.580000000002</v>
      </c>
      <c r="AB1747" s="169">
        <v>17473.580000000002</v>
      </c>
      <c r="AC1747" s="169">
        <v>733890.15</v>
      </c>
      <c r="AD1747" s="493">
        <f t="shared" si="1296"/>
        <v>733156.25985000003</v>
      </c>
      <c r="AE1747" s="147">
        <v>39.42</v>
      </c>
      <c r="AF1747" s="390">
        <v>42</v>
      </c>
      <c r="AG1747" s="147">
        <v>39.369999999999997</v>
      </c>
      <c r="AH1747" s="287">
        <v>1.9E-3</v>
      </c>
      <c r="AI1747" s="287">
        <v>2.7799999999999998E-2</v>
      </c>
      <c r="AJ1747" s="287">
        <v>0.06</v>
      </c>
      <c r="AK1747" s="318">
        <f t="shared" si="1307"/>
        <v>43767.145000000048</v>
      </c>
      <c r="AL1747" s="467">
        <v>0</v>
      </c>
      <c r="AM1747" s="321">
        <v>0</v>
      </c>
      <c r="AN1747" s="321">
        <v>0</v>
      </c>
      <c r="AO1747" s="318">
        <f t="shared" si="1308"/>
        <v>0</v>
      </c>
      <c r="AP1747" s="467">
        <v>0</v>
      </c>
      <c r="AQ1747" s="318">
        <v>0</v>
      </c>
      <c r="AR1747" s="318">
        <f t="shared" si="1309"/>
        <v>43767.145000000048</v>
      </c>
      <c r="AS1747" s="318">
        <f t="shared" si="1310"/>
        <v>45956</v>
      </c>
      <c r="AT1747" s="321">
        <v>0</v>
      </c>
      <c r="AU1747" s="464"/>
      <c r="AV1747" s="449"/>
      <c r="AW1747" s="318">
        <f t="shared" si="1311"/>
        <v>8300</v>
      </c>
      <c r="AX1747" s="467"/>
      <c r="AY1747" s="318">
        <f t="shared" si="1312"/>
        <v>8300</v>
      </c>
      <c r="AZ1747" s="318">
        <f t="shared" si="1313"/>
        <v>8270</v>
      </c>
      <c r="BA1747" s="318">
        <f t="shared" si="1314"/>
        <v>30</v>
      </c>
      <c r="BB1747" s="318">
        <f t="shared" si="1315"/>
        <v>16.600000000000001</v>
      </c>
      <c r="BC1747" s="318">
        <v>0</v>
      </c>
      <c r="BD1747" s="467"/>
      <c r="BE1747" s="147">
        <v>83</v>
      </c>
      <c r="BF1747" s="321">
        <f t="shared" si="1316"/>
        <v>0.1245</v>
      </c>
      <c r="BG1747" s="321">
        <f t="shared" si="1317"/>
        <v>82.875500000000002</v>
      </c>
      <c r="BH1747" s="321">
        <f t="shared" si="1318"/>
        <v>82.7</v>
      </c>
      <c r="BI1747" s="322">
        <f t="shared" si="1319"/>
        <v>29.999999999999716</v>
      </c>
      <c r="BJ1747" s="322">
        <v>0</v>
      </c>
      <c r="BK1747" s="318">
        <f t="shared" si="1320"/>
        <v>29.999999999999716</v>
      </c>
      <c r="BL1747" s="449"/>
      <c r="BM1747" s="449" t="str">
        <f t="shared" si="1321"/>
        <v>Unloading no. 1712 Bill No 2026-27/00183 ,Deduction For Oil Deduction= 43767.145 ,Bardana= 0 ,F.M= 0 Brokerage/Rate Difference 0 ,Shortage = 0 ,Greenish= 0 ,Moisture= 0</v>
      </c>
      <c r="BN1747" s="449"/>
      <c r="BO1747" s="449" t="str">
        <f t="shared" si="1322"/>
        <v xml:space="preserve"> Party Condition 42  ,F.M% 0.19 ,Greenish 2.78 ,Moisture 6 ,Shortage in KG= 0  ,Oil% 39.37</v>
      </c>
      <c r="BP1747" s="464">
        <f t="shared" si="1323"/>
        <v>7922.3198911729132</v>
      </c>
      <c r="BQ1747" s="449"/>
      <c r="BR1747" s="449"/>
      <c r="BS1747" s="449"/>
      <c r="BT1747" s="449"/>
      <c r="BU1747" s="449"/>
      <c r="BV1747" s="449"/>
      <c r="BW1747" s="449"/>
      <c r="BX1747" s="147">
        <v>0</v>
      </c>
      <c r="BY1747" s="147">
        <v>0</v>
      </c>
    </row>
    <row r="1748" spans="1:77" ht="14.1" hidden="1" customHeight="1" x14ac:dyDescent="0.3">
      <c r="A1748" s="128" t="s">
        <v>3650</v>
      </c>
      <c r="B1748" s="146">
        <v>46255</v>
      </c>
      <c r="C1748" s="138">
        <v>1713</v>
      </c>
      <c r="D1748" s="128" t="s">
        <v>3669</v>
      </c>
      <c r="E1748" s="129">
        <v>46256</v>
      </c>
      <c r="F1748" s="128" t="s">
        <v>2190</v>
      </c>
      <c r="G1748" s="128" t="s">
        <v>2191</v>
      </c>
      <c r="H1748" s="128" t="s">
        <v>97</v>
      </c>
      <c r="I1748" s="136"/>
      <c r="J1748" s="138" t="s">
        <v>1146</v>
      </c>
      <c r="K1748" s="136"/>
      <c r="L1748" s="146">
        <v>46255</v>
      </c>
      <c r="M1748" s="136"/>
      <c r="N1748" s="281" t="s">
        <v>2963</v>
      </c>
      <c r="O1748" s="146">
        <v>46256</v>
      </c>
      <c r="P1748" s="138">
        <v>0</v>
      </c>
      <c r="Q1748" s="138">
        <v>140</v>
      </c>
      <c r="R1748" s="138">
        <v>30</v>
      </c>
      <c r="S1748" s="138">
        <v>170</v>
      </c>
      <c r="T1748" s="138">
        <v>170</v>
      </c>
      <c r="U1748" s="136"/>
      <c r="V1748" s="136"/>
      <c r="W1748" s="147">
        <v>100</v>
      </c>
      <c r="X1748" s="147">
        <v>99.9</v>
      </c>
      <c r="Y1748" s="147">
        <v>840000</v>
      </c>
      <c r="Z1748" s="165"/>
      <c r="AA1748" s="169">
        <v>21000</v>
      </c>
      <c r="AB1748" s="169">
        <v>21000</v>
      </c>
      <c r="AC1748" s="169">
        <v>882000</v>
      </c>
      <c r="AD1748" s="493">
        <f t="shared" si="1296"/>
        <v>881118</v>
      </c>
      <c r="AE1748" s="147">
        <v>40.090000000000003</v>
      </c>
      <c r="AF1748" s="147">
        <v>42</v>
      </c>
      <c r="AG1748" s="147">
        <v>39.93</v>
      </c>
      <c r="AH1748" s="287">
        <v>2.2000000000000001E-3</v>
      </c>
      <c r="AI1748" s="287">
        <v>2.8500000000000001E-2</v>
      </c>
      <c r="AJ1748" s="287">
        <v>5.5E-2</v>
      </c>
      <c r="AK1748" s="318">
        <f t="shared" si="1307"/>
        <v>41400.000000000007</v>
      </c>
      <c r="AL1748" s="467">
        <v>0</v>
      </c>
      <c r="AM1748" s="321">
        <v>0</v>
      </c>
      <c r="AN1748" s="321">
        <v>0</v>
      </c>
      <c r="AO1748" s="318">
        <f t="shared" si="1308"/>
        <v>0</v>
      </c>
      <c r="AP1748" s="467">
        <v>0</v>
      </c>
      <c r="AQ1748" s="318">
        <v>0</v>
      </c>
      <c r="AR1748" s="318">
        <f t="shared" si="1309"/>
        <v>41400.000000000007</v>
      </c>
      <c r="AS1748" s="318">
        <f t="shared" si="1310"/>
        <v>43470</v>
      </c>
      <c r="AT1748" s="321">
        <v>0</v>
      </c>
      <c r="AU1748" s="464"/>
      <c r="AV1748" s="449"/>
      <c r="AW1748" s="318">
        <f t="shared" si="1311"/>
        <v>10000</v>
      </c>
      <c r="AX1748" s="467"/>
      <c r="AY1748" s="318">
        <f t="shared" si="1312"/>
        <v>10000</v>
      </c>
      <c r="AZ1748" s="318">
        <f t="shared" si="1313"/>
        <v>9990</v>
      </c>
      <c r="BA1748" s="318">
        <f t="shared" si="1314"/>
        <v>10</v>
      </c>
      <c r="BB1748" s="318">
        <f t="shared" si="1315"/>
        <v>20</v>
      </c>
      <c r="BC1748" s="318">
        <v>0</v>
      </c>
      <c r="BD1748" s="467"/>
      <c r="BE1748" s="147">
        <v>100</v>
      </c>
      <c r="BF1748" s="321">
        <f t="shared" si="1316"/>
        <v>0.15</v>
      </c>
      <c r="BG1748" s="321">
        <f t="shared" si="1317"/>
        <v>99.85</v>
      </c>
      <c r="BH1748" s="321">
        <f t="shared" si="1318"/>
        <v>99.9</v>
      </c>
      <c r="BI1748" s="322">
        <f t="shared" si="1319"/>
        <v>9.9999999999994316</v>
      </c>
      <c r="BJ1748" s="322">
        <v>0</v>
      </c>
      <c r="BK1748" s="318">
        <f t="shared" si="1320"/>
        <v>9.9999999999994316</v>
      </c>
      <c r="BL1748" s="449"/>
      <c r="BM1748" s="449" t="str">
        <f t="shared" si="1321"/>
        <v>Unloading no. 1713 Bill No 2026-27/460 ,Deduction For Oil Deduction= 41400 ,Bardana= 0 ,F.M= 0 Brokerage/Rate Difference 0 ,Shortage = 0 ,Greenish= 0 ,Moisture= 0</v>
      </c>
      <c r="BN1748" s="449"/>
      <c r="BO1748" s="449" t="str">
        <f t="shared" si="1322"/>
        <v xml:space="preserve"> Party Condition 42  ,F.M% 0.22 ,Greenish 2.85 ,Moisture 5.5 ,Shortage in KG= 0  ,Oil% 39.93</v>
      </c>
      <c r="BP1748" s="464">
        <f t="shared" si="1323"/>
        <v>7993.9939939939932</v>
      </c>
      <c r="BQ1748" s="449"/>
      <c r="BR1748" s="449"/>
      <c r="BS1748" s="449"/>
      <c r="BT1748" s="449"/>
      <c r="BU1748" s="449"/>
      <c r="BV1748" s="449"/>
      <c r="BW1748" s="449"/>
      <c r="BX1748" s="147">
        <v>0</v>
      </c>
      <c r="BY1748" s="147">
        <v>0</v>
      </c>
    </row>
    <row r="1749" spans="1:77" ht="14.1" hidden="1" customHeight="1" x14ac:dyDescent="0.3">
      <c r="A1749" s="128" t="s">
        <v>3650</v>
      </c>
      <c r="B1749" s="146">
        <v>46255</v>
      </c>
      <c r="C1749" s="138">
        <v>1714</v>
      </c>
      <c r="D1749" s="128" t="s">
        <v>3670</v>
      </c>
      <c r="E1749" s="129">
        <v>46256</v>
      </c>
      <c r="F1749" s="128" t="s">
        <v>2190</v>
      </c>
      <c r="G1749" s="128" t="s">
        <v>2191</v>
      </c>
      <c r="H1749" s="128" t="s">
        <v>97</v>
      </c>
      <c r="I1749" s="136"/>
      <c r="J1749" s="138" t="s">
        <v>1146</v>
      </c>
      <c r="K1749" s="136"/>
      <c r="L1749" s="146">
        <v>46255</v>
      </c>
      <c r="M1749" s="136"/>
      <c r="N1749" s="281" t="s">
        <v>2962</v>
      </c>
      <c r="O1749" s="146">
        <v>46256</v>
      </c>
      <c r="P1749" s="138">
        <v>0</v>
      </c>
      <c r="Q1749" s="138">
        <v>120</v>
      </c>
      <c r="R1749" s="138">
        <v>12</v>
      </c>
      <c r="S1749" s="138">
        <v>132</v>
      </c>
      <c r="T1749" s="138">
        <v>132</v>
      </c>
      <c r="U1749" s="136"/>
      <c r="V1749" s="136"/>
      <c r="W1749" s="147">
        <v>77</v>
      </c>
      <c r="X1749" s="147">
        <v>76.900000000000006</v>
      </c>
      <c r="Y1749" s="147">
        <v>646800</v>
      </c>
      <c r="Z1749" s="165"/>
      <c r="AA1749" s="169">
        <v>16170</v>
      </c>
      <c r="AB1749" s="169">
        <v>16170</v>
      </c>
      <c r="AC1749" s="169">
        <v>679140</v>
      </c>
      <c r="AD1749" s="493">
        <f t="shared" si="1296"/>
        <v>678460.86</v>
      </c>
      <c r="AE1749" s="147">
        <v>40.19</v>
      </c>
      <c r="AF1749" s="147">
        <v>42</v>
      </c>
      <c r="AG1749" s="147">
        <v>40.08</v>
      </c>
      <c r="AH1749" s="287">
        <v>2.5000000000000001E-3</v>
      </c>
      <c r="AI1749" s="287">
        <v>0.03</v>
      </c>
      <c r="AJ1749" s="287">
        <v>5.6000000000000001E-2</v>
      </c>
      <c r="AK1749" s="318">
        <f t="shared" si="1307"/>
        <v>29568.000000000025</v>
      </c>
      <c r="AL1749" s="467">
        <v>0</v>
      </c>
      <c r="AM1749" s="321">
        <v>0</v>
      </c>
      <c r="AN1749" s="321">
        <v>0</v>
      </c>
      <c r="AO1749" s="318">
        <f t="shared" si="1308"/>
        <v>0</v>
      </c>
      <c r="AP1749" s="467">
        <v>0</v>
      </c>
      <c r="AQ1749" s="318">
        <v>0</v>
      </c>
      <c r="AR1749" s="318">
        <f t="shared" si="1309"/>
        <v>29568.000000000025</v>
      </c>
      <c r="AS1749" s="318">
        <f t="shared" si="1310"/>
        <v>31046</v>
      </c>
      <c r="AT1749" s="321">
        <v>0</v>
      </c>
      <c r="AU1749" s="464"/>
      <c r="AV1749" s="449"/>
      <c r="AW1749" s="318">
        <f t="shared" si="1311"/>
        <v>7700</v>
      </c>
      <c r="AX1749" s="467"/>
      <c r="AY1749" s="318">
        <f t="shared" si="1312"/>
        <v>7700</v>
      </c>
      <c r="AZ1749" s="318">
        <f t="shared" si="1313"/>
        <v>7690.0000000000009</v>
      </c>
      <c r="BA1749" s="318">
        <f t="shared" si="1314"/>
        <v>9.9999999999990905</v>
      </c>
      <c r="BB1749" s="318">
        <f t="shared" si="1315"/>
        <v>15.4</v>
      </c>
      <c r="BC1749" s="318">
        <v>0</v>
      </c>
      <c r="BD1749" s="467"/>
      <c r="BE1749" s="147">
        <v>77</v>
      </c>
      <c r="BF1749" s="321">
        <f t="shared" si="1316"/>
        <v>0.11549999999999999</v>
      </c>
      <c r="BG1749" s="321">
        <f t="shared" si="1317"/>
        <v>76.884500000000003</v>
      </c>
      <c r="BH1749" s="321">
        <f t="shared" si="1318"/>
        <v>76.900000000000006</v>
      </c>
      <c r="BI1749" s="322">
        <f t="shared" si="1319"/>
        <v>9.9999999999994316</v>
      </c>
      <c r="BJ1749" s="322">
        <v>0</v>
      </c>
      <c r="BK1749" s="318">
        <f t="shared" si="1320"/>
        <v>9.9999999999994316</v>
      </c>
      <c r="BL1749" s="449"/>
      <c r="BM1749" s="449" t="str">
        <f t="shared" si="1321"/>
        <v>Unloading no. 1714 Bill No 2026-27/461 ,Deduction For Oil Deduction= 29568 ,Bardana= 0 ,F.M= 0 Brokerage/Rate Difference 0 ,Shortage = 0 ,Greenish= 0 ,Moisture= 0</v>
      </c>
      <c r="BN1749" s="449"/>
      <c r="BO1749" s="449" t="str">
        <f t="shared" si="1322"/>
        <v xml:space="preserve"> Party Condition 42  ,F.M% 0.25 ,Greenish 3 ,Moisture 5.6 ,Shortage in KG= 0  ,Oil% 40.08</v>
      </c>
      <c r="BP1749" s="464">
        <f t="shared" si="1323"/>
        <v>8026.4239271781526</v>
      </c>
      <c r="BQ1749" s="449"/>
      <c r="BR1749" s="449"/>
      <c r="BS1749" s="449"/>
      <c r="BT1749" s="449"/>
      <c r="BU1749" s="449"/>
      <c r="BV1749" s="449"/>
      <c r="BW1749" s="449"/>
      <c r="BX1749" s="147">
        <v>0</v>
      </c>
      <c r="BY1749" s="147">
        <v>0</v>
      </c>
    </row>
    <row r="1750" spans="1:77" ht="14.1" hidden="1" customHeight="1" x14ac:dyDescent="0.3">
      <c r="A1750" s="128" t="s">
        <v>3651</v>
      </c>
      <c r="B1750" s="146">
        <v>46252</v>
      </c>
      <c r="C1750" s="138">
        <v>1715</v>
      </c>
      <c r="D1750" s="128" t="s">
        <v>3671</v>
      </c>
      <c r="E1750" s="129">
        <v>46256</v>
      </c>
      <c r="F1750" s="128" t="s">
        <v>1575</v>
      </c>
      <c r="G1750" s="128" t="s">
        <v>1576</v>
      </c>
      <c r="H1750" s="128" t="s">
        <v>103</v>
      </c>
      <c r="I1750" s="136"/>
      <c r="J1750" s="138" t="s">
        <v>1146</v>
      </c>
      <c r="K1750" s="136"/>
      <c r="L1750" s="146">
        <v>46252</v>
      </c>
      <c r="M1750" s="136"/>
      <c r="N1750" s="281" t="s">
        <v>3701</v>
      </c>
      <c r="O1750" s="146">
        <v>46256</v>
      </c>
      <c r="P1750" s="138">
        <v>0</v>
      </c>
      <c r="Q1750" s="138">
        <v>136</v>
      </c>
      <c r="R1750" s="138">
        <v>30</v>
      </c>
      <c r="S1750" s="138">
        <v>166</v>
      </c>
      <c r="T1750" s="138">
        <v>166</v>
      </c>
      <c r="U1750" s="136"/>
      <c r="V1750" s="136"/>
      <c r="W1750" s="147">
        <v>83.5</v>
      </c>
      <c r="X1750" s="147">
        <v>83.6</v>
      </c>
      <c r="Y1750" s="147">
        <v>703153.5</v>
      </c>
      <c r="Z1750" s="165" t="s">
        <v>3719</v>
      </c>
      <c r="AA1750" s="169">
        <v>17578.84</v>
      </c>
      <c r="AB1750" s="169">
        <v>17578.84</v>
      </c>
      <c r="AC1750" s="169">
        <v>738311.18</v>
      </c>
      <c r="AD1750" s="493">
        <f t="shared" si="1296"/>
        <v>737572.86882000009</v>
      </c>
      <c r="AE1750" s="147">
        <v>39.51</v>
      </c>
      <c r="AF1750" s="147">
        <v>42</v>
      </c>
      <c r="AG1750" s="147">
        <v>39.5</v>
      </c>
      <c r="AH1750" s="287">
        <v>2.8999999999999998E-3</v>
      </c>
      <c r="AI1750" s="287">
        <v>0.03</v>
      </c>
      <c r="AJ1750" s="287">
        <v>5.8999999999999997E-2</v>
      </c>
      <c r="AK1750" s="318">
        <f t="shared" si="1307"/>
        <v>41854.375</v>
      </c>
      <c r="AL1750" s="467">
        <v>0</v>
      </c>
      <c r="AM1750" s="321">
        <v>0</v>
      </c>
      <c r="AN1750" s="321">
        <v>0</v>
      </c>
      <c r="AO1750" s="318">
        <f t="shared" si="1308"/>
        <v>0</v>
      </c>
      <c r="AP1750" s="467">
        <v>0</v>
      </c>
      <c r="AQ1750" s="318">
        <v>0</v>
      </c>
      <c r="AR1750" s="318">
        <f t="shared" si="1309"/>
        <v>41854.375</v>
      </c>
      <c r="AS1750" s="318">
        <f t="shared" si="1310"/>
        <v>43947</v>
      </c>
      <c r="AT1750" s="321">
        <v>0</v>
      </c>
      <c r="AU1750" s="464"/>
      <c r="AV1750" s="449"/>
      <c r="AW1750" s="318">
        <f t="shared" si="1311"/>
        <v>8350</v>
      </c>
      <c r="AX1750" s="467"/>
      <c r="AY1750" s="318">
        <f t="shared" si="1312"/>
        <v>8350</v>
      </c>
      <c r="AZ1750" s="318">
        <f t="shared" si="1313"/>
        <v>8360</v>
      </c>
      <c r="BA1750" s="318">
        <f t="shared" si="1314"/>
        <v>-10</v>
      </c>
      <c r="BB1750" s="318">
        <f t="shared" si="1315"/>
        <v>16.7</v>
      </c>
      <c r="BC1750" s="318">
        <v>0</v>
      </c>
      <c r="BD1750" s="467"/>
      <c r="BE1750" s="147">
        <v>83.5</v>
      </c>
      <c r="BF1750" s="321">
        <f t="shared" si="1316"/>
        <v>0.12525</v>
      </c>
      <c r="BG1750" s="321">
        <f t="shared" si="1317"/>
        <v>83.374750000000006</v>
      </c>
      <c r="BH1750" s="321">
        <f t="shared" si="1318"/>
        <v>83.6</v>
      </c>
      <c r="BI1750" s="322">
        <f t="shared" si="1319"/>
        <v>-9.9999999999994316</v>
      </c>
      <c r="BJ1750" s="322">
        <v>0</v>
      </c>
      <c r="BK1750" s="318">
        <f t="shared" si="1320"/>
        <v>-9.9999999999994316</v>
      </c>
      <c r="BL1750" s="449"/>
      <c r="BM1750" s="449" t="str">
        <f t="shared" si="1321"/>
        <v>Unloading no. 1715 Bill No 2026-27/00184 ,Deduction For Oil Deduction= 41854.375 ,Bardana= 0 ,F.M= 0 Brokerage/Rate Difference 0 ,Shortage = 0 ,Greenish= 0 ,Moisture= 0</v>
      </c>
      <c r="BN1750" s="449"/>
      <c r="BO1750" s="449" t="str">
        <f t="shared" si="1322"/>
        <v xml:space="preserve"> Party Condition 42  ,F.M% 0.29 ,Greenish 3 ,Moisture 5.9 ,Shortage in KG= 0  ,Oil% 39.5</v>
      </c>
      <c r="BP1750" s="464">
        <f t="shared" si="1323"/>
        <v>7910.2766148325363</v>
      </c>
      <c r="BQ1750" s="449"/>
      <c r="BR1750" s="449"/>
      <c r="BS1750" s="449"/>
      <c r="BT1750" s="449"/>
      <c r="BU1750" s="449"/>
      <c r="BV1750" s="449"/>
      <c r="BW1750" s="449"/>
      <c r="BX1750" s="147">
        <v>0</v>
      </c>
      <c r="BY1750" s="147">
        <v>0</v>
      </c>
    </row>
    <row r="1751" spans="1:77" ht="14.1" hidden="1" customHeight="1" x14ac:dyDescent="0.3">
      <c r="A1751" s="128" t="s">
        <v>3651</v>
      </c>
      <c r="B1751" s="146">
        <v>46252</v>
      </c>
      <c r="C1751" s="138">
        <v>1716</v>
      </c>
      <c r="D1751" s="128" t="s">
        <v>3672</v>
      </c>
      <c r="E1751" s="129">
        <v>46256</v>
      </c>
      <c r="F1751" s="128" t="s">
        <v>1575</v>
      </c>
      <c r="G1751" s="128" t="s">
        <v>1576</v>
      </c>
      <c r="H1751" s="128" t="s">
        <v>103</v>
      </c>
      <c r="I1751" s="136"/>
      <c r="J1751" s="138" t="s">
        <v>1146</v>
      </c>
      <c r="K1751" s="136"/>
      <c r="L1751" s="146">
        <v>46252</v>
      </c>
      <c r="M1751" s="136"/>
      <c r="N1751" s="281" t="s">
        <v>3702</v>
      </c>
      <c r="O1751" s="146">
        <v>46256</v>
      </c>
      <c r="P1751" s="138">
        <v>0</v>
      </c>
      <c r="Q1751" s="138">
        <v>146</v>
      </c>
      <c r="R1751" s="138">
        <v>20</v>
      </c>
      <c r="S1751" s="138">
        <v>166</v>
      </c>
      <c r="T1751" s="138">
        <v>166</v>
      </c>
      <c r="U1751" s="136"/>
      <c r="V1751" s="136"/>
      <c r="W1751" s="147">
        <v>83.1</v>
      </c>
      <c r="X1751" s="147">
        <v>83.2</v>
      </c>
      <c r="Y1751" s="147">
        <v>699785.1</v>
      </c>
      <c r="Z1751" s="165" t="s">
        <v>3719</v>
      </c>
      <c r="AA1751" s="169">
        <v>17494.63</v>
      </c>
      <c r="AB1751" s="169">
        <v>17494.63</v>
      </c>
      <c r="AC1751" s="169">
        <v>734774.36</v>
      </c>
      <c r="AD1751" s="493">
        <f t="shared" si="1296"/>
        <v>734039.58563999995</v>
      </c>
      <c r="AE1751" s="147">
        <v>39.92</v>
      </c>
      <c r="AF1751" s="147">
        <v>42</v>
      </c>
      <c r="AG1751" s="147">
        <v>39.82</v>
      </c>
      <c r="AH1751" s="287">
        <v>2.5000000000000001E-3</v>
      </c>
      <c r="AI1751" s="287">
        <v>3.1E-2</v>
      </c>
      <c r="AJ1751" s="287">
        <v>0.06</v>
      </c>
      <c r="AK1751" s="318">
        <f t="shared" si="1307"/>
        <v>36322.178999999996</v>
      </c>
      <c r="AL1751" s="467">
        <v>0</v>
      </c>
      <c r="AM1751" s="321">
        <v>0</v>
      </c>
      <c r="AN1751" s="321">
        <v>0</v>
      </c>
      <c r="AO1751" s="318">
        <f t="shared" si="1308"/>
        <v>0</v>
      </c>
      <c r="AP1751" s="467">
        <v>0</v>
      </c>
      <c r="AQ1751" s="318">
        <v>0</v>
      </c>
      <c r="AR1751" s="318">
        <f t="shared" si="1309"/>
        <v>36322.178999999996</v>
      </c>
      <c r="AS1751" s="318">
        <f t="shared" si="1310"/>
        <v>38138</v>
      </c>
      <c r="AT1751" s="321">
        <v>0</v>
      </c>
      <c r="AU1751" s="464"/>
      <c r="AV1751" s="449"/>
      <c r="AW1751" s="318">
        <f t="shared" si="1311"/>
        <v>8310</v>
      </c>
      <c r="AX1751" s="467"/>
      <c r="AY1751" s="318">
        <f t="shared" si="1312"/>
        <v>8310</v>
      </c>
      <c r="AZ1751" s="318">
        <f t="shared" si="1313"/>
        <v>8320</v>
      </c>
      <c r="BA1751" s="318">
        <f t="shared" si="1314"/>
        <v>-10</v>
      </c>
      <c r="BB1751" s="318">
        <f t="shared" si="1315"/>
        <v>16.62</v>
      </c>
      <c r="BC1751" s="318">
        <v>0</v>
      </c>
      <c r="BD1751" s="467"/>
      <c r="BE1751" s="147">
        <v>83.1</v>
      </c>
      <c r="BF1751" s="321">
        <f t="shared" si="1316"/>
        <v>0.12464999999999998</v>
      </c>
      <c r="BG1751" s="321">
        <f t="shared" si="1317"/>
        <v>82.975349999999992</v>
      </c>
      <c r="BH1751" s="321">
        <f t="shared" si="1318"/>
        <v>83.2</v>
      </c>
      <c r="BI1751" s="322">
        <f t="shared" si="1319"/>
        <v>-10.000000000000853</v>
      </c>
      <c r="BJ1751" s="322">
        <v>0</v>
      </c>
      <c r="BK1751" s="318">
        <f t="shared" si="1320"/>
        <v>-10.000000000000853</v>
      </c>
      <c r="BL1751" s="449"/>
      <c r="BM1751" s="449" t="str">
        <f t="shared" si="1321"/>
        <v>Unloading no. 1716 Bill No 2026-27/00185 ,Deduction For Oil Deduction= 36322.179 ,Bardana= 0 ,F.M= 0 Brokerage/Rate Difference 0 ,Shortage = 0 ,Greenish= 0 ,Moisture= 0</v>
      </c>
      <c r="BN1751" s="449"/>
      <c r="BO1751" s="449" t="str">
        <f t="shared" si="1322"/>
        <v xml:space="preserve"> Party Condition 42  ,F.M% 0.25 ,Greenish 3.1 ,Moisture 6 ,Shortage in KG= 0  ,Oil% 39.82</v>
      </c>
      <c r="BP1751" s="464">
        <f t="shared" si="1323"/>
        <v>7974.3139543269226</v>
      </c>
      <c r="BQ1751" s="449"/>
      <c r="BR1751" s="449"/>
      <c r="BS1751" s="449"/>
      <c r="BT1751" s="449"/>
      <c r="BU1751" s="449"/>
      <c r="BV1751" s="449"/>
      <c r="BW1751" s="449"/>
      <c r="BX1751" s="147">
        <v>0</v>
      </c>
      <c r="BY1751" s="147">
        <v>0</v>
      </c>
    </row>
    <row r="1752" spans="1:77" ht="14.1" hidden="1" customHeight="1" x14ac:dyDescent="0.3">
      <c r="A1752" s="128" t="s">
        <v>3651</v>
      </c>
      <c r="B1752" s="146">
        <v>46252</v>
      </c>
      <c r="C1752" s="138">
        <v>1717</v>
      </c>
      <c r="D1752" s="128" t="s">
        <v>3673</v>
      </c>
      <c r="E1752" s="129">
        <v>46256</v>
      </c>
      <c r="F1752" s="128" t="s">
        <v>1575</v>
      </c>
      <c r="G1752" s="128" t="s">
        <v>1576</v>
      </c>
      <c r="H1752" s="128" t="s">
        <v>103</v>
      </c>
      <c r="I1752" s="136"/>
      <c r="J1752" s="138" t="s">
        <v>1146</v>
      </c>
      <c r="K1752" s="136"/>
      <c r="L1752" s="146">
        <v>46252</v>
      </c>
      <c r="M1752" s="136"/>
      <c r="N1752" s="281" t="s">
        <v>3703</v>
      </c>
      <c r="O1752" s="146">
        <v>46256</v>
      </c>
      <c r="P1752" s="138">
        <v>0</v>
      </c>
      <c r="Q1752" s="138">
        <v>150</v>
      </c>
      <c r="R1752" s="138">
        <v>40</v>
      </c>
      <c r="S1752" s="138">
        <v>190</v>
      </c>
      <c r="T1752" s="138">
        <v>190</v>
      </c>
      <c r="U1752" s="136"/>
      <c r="V1752" s="136"/>
      <c r="W1752" s="147">
        <v>95.1</v>
      </c>
      <c r="X1752" s="147">
        <v>95.1</v>
      </c>
      <c r="Y1752" s="147">
        <v>800837.1</v>
      </c>
      <c r="Z1752" s="165" t="s">
        <v>3719</v>
      </c>
      <c r="AA1752" s="169">
        <v>20020.93</v>
      </c>
      <c r="AB1752" s="169">
        <v>20020.93</v>
      </c>
      <c r="AC1752" s="169">
        <v>840878.96</v>
      </c>
      <c r="AD1752" s="493">
        <f t="shared" si="1296"/>
        <v>840038.08103999996</v>
      </c>
      <c r="AE1752" s="147">
        <v>40.25</v>
      </c>
      <c r="AF1752" s="147">
        <v>42</v>
      </c>
      <c r="AG1752" s="147">
        <v>40.04</v>
      </c>
      <c r="AH1752" s="287">
        <v>2.8E-3</v>
      </c>
      <c r="AI1752" s="287">
        <v>3.04E-2</v>
      </c>
      <c r="AJ1752" s="287">
        <v>5.7000000000000002E-2</v>
      </c>
      <c r="AK1752" s="318">
        <f t="shared" si="1307"/>
        <v>37372.398000000016</v>
      </c>
      <c r="AL1752" s="467">
        <v>0</v>
      </c>
      <c r="AM1752" s="321">
        <v>0</v>
      </c>
      <c r="AN1752" s="321">
        <v>0</v>
      </c>
      <c r="AO1752" s="318">
        <f t="shared" si="1308"/>
        <v>0</v>
      </c>
      <c r="AP1752" s="467">
        <v>0</v>
      </c>
      <c r="AQ1752" s="318">
        <v>0</v>
      </c>
      <c r="AR1752" s="318">
        <f t="shared" si="1309"/>
        <v>37372.398000000016</v>
      </c>
      <c r="AS1752" s="318">
        <f t="shared" si="1310"/>
        <v>39241</v>
      </c>
      <c r="AT1752" s="321">
        <v>0</v>
      </c>
      <c r="AU1752" s="464"/>
      <c r="AV1752" s="449"/>
      <c r="AW1752" s="318">
        <f t="shared" si="1311"/>
        <v>9510</v>
      </c>
      <c r="AX1752" s="467"/>
      <c r="AY1752" s="318">
        <f t="shared" si="1312"/>
        <v>9510</v>
      </c>
      <c r="AZ1752" s="318">
        <f t="shared" si="1313"/>
        <v>9510</v>
      </c>
      <c r="BA1752" s="318">
        <f t="shared" si="1314"/>
        <v>0</v>
      </c>
      <c r="BB1752" s="318">
        <f t="shared" si="1315"/>
        <v>19.02</v>
      </c>
      <c r="BC1752" s="318">
        <v>0</v>
      </c>
      <c r="BD1752" s="467"/>
      <c r="BE1752" s="147">
        <v>95.1</v>
      </c>
      <c r="BF1752" s="321">
        <f t="shared" si="1316"/>
        <v>0.14265</v>
      </c>
      <c r="BG1752" s="321">
        <f t="shared" si="1317"/>
        <v>94.957349999999991</v>
      </c>
      <c r="BH1752" s="321">
        <f t="shared" si="1318"/>
        <v>95.1</v>
      </c>
      <c r="BI1752" s="322">
        <f t="shared" si="1319"/>
        <v>0</v>
      </c>
      <c r="BJ1752" s="322">
        <v>0</v>
      </c>
      <c r="BK1752" s="318">
        <f t="shared" si="1320"/>
        <v>0</v>
      </c>
      <c r="BL1752" s="449"/>
      <c r="BM1752" s="449" t="str">
        <f t="shared" si="1321"/>
        <v>Unloading no. 1717 Bill No 2026-27/00186 ,Deduction For Oil Deduction= 37372.398 ,Bardana= 0 ,F.M= 0 Brokerage/Rate Difference 0 ,Shortage = 0 ,Greenish= 0 ,Moisture= 0</v>
      </c>
      <c r="BN1752" s="449"/>
      <c r="BO1752" s="449" t="str">
        <f t="shared" si="1322"/>
        <v xml:space="preserve"> Party Condition 42  ,F.M% 0.28 ,Greenish 3.04 ,Moisture 5.7 ,Shortage in KG= 0  ,Oil% 40.04</v>
      </c>
      <c r="BP1752" s="464">
        <f t="shared" si="1323"/>
        <v>8028.0199999999995</v>
      </c>
      <c r="BQ1752" s="449"/>
      <c r="BR1752" s="449"/>
      <c r="BS1752" s="449"/>
      <c r="BT1752" s="449"/>
      <c r="BU1752" s="449"/>
      <c r="BV1752" s="449"/>
      <c r="BW1752" s="449"/>
      <c r="BX1752" s="147">
        <v>0</v>
      </c>
      <c r="BY1752" s="147">
        <v>0</v>
      </c>
    </row>
    <row r="1753" spans="1:77" ht="14.1" hidden="1" customHeight="1" x14ac:dyDescent="0.3">
      <c r="A1753" s="128" t="s">
        <v>3621</v>
      </c>
      <c r="B1753" s="146">
        <v>46252</v>
      </c>
      <c r="C1753" s="138">
        <v>1718</v>
      </c>
      <c r="D1753" s="128" t="s">
        <v>3674</v>
      </c>
      <c r="E1753" s="129">
        <v>46256</v>
      </c>
      <c r="F1753" s="128" t="s">
        <v>3636</v>
      </c>
      <c r="G1753" s="128" t="s">
        <v>3637</v>
      </c>
      <c r="H1753" s="128" t="s">
        <v>2081</v>
      </c>
      <c r="I1753" s="136"/>
      <c r="J1753" s="138" t="s">
        <v>1146</v>
      </c>
      <c r="K1753" s="136"/>
      <c r="L1753" s="146">
        <v>46252</v>
      </c>
      <c r="M1753" s="136"/>
      <c r="N1753" s="281" t="s">
        <v>3704</v>
      </c>
      <c r="O1753" s="146">
        <v>46256</v>
      </c>
      <c r="P1753" s="138">
        <v>0</v>
      </c>
      <c r="Q1753" s="138">
        <v>150</v>
      </c>
      <c r="R1753" s="138">
        <v>20</v>
      </c>
      <c r="S1753" s="138">
        <v>170</v>
      </c>
      <c r="T1753" s="138">
        <v>170</v>
      </c>
      <c r="U1753" s="136"/>
      <c r="V1753" s="136"/>
      <c r="W1753" s="147">
        <v>102.3</v>
      </c>
      <c r="X1753" s="147">
        <v>102.1</v>
      </c>
      <c r="Y1753" s="147">
        <v>823515</v>
      </c>
      <c r="Z1753" s="165"/>
      <c r="AA1753" s="169">
        <v>20587.88</v>
      </c>
      <c r="AB1753" s="169">
        <v>20587.88</v>
      </c>
      <c r="AC1753" s="169">
        <v>864690.75</v>
      </c>
      <c r="AD1753" s="493">
        <f t="shared" si="1296"/>
        <v>863826.05925000005</v>
      </c>
      <c r="AE1753" s="147">
        <v>39.92</v>
      </c>
      <c r="AF1753" s="147">
        <v>39.85</v>
      </c>
      <c r="AG1753" s="147">
        <v>39.880000000000003</v>
      </c>
      <c r="AH1753" s="395">
        <v>1.6999999999999999E-3</v>
      </c>
      <c r="AI1753" s="287">
        <v>2.9000000000000001E-2</v>
      </c>
      <c r="AJ1753" s="287">
        <v>5.3999999999999999E-2</v>
      </c>
      <c r="AK1753" s="318">
        <f t="shared" si="1307"/>
        <v>0</v>
      </c>
      <c r="AL1753" s="467">
        <v>0</v>
      </c>
      <c r="AM1753" s="321">
        <v>0</v>
      </c>
      <c r="AN1753" s="321">
        <v>0</v>
      </c>
      <c r="AO1753" s="318">
        <f t="shared" si="1308"/>
        <v>0</v>
      </c>
      <c r="AP1753" s="467">
        <v>0</v>
      </c>
      <c r="AQ1753" s="318">
        <v>0</v>
      </c>
      <c r="AR1753" s="318">
        <f t="shared" si="1309"/>
        <v>0</v>
      </c>
      <c r="AS1753" s="318">
        <f t="shared" si="1310"/>
        <v>0</v>
      </c>
      <c r="AT1753" s="321">
        <v>0</v>
      </c>
      <c r="AU1753" s="464"/>
      <c r="AV1753" s="449"/>
      <c r="AW1753" s="318">
        <f t="shared" si="1311"/>
        <v>10230</v>
      </c>
      <c r="AX1753" s="467"/>
      <c r="AY1753" s="318">
        <f t="shared" si="1312"/>
        <v>10230</v>
      </c>
      <c r="AZ1753" s="318">
        <f t="shared" si="1313"/>
        <v>10210</v>
      </c>
      <c r="BA1753" s="318">
        <f t="shared" si="1314"/>
        <v>20</v>
      </c>
      <c r="BB1753" s="318">
        <f t="shared" si="1315"/>
        <v>20.46</v>
      </c>
      <c r="BC1753" s="318">
        <v>0</v>
      </c>
      <c r="BD1753" s="467"/>
      <c r="BE1753" s="138">
        <v>102.3</v>
      </c>
      <c r="BF1753" s="321">
        <f t="shared" si="1316"/>
        <v>0.15344999999999998</v>
      </c>
      <c r="BG1753" s="321">
        <f t="shared" si="1317"/>
        <v>102.14654999999999</v>
      </c>
      <c r="BH1753" s="321">
        <f t="shared" si="1318"/>
        <v>102.1</v>
      </c>
      <c r="BI1753" s="322">
        <f t="shared" si="1319"/>
        <v>20.000000000000284</v>
      </c>
      <c r="BJ1753" s="322">
        <v>0</v>
      </c>
      <c r="BK1753" s="318">
        <f t="shared" si="1320"/>
        <v>20.000000000000284</v>
      </c>
      <c r="BL1753" s="449"/>
      <c r="BM1753" s="449" t="str">
        <f t="shared" si="1321"/>
        <v>Unloading no. 1718 Bill No RJT778/2026-27 ,Deduction For Oil Deduction= 0 ,Bardana= 0 ,F.M= 0 Brokerage/Rate Difference 0 ,Shortage = 0 ,Greenish= 0 ,Moisture= 0</v>
      </c>
      <c r="BN1753" s="449"/>
      <c r="BO1753" s="449" t="str">
        <f t="shared" si="1322"/>
        <v xml:space="preserve"> Party Condition 39.85  ,F.M% 0.17 ,Greenish 2.9 ,Moisture 5.4 ,Shortage in KG= 0  ,Oil% 39.88</v>
      </c>
      <c r="BP1753" s="464">
        <f t="shared" si="1323"/>
        <v>8065.7688540646432</v>
      </c>
      <c r="BQ1753" s="449"/>
      <c r="BR1753" s="449"/>
      <c r="BS1753" s="449"/>
      <c r="BT1753" s="449"/>
      <c r="BU1753" s="449"/>
      <c r="BV1753" s="449"/>
      <c r="BW1753" s="449"/>
      <c r="BX1753" s="147">
        <v>0</v>
      </c>
      <c r="BY1753" s="147">
        <v>0</v>
      </c>
    </row>
    <row r="1754" spans="1:77" ht="14.1" hidden="1" customHeight="1" x14ac:dyDescent="0.3">
      <c r="A1754" s="128" t="s">
        <v>3621</v>
      </c>
      <c r="B1754" s="146">
        <v>46252</v>
      </c>
      <c r="C1754" s="138">
        <v>1719</v>
      </c>
      <c r="D1754" s="128" t="s">
        <v>3675</v>
      </c>
      <c r="E1754" s="129">
        <v>46256</v>
      </c>
      <c r="F1754" s="128" t="s">
        <v>3636</v>
      </c>
      <c r="G1754" s="128" t="s">
        <v>3637</v>
      </c>
      <c r="H1754" s="128" t="s">
        <v>2081</v>
      </c>
      <c r="I1754" s="136"/>
      <c r="J1754" s="138" t="s">
        <v>1146</v>
      </c>
      <c r="K1754" s="136"/>
      <c r="L1754" s="146">
        <v>46252</v>
      </c>
      <c r="M1754" s="136"/>
      <c r="N1754" s="281" t="s">
        <v>3705</v>
      </c>
      <c r="O1754" s="146">
        <v>46256</v>
      </c>
      <c r="P1754" s="138">
        <v>0</v>
      </c>
      <c r="Q1754" s="138">
        <v>140</v>
      </c>
      <c r="R1754" s="138">
        <v>30</v>
      </c>
      <c r="S1754" s="138">
        <v>170</v>
      </c>
      <c r="T1754" s="138">
        <v>170</v>
      </c>
      <c r="U1754" s="136"/>
      <c r="V1754" s="136"/>
      <c r="W1754" s="147">
        <v>101.4</v>
      </c>
      <c r="X1754" s="147">
        <v>101.1</v>
      </c>
      <c r="Y1754" s="147">
        <v>816270</v>
      </c>
      <c r="Z1754" s="165"/>
      <c r="AA1754" s="169">
        <v>20406.75</v>
      </c>
      <c r="AB1754" s="169">
        <v>20406.75</v>
      </c>
      <c r="AC1754" s="169">
        <v>857083.5</v>
      </c>
      <c r="AD1754" s="493">
        <f t="shared" si="1296"/>
        <v>856226.41650000005</v>
      </c>
      <c r="AE1754" s="178">
        <v>40.299999999999997</v>
      </c>
      <c r="AF1754" s="178">
        <v>39.85</v>
      </c>
      <c r="AG1754" s="178">
        <v>40.29</v>
      </c>
      <c r="AH1754" s="395">
        <v>2.3E-3</v>
      </c>
      <c r="AI1754" s="287">
        <v>2.92E-2</v>
      </c>
      <c r="AJ1754" s="287">
        <v>0.05</v>
      </c>
      <c r="AK1754" s="318">
        <f t="shared" si="1307"/>
        <v>0</v>
      </c>
      <c r="AL1754" s="467">
        <v>0</v>
      </c>
      <c r="AM1754" s="321">
        <v>0</v>
      </c>
      <c r="AN1754" s="321">
        <v>0</v>
      </c>
      <c r="AO1754" s="318">
        <f t="shared" si="1308"/>
        <v>0</v>
      </c>
      <c r="AP1754" s="467">
        <v>0</v>
      </c>
      <c r="AQ1754" s="318">
        <v>0</v>
      </c>
      <c r="AR1754" s="318">
        <f t="shared" si="1309"/>
        <v>0</v>
      </c>
      <c r="AS1754" s="318">
        <f t="shared" si="1310"/>
        <v>0</v>
      </c>
      <c r="AT1754" s="321">
        <v>0</v>
      </c>
      <c r="AU1754" s="464"/>
      <c r="AV1754" s="449"/>
      <c r="AW1754" s="318">
        <f t="shared" si="1311"/>
        <v>10140</v>
      </c>
      <c r="AX1754" s="467"/>
      <c r="AY1754" s="318">
        <f t="shared" si="1312"/>
        <v>10140</v>
      </c>
      <c r="AZ1754" s="318">
        <f t="shared" si="1313"/>
        <v>10110</v>
      </c>
      <c r="BA1754" s="318">
        <f t="shared" si="1314"/>
        <v>30</v>
      </c>
      <c r="BB1754" s="318">
        <f t="shared" si="1315"/>
        <v>20.28</v>
      </c>
      <c r="BC1754" s="318">
        <v>0</v>
      </c>
      <c r="BD1754" s="467"/>
      <c r="BE1754" s="138">
        <v>101.4</v>
      </c>
      <c r="BF1754" s="321">
        <f t="shared" si="1316"/>
        <v>0.15210000000000001</v>
      </c>
      <c r="BG1754" s="321">
        <f t="shared" si="1317"/>
        <v>101.2479</v>
      </c>
      <c r="BH1754" s="321">
        <f t="shared" si="1318"/>
        <v>101.1</v>
      </c>
      <c r="BI1754" s="322">
        <f t="shared" si="1319"/>
        <v>30.000000000001137</v>
      </c>
      <c r="BJ1754" s="322">
        <v>0</v>
      </c>
      <c r="BK1754" s="318">
        <f t="shared" si="1320"/>
        <v>30.000000000001137</v>
      </c>
      <c r="BL1754" s="449"/>
      <c r="BM1754" s="449" t="str">
        <f t="shared" si="1321"/>
        <v>Unloading no. 1719 Bill No RJT779/2026-27 ,Deduction For Oil Deduction= 0 ,Bardana= 0 ,F.M= 0 Brokerage/Rate Difference 0 ,Shortage = 0 ,Greenish= 0 ,Moisture= 0</v>
      </c>
      <c r="BN1754" s="449"/>
      <c r="BO1754" s="449" t="str">
        <f t="shared" si="1322"/>
        <v xml:space="preserve"> Party Condition 39.85  ,F.M% 0.23 ,Greenish 2.92 ,Moisture 5 ,Shortage in KG= 0  ,Oil% 40.29</v>
      </c>
      <c r="BP1754" s="464">
        <f t="shared" si="1323"/>
        <v>8073.8872403560836</v>
      </c>
      <c r="BQ1754" s="449"/>
      <c r="BR1754" s="449"/>
      <c r="BS1754" s="449"/>
      <c r="BT1754" s="449"/>
      <c r="BU1754" s="449"/>
      <c r="BV1754" s="449"/>
      <c r="BW1754" s="449"/>
      <c r="BX1754" s="147">
        <v>0</v>
      </c>
      <c r="BY1754" s="147">
        <v>0</v>
      </c>
    </row>
    <row r="1755" spans="1:77" ht="14.1" hidden="1" customHeight="1" x14ac:dyDescent="0.3">
      <c r="A1755" s="128" t="s">
        <v>3621</v>
      </c>
      <c r="B1755" s="146">
        <v>46252</v>
      </c>
      <c r="C1755" s="138">
        <v>1720</v>
      </c>
      <c r="D1755" s="128" t="s">
        <v>3676</v>
      </c>
      <c r="E1755" s="129">
        <v>46257</v>
      </c>
      <c r="F1755" s="128" t="s">
        <v>3636</v>
      </c>
      <c r="G1755" s="128" t="s">
        <v>3637</v>
      </c>
      <c r="H1755" s="128" t="s">
        <v>2081</v>
      </c>
      <c r="I1755" s="136"/>
      <c r="J1755" s="138" t="s">
        <v>1146</v>
      </c>
      <c r="K1755" s="136"/>
      <c r="L1755" s="146">
        <v>46252</v>
      </c>
      <c r="M1755" s="136"/>
      <c r="N1755" s="281" t="s">
        <v>3706</v>
      </c>
      <c r="O1755" s="146">
        <v>46256</v>
      </c>
      <c r="P1755" s="138">
        <v>0</v>
      </c>
      <c r="Q1755" s="138">
        <v>110</v>
      </c>
      <c r="R1755" s="138">
        <v>60</v>
      </c>
      <c r="S1755" s="138">
        <v>170</v>
      </c>
      <c r="T1755" s="138">
        <v>170</v>
      </c>
      <c r="U1755" s="136"/>
      <c r="V1755" s="136"/>
      <c r="W1755" s="147">
        <v>102</v>
      </c>
      <c r="X1755" s="147">
        <v>101.9</v>
      </c>
      <c r="Y1755" s="147">
        <v>821100</v>
      </c>
      <c r="Z1755" s="165"/>
      <c r="AA1755" s="169">
        <v>20527.5</v>
      </c>
      <c r="AB1755" s="169">
        <v>20527.5</v>
      </c>
      <c r="AC1755" s="169">
        <v>862155</v>
      </c>
      <c r="AD1755" s="493">
        <f t="shared" si="1296"/>
        <v>861292.84499999997</v>
      </c>
      <c r="AE1755" s="147">
        <v>39.700000000000003</v>
      </c>
      <c r="AF1755" s="147">
        <v>39.85</v>
      </c>
      <c r="AG1755" s="147">
        <v>39.68</v>
      </c>
      <c r="AH1755" s="395">
        <v>1.8E-3</v>
      </c>
      <c r="AI1755" s="287">
        <v>2.8799999999999999E-2</v>
      </c>
      <c r="AJ1755" s="287">
        <v>5.2999999999999999E-2</v>
      </c>
      <c r="AK1755" s="318">
        <f t="shared" si="1307"/>
        <v>3502.8105395232474</v>
      </c>
      <c r="AL1755" s="467">
        <v>0</v>
      </c>
      <c r="AM1755" s="321">
        <v>0</v>
      </c>
      <c r="AN1755" s="321">
        <v>0</v>
      </c>
      <c r="AO1755" s="318">
        <f t="shared" si="1308"/>
        <v>0</v>
      </c>
      <c r="AP1755" s="467">
        <v>0</v>
      </c>
      <c r="AQ1755" s="318">
        <v>0</v>
      </c>
      <c r="AR1755" s="318">
        <f t="shared" si="1309"/>
        <v>3502.8105395232474</v>
      </c>
      <c r="AS1755" s="318">
        <f t="shared" si="1310"/>
        <v>3678</v>
      </c>
      <c r="AT1755" s="321">
        <v>0</v>
      </c>
      <c r="AU1755" s="464"/>
      <c r="AV1755" s="449"/>
      <c r="AW1755" s="318">
        <f t="shared" si="1311"/>
        <v>10200</v>
      </c>
      <c r="AX1755" s="467"/>
      <c r="AY1755" s="318">
        <f t="shared" si="1312"/>
        <v>10200</v>
      </c>
      <c r="AZ1755" s="318">
        <f t="shared" si="1313"/>
        <v>10190</v>
      </c>
      <c r="BA1755" s="318">
        <f t="shared" si="1314"/>
        <v>10</v>
      </c>
      <c r="BB1755" s="318">
        <f t="shared" si="1315"/>
        <v>20.399999999999999</v>
      </c>
      <c r="BC1755" s="318">
        <v>0</v>
      </c>
      <c r="BD1755" s="467"/>
      <c r="BE1755" s="138">
        <v>102</v>
      </c>
      <c r="BF1755" s="321">
        <f t="shared" si="1316"/>
        <v>0.153</v>
      </c>
      <c r="BG1755" s="321">
        <f t="shared" si="1317"/>
        <v>101.84699999999999</v>
      </c>
      <c r="BH1755" s="321">
        <f t="shared" si="1318"/>
        <v>101.9</v>
      </c>
      <c r="BI1755" s="322">
        <f t="shared" si="1319"/>
        <v>9.9999999999994316</v>
      </c>
      <c r="BJ1755" s="322">
        <v>0</v>
      </c>
      <c r="BK1755" s="318">
        <f t="shared" si="1320"/>
        <v>9.9999999999994316</v>
      </c>
      <c r="BL1755" s="449"/>
      <c r="BM1755" s="449" t="str">
        <f t="shared" si="1321"/>
        <v>Unloading no. 1720 Bill No RJT781/2026-27 ,Deduction For Oil Deduction= 3502.81053952325 ,Bardana= 0 ,F.M= 0 Brokerage/Rate Difference 0 ,Shortage = 0 ,Greenish= 0 ,Moisture= 0</v>
      </c>
      <c r="BN1755" s="449"/>
      <c r="BO1755" s="449" t="str">
        <f t="shared" si="1322"/>
        <v xml:space="preserve"> Party Condition 39.85  ,F.M% 0.18 ,Greenish 2.88 ,Moisture 5.3 ,Shortage in KG= 0  ,Oil% 39.68</v>
      </c>
      <c r="BP1755" s="464">
        <f t="shared" si="1323"/>
        <v>8023.5249211037944</v>
      </c>
      <c r="BQ1755" s="449"/>
      <c r="BR1755" s="449"/>
      <c r="BS1755" s="449"/>
      <c r="BT1755" s="449"/>
      <c r="BU1755" s="449"/>
      <c r="BV1755" s="449"/>
      <c r="BW1755" s="449"/>
      <c r="BX1755" s="147">
        <v>0</v>
      </c>
      <c r="BY1755" s="147">
        <v>0</v>
      </c>
    </row>
    <row r="1756" spans="1:77" ht="14.1" hidden="1" customHeight="1" x14ac:dyDescent="0.3">
      <c r="A1756" s="128" t="s">
        <v>3621</v>
      </c>
      <c r="B1756" s="146">
        <v>46252</v>
      </c>
      <c r="C1756" s="138">
        <v>1721</v>
      </c>
      <c r="D1756" s="128" t="s">
        <v>3677</v>
      </c>
      <c r="E1756" s="129">
        <v>46257</v>
      </c>
      <c r="F1756" s="128" t="s">
        <v>3636</v>
      </c>
      <c r="G1756" s="128" t="s">
        <v>3637</v>
      </c>
      <c r="H1756" s="128" t="s">
        <v>2081</v>
      </c>
      <c r="I1756" s="136"/>
      <c r="J1756" s="138" t="s">
        <v>1146</v>
      </c>
      <c r="K1756" s="136"/>
      <c r="L1756" s="146">
        <v>46252</v>
      </c>
      <c r="M1756" s="136"/>
      <c r="N1756" s="281" t="s">
        <v>3707</v>
      </c>
      <c r="O1756" s="146">
        <v>46256</v>
      </c>
      <c r="P1756" s="138">
        <v>0</v>
      </c>
      <c r="Q1756" s="138">
        <v>120</v>
      </c>
      <c r="R1756" s="138">
        <v>50</v>
      </c>
      <c r="S1756" s="138">
        <v>170</v>
      </c>
      <c r="T1756" s="138">
        <v>170</v>
      </c>
      <c r="U1756" s="136"/>
      <c r="V1756" s="136"/>
      <c r="W1756" s="147">
        <v>101.9</v>
      </c>
      <c r="X1756" s="147">
        <v>101.8</v>
      </c>
      <c r="Y1756" s="147">
        <v>820295</v>
      </c>
      <c r="Z1756" s="165"/>
      <c r="AA1756" s="169">
        <v>20507.38</v>
      </c>
      <c r="AB1756" s="169">
        <v>20507.38</v>
      </c>
      <c r="AC1756" s="169">
        <v>861309.75</v>
      </c>
      <c r="AD1756" s="493">
        <f t="shared" si="1296"/>
        <v>860448.44024999999</v>
      </c>
      <c r="AE1756" s="147">
        <v>40.49</v>
      </c>
      <c r="AF1756" s="147">
        <v>39.85</v>
      </c>
      <c r="AG1756" s="147">
        <v>40.35</v>
      </c>
      <c r="AH1756" s="395">
        <v>2.0999999999999999E-3</v>
      </c>
      <c r="AI1756" s="287">
        <v>2.8400000000000002E-2</v>
      </c>
      <c r="AJ1756" s="287">
        <v>5.5E-2</v>
      </c>
      <c r="AK1756" s="318">
        <f t="shared" si="1307"/>
        <v>0</v>
      </c>
      <c r="AL1756" s="467">
        <v>0</v>
      </c>
      <c r="AM1756" s="321">
        <v>0</v>
      </c>
      <c r="AN1756" s="321">
        <v>0</v>
      </c>
      <c r="AO1756" s="318">
        <f t="shared" si="1308"/>
        <v>0</v>
      </c>
      <c r="AP1756" s="467">
        <v>0</v>
      </c>
      <c r="AQ1756" s="318">
        <v>0</v>
      </c>
      <c r="AR1756" s="318">
        <f t="shared" si="1309"/>
        <v>0</v>
      </c>
      <c r="AS1756" s="318">
        <f t="shared" si="1310"/>
        <v>0</v>
      </c>
      <c r="AT1756" s="321">
        <v>0</v>
      </c>
      <c r="AU1756" s="464"/>
      <c r="AV1756" s="449"/>
      <c r="AW1756" s="318">
        <f t="shared" si="1311"/>
        <v>10190</v>
      </c>
      <c r="AX1756" s="467"/>
      <c r="AY1756" s="318">
        <f t="shared" si="1312"/>
        <v>10190</v>
      </c>
      <c r="AZ1756" s="318">
        <f t="shared" si="1313"/>
        <v>10180</v>
      </c>
      <c r="BA1756" s="318">
        <f t="shared" si="1314"/>
        <v>10</v>
      </c>
      <c r="BB1756" s="318">
        <f t="shared" si="1315"/>
        <v>20.38</v>
      </c>
      <c r="BC1756" s="318">
        <v>0</v>
      </c>
      <c r="BD1756" s="467"/>
      <c r="BE1756" s="138">
        <v>101.9</v>
      </c>
      <c r="BF1756" s="321">
        <f t="shared" si="1316"/>
        <v>0.15285000000000001</v>
      </c>
      <c r="BG1756" s="321">
        <f t="shared" si="1317"/>
        <v>101.74715</v>
      </c>
      <c r="BH1756" s="321">
        <f t="shared" si="1318"/>
        <v>101.8</v>
      </c>
      <c r="BI1756" s="322">
        <f t="shared" si="1319"/>
        <v>10.000000000000853</v>
      </c>
      <c r="BJ1756" s="322">
        <v>0</v>
      </c>
      <c r="BK1756" s="318">
        <f t="shared" si="1320"/>
        <v>10.000000000000853</v>
      </c>
      <c r="BL1756" s="449"/>
      <c r="BM1756" s="449" t="str">
        <f t="shared" si="1321"/>
        <v>Unloading no. 1721 Bill No RJT780/2026-27 ,Deduction For Oil Deduction= 0 ,Bardana= 0 ,F.M= 0 Brokerage/Rate Difference 0 ,Shortage = 0 ,Greenish= 0 ,Moisture= 0</v>
      </c>
      <c r="BN1756" s="449"/>
      <c r="BO1756" s="449" t="str">
        <f t="shared" si="1322"/>
        <v xml:space="preserve"> Party Condition 39.85  ,F.M% 0.21 ,Greenish 2.84 ,Moisture 5.5 ,Shortage in KG= 0  ,Oil% 40.35</v>
      </c>
      <c r="BP1756" s="464">
        <f t="shared" si="1323"/>
        <v>8057.9076620825153</v>
      </c>
      <c r="BQ1756" s="449"/>
      <c r="BR1756" s="449"/>
      <c r="BS1756" s="449"/>
      <c r="BT1756" s="449"/>
      <c r="BU1756" s="449"/>
      <c r="BV1756" s="449"/>
      <c r="BW1756" s="449"/>
      <c r="BX1756" s="147">
        <v>0</v>
      </c>
      <c r="BY1756" s="147">
        <v>0</v>
      </c>
    </row>
    <row r="1757" spans="1:77" ht="14.1" hidden="1" customHeight="1" x14ac:dyDescent="0.3">
      <c r="A1757" s="128" t="s">
        <v>3621</v>
      </c>
      <c r="B1757" s="146">
        <v>46252</v>
      </c>
      <c r="C1757" s="138">
        <v>1722</v>
      </c>
      <c r="D1757" s="128" t="s">
        <v>3678</v>
      </c>
      <c r="E1757" s="129">
        <v>46257</v>
      </c>
      <c r="F1757" s="128" t="s">
        <v>3636</v>
      </c>
      <c r="G1757" s="128" t="s">
        <v>3637</v>
      </c>
      <c r="H1757" s="128" t="s">
        <v>2081</v>
      </c>
      <c r="I1757" s="136"/>
      <c r="J1757" s="138" t="s">
        <v>1146</v>
      </c>
      <c r="K1757" s="136"/>
      <c r="L1757" s="146">
        <v>46252</v>
      </c>
      <c r="M1757" s="136"/>
      <c r="N1757" s="281" t="s">
        <v>3708</v>
      </c>
      <c r="O1757" s="146">
        <v>46256</v>
      </c>
      <c r="P1757" s="138">
        <v>0</v>
      </c>
      <c r="Q1757" s="138">
        <v>110</v>
      </c>
      <c r="R1757" s="138">
        <v>60</v>
      </c>
      <c r="S1757" s="138">
        <v>170</v>
      </c>
      <c r="T1757" s="138">
        <v>170</v>
      </c>
      <c r="U1757" s="136"/>
      <c r="V1757" s="136"/>
      <c r="W1757" s="147">
        <v>102.6</v>
      </c>
      <c r="X1757" s="147">
        <v>102.5</v>
      </c>
      <c r="Y1757" s="147">
        <v>825930</v>
      </c>
      <c r="Z1757" s="165"/>
      <c r="AA1757" s="169">
        <v>20648.25</v>
      </c>
      <c r="AB1757" s="169">
        <v>20648.25</v>
      </c>
      <c r="AC1757" s="169">
        <v>867226.5</v>
      </c>
      <c r="AD1757" s="493">
        <f t="shared" si="1296"/>
        <v>866359.27350000001</v>
      </c>
      <c r="AE1757" s="147">
        <v>40.61</v>
      </c>
      <c r="AF1757" s="147">
        <v>39.85</v>
      </c>
      <c r="AG1757" s="147">
        <v>40.5</v>
      </c>
      <c r="AH1757" s="395">
        <v>2E-3</v>
      </c>
      <c r="AI1757" s="287">
        <v>0.03</v>
      </c>
      <c r="AJ1757" s="287">
        <v>5.2499999999999998E-2</v>
      </c>
      <c r="AK1757" s="318">
        <f t="shared" si="1307"/>
        <v>0</v>
      </c>
      <c r="AL1757" s="467">
        <v>0</v>
      </c>
      <c r="AM1757" s="321">
        <v>0</v>
      </c>
      <c r="AN1757" s="321">
        <v>0</v>
      </c>
      <c r="AO1757" s="318">
        <f t="shared" si="1308"/>
        <v>0</v>
      </c>
      <c r="AP1757" s="467">
        <v>0</v>
      </c>
      <c r="AQ1757" s="318">
        <v>0</v>
      </c>
      <c r="AR1757" s="318">
        <f t="shared" si="1309"/>
        <v>0</v>
      </c>
      <c r="AS1757" s="318">
        <f t="shared" si="1310"/>
        <v>0</v>
      </c>
      <c r="AT1757" s="321">
        <v>0</v>
      </c>
      <c r="AU1757" s="464"/>
      <c r="AV1757" s="449"/>
      <c r="AW1757" s="318">
        <f t="shared" si="1311"/>
        <v>10260</v>
      </c>
      <c r="AX1757" s="467"/>
      <c r="AY1757" s="318">
        <f t="shared" si="1312"/>
        <v>10260</v>
      </c>
      <c r="AZ1757" s="318">
        <f t="shared" si="1313"/>
        <v>10250</v>
      </c>
      <c r="BA1757" s="318">
        <f t="shared" si="1314"/>
        <v>10</v>
      </c>
      <c r="BB1757" s="318">
        <f t="shared" si="1315"/>
        <v>20.52</v>
      </c>
      <c r="BC1757" s="318">
        <v>0</v>
      </c>
      <c r="BD1757" s="467"/>
      <c r="BE1757" s="138">
        <v>102.6</v>
      </c>
      <c r="BF1757" s="321">
        <f t="shared" si="1316"/>
        <v>0.15389999999999998</v>
      </c>
      <c r="BG1757" s="321">
        <f t="shared" si="1317"/>
        <v>102.4461</v>
      </c>
      <c r="BH1757" s="321">
        <f t="shared" si="1318"/>
        <v>102.5</v>
      </c>
      <c r="BI1757" s="322">
        <f t="shared" si="1319"/>
        <v>9.9999999999994316</v>
      </c>
      <c r="BJ1757" s="322">
        <v>0</v>
      </c>
      <c r="BK1757" s="318">
        <f t="shared" si="1320"/>
        <v>9.9999999999994316</v>
      </c>
      <c r="BL1757" s="449"/>
      <c r="BM1757" s="449" t="str">
        <f t="shared" si="1321"/>
        <v>Unloading no. 1722 Bill No RJT783/2026-27 ,Deduction For Oil Deduction= 0 ,Bardana= 0 ,F.M= 0 Brokerage/Rate Difference 0 ,Shortage = 0 ,Greenish= 0 ,Moisture= 0</v>
      </c>
      <c r="BN1757" s="449"/>
      <c r="BO1757" s="449" t="str">
        <f t="shared" si="1322"/>
        <v xml:space="preserve"> Party Condition 39.85  ,F.M% 0.2 ,Greenish 3 ,Moisture 5.25 ,Shortage in KG= 0  ,Oil% 40.5</v>
      </c>
      <c r="BP1757" s="464">
        <f t="shared" si="1323"/>
        <v>8057.8536585365855</v>
      </c>
      <c r="BQ1757" s="449"/>
      <c r="BR1757" s="449"/>
      <c r="BS1757" s="449"/>
      <c r="BT1757" s="449"/>
      <c r="BU1757" s="449"/>
      <c r="BV1757" s="449"/>
      <c r="BW1757" s="449"/>
      <c r="BX1757" s="147">
        <v>0</v>
      </c>
      <c r="BY1757" s="147">
        <v>0</v>
      </c>
    </row>
    <row r="1758" spans="1:77" ht="14.1" hidden="1" customHeight="1" x14ac:dyDescent="0.3">
      <c r="A1758" s="281" t="s">
        <v>3619</v>
      </c>
      <c r="B1758" s="146">
        <v>46254</v>
      </c>
      <c r="C1758" s="138">
        <v>1723</v>
      </c>
      <c r="D1758" s="281" t="s">
        <v>3679</v>
      </c>
      <c r="E1758" s="130">
        <v>46257</v>
      </c>
      <c r="F1758" s="281" t="s">
        <v>1807</v>
      </c>
      <c r="G1758" s="128" t="s">
        <v>1808</v>
      </c>
      <c r="H1758" s="128" t="s">
        <v>100</v>
      </c>
      <c r="I1758" s="136"/>
      <c r="J1758" s="138" t="s">
        <v>1146</v>
      </c>
      <c r="K1758" s="136"/>
      <c r="L1758" s="146">
        <v>46254</v>
      </c>
      <c r="M1758" s="136"/>
      <c r="N1758" s="281" t="s">
        <v>1162</v>
      </c>
      <c r="O1758" s="146">
        <v>46255</v>
      </c>
      <c r="P1758" s="138">
        <v>0</v>
      </c>
      <c r="Q1758" s="138">
        <v>470</v>
      </c>
      <c r="R1758" s="138">
        <v>29</v>
      </c>
      <c r="S1758" s="138">
        <v>499</v>
      </c>
      <c r="T1758" s="138">
        <v>499</v>
      </c>
      <c r="U1758" s="136"/>
      <c r="V1758" s="136"/>
      <c r="W1758" s="147">
        <v>255</v>
      </c>
      <c r="X1758" s="147">
        <v>254.5</v>
      </c>
      <c r="Y1758" s="147">
        <v>2144550</v>
      </c>
      <c r="Z1758" s="165"/>
      <c r="AA1758" s="169">
        <v>53613.75</v>
      </c>
      <c r="AB1758" s="169">
        <v>53613.75</v>
      </c>
      <c r="AC1758" s="169">
        <v>2251777.5</v>
      </c>
      <c r="AD1758" s="493">
        <f t="shared" si="1296"/>
        <v>2249525.7225000001</v>
      </c>
      <c r="AE1758" s="147">
        <v>40.6</v>
      </c>
      <c r="AF1758" s="147">
        <v>42</v>
      </c>
      <c r="AG1758" s="147">
        <v>40.6</v>
      </c>
      <c r="AH1758" s="395">
        <v>2.8E-3</v>
      </c>
      <c r="AI1758" s="287">
        <v>3.49E-2</v>
      </c>
      <c r="AJ1758" s="287">
        <v>5.5E-2</v>
      </c>
      <c r="AK1758" s="318">
        <f t="shared" si="1307"/>
        <v>71484.999999999927</v>
      </c>
      <c r="AL1758" s="467">
        <v>0</v>
      </c>
      <c r="AM1758" s="321">
        <v>0</v>
      </c>
      <c r="AN1758" s="321">
        <v>0</v>
      </c>
      <c r="AO1758" s="318">
        <f t="shared" si="1308"/>
        <v>0</v>
      </c>
      <c r="AP1758" s="467">
        <v>0</v>
      </c>
      <c r="AQ1758" s="318">
        <v>0</v>
      </c>
      <c r="AR1758" s="318">
        <f t="shared" si="1309"/>
        <v>71484.999999999927</v>
      </c>
      <c r="AS1758" s="318">
        <f t="shared" si="1310"/>
        <v>75059</v>
      </c>
      <c r="AT1758" s="321">
        <v>0</v>
      </c>
      <c r="AU1758" s="464"/>
      <c r="AV1758" s="449"/>
      <c r="AW1758" s="318">
        <f t="shared" si="1311"/>
        <v>25500</v>
      </c>
      <c r="AX1758" s="467"/>
      <c r="AY1758" s="318">
        <f t="shared" si="1312"/>
        <v>25500</v>
      </c>
      <c r="AZ1758" s="318">
        <f t="shared" si="1313"/>
        <v>25450</v>
      </c>
      <c r="BA1758" s="318">
        <f t="shared" si="1314"/>
        <v>50</v>
      </c>
      <c r="BB1758" s="318">
        <f t="shared" si="1315"/>
        <v>51</v>
      </c>
      <c r="BC1758" s="318">
        <v>0</v>
      </c>
      <c r="BD1758" s="467"/>
      <c r="BE1758" s="138">
        <v>255</v>
      </c>
      <c r="BF1758" s="321">
        <f t="shared" si="1316"/>
        <v>0.38250000000000001</v>
      </c>
      <c r="BG1758" s="321">
        <f t="shared" si="1317"/>
        <v>254.61750000000001</v>
      </c>
      <c r="BH1758" s="321">
        <f t="shared" si="1318"/>
        <v>254.5</v>
      </c>
      <c r="BI1758" s="322">
        <f t="shared" si="1319"/>
        <v>50</v>
      </c>
      <c r="BJ1758" s="322">
        <v>0</v>
      </c>
      <c r="BK1758" s="318">
        <f t="shared" si="1320"/>
        <v>50</v>
      </c>
      <c r="BL1758" s="449"/>
      <c r="BM1758" s="449" t="str">
        <f t="shared" si="1321"/>
        <v>Unloading no. 1723 Bill No 2026-27/33 ,Deduction For Oil Deduction= 71484.9999999999 ,Bardana= 0 ,F.M= 0 Brokerage/Rate Difference 0 ,Shortage = 0 ,Greenish= 0 ,Moisture= 0</v>
      </c>
      <c r="BN1758" s="449"/>
      <c r="BO1758" s="449" t="str">
        <f t="shared" si="1322"/>
        <v xml:space="preserve"> Party Condition 42  ,F.M% 0.28 ,Greenish 3.49 ,Moisture 5.5 ,Shortage in KG= 0  ,Oil% 40.6</v>
      </c>
      <c r="BP1758" s="464">
        <f t="shared" si="1323"/>
        <v>8145.6385068762283</v>
      </c>
      <c r="BQ1758" s="449"/>
      <c r="BR1758" s="449"/>
      <c r="BS1758" s="449"/>
      <c r="BT1758" s="449"/>
      <c r="BU1758" s="449"/>
      <c r="BV1758" s="449"/>
      <c r="BW1758" s="449"/>
      <c r="BX1758" s="147">
        <v>0</v>
      </c>
      <c r="BY1758" s="147">
        <v>0</v>
      </c>
    </row>
    <row r="1759" spans="1:77" ht="14.1" hidden="1" customHeight="1" x14ac:dyDescent="0.3">
      <c r="A1759" s="128" t="s">
        <v>3621</v>
      </c>
      <c r="B1759" s="146">
        <v>46252</v>
      </c>
      <c r="C1759" s="138">
        <v>1724</v>
      </c>
      <c r="D1759" s="128" t="s">
        <v>3680</v>
      </c>
      <c r="E1759" s="129">
        <v>46257</v>
      </c>
      <c r="F1759" s="128" t="s">
        <v>3636</v>
      </c>
      <c r="G1759" s="128" t="s">
        <v>3637</v>
      </c>
      <c r="H1759" s="128" t="s">
        <v>2081</v>
      </c>
      <c r="I1759" s="136"/>
      <c r="J1759" s="138" t="s">
        <v>1146</v>
      </c>
      <c r="K1759" s="136"/>
      <c r="L1759" s="146">
        <v>46252</v>
      </c>
      <c r="M1759" s="136"/>
      <c r="N1759" s="281" t="s">
        <v>3709</v>
      </c>
      <c r="O1759" s="146">
        <v>46256</v>
      </c>
      <c r="P1759" s="138">
        <v>0</v>
      </c>
      <c r="Q1759" s="138">
        <v>130</v>
      </c>
      <c r="R1759" s="138">
        <v>40</v>
      </c>
      <c r="S1759" s="138">
        <v>170</v>
      </c>
      <c r="T1759" s="138">
        <v>170</v>
      </c>
      <c r="U1759" s="136"/>
      <c r="V1759" s="136"/>
      <c r="W1759" s="147">
        <v>102</v>
      </c>
      <c r="X1759" s="147">
        <v>101.8</v>
      </c>
      <c r="Y1759" s="147">
        <v>821100</v>
      </c>
      <c r="Z1759" s="165"/>
      <c r="AA1759" s="169">
        <v>20527.5</v>
      </c>
      <c r="AB1759" s="169">
        <v>20527.5</v>
      </c>
      <c r="AC1759" s="169">
        <v>862155</v>
      </c>
      <c r="AD1759" s="493">
        <f t="shared" si="1296"/>
        <v>861292.84499999997</v>
      </c>
      <c r="AE1759" s="147">
        <v>40.54</v>
      </c>
      <c r="AF1759" s="147">
        <v>39.85</v>
      </c>
      <c r="AG1759" s="147">
        <v>40.47</v>
      </c>
      <c r="AH1759" s="395">
        <v>2.3999999999999998E-3</v>
      </c>
      <c r="AI1759" s="287">
        <v>2.9600000000000001E-2</v>
      </c>
      <c r="AJ1759" s="287">
        <v>0.05</v>
      </c>
      <c r="AK1759" s="318">
        <f t="shared" si="1307"/>
        <v>0</v>
      </c>
      <c r="AL1759" s="467">
        <v>0</v>
      </c>
      <c r="AM1759" s="321">
        <v>0</v>
      </c>
      <c r="AN1759" s="321">
        <v>0</v>
      </c>
      <c r="AO1759" s="318">
        <f t="shared" si="1308"/>
        <v>0</v>
      </c>
      <c r="AP1759" s="467">
        <v>0</v>
      </c>
      <c r="AQ1759" s="318">
        <v>0</v>
      </c>
      <c r="AR1759" s="318">
        <f t="shared" si="1309"/>
        <v>0</v>
      </c>
      <c r="AS1759" s="318">
        <f t="shared" si="1310"/>
        <v>0</v>
      </c>
      <c r="AT1759" s="321">
        <v>0</v>
      </c>
      <c r="AU1759" s="464"/>
      <c r="AV1759" s="449"/>
      <c r="AW1759" s="318">
        <f t="shared" si="1311"/>
        <v>10200</v>
      </c>
      <c r="AX1759" s="467"/>
      <c r="AY1759" s="318">
        <f t="shared" si="1312"/>
        <v>10200</v>
      </c>
      <c r="AZ1759" s="318">
        <f t="shared" si="1313"/>
        <v>10180</v>
      </c>
      <c r="BA1759" s="318">
        <f t="shared" si="1314"/>
        <v>20</v>
      </c>
      <c r="BB1759" s="318">
        <f t="shared" si="1315"/>
        <v>20.399999999999999</v>
      </c>
      <c r="BC1759" s="318">
        <v>0</v>
      </c>
      <c r="BD1759" s="467"/>
      <c r="BE1759" s="138">
        <v>102</v>
      </c>
      <c r="BF1759" s="321">
        <f t="shared" si="1316"/>
        <v>0.153</v>
      </c>
      <c r="BG1759" s="321">
        <f t="shared" si="1317"/>
        <v>101.84699999999999</v>
      </c>
      <c r="BH1759" s="321">
        <f t="shared" si="1318"/>
        <v>101.8</v>
      </c>
      <c r="BI1759" s="322">
        <f t="shared" si="1319"/>
        <v>20.000000000000284</v>
      </c>
      <c r="BJ1759" s="322">
        <v>0</v>
      </c>
      <c r="BK1759" s="318">
        <f t="shared" si="1320"/>
        <v>20.000000000000284</v>
      </c>
      <c r="BL1759" s="449"/>
      <c r="BM1759" s="449" t="str">
        <f t="shared" si="1321"/>
        <v>Unloading no. 1724 Bill No RJT784/2026-27 ,Deduction For Oil Deduction= 0 ,Bardana= 0 ,F.M= 0 Brokerage/Rate Difference 0 ,Shortage = 0 ,Greenish= 0 ,Moisture= 0</v>
      </c>
      <c r="BN1759" s="449"/>
      <c r="BO1759" s="449" t="str">
        <f t="shared" si="1322"/>
        <v xml:space="preserve"> Party Condition 39.85  ,F.M% 0.24 ,Greenish 2.96 ,Moisture 5 ,Shortage in KG= 0  ,Oil% 40.47</v>
      </c>
      <c r="BP1759" s="464">
        <f t="shared" si="1323"/>
        <v>8065.8153241650298</v>
      </c>
      <c r="BQ1759" s="449"/>
      <c r="BR1759" s="449"/>
      <c r="BS1759" s="449"/>
      <c r="BT1759" s="449"/>
      <c r="BU1759" s="449"/>
      <c r="BV1759" s="449"/>
      <c r="BW1759" s="449"/>
      <c r="BX1759" s="147">
        <v>0</v>
      </c>
      <c r="BY1759" s="147">
        <v>0</v>
      </c>
    </row>
    <row r="1760" spans="1:77" ht="14.1" hidden="1" customHeight="1" x14ac:dyDescent="0.3">
      <c r="A1760" s="128" t="s">
        <v>3621</v>
      </c>
      <c r="B1760" s="146">
        <v>46252</v>
      </c>
      <c r="C1760" s="138">
        <v>1725</v>
      </c>
      <c r="D1760" s="128" t="s">
        <v>3681</v>
      </c>
      <c r="E1760" s="129">
        <v>46257</v>
      </c>
      <c r="F1760" s="128" t="s">
        <v>3636</v>
      </c>
      <c r="G1760" s="128" t="s">
        <v>3637</v>
      </c>
      <c r="H1760" s="128" t="s">
        <v>2081</v>
      </c>
      <c r="I1760" s="136"/>
      <c r="J1760" s="138" t="s">
        <v>1146</v>
      </c>
      <c r="K1760" s="136"/>
      <c r="L1760" s="146">
        <v>46252</v>
      </c>
      <c r="M1760" s="136"/>
      <c r="N1760" s="281" t="s">
        <v>3710</v>
      </c>
      <c r="O1760" s="146">
        <v>46256</v>
      </c>
      <c r="P1760" s="138">
        <v>0</v>
      </c>
      <c r="Q1760" s="138">
        <v>140</v>
      </c>
      <c r="R1760" s="138">
        <v>30</v>
      </c>
      <c r="S1760" s="138">
        <v>170</v>
      </c>
      <c r="T1760" s="138">
        <v>170</v>
      </c>
      <c r="U1760" s="136"/>
      <c r="V1760" s="136"/>
      <c r="W1760" s="147">
        <v>102.8</v>
      </c>
      <c r="X1760" s="147">
        <v>102.7</v>
      </c>
      <c r="Y1760" s="147">
        <v>827540</v>
      </c>
      <c r="Z1760" s="165"/>
      <c r="AA1760" s="169">
        <v>20688.5</v>
      </c>
      <c r="AB1760" s="169">
        <v>20688.5</v>
      </c>
      <c r="AC1760" s="169">
        <v>868917</v>
      </c>
      <c r="AD1760" s="493">
        <f t="shared" si="1296"/>
        <v>868048.08299999998</v>
      </c>
      <c r="AE1760" s="147">
        <v>40.08</v>
      </c>
      <c r="AF1760" s="147">
        <v>39.85</v>
      </c>
      <c r="AG1760" s="147">
        <v>40.049999999999997</v>
      </c>
      <c r="AH1760" s="395">
        <v>1.9E-3</v>
      </c>
      <c r="AI1760" s="287">
        <v>2.5000000000000001E-2</v>
      </c>
      <c r="AJ1760" s="287">
        <v>5.1999999999999998E-2</v>
      </c>
      <c r="AK1760" s="318">
        <f t="shared" si="1307"/>
        <v>0</v>
      </c>
      <c r="AL1760" s="467">
        <v>0</v>
      </c>
      <c r="AM1760" s="321">
        <v>0</v>
      </c>
      <c r="AN1760" s="321">
        <v>0</v>
      </c>
      <c r="AO1760" s="318">
        <f t="shared" si="1308"/>
        <v>0</v>
      </c>
      <c r="AP1760" s="467">
        <v>0</v>
      </c>
      <c r="AQ1760" s="318">
        <v>0</v>
      </c>
      <c r="AR1760" s="318">
        <f t="shared" si="1309"/>
        <v>0</v>
      </c>
      <c r="AS1760" s="318">
        <f t="shared" si="1310"/>
        <v>0</v>
      </c>
      <c r="AT1760" s="321">
        <v>0</v>
      </c>
      <c r="AU1760" s="464"/>
      <c r="AV1760" s="449"/>
      <c r="AW1760" s="318">
        <f t="shared" si="1311"/>
        <v>10280</v>
      </c>
      <c r="AX1760" s="467"/>
      <c r="AY1760" s="318">
        <f t="shared" si="1312"/>
        <v>10280</v>
      </c>
      <c r="AZ1760" s="318">
        <f t="shared" si="1313"/>
        <v>10270</v>
      </c>
      <c r="BA1760" s="318">
        <f t="shared" si="1314"/>
        <v>10</v>
      </c>
      <c r="BB1760" s="318">
        <f t="shared" si="1315"/>
        <v>20.56</v>
      </c>
      <c r="BC1760" s="318">
        <v>0</v>
      </c>
      <c r="BD1760" s="467"/>
      <c r="BE1760" s="138">
        <v>102.8</v>
      </c>
      <c r="BF1760" s="321">
        <f t="shared" si="1316"/>
        <v>0.15419999999999998</v>
      </c>
      <c r="BG1760" s="321">
        <f t="shared" si="1317"/>
        <v>102.64579999999999</v>
      </c>
      <c r="BH1760" s="321">
        <f t="shared" si="1318"/>
        <v>102.7</v>
      </c>
      <c r="BI1760" s="322">
        <f t="shared" si="1319"/>
        <v>9.9999999999994316</v>
      </c>
      <c r="BJ1760" s="322">
        <v>0</v>
      </c>
      <c r="BK1760" s="318">
        <f t="shared" si="1320"/>
        <v>9.9999999999994316</v>
      </c>
      <c r="BL1760" s="449"/>
      <c r="BM1760" s="449" t="str">
        <f t="shared" si="1321"/>
        <v>Unloading no. 1725 Bill No RJT782/2026-27 ,Deduction For Oil Deduction= 0 ,Bardana= 0 ,F.M= 0 Brokerage/Rate Difference 0 ,Shortage = 0 ,Greenish= 0 ,Moisture= 0</v>
      </c>
      <c r="BN1760" s="449"/>
      <c r="BO1760" s="449" t="str">
        <f t="shared" si="1322"/>
        <v xml:space="preserve"> Party Condition 39.85  ,F.M% 0.19 ,Greenish 2.5 ,Moisture 5.2 ,Shortage in KG= 0  ,Oil% 40.05</v>
      </c>
      <c r="BP1760" s="464">
        <f t="shared" si="1323"/>
        <v>8057.8383641674782</v>
      </c>
      <c r="BQ1760" s="449"/>
      <c r="BR1760" s="449"/>
      <c r="BS1760" s="449"/>
      <c r="BT1760" s="449"/>
      <c r="BU1760" s="449"/>
      <c r="BV1760" s="449"/>
      <c r="BW1760" s="449"/>
      <c r="BX1760" s="147">
        <v>0</v>
      </c>
      <c r="BY1760" s="147">
        <v>0</v>
      </c>
    </row>
    <row r="1761" spans="1:85" ht="14.1" hidden="1" customHeight="1" x14ac:dyDescent="0.3">
      <c r="A1761" s="128" t="s">
        <v>3621</v>
      </c>
      <c r="B1761" s="146">
        <v>46252</v>
      </c>
      <c r="C1761" s="138">
        <v>1726</v>
      </c>
      <c r="D1761" s="128" t="s">
        <v>3682</v>
      </c>
      <c r="E1761" s="129">
        <v>46257</v>
      </c>
      <c r="F1761" s="128" t="s">
        <v>3636</v>
      </c>
      <c r="G1761" s="128" t="s">
        <v>3637</v>
      </c>
      <c r="H1761" s="128" t="s">
        <v>2081</v>
      </c>
      <c r="I1761" s="136"/>
      <c r="J1761" s="138" t="s">
        <v>1146</v>
      </c>
      <c r="K1761" s="136"/>
      <c r="L1761" s="146">
        <v>46252</v>
      </c>
      <c r="M1761" s="136"/>
      <c r="N1761" s="281" t="s">
        <v>3711</v>
      </c>
      <c r="O1761" s="146">
        <v>46256</v>
      </c>
      <c r="P1761" s="138">
        <v>0</v>
      </c>
      <c r="Q1761" s="138">
        <v>150</v>
      </c>
      <c r="R1761" s="138">
        <v>20</v>
      </c>
      <c r="S1761" s="138">
        <v>170</v>
      </c>
      <c r="T1761" s="138">
        <v>170</v>
      </c>
      <c r="U1761" s="136"/>
      <c r="V1761" s="136"/>
      <c r="W1761" s="147">
        <v>101.8</v>
      </c>
      <c r="X1761" s="147">
        <v>101.6</v>
      </c>
      <c r="Y1761" s="147">
        <v>819490</v>
      </c>
      <c r="Z1761" s="165"/>
      <c r="AA1761" s="169">
        <v>20487.25</v>
      </c>
      <c r="AB1761" s="169">
        <v>20487.25</v>
      </c>
      <c r="AC1761" s="169">
        <v>860464.5</v>
      </c>
      <c r="AD1761" s="493">
        <f t="shared" si="1296"/>
        <v>859604.0355</v>
      </c>
      <c r="AE1761" s="147">
        <v>40.08</v>
      </c>
      <c r="AF1761" s="147">
        <v>39.85</v>
      </c>
      <c r="AG1761" s="147">
        <v>40.08</v>
      </c>
      <c r="AH1761" s="395">
        <v>1.6000000000000001E-3</v>
      </c>
      <c r="AI1761" s="287">
        <v>3.2000000000000001E-2</v>
      </c>
      <c r="AJ1761" s="287">
        <v>5.8000000000000003E-2</v>
      </c>
      <c r="AK1761" s="318">
        <f t="shared" si="1307"/>
        <v>0</v>
      </c>
      <c r="AL1761" s="467">
        <v>0</v>
      </c>
      <c r="AM1761" s="321">
        <v>0</v>
      </c>
      <c r="AN1761" s="321">
        <v>0</v>
      </c>
      <c r="AO1761" s="318">
        <f t="shared" si="1308"/>
        <v>0</v>
      </c>
      <c r="AP1761" s="467">
        <v>0</v>
      </c>
      <c r="AQ1761" s="318">
        <v>0</v>
      </c>
      <c r="AR1761" s="318">
        <f t="shared" si="1309"/>
        <v>0</v>
      </c>
      <c r="AS1761" s="318">
        <f t="shared" si="1310"/>
        <v>0</v>
      </c>
      <c r="AT1761" s="321">
        <v>0</v>
      </c>
      <c r="AU1761" s="464"/>
      <c r="AV1761" s="449"/>
      <c r="AW1761" s="318">
        <f t="shared" si="1311"/>
        <v>10180</v>
      </c>
      <c r="AX1761" s="467"/>
      <c r="AY1761" s="318">
        <f t="shared" si="1312"/>
        <v>10180</v>
      </c>
      <c r="AZ1761" s="318">
        <f t="shared" si="1313"/>
        <v>10160</v>
      </c>
      <c r="BA1761" s="318">
        <f t="shared" si="1314"/>
        <v>20</v>
      </c>
      <c r="BB1761" s="318">
        <f t="shared" si="1315"/>
        <v>20.36</v>
      </c>
      <c r="BC1761" s="318">
        <v>0</v>
      </c>
      <c r="BD1761" s="467"/>
      <c r="BE1761" s="138">
        <v>101.8</v>
      </c>
      <c r="BF1761" s="321">
        <f t="shared" si="1316"/>
        <v>0.1527</v>
      </c>
      <c r="BG1761" s="321">
        <f t="shared" si="1317"/>
        <v>101.6473</v>
      </c>
      <c r="BH1761" s="321">
        <f t="shared" si="1318"/>
        <v>101.6</v>
      </c>
      <c r="BI1761" s="322">
        <f t="shared" si="1319"/>
        <v>20.000000000000284</v>
      </c>
      <c r="BJ1761" s="322">
        <v>0</v>
      </c>
      <c r="BK1761" s="318">
        <f t="shared" si="1320"/>
        <v>20.000000000000284</v>
      </c>
      <c r="BL1761" s="449"/>
      <c r="BM1761" s="449" t="str">
        <f t="shared" si="1321"/>
        <v>Unloading no. 1726 Bill No RJT786/2026-27 ,Deduction For Oil Deduction= 0 ,Bardana= 0 ,F.M= 0 Brokerage/Rate Difference 0 ,Shortage = 0 ,Greenish= 0 ,Moisture= 0</v>
      </c>
      <c r="BN1761" s="449"/>
      <c r="BO1761" s="449" t="str">
        <f t="shared" si="1322"/>
        <v xml:space="preserve"> Party Condition 39.85  ,F.M% 0.16 ,Greenish 3.2 ,Moisture 5.8 ,Shortage in KG= 0  ,Oil% 40.08</v>
      </c>
      <c r="BP1761" s="464">
        <f t="shared" si="1323"/>
        <v>8065.8464566929142</v>
      </c>
      <c r="BQ1761" s="449"/>
      <c r="BR1761" s="449"/>
      <c r="BS1761" s="449"/>
      <c r="BT1761" s="449"/>
      <c r="BU1761" s="449"/>
      <c r="BV1761" s="449"/>
      <c r="BW1761" s="449"/>
      <c r="BX1761" s="147">
        <v>0</v>
      </c>
      <c r="BY1761" s="147">
        <v>0</v>
      </c>
    </row>
    <row r="1762" spans="1:85" ht="14.1" hidden="1" customHeight="1" x14ac:dyDescent="0.3">
      <c r="A1762" s="128" t="s">
        <v>3621</v>
      </c>
      <c r="B1762" s="146">
        <v>46252</v>
      </c>
      <c r="C1762" s="138">
        <v>1727</v>
      </c>
      <c r="D1762" s="128" t="s">
        <v>3683</v>
      </c>
      <c r="E1762" s="129">
        <v>46257</v>
      </c>
      <c r="F1762" s="128" t="s">
        <v>3636</v>
      </c>
      <c r="G1762" s="128" t="s">
        <v>3637</v>
      </c>
      <c r="H1762" s="128" t="s">
        <v>2081</v>
      </c>
      <c r="I1762" s="136"/>
      <c r="J1762" s="138" t="s">
        <v>1146</v>
      </c>
      <c r="K1762" s="136"/>
      <c r="L1762" s="146">
        <v>46252</v>
      </c>
      <c r="M1762" s="136"/>
      <c r="N1762" s="281" t="s">
        <v>3712</v>
      </c>
      <c r="O1762" s="146">
        <v>46256</v>
      </c>
      <c r="P1762" s="138">
        <v>0</v>
      </c>
      <c r="Q1762" s="138">
        <v>120</v>
      </c>
      <c r="R1762" s="138">
        <v>50</v>
      </c>
      <c r="S1762" s="138">
        <v>170</v>
      </c>
      <c r="T1762" s="138">
        <v>170</v>
      </c>
      <c r="U1762" s="136"/>
      <c r="V1762" s="136"/>
      <c r="W1762" s="147">
        <v>102.4</v>
      </c>
      <c r="X1762" s="147">
        <v>102.3</v>
      </c>
      <c r="Y1762" s="147">
        <v>824320</v>
      </c>
      <c r="Z1762" s="165"/>
      <c r="AA1762" s="169">
        <v>20608</v>
      </c>
      <c r="AB1762" s="169">
        <v>20608</v>
      </c>
      <c r="AC1762" s="169">
        <v>865536</v>
      </c>
      <c r="AD1762" s="493">
        <f t="shared" si="1296"/>
        <v>864670.46400000004</v>
      </c>
      <c r="AE1762" s="147">
        <v>40.31</v>
      </c>
      <c r="AF1762" s="147">
        <v>39.85</v>
      </c>
      <c r="AG1762" s="147">
        <v>40.200000000000003</v>
      </c>
      <c r="AH1762" s="395">
        <v>2.5000000000000001E-3</v>
      </c>
      <c r="AI1762" s="287">
        <v>3.1E-2</v>
      </c>
      <c r="AJ1762" s="287">
        <v>5.5E-2</v>
      </c>
      <c r="AK1762" s="318">
        <f t="shared" si="1307"/>
        <v>0</v>
      </c>
      <c r="AL1762" s="467">
        <v>0</v>
      </c>
      <c r="AM1762" s="321">
        <v>0</v>
      </c>
      <c r="AN1762" s="321">
        <v>0</v>
      </c>
      <c r="AO1762" s="318">
        <f t="shared" si="1308"/>
        <v>0</v>
      </c>
      <c r="AP1762" s="467">
        <v>0</v>
      </c>
      <c r="AQ1762" s="318">
        <v>0</v>
      </c>
      <c r="AR1762" s="318">
        <f t="shared" si="1309"/>
        <v>0</v>
      </c>
      <c r="AS1762" s="318">
        <f t="shared" si="1310"/>
        <v>0</v>
      </c>
      <c r="AT1762" s="321">
        <v>0</v>
      </c>
      <c r="AU1762" s="464"/>
      <c r="AV1762" s="449"/>
      <c r="AW1762" s="318">
        <f t="shared" si="1311"/>
        <v>10240</v>
      </c>
      <c r="AX1762" s="467"/>
      <c r="AY1762" s="318">
        <f t="shared" si="1312"/>
        <v>10240</v>
      </c>
      <c r="AZ1762" s="318">
        <f t="shared" si="1313"/>
        <v>10230</v>
      </c>
      <c r="BA1762" s="318">
        <f t="shared" si="1314"/>
        <v>10</v>
      </c>
      <c r="BB1762" s="318">
        <f t="shared" si="1315"/>
        <v>20.48</v>
      </c>
      <c r="BC1762" s="318">
        <v>0</v>
      </c>
      <c r="BD1762" s="467"/>
      <c r="BE1762" s="138">
        <v>102.4</v>
      </c>
      <c r="BF1762" s="321">
        <f t="shared" si="1316"/>
        <v>0.15359999999999999</v>
      </c>
      <c r="BG1762" s="321">
        <f t="shared" si="1317"/>
        <v>102.24640000000001</v>
      </c>
      <c r="BH1762" s="321">
        <f t="shared" si="1318"/>
        <v>102.3</v>
      </c>
      <c r="BI1762" s="322">
        <f t="shared" si="1319"/>
        <v>10.000000000000853</v>
      </c>
      <c r="BJ1762" s="322">
        <v>0</v>
      </c>
      <c r="BK1762" s="318">
        <f t="shared" si="1320"/>
        <v>10.000000000000853</v>
      </c>
      <c r="BL1762" s="449"/>
      <c r="BM1762" s="449" t="str">
        <f t="shared" si="1321"/>
        <v>Unloading no. 1727 Bill No RJT785/2026-27 ,Deduction For Oil Deduction= 0 ,Bardana= 0 ,F.M= 0 Brokerage/Rate Difference 0 ,Shortage = 0 ,Greenish= 0 ,Moisture= 0</v>
      </c>
      <c r="BN1762" s="449"/>
      <c r="BO1762" s="449" t="str">
        <f t="shared" si="1322"/>
        <v xml:space="preserve"> Party Condition 39.85  ,F.M% 0.25 ,Greenish 3.1 ,Moisture 5.5 ,Shortage in KG= 0  ,Oil% 40.2</v>
      </c>
      <c r="BP1762" s="464">
        <f t="shared" si="1323"/>
        <v>8057.8690127077225</v>
      </c>
      <c r="BQ1762" s="449"/>
      <c r="BR1762" s="449"/>
      <c r="BS1762" s="449"/>
      <c r="BT1762" s="449"/>
      <c r="BU1762" s="449"/>
      <c r="BV1762" s="449"/>
      <c r="BW1762" s="449"/>
      <c r="BX1762" s="147">
        <v>0</v>
      </c>
      <c r="BY1762" s="147">
        <v>0</v>
      </c>
    </row>
    <row r="1763" spans="1:85" ht="14.1" hidden="1" customHeight="1" x14ac:dyDescent="0.3">
      <c r="A1763" s="281" t="s">
        <v>3618</v>
      </c>
      <c r="B1763" s="146">
        <v>46254</v>
      </c>
      <c r="C1763" s="138">
        <v>1728</v>
      </c>
      <c r="D1763" s="281" t="s">
        <v>3684</v>
      </c>
      <c r="E1763" s="130">
        <v>46257</v>
      </c>
      <c r="F1763" s="281" t="s">
        <v>1686</v>
      </c>
      <c r="G1763" s="128" t="s">
        <v>1687</v>
      </c>
      <c r="H1763" s="128" t="s">
        <v>1688</v>
      </c>
      <c r="I1763" s="136"/>
      <c r="J1763" s="138" t="s">
        <v>1146</v>
      </c>
      <c r="K1763" s="136"/>
      <c r="L1763" s="146">
        <v>46254</v>
      </c>
      <c r="M1763" s="136"/>
      <c r="N1763" s="281" t="s">
        <v>3713</v>
      </c>
      <c r="O1763" s="146">
        <v>46255</v>
      </c>
      <c r="P1763" s="138">
        <v>0</v>
      </c>
      <c r="Q1763" s="138">
        <v>200</v>
      </c>
      <c r="R1763" s="138">
        <v>78</v>
      </c>
      <c r="S1763" s="138">
        <v>278</v>
      </c>
      <c r="T1763" s="138">
        <v>278</v>
      </c>
      <c r="U1763" s="136"/>
      <c r="V1763" s="136"/>
      <c r="W1763" s="147">
        <v>168.9</v>
      </c>
      <c r="X1763" s="147">
        <v>168.8</v>
      </c>
      <c r="Y1763" s="147">
        <v>1418760</v>
      </c>
      <c r="Z1763" s="165"/>
      <c r="AA1763" s="169">
        <v>35469</v>
      </c>
      <c r="AB1763" s="169">
        <v>35469</v>
      </c>
      <c r="AC1763" s="169">
        <v>1489698</v>
      </c>
      <c r="AD1763" s="493">
        <f t="shared" si="1296"/>
        <v>1488208.3019999999</v>
      </c>
      <c r="AE1763" s="147">
        <v>40.549999999999997</v>
      </c>
      <c r="AF1763" s="147">
        <v>42</v>
      </c>
      <c r="AG1763" s="147">
        <v>40.53</v>
      </c>
      <c r="AH1763" s="395">
        <v>2.8999999999999998E-3</v>
      </c>
      <c r="AI1763" s="287">
        <v>0.03</v>
      </c>
      <c r="AJ1763" s="287">
        <v>5.2999999999999999E-2</v>
      </c>
      <c r="AK1763" s="318">
        <f t="shared" si="1307"/>
        <v>49656.599999999962</v>
      </c>
      <c r="AL1763" s="467">
        <v>0</v>
      </c>
      <c r="AM1763" s="321">
        <v>0</v>
      </c>
      <c r="AN1763" s="321">
        <v>0</v>
      </c>
      <c r="AO1763" s="318">
        <f t="shared" si="1308"/>
        <v>0</v>
      </c>
      <c r="AP1763" s="467">
        <v>0</v>
      </c>
      <c r="AQ1763" s="318">
        <v>0</v>
      </c>
      <c r="AR1763" s="318">
        <f t="shared" si="1309"/>
        <v>49656.599999999962</v>
      </c>
      <c r="AS1763" s="318">
        <f t="shared" si="1310"/>
        <v>52139</v>
      </c>
      <c r="AT1763" s="321">
        <v>0</v>
      </c>
      <c r="AU1763" s="464"/>
      <c r="AV1763" s="449"/>
      <c r="AW1763" s="318">
        <f t="shared" si="1311"/>
        <v>16890</v>
      </c>
      <c r="AX1763" s="467"/>
      <c r="AY1763" s="318">
        <f t="shared" si="1312"/>
        <v>16890</v>
      </c>
      <c r="AZ1763" s="318">
        <f t="shared" si="1313"/>
        <v>16880</v>
      </c>
      <c r="BA1763" s="318">
        <f t="shared" si="1314"/>
        <v>10</v>
      </c>
      <c r="BB1763" s="318">
        <f t="shared" si="1315"/>
        <v>33.78</v>
      </c>
      <c r="BC1763" s="318">
        <v>0</v>
      </c>
      <c r="BD1763" s="467"/>
      <c r="BE1763" s="138">
        <v>168.9</v>
      </c>
      <c r="BF1763" s="321">
        <f t="shared" si="1316"/>
        <v>0.25335000000000002</v>
      </c>
      <c r="BG1763" s="321">
        <f t="shared" si="1317"/>
        <v>168.64664999999999</v>
      </c>
      <c r="BH1763" s="321">
        <f t="shared" si="1318"/>
        <v>168.8</v>
      </c>
      <c r="BI1763" s="322">
        <f t="shared" si="1319"/>
        <v>9.9999999999994316</v>
      </c>
      <c r="BJ1763" s="322">
        <v>0</v>
      </c>
      <c r="BK1763" s="318">
        <f t="shared" si="1320"/>
        <v>9.9999999999994316</v>
      </c>
      <c r="BL1763" s="449"/>
      <c r="BM1763" s="449" t="str">
        <f t="shared" si="1321"/>
        <v>Unloading no. 1728 Bill No KAI/2026-27/200 ,Deduction For Oil Deduction= 49656.6 ,Bardana= 0 ,F.M= 0 Brokerage/Rate Difference 0 ,Shortage = 0 ,Greenish= 0 ,Moisture= 0</v>
      </c>
      <c r="BN1763" s="449"/>
      <c r="BO1763" s="449" t="str">
        <f t="shared" si="1322"/>
        <v xml:space="preserve"> Party Condition 42  ,F.M% 0.29 ,Greenish 3 ,Moisture 5.3 ,Shortage in KG= 0  ,Oil% 40.53</v>
      </c>
      <c r="BP1763" s="464">
        <f t="shared" si="1323"/>
        <v>8110.8021327014221</v>
      </c>
      <c r="BQ1763" s="449"/>
      <c r="BR1763" s="449"/>
      <c r="BS1763" s="449"/>
      <c r="BT1763" s="449"/>
      <c r="BU1763" s="449"/>
      <c r="BV1763" s="449"/>
      <c r="BW1763" s="449"/>
      <c r="BX1763" s="147">
        <v>0</v>
      </c>
      <c r="BY1763" s="147">
        <v>0</v>
      </c>
    </row>
    <row r="1764" spans="1:85" ht="14.1" hidden="1" customHeight="1" x14ac:dyDescent="0.3">
      <c r="A1764" s="281" t="s">
        <v>3618</v>
      </c>
      <c r="B1764" s="146">
        <v>46254</v>
      </c>
      <c r="C1764" s="138">
        <v>1729</v>
      </c>
      <c r="D1764" s="281" t="s">
        <v>3685</v>
      </c>
      <c r="E1764" s="130">
        <v>46257</v>
      </c>
      <c r="F1764" s="281" t="s">
        <v>1686</v>
      </c>
      <c r="G1764" s="128" t="s">
        <v>1687</v>
      </c>
      <c r="H1764" s="128" t="s">
        <v>1688</v>
      </c>
      <c r="I1764" s="136"/>
      <c r="J1764" s="138" t="s">
        <v>1146</v>
      </c>
      <c r="K1764" s="136"/>
      <c r="L1764" s="146">
        <v>46254</v>
      </c>
      <c r="M1764" s="136"/>
      <c r="N1764" s="281" t="s">
        <v>3714</v>
      </c>
      <c r="O1764" s="146">
        <v>46255</v>
      </c>
      <c r="P1764" s="138">
        <v>0</v>
      </c>
      <c r="Q1764" s="138">
        <v>200</v>
      </c>
      <c r="R1764" s="138">
        <v>75</v>
      </c>
      <c r="S1764" s="138">
        <v>275</v>
      </c>
      <c r="T1764" s="138">
        <v>275</v>
      </c>
      <c r="U1764" s="136"/>
      <c r="V1764" s="136"/>
      <c r="W1764" s="147">
        <v>163.5</v>
      </c>
      <c r="X1764" s="147">
        <v>163.19999999999999</v>
      </c>
      <c r="Y1764" s="147">
        <v>1373400</v>
      </c>
      <c r="Z1764" s="165"/>
      <c r="AA1764" s="169">
        <v>34335</v>
      </c>
      <c r="AB1764" s="169">
        <v>34335</v>
      </c>
      <c r="AC1764" s="169">
        <v>1442070</v>
      </c>
      <c r="AD1764" s="493">
        <f t="shared" si="1296"/>
        <v>1440627.93</v>
      </c>
      <c r="AE1764" s="147">
        <v>39.5</v>
      </c>
      <c r="AF1764" s="147">
        <v>42</v>
      </c>
      <c r="AG1764" s="147">
        <v>39.479999999999997</v>
      </c>
      <c r="AH1764" s="395">
        <v>2.8E-3</v>
      </c>
      <c r="AI1764" s="287">
        <v>2.86E-2</v>
      </c>
      <c r="AJ1764" s="287">
        <v>5.1999999999999998E-2</v>
      </c>
      <c r="AK1764" s="318">
        <f t="shared" si="1307"/>
        <v>82404.000000000102</v>
      </c>
      <c r="AL1764" s="467">
        <v>0</v>
      </c>
      <c r="AM1764" s="321">
        <v>0</v>
      </c>
      <c r="AN1764" s="321">
        <v>0</v>
      </c>
      <c r="AO1764" s="318">
        <f t="shared" si="1308"/>
        <v>0</v>
      </c>
      <c r="AP1764" s="467">
        <v>0</v>
      </c>
      <c r="AQ1764" s="318">
        <v>0</v>
      </c>
      <c r="AR1764" s="318">
        <f t="shared" si="1309"/>
        <v>82404.000000000102</v>
      </c>
      <c r="AS1764" s="318">
        <f t="shared" si="1310"/>
        <v>86524</v>
      </c>
      <c r="AT1764" s="321">
        <v>0</v>
      </c>
      <c r="AU1764" s="464"/>
      <c r="AV1764" s="449"/>
      <c r="AW1764" s="318">
        <f t="shared" si="1311"/>
        <v>16350</v>
      </c>
      <c r="AX1764" s="467"/>
      <c r="AY1764" s="318">
        <f t="shared" si="1312"/>
        <v>16350</v>
      </c>
      <c r="AZ1764" s="318">
        <f t="shared" si="1313"/>
        <v>16319.999999999998</v>
      </c>
      <c r="BA1764" s="318">
        <f t="shared" si="1314"/>
        <v>30.000000000001819</v>
      </c>
      <c r="BB1764" s="318">
        <f t="shared" si="1315"/>
        <v>32.700000000000003</v>
      </c>
      <c r="BC1764" s="318">
        <v>0</v>
      </c>
      <c r="BD1764" s="467"/>
      <c r="BE1764" s="138">
        <v>163.5</v>
      </c>
      <c r="BF1764" s="321">
        <f t="shared" si="1316"/>
        <v>0.24525</v>
      </c>
      <c r="BG1764" s="321">
        <f t="shared" si="1317"/>
        <v>163.25475</v>
      </c>
      <c r="BH1764" s="321">
        <f t="shared" si="1318"/>
        <v>163.19999999999999</v>
      </c>
      <c r="BI1764" s="322">
        <f t="shared" si="1319"/>
        <v>30.000000000001137</v>
      </c>
      <c r="BJ1764" s="322">
        <v>0</v>
      </c>
      <c r="BK1764" s="318">
        <f t="shared" si="1320"/>
        <v>30.000000000001137</v>
      </c>
      <c r="BL1764" s="449"/>
      <c r="BM1764" s="449" t="str">
        <f t="shared" si="1321"/>
        <v>Unloading no. 1729 Bill No KAI/2026-27/197 ,Deduction For Oil Deduction= 82404.0000000001 ,Bardana= 0 ,F.M= 0 Brokerage/Rate Difference 0 ,Shortage = 0 ,Greenish= 0 ,Moisture= 0</v>
      </c>
      <c r="BN1764" s="449"/>
      <c r="BO1764" s="449" t="str">
        <f t="shared" si="1322"/>
        <v xml:space="preserve"> Party Condition 42  ,F.M% 0.28 ,Greenish 2.86 ,Moisture 5.2 ,Shortage in KG= 0  ,Oil% 39.48</v>
      </c>
      <c r="BP1764" s="464">
        <f t="shared" si="1323"/>
        <v>7910.5147058823532</v>
      </c>
      <c r="BQ1764" s="449"/>
      <c r="BR1764" s="449"/>
      <c r="BS1764" s="449"/>
      <c r="BT1764" s="449"/>
      <c r="BU1764" s="449"/>
      <c r="BV1764" s="449"/>
      <c r="BW1764" s="449"/>
      <c r="BX1764" s="147">
        <v>0</v>
      </c>
      <c r="BY1764" s="147">
        <v>0</v>
      </c>
    </row>
    <row r="1765" spans="1:85" ht="14.1" hidden="1" customHeight="1" x14ac:dyDescent="0.3">
      <c r="A1765" s="128" t="s">
        <v>3621</v>
      </c>
      <c r="B1765" s="146">
        <v>46252</v>
      </c>
      <c r="C1765" s="138">
        <v>1730</v>
      </c>
      <c r="D1765" s="128" t="s">
        <v>3686</v>
      </c>
      <c r="E1765" s="129">
        <v>46257</v>
      </c>
      <c r="F1765" s="128" t="s">
        <v>3636</v>
      </c>
      <c r="G1765" s="128" t="s">
        <v>3637</v>
      </c>
      <c r="H1765" s="128" t="s">
        <v>2081</v>
      </c>
      <c r="I1765" s="136"/>
      <c r="J1765" s="138" t="s">
        <v>1146</v>
      </c>
      <c r="K1765" s="136"/>
      <c r="L1765" s="146">
        <v>46252</v>
      </c>
      <c r="M1765" s="136"/>
      <c r="N1765" s="281" t="s">
        <v>3715</v>
      </c>
      <c r="O1765" s="146">
        <v>46256</v>
      </c>
      <c r="P1765" s="138">
        <v>0</v>
      </c>
      <c r="Q1765" s="138">
        <v>130</v>
      </c>
      <c r="R1765" s="138">
        <v>40</v>
      </c>
      <c r="S1765" s="138">
        <v>170</v>
      </c>
      <c r="T1765" s="138">
        <v>170</v>
      </c>
      <c r="U1765" s="136"/>
      <c r="V1765" s="136"/>
      <c r="W1765" s="147">
        <v>102.9</v>
      </c>
      <c r="X1765" s="147">
        <v>102.7</v>
      </c>
      <c r="Y1765" s="147">
        <v>828345</v>
      </c>
      <c r="Z1765" s="165"/>
      <c r="AA1765" s="169">
        <v>20708.63</v>
      </c>
      <c r="AB1765" s="169">
        <v>20708.63</v>
      </c>
      <c r="AC1765" s="169">
        <v>869762.25</v>
      </c>
      <c r="AD1765" s="493">
        <f t="shared" si="1296"/>
        <v>868892.48774999997</v>
      </c>
      <c r="AE1765" s="147">
        <v>40.549999999999997</v>
      </c>
      <c r="AF1765" s="147">
        <v>39.85</v>
      </c>
      <c r="AG1765" s="147">
        <v>40.49</v>
      </c>
      <c r="AH1765" s="395">
        <v>2.0999999999999999E-3</v>
      </c>
      <c r="AI1765" s="287">
        <v>3.2000000000000001E-2</v>
      </c>
      <c r="AJ1765" s="287">
        <v>5.5E-2</v>
      </c>
      <c r="AK1765" s="318">
        <f t="shared" si="1307"/>
        <v>0</v>
      </c>
      <c r="AL1765" s="467">
        <v>0</v>
      </c>
      <c r="AM1765" s="321">
        <v>0</v>
      </c>
      <c r="AN1765" s="321">
        <v>0</v>
      </c>
      <c r="AO1765" s="318">
        <f t="shared" si="1308"/>
        <v>0</v>
      </c>
      <c r="AP1765" s="467">
        <v>0</v>
      </c>
      <c r="AQ1765" s="318">
        <v>0</v>
      </c>
      <c r="AR1765" s="318">
        <f t="shared" si="1309"/>
        <v>0</v>
      </c>
      <c r="AS1765" s="318">
        <f t="shared" si="1310"/>
        <v>0</v>
      </c>
      <c r="AT1765" s="321">
        <v>0</v>
      </c>
      <c r="AU1765" s="464"/>
      <c r="AV1765" s="449"/>
      <c r="AW1765" s="318">
        <f t="shared" si="1311"/>
        <v>10290</v>
      </c>
      <c r="AX1765" s="467"/>
      <c r="AY1765" s="318">
        <f t="shared" si="1312"/>
        <v>10290</v>
      </c>
      <c r="AZ1765" s="318">
        <f t="shared" si="1313"/>
        <v>10270</v>
      </c>
      <c r="BA1765" s="318">
        <f t="shared" si="1314"/>
        <v>20</v>
      </c>
      <c r="BB1765" s="318">
        <f t="shared" si="1315"/>
        <v>20.58</v>
      </c>
      <c r="BC1765" s="318">
        <v>0</v>
      </c>
      <c r="BD1765" s="467"/>
      <c r="BE1765" s="138">
        <v>102.9</v>
      </c>
      <c r="BF1765" s="321">
        <f t="shared" si="1316"/>
        <v>0.15435000000000001</v>
      </c>
      <c r="BG1765" s="321">
        <f t="shared" si="1317"/>
        <v>102.74565000000001</v>
      </c>
      <c r="BH1765" s="321">
        <f t="shared" si="1318"/>
        <v>102.7</v>
      </c>
      <c r="BI1765" s="322">
        <f t="shared" si="1319"/>
        <v>20.000000000000284</v>
      </c>
      <c r="BJ1765" s="322">
        <v>0</v>
      </c>
      <c r="BK1765" s="318">
        <f t="shared" si="1320"/>
        <v>20.000000000000284</v>
      </c>
      <c r="BL1765" s="449"/>
      <c r="BM1765" s="449" t="str">
        <f t="shared" si="1321"/>
        <v>Unloading no. 1730 Bill No RJT788/2026-27 ,Deduction For Oil Deduction= 0 ,Bardana= 0 ,F.M= 0 Brokerage/Rate Difference 0 ,Shortage = 0 ,Greenish= 0 ,Moisture= 0</v>
      </c>
      <c r="BN1765" s="449"/>
      <c r="BO1765" s="449" t="str">
        <f t="shared" si="1322"/>
        <v xml:space="preserve"> Party Condition 39.85  ,F.M% 0.21 ,Greenish 3.2 ,Moisture 5.5 ,Shortage in KG= 0  ,Oil% 40.49</v>
      </c>
      <c r="BP1765" s="464">
        <f t="shared" si="1323"/>
        <v>8065.6767283349564</v>
      </c>
      <c r="BQ1765" s="449"/>
      <c r="BR1765" s="449"/>
      <c r="BS1765" s="449"/>
      <c r="BT1765" s="449"/>
      <c r="BU1765" s="449"/>
      <c r="BV1765" s="449"/>
      <c r="BW1765" s="449"/>
      <c r="BX1765" s="147">
        <v>0</v>
      </c>
      <c r="BY1765" s="147">
        <v>0</v>
      </c>
    </row>
    <row r="1766" spans="1:85" ht="14.1" hidden="1" customHeight="1" x14ac:dyDescent="0.3">
      <c r="A1766" s="128" t="s">
        <v>3621</v>
      </c>
      <c r="B1766" s="146">
        <v>46252</v>
      </c>
      <c r="C1766" s="138">
        <v>1731</v>
      </c>
      <c r="D1766" s="128" t="s">
        <v>3687</v>
      </c>
      <c r="E1766" s="129">
        <v>46257</v>
      </c>
      <c r="F1766" s="128" t="s">
        <v>3636</v>
      </c>
      <c r="G1766" s="128" t="s">
        <v>3637</v>
      </c>
      <c r="H1766" s="128" t="s">
        <v>2081</v>
      </c>
      <c r="I1766" s="136"/>
      <c r="J1766" s="138" t="s">
        <v>1146</v>
      </c>
      <c r="K1766" s="136"/>
      <c r="L1766" s="146">
        <v>46252</v>
      </c>
      <c r="M1766" s="136"/>
      <c r="N1766" s="281" t="s">
        <v>3716</v>
      </c>
      <c r="O1766" s="146">
        <v>46256</v>
      </c>
      <c r="P1766" s="138">
        <v>0</v>
      </c>
      <c r="Q1766" s="138">
        <v>140</v>
      </c>
      <c r="R1766" s="138">
        <v>30</v>
      </c>
      <c r="S1766" s="138">
        <v>170</v>
      </c>
      <c r="T1766" s="138">
        <v>170</v>
      </c>
      <c r="U1766" s="136"/>
      <c r="V1766" s="136"/>
      <c r="W1766" s="147">
        <v>101.9</v>
      </c>
      <c r="X1766" s="147">
        <v>102.2</v>
      </c>
      <c r="Y1766" s="147">
        <v>820295</v>
      </c>
      <c r="Z1766" s="165"/>
      <c r="AA1766" s="169">
        <v>20507.38</v>
      </c>
      <c r="AB1766" s="169">
        <v>20507.38</v>
      </c>
      <c r="AC1766" s="169">
        <v>861309.75</v>
      </c>
      <c r="AD1766" s="493">
        <f t="shared" si="1296"/>
        <v>860448.44024999999</v>
      </c>
      <c r="AE1766" s="147">
        <v>40.799999999999997</v>
      </c>
      <c r="AF1766" s="147">
        <v>39.85</v>
      </c>
      <c r="AG1766" s="147">
        <v>40.909999999999997</v>
      </c>
      <c r="AH1766" s="395">
        <v>1.5E-3</v>
      </c>
      <c r="AI1766" s="287">
        <v>3.1E-2</v>
      </c>
      <c r="AJ1766" s="287">
        <v>5.6000000000000001E-2</v>
      </c>
      <c r="AK1766" s="318">
        <f t="shared" si="1307"/>
        <v>0</v>
      </c>
      <c r="AL1766" s="467">
        <v>0</v>
      </c>
      <c r="AM1766" s="321">
        <v>0</v>
      </c>
      <c r="AN1766" s="321">
        <v>0</v>
      </c>
      <c r="AO1766" s="318">
        <f t="shared" si="1308"/>
        <v>0</v>
      </c>
      <c r="AP1766" s="467">
        <v>0</v>
      </c>
      <c r="AQ1766" s="318">
        <v>0</v>
      </c>
      <c r="AR1766" s="318">
        <f t="shared" si="1309"/>
        <v>0</v>
      </c>
      <c r="AS1766" s="318">
        <f t="shared" si="1310"/>
        <v>0</v>
      </c>
      <c r="AT1766" s="321">
        <v>0</v>
      </c>
      <c r="AU1766" s="464"/>
      <c r="AV1766" s="449"/>
      <c r="AW1766" s="318">
        <f t="shared" si="1311"/>
        <v>10190</v>
      </c>
      <c r="AX1766" s="467"/>
      <c r="AY1766" s="318">
        <f t="shared" si="1312"/>
        <v>10190</v>
      </c>
      <c r="AZ1766" s="318">
        <f t="shared" si="1313"/>
        <v>10220</v>
      </c>
      <c r="BA1766" s="318">
        <f t="shared" si="1314"/>
        <v>-30</v>
      </c>
      <c r="BB1766" s="318">
        <f t="shared" si="1315"/>
        <v>20.38</v>
      </c>
      <c r="BC1766" s="318">
        <v>0</v>
      </c>
      <c r="BD1766" s="467"/>
      <c r="BE1766" s="138">
        <v>101.9</v>
      </c>
      <c r="BF1766" s="321">
        <f t="shared" si="1316"/>
        <v>0.15285000000000001</v>
      </c>
      <c r="BG1766" s="321">
        <f t="shared" si="1317"/>
        <v>101.74715</v>
      </c>
      <c r="BH1766" s="321">
        <f t="shared" si="1318"/>
        <v>102.2</v>
      </c>
      <c r="BI1766" s="322">
        <f t="shared" si="1319"/>
        <v>-29.999999999999716</v>
      </c>
      <c r="BJ1766" s="322">
        <v>0</v>
      </c>
      <c r="BK1766" s="318">
        <f t="shared" si="1320"/>
        <v>-29.999999999999716</v>
      </c>
      <c r="BL1766" s="449"/>
      <c r="BM1766" s="449" t="str">
        <f t="shared" si="1321"/>
        <v>Unloading no. 1731 Bill No RJT789/2026-27 ,Deduction For Oil Deduction= 0 ,Bardana= 0 ,F.M= 0 Brokerage/Rate Difference 0 ,Shortage = 0 ,Greenish= 0 ,Moisture= 0</v>
      </c>
      <c r="BN1766" s="449"/>
      <c r="BO1766" s="449" t="str">
        <f t="shared" si="1322"/>
        <v xml:space="preserve"> Party Condition 39.85  ,F.M% 0.15 ,Greenish 3.1 ,Moisture 5.6 ,Shortage in KG= 0  ,Oil% 40.8</v>
      </c>
      <c r="BP1766" s="464">
        <f t="shared" si="1323"/>
        <v>8026.3698630136987</v>
      </c>
      <c r="BQ1766" s="449"/>
      <c r="BR1766" s="449"/>
      <c r="BS1766" s="449"/>
      <c r="BT1766" s="449"/>
      <c r="BU1766" s="449"/>
      <c r="BV1766" s="449"/>
      <c r="BW1766" s="449"/>
      <c r="BX1766" s="147">
        <v>0</v>
      </c>
      <c r="BY1766" s="147">
        <v>0</v>
      </c>
    </row>
    <row r="1767" spans="1:85" ht="14.1" hidden="1" customHeight="1" x14ac:dyDescent="0.3">
      <c r="A1767" s="128" t="s">
        <v>3621</v>
      </c>
      <c r="B1767" s="146">
        <v>46252</v>
      </c>
      <c r="C1767" s="138">
        <v>1732</v>
      </c>
      <c r="D1767" s="128" t="s">
        <v>3688</v>
      </c>
      <c r="E1767" s="129">
        <v>46257</v>
      </c>
      <c r="F1767" s="128" t="s">
        <v>3636</v>
      </c>
      <c r="G1767" s="128" t="s">
        <v>3637</v>
      </c>
      <c r="H1767" s="128" t="s">
        <v>2081</v>
      </c>
      <c r="I1767" s="136"/>
      <c r="J1767" s="138" t="s">
        <v>1146</v>
      </c>
      <c r="K1767" s="136"/>
      <c r="L1767" s="146">
        <v>46252</v>
      </c>
      <c r="M1767" s="136"/>
      <c r="N1767" s="281" t="s">
        <v>3717</v>
      </c>
      <c r="O1767" s="146">
        <v>46256</v>
      </c>
      <c r="P1767" s="138">
        <v>0</v>
      </c>
      <c r="Q1767" s="138">
        <v>140</v>
      </c>
      <c r="R1767" s="138">
        <v>30</v>
      </c>
      <c r="S1767" s="138">
        <v>170</v>
      </c>
      <c r="T1767" s="138">
        <v>170</v>
      </c>
      <c r="U1767" s="136"/>
      <c r="V1767" s="136"/>
      <c r="W1767" s="147">
        <v>103.2</v>
      </c>
      <c r="X1767" s="147">
        <v>103</v>
      </c>
      <c r="Y1767" s="147">
        <v>830760</v>
      </c>
      <c r="Z1767" s="165"/>
      <c r="AA1767" s="169">
        <v>20769</v>
      </c>
      <c r="AB1767" s="169">
        <v>20769</v>
      </c>
      <c r="AC1767" s="169">
        <v>872298</v>
      </c>
      <c r="AD1767" s="493">
        <f t="shared" si="1296"/>
        <v>871425.70200000005</v>
      </c>
      <c r="AE1767" s="147">
        <v>40.409999999999997</v>
      </c>
      <c r="AF1767" s="147">
        <v>39.85</v>
      </c>
      <c r="AG1767" s="147">
        <v>40.409999999999997</v>
      </c>
      <c r="AH1767" s="395">
        <v>1.9E-3</v>
      </c>
      <c r="AI1767" s="287">
        <v>3.2500000000000001E-2</v>
      </c>
      <c r="AJ1767" s="287">
        <v>5.5E-2</v>
      </c>
      <c r="AK1767" s="318">
        <f t="shared" si="1307"/>
        <v>0</v>
      </c>
      <c r="AL1767" s="467">
        <v>0</v>
      </c>
      <c r="AM1767" s="321">
        <v>0</v>
      </c>
      <c r="AN1767" s="321">
        <v>0</v>
      </c>
      <c r="AO1767" s="318">
        <f t="shared" si="1308"/>
        <v>0</v>
      </c>
      <c r="AP1767" s="467">
        <v>0</v>
      </c>
      <c r="AQ1767" s="318">
        <v>0</v>
      </c>
      <c r="AR1767" s="318">
        <f t="shared" si="1309"/>
        <v>0</v>
      </c>
      <c r="AS1767" s="318">
        <f t="shared" si="1310"/>
        <v>0</v>
      </c>
      <c r="AT1767" s="321">
        <v>0</v>
      </c>
      <c r="AU1767" s="464"/>
      <c r="AV1767" s="449"/>
      <c r="AW1767" s="318">
        <f t="shared" si="1311"/>
        <v>10320</v>
      </c>
      <c r="AX1767" s="467"/>
      <c r="AY1767" s="318">
        <f t="shared" si="1312"/>
        <v>10320</v>
      </c>
      <c r="AZ1767" s="318">
        <f t="shared" si="1313"/>
        <v>10300</v>
      </c>
      <c r="BA1767" s="318">
        <f t="shared" si="1314"/>
        <v>20</v>
      </c>
      <c r="BB1767" s="318">
        <f t="shared" si="1315"/>
        <v>20.64</v>
      </c>
      <c r="BC1767" s="318">
        <v>0</v>
      </c>
      <c r="BD1767" s="467"/>
      <c r="BE1767" s="138">
        <v>103.2</v>
      </c>
      <c r="BF1767" s="321">
        <f t="shared" si="1316"/>
        <v>0.15479999999999999</v>
      </c>
      <c r="BG1767" s="321">
        <f t="shared" si="1317"/>
        <v>103.04520000000001</v>
      </c>
      <c r="BH1767" s="321">
        <f t="shared" si="1318"/>
        <v>103</v>
      </c>
      <c r="BI1767" s="322">
        <f t="shared" si="1319"/>
        <v>20.000000000000284</v>
      </c>
      <c r="BJ1767" s="322">
        <v>0</v>
      </c>
      <c r="BK1767" s="318">
        <f t="shared" si="1320"/>
        <v>20.000000000000284</v>
      </c>
      <c r="BL1767" s="449"/>
      <c r="BM1767" s="449" t="str">
        <f t="shared" si="1321"/>
        <v>Unloading no. 1732 Bill No RJT787/2026-27 ,Deduction For Oil Deduction= 0 ,Bardana= 0 ,F.M= 0 Brokerage/Rate Difference 0 ,Shortage = 0 ,Greenish= 0 ,Moisture= 0</v>
      </c>
      <c r="BN1767" s="449"/>
      <c r="BO1767" s="449" t="str">
        <f t="shared" si="1322"/>
        <v xml:space="preserve"> Party Condition 39.85  ,F.M% 0.19 ,Greenish 3.25 ,Moisture 5.5 ,Shortage in KG= 0  ,Oil% 40.41</v>
      </c>
      <c r="BP1767" s="464">
        <f t="shared" si="1323"/>
        <v>8065.6310679611652</v>
      </c>
      <c r="BQ1767" s="449"/>
      <c r="BR1767" s="449"/>
      <c r="BS1767" s="449"/>
      <c r="BT1767" s="449"/>
      <c r="BU1767" s="449"/>
      <c r="BV1767" s="449"/>
      <c r="BW1767" s="449"/>
      <c r="BX1767" s="147">
        <v>0</v>
      </c>
      <c r="BY1767" s="147">
        <v>0</v>
      </c>
    </row>
    <row r="1768" spans="1:85" ht="14.1" hidden="1" customHeight="1" x14ac:dyDescent="0.3">
      <c r="A1768" s="128" t="s">
        <v>3621</v>
      </c>
      <c r="B1768" s="146">
        <v>46252</v>
      </c>
      <c r="C1768" s="138">
        <v>1733</v>
      </c>
      <c r="D1768" s="128" t="s">
        <v>3689</v>
      </c>
      <c r="E1768" s="129">
        <v>46257</v>
      </c>
      <c r="F1768" s="128" t="s">
        <v>3636</v>
      </c>
      <c r="G1768" s="128" t="s">
        <v>3637</v>
      </c>
      <c r="H1768" s="128" t="s">
        <v>2081</v>
      </c>
      <c r="I1768" s="136"/>
      <c r="J1768" s="138" t="s">
        <v>1146</v>
      </c>
      <c r="K1768" s="136"/>
      <c r="L1768" s="146">
        <v>46252</v>
      </c>
      <c r="M1768" s="136"/>
      <c r="N1768" s="281" t="s">
        <v>3718</v>
      </c>
      <c r="O1768" s="146">
        <v>46256</v>
      </c>
      <c r="P1768" s="138">
        <v>0</v>
      </c>
      <c r="Q1768" s="138">
        <v>120</v>
      </c>
      <c r="R1768" s="138">
        <v>50</v>
      </c>
      <c r="S1768" s="138">
        <v>170</v>
      </c>
      <c r="T1768" s="138">
        <v>170</v>
      </c>
      <c r="U1768" s="136"/>
      <c r="V1768" s="136"/>
      <c r="W1768" s="147">
        <v>101.8</v>
      </c>
      <c r="X1768" s="147">
        <v>101.7</v>
      </c>
      <c r="Y1768" s="147">
        <v>819490</v>
      </c>
      <c r="Z1768" s="165"/>
      <c r="AA1768" s="169">
        <v>20487.25</v>
      </c>
      <c r="AB1768" s="169">
        <v>20487.25</v>
      </c>
      <c r="AC1768" s="169">
        <v>860464.5</v>
      </c>
      <c r="AD1768" s="493">
        <f t="shared" si="1296"/>
        <v>859604.0355</v>
      </c>
      <c r="AE1768" s="173">
        <v>40.619999999999997</v>
      </c>
      <c r="AF1768" s="238">
        <v>39.85</v>
      </c>
      <c r="AG1768" s="173">
        <v>40.6</v>
      </c>
      <c r="AH1768" s="395">
        <v>2E-3</v>
      </c>
      <c r="AI1768" s="287">
        <v>3.1800000000000002E-2</v>
      </c>
      <c r="AJ1768" s="287">
        <v>5.2999999999999999E-2</v>
      </c>
      <c r="AK1768" s="318">
        <f t="shared" si="1307"/>
        <v>0</v>
      </c>
      <c r="AL1768" s="467">
        <v>0</v>
      </c>
      <c r="AM1768" s="321">
        <v>0</v>
      </c>
      <c r="AN1768" s="321">
        <v>0</v>
      </c>
      <c r="AO1768" s="318">
        <f t="shared" si="1308"/>
        <v>0</v>
      </c>
      <c r="AP1768" s="467">
        <v>0</v>
      </c>
      <c r="AQ1768" s="318">
        <v>0</v>
      </c>
      <c r="AR1768" s="318">
        <f t="shared" si="1309"/>
        <v>0</v>
      </c>
      <c r="AS1768" s="318">
        <f t="shared" si="1310"/>
        <v>0</v>
      </c>
      <c r="AT1768" s="321">
        <v>0</v>
      </c>
      <c r="AU1768" s="464"/>
      <c r="AV1768" s="453"/>
      <c r="AW1768" s="342">
        <f t="shared" si="1311"/>
        <v>10180</v>
      </c>
      <c r="AX1768" s="473"/>
      <c r="AY1768" s="342">
        <f t="shared" si="1312"/>
        <v>10180</v>
      </c>
      <c r="AZ1768" s="342">
        <f t="shared" si="1313"/>
        <v>10170</v>
      </c>
      <c r="BA1768" s="342">
        <f t="shared" si="1314"/>
        <v>10</v>
      </c>
      <c r="BB1768" s="342">
        <f t="shared" si="1315"/>
        <v>20.36</v>
      </c>
      <c r="BC1768" s="342">
        <v>0</v>
      </c>
      <c r="BD1768" s="473"/>
      <c r="BE1768" s="275">
        <v>101.8</v>
      </c>
      <c r="BF1768" s="345">
        <f t="shared" si="1316"/>
        <v>0.1527</v>
      </c>
      <c r="BG1768" s="345">
        <f t="shared" si="1317"/>
        <v>101.6473</v>
      </c>
      <c r="BH1768" s="345">
        <f t="shared" si="1318"/>
        <v>101.7</v>
      </c>
      <c r="BI1768" s="346">
        <f t="shared" si="1319"/>
        <v>9.9999999999994316</v>
      </c>
      <c r="BJ1768" s="346">
        <v>0</v>
      </c>
      <c r="BK1768" s="342">
        <f t="shared" si="1320"/>
        <v>9.9999999999994316</v>
      </c>
      <c r="BL1768" s="453"/>
      <c r="BM1768" s="453" t="str">
        <f t="shared" si="1321"/>
        <v>Unloading no. 1733 Bill No RJT790/2026-27 ,Deduction For Oil Deduction= 0 ,Bardana= 0 ,F.M= 0 Brokerage/Rate Difference 0 ,Shortage = 0 ,Greenish= 0 ,Moisture= 0</v>
      </c>
      <c r="BN1768" s="453"/>
      <c r="BO1768" s="453" t="str">
        <f t="shared" si="1322"/>
        <v xml:space="preserve"> Party Condition 39.85  ,F.M% 0.2 ,Greenish 3.18 ,Moisture 5.3 ,Shortage in KG= 0  ,Oil% 40.6</v>
      </c>
      <c r="BP1768" s="474">
        <f t="shared" si="1323"/>
        <v>8057.9154375614553</v>
      </c>
      <c r="BQ1768" s="453"/>
      <c r="BR1768" s="453"/>
      <c r="BS1768" s="453"/>
      <c r="BT1768" s="453"/>
      <c r="BU1768" s="453"/>
      <c r="BV1768" s="453"/>
      <c r="BW1768" s="453"/>
      <c r="BX1768" s="178">
        <v>0</v>
      </c>
      <c r="BY1768" s="178">
        <v>0</v>
      </c>
    </row>
    <row r="1769" spans="1:85" ht="14.1" hidden="1" customHeight="1" x14ac:dyDescent="0.3">
      <c r="A1769" s="281" t="s">
        <v>3721</v>
      </c>
      <c r="B1769" s="146">
        <v>46255</v>
      </c>
      <c r="C1769" s="138">
        <v>1734</v>
      </c>
      <c r="D1769" s="281" t="s">
        <v>3725</v>
      </c>
      <c r="E1769" s="130">
        <v>46257</v>
      </c>
      <c r="F1769" s="281" t="s">
        <v>1686</v>
      </c>
      <c r="G1769" s="128" t="s">
        <v>1687</v>
      </c>
      <c r="H1769" s="128" t="s">
        <v>1688</v>
      </c>
      <c r="I1769" s="136"/>
      <c r="J1769" s="138" t="s">
        <v>2499</v>
      </c>
      <c r="K1769" s="136"/>
      <c r="L1769" s="146">
        <v>46255</v>
      </c>
      <c r="M1769" s="136"/>
      <c r="N1769" s="281" t="s">
        <v>3736</v>
      </c>
      <c r="O1769" s="146">
        <v>46255</v>
      </c>
      <c r="P1769" s="138">
        <v>0</v>
      </c>
      <c r="Q1769" s="138">
        <v>250</v>
      </c>
      <c r="R1769" s="138">
        <v>25</v>
      </c>
      <c r="S1769" s="138">
        <v>275</v>
      </c>
      <c r="T1769" s="138">
        <v>275</v>
      </c>
      <c r="U1769" s="136"/>
      <c r="V1769" s="136"/>
      <c r="W1769" s="147">
        <v>165</v>
      </c>
      <c r="X1769" s="147">
        <v>164.6</v>
      </c>
      <c r="Y1769" s="147">
        <v>1386000</v>
      </c>
      <c r="Z1769" s="165"/>
      <c r="AA1769" s="148">
        <v>34650</v>
      </c>
      <c r="AB1769" s="148">
        <v>34650</v>
      </c>
      <c r="AC1769" s="148">
        <v>1455300</v>
      </c>
      <c r="AD1769" s="496">
        <f t="shared" si="1296"/>
        <v>1453844.7</v>
      </c>
      <c r="AE1769" s="147">
        <v>39.19</v>
      </c>
      <c r="AF1769" s="147">
        <v>42</v>
      </c>
      <c r="AG1769" s="147">
        <v>39.17</v>
      </c>
      <c r="AH1769" s="395">
        <v>2.0999999999999999E-3</v>
      </c>
      <c r="AI1769" s="287">
        <v>0.03</v>
      </c>
      <c r="AJ1769" s="287">
        <v>5.5E-2</v>
      </c>
      <c r="AK1769" s="318">
        <f t="shared" ref="AK1769:AK1777" si="1326">+IF(AF1769=42,IF(MIN(AE1769,AG1769)&lt;AF1769,Y1769*((AF1769-MIN(AE1769,AG1769))/AF1769)),IF(MIN(AE1769,AG1769)&lt;AF1769,Y1769*((AF1769-MIN(AE1769,AG1769))/AF1769),0))</f>
        <v>93389.999999999956</v>
      </c>
      <c r="AL1769" s="467">
        <v>0</v>
      </c>
      <c r="AM1769" s="321">
        <v>0</v>
      </c>
      <c r="AN1769" s="321">
        <v>0</v>
      </c>
      <c r="AO1769" s="318">
        <f t="shared" ref="AO1769:AO1784" si="1327">AT1769*Y1769/AW1769</f>
        <v>588</v>
      </c>
      <c r="AP1769" s="467">
        <v>0</v>
      </c>
      <c r="AQ1769" s="318">
        <v>0</v>
      </c>
      <c r="AR1769" s="318">
        <f t="shared" ref="AR1769:AR1777" si="1328">SUM(AK1769:AQ1769)</f>
        <v>93977.999999999956</v>
      </c>
      <c r="AS1769" s="318">
        <f t="shared" ref="AS1769:AS1777" si="1329">ROUND(AR1769*1.05,0)</f>
        <v>98677</v>
      </c>
      <c r="AT1769" s="321">
        <v>7</v>
      </c>
      <c r="AU1769" s="464"/>
      <c r="AV1769" s="449"/>
      <c r="AW1769" s="318">
        <f t="shared" ref="AW1769:AW1777" si="1330">W1769*100</f>
        <v>16500</v>
      </c>
      <c r="AX1769" s="467"/>
      <c r="AY1769" s="318">
        <f t="shared" ref="AY1769:AY1777" si="1331">+AW1769+AX1769</f>
        <v>16500</v>
      </c>
      <c r="AZ1769" s="318">
        <f t="shared" ref="AZ1769:AZ1777" si="1332">X1769*100</f>
        <v>16460</v>
      </c>
      <c r="BA1769" s="318">
        <f t="shared" ref="BA1769:BA1777" si="1333">AY1769-AZ1769</f>
        <v>40</v>
      </c>
      <c r="BB1769" s="318">
        <f t="shared" ref="BB1769:BB1777" si="1334">AW1769*2/1000</f>
        <v>33</v>
      </c>
      <c r="BC1769" s="318">
        <v>0</v>
      </c>
      <c r="BD1769" s="467"/>
      <c r="BE1769" s="138">
        <v>165</v>
      </c>
      <c r="BF1769" s="321">
        <f t="shared" ref="BF1769:BF1777" si="1335">+BE1769*0.15/100</f>
        <v>0.2475</v>
      </c>
      <c r="BG1769" s="321">
        <f t="shared" ref="BG1769:BG1777" si="1336">BE1769-BF1769</f>
        <v>164.7525</v>
      </c>
      <c r="BH1769" s="321">
        <f t="shared" ref="BH1769:BH1777" si="1337">X1769</f>
        <v>164.6</v>
      </c>
      <c r="BI1769" s="322">
        <f t="shared" ref="BI1769:BI1777" si="1338">(BE1769-BH1769)*100</f>
        <v>40.000000000000568</v>
      </c>
      <c r="BJ1769" s="322">
        <v>0</v>
      </c>
      <c r="BK1769" s="318">
        <f t="shared" ref="BK1769:BK1777" si="1339">BI1769</f>
        <v>40.000000000000568</v>
      </c>
      <c r="BL1769" s="449"/>
      <c r="BM1769" s="449" t="str">
        <f t="shared" ref="BM1769:BM1777" si="1340">+$C$1&amp;" "&amp;C1769 &amp;" "&amp;$N$1&amp;" "&amp;N1769&amp;" "&amp;$BM$1&amp;" "&amp;$AK$1&amp;" "&amp;AK1769&amp;" "&amp;$AL$1&amp;" "&amp;AL1769&amp;" "&amp;$AM$1&amp;" "&amp;AM1769&amp;" "&amp;$AN$1&amp;" "&amp;AN1769&amp;" "&amp;$AO$1&amp;" "&amp;AO1769&amp;" "&amp;$AP$1&amp;" "&amp;AP1769&amp;" "&amp;$AQ$1&amp;" "&amp;AQ1769</f>
        <v>Unloading no. 1734 Bill No KAI/2026-27/199 ,Deduction For Oil Deduction= 93390 ,Bardana= 0 ,F.M= 0 Brokerage/Rate Difference 0 ,Shortage = 588 ,Greenish= 0 ,Moisture= 0</v>
      </c>
      <c r="BN1769" s="449"/>
      <c r="BO1769" s="449" t="str">
        <f t="shared" ref="BO1769:BO1777" si="1341">+" "&amp;$AF$1&amp;" "&amp;AF1769&amp;" "&amp;" "&amp;$AH$1&amp;" "&amp;AH1769*100&amp;" "&amp;$AI$1&amp;" "&amp;AI1769*100&amp;" "&amp;$AJ$1&amp;" "&amp;AJ1769*100&amp;" ,"&amp;$AT$1&amp;" "&amp;AT1769&amp;" "&amp;IF(AE1769&gt;AG1769," ,Oil%"&amp;" "&amp;AG1769," ,Oil%"&amp;" "&amp;AE1769)</f>
        <v xml:space="preserve"> Party Condition 42  ,F.M% 0.21 ,Greenish 3 ,Moisture 5.5 ,Shortage in KG= 7  ,Oil% 39.17</v>
      </c>
      <c r="BP1769" s="464">
        <f t="shared" ref="BP1769:BP1777" si="1342">(Y1769-AR1769)/X1769</f>
        <v>7849.4653705953833</v>
      </c>
      <c r="BQ1769" s="449"/>
      <c r="BR1769" s="449"/>
      <c r="BS1769" s="449"/>
      <c r="BT1769" s="449"/>
      <c r="BU1769" s="449"/>
      <c r="BV1769" s="449"/>
      <c r="BW1769" s="449"/>
      <c r="BX1769" s="147">
        <v>0</v>
      </c>
      <c r="BY1769" s="147">
        <v>0</v>
      </c>
    </row>
    <row r="1770" spans="1:85" ht="14.1" hidden="1" customHeight="1" x14ac:dyDescent="0.3">
      <c r="A1770" s="281" t="s">
        <v>3721</v>
      </c>
      <c r="B1770" s="146">
        <v>46255</v>
      </c>
      <c r="C1770" s="138">
        <v>1735</v>
      </c>
      <c r="D1770" s="281" t="s">
        <v>3726</v>
      </c>
      <c r="E1770" s="130">
        <v>46257</v>
      </c>
      <c r="F1770" s="281" t="s">
        <v>1686</v>
      </c>
      <c r="G1770" s="128" t="s">
        <v>1687</v>
      </c>
      <c r="H1770" s="128" t="s">
        <v>1688</v>
      </c>
      <c r="I1770" s="136"/>
      <c r="J1770" s="138" t="s">
        <v>2499</v>
      </c>
      <c r="K1770" s="136"/>
      <c r="L1770" s="146">
        <v>46255</v>
      </c>
      <c r="M1770" s="136"/>
      <c r="N1770" s="281" t="s">
        <v>3737</v>
      </c>
      <c r="O1770" s="146">
        <v>46255</v>
      </c>
      <c r="P1770" s="138">
        <v>0</v>
      </c>
      <c r="Q1770" s="138">
        <v>200</v>
      </c>
      <c r="R1770" s="138">
        <v>75</v>
      </c>
      <c r="S1770" s="138">
        <v>275</v>
      </c>
      <c r="T1770" s="138">
        <v>275</v>
      </c>
      <c r="U1770" s="136"/>
      <c r="V1770" s="136"/>
      <c r="W1770" s="147">
        <v>164.9</v>
      </c>
      <c r="X1770" s="147">
        <v>164.7</v>
      </c>
      <c r="Y1770" s="147">
        <v>1385160</v>
      </c>
      <c r="Z1770" s="165"/>
      <c r="AA1770" s="148">
        <v>34629</v>
      </c>
      <c r="AB1770" s="148">
        <v>34629</v>
      </c>
      <c r="AC1770" s="148">
        <v>1454418</v>
      </c>
      <c r="AD1770" s="496">
        <f t="shared" si="1296"/>
        <v>1452963.5819999999</v>
      </c>
      <c r="AE1770" s="147">
        <v>39.700000000000003</v>
      </c>
      <c r="AF1770" s="147">
        <v>42</v>
      </c>
      <c r="AG1770" s="147">
        <v>39.58</v>
      </c>
      <c r="AH1770" s="395">
        <v>1.5E-3</v>
      </c>
      <c r="AI1770" s="287">
        <v>3.1E-2</v>
      </c>
      <c r="AJ1770" s="287">
        <v>5.8000000000000003E-2</v>
      </c>
      <c r="AK1770" s="318">
        <f t="shared" si="1326"/>
        <v>79811.600000000049</v>
      </c>
      <c r="AL1770" s="467">
        <v>0</v>
      </c>
      <c r="AM1770" s="321">
        <v>0</v>
      </c>
      <c r="AN1770" s="321">
        <v>0</v>
      </c>
      <c r="AO1770" s="318">
        <f t="shared" si="1327"/>
        <v>0</v>
      </c>
      <c r="AP1770" s="467">
        <v>0</v>
      </c>
      <c r="AQ1770" s="318">
        <v>0</v>
      </c>
      <c r="AR1770" s="318">
        <f t="shared" si="1328"/>
        <v>79811.600000000049</v>
      </c>
      <c r="AS1770" s="318">
        <f t="shared" si="1329"/>
        <v>83802</v>
      </c>
      <c r="AT1770" s="321">
        <v>0</v>
      </c>
      <c r="AU1770" s="464"/>
      <c r="AV1770" s="449"/>
      <c r="AW1770" s="318">
        <f t="shared" si="1330"/>
        <v>16490</v>
      </c>
      <c r="AX1770" s="467"/>
      <c r="AY1770" s="318">
        <f t="shared" si="1331"/>
        <v>16490</v>
      </c>
      <c r="AZ1770" s="318">
        <f t="shared" si="1332"/>
        <v>16470</v>
      </c>
      <c r="BA1770" s="318">
        <f t="shared" si="1333"/>
        <v>20</v>
      </c>
      <c r="BB1770" s="318">
        <f t="shared" si="1334"/>
        <v>32.979999999999997</v>
      </c>
      <c r="BC1770" s="318">
        <v>0</v>
      </c>
      <c r="BD1770" s="467"/>
      <c r="BE1770" s="138">
        <v>164.9</v>
      </c>
      <c r="BF1770" s="321">
        <f t="shared" si="1335"/>
        <v>0.24734999999999999</v>
      </c>
      <c r="BG1770" s="321">
        <f t="shared" si="1336"/>
        <v>164.65264999999999</v>
      </c>
      <c r="BH1770" s="321">
        <f t="shared" si="1337"/>
        <v>164.7</v>
      </c>
      <c r="BI1770" s="322">
        <f t="shared" si="1338"/>
        <v>20.000000000001705</v>
      </c>
      <c r="BJ1770" s="322">
        <v>0</v>
      </c>
      <c r="BK1770" s="318">
        <f t="shared" si="1339"/>
        <v>20.000000000001705</v>
      </c>
      <c r="BL1770" s="449"/>
      <c r="BM1770" s="449" t="str">
        <f t="shared" si="1340"/>
        <v>Unloading no. 1735 Bill No KAI/2026-27/198 ,Deduction For Oil Deduction= 79811.6 ,Bardana= 0 ,F.M= 0 Brokerage/Rate Difference 0 ,Shortage = 0 ,Greenish= 0 ,Moisture= 0</v>
      </c>
      <c r="BN1770" s="449"/>
      <c r="BO1770" s="449" t="str">
        <f t="shared" si="1341"/>
        <v xml:space="preserve"> Party Condition 42  ,F.M% 0.15 ,Greenish 3.1 ,Moisture 5.8 ,Shortage in KG= 0  ,Oil% 39.58</v>
      </c>
      <c r="BP1770" s="464">
        <f t="shared" si="1342"/>
        <v>7925.6126290224647</v>
      </c>
      <c r="BQ1770" s="449"/>
      <c r="BR1770" s="449"/>
      <c r="BS1770" s="449"/>
      <c r="BT1770" s="449"/>
      <c r="BU1770" s="449"/>
      <c r="BV1770" s="449"/>
      <c r="BW1770" s="449"/>
      <c r="BX1770" s="147">
        <v>0</v>
      </c>
      <c r="BY1770" s="147">
        <v>0</v>
      </c>
    </row>
    <row r="1771" spans="1:85" ht="14.1" hidden="1" customHeight="1" x14ac:dyDescent="0.3">
      <c r="A1771" s="281" t="s">
        <v>3722</v>
      </c>
      <c r="B1771" s="146">
        <v>46255</v>
      </c>
      <c r="C1771" s="138">
        <v>1736</v>
      </c>
      <c r="D1771" s="281" t="s">
        <v>3727</v>
      </c>
      <c r="E1771" s="130">
        <v>46257</v>
      </c>
      <c r="F1771" s="281" t="s">
        <v>1807</v>
      </c>
      <c r="G1771" s="128" t="s">
        <v>1808</v>
      </c>
      <c r="H1771" s="128" t="s">
        <v>100</v>
      </c>
      <c r="I1771" s="136"/>
      <c r="J1771" s="138" t="s">
        <v>2499</v>
      </c>
      <c r="K1771" s="136"/>
      <c r="L1771" s="146">
        <v>46255</v>
      </c>
      <c r="M1771" s="136"/>
      <c r="N1771" s="281" t="s">
        <v>1169</v>
      </c>
      <c r="O1771" s="146">
        <v>46256</v>
      </c>
      <c r="P1771" s="138">
        <v>0</v>
      </c>
      <c r="Q1771" s="138">
        <v>350</v>
      </c>
      <c r="R1771" s="138">
        <v>65</v>
      </c>
      <c r="S1771" s="138">
        <v>415</v>
      </c>
      <c r="T1771" s="138">
        <v>415</v>
      </c>
      <c r="U1771" s="136"/>
      <c r="V1771" s="136"/>
      <c r="W1771" s="147">
        <v>250</v>
      </c>
      <c r="X1771" s="147">
        <v>249.3</v>
      </c>
      <c r="Y1771" s="147">
        <v>2100000</v>
      </c>
      <c r="Z1771" s="165"/>
      <c r="AA1771" s="148">
        <v>52500</v>
      </c>
      <c r="AB1771" s="148">
        <v>52500</v>
      </c>
      <c r="AC1771" s="148">
        <v>2205000</v>
      </c>
      <c r="AD1771" s="496">
        <f t="shared" si="1296"/>
        <v>2202795</v>
      </c>
      <c r="AE1771" s="147">
        <v>39.26</v>
      </c>
      <c r="AF1771" s="147">
        <v>42</v>
      </c>
      <c r="AG1771" s="147">
        <v>39.32</v>
      </c>
      <c r="AH1771" s="395">
        <v>2.3999999999999998E-3</v>
      </c>
      <c r="AI1771" s="287">
        <v>3.32E-2</v>
      </c>
      <c r="AJ1771" s="287">
        <v>5.8000000000000003E-2</v>
      </c>
      <c r="AK1771" s="318">
        <f t="shared" si="1326"/>
        <v>137000.00000000012</v>
      </c>
      <c r="AL1771" s="467">
        <v>0</v>
      </c>
      <c r="AM1771" s="321">
        <v>0</v>
      </c>
      <c r="AN1771" s="321">
        <v>0</v>
      </c>
      <c r="AO1771" s="318">
        <f t="shared" si="1327"/>
        <v>1680</v>
      </c>
      <c r="AP1771" s="467">
        <v>0</v>
      </c>
      <c r="AQ1771" s="318">
        <v>0</v>
      </c>
      <c r="AR1771" s="318">
        <f t="shared" si="1328"/>
        <v>138680.00000000012</v>
      </c>
      <c r="AS1771" s="318">
        <f t="shared" si="1329"/>
        <v>145614</v>
      </c>
      <c r="AT1771" s="321">
        <v>20</v>
      </c>
      <c r="AU1771" s="464"/>
      <c r="AV1771" s="449"/>
      <c r="AW1771" s="318">
        <f t="shared" si="1330"/>
        <v>25000</v>
      </c>
      <c r="AX1771" s="467"/>
      <c r="AY1771" s="318">
        <f t="shared" si="1331"/>
        <v>25000</v>
      </c>
      <c r="AZ1771" s="318">
        <f t="shared" si="1332"/>
        <v>24930</v>
      </c>
      <c r="BA1771" s="318">
        <f t="shared" si="1333"/>
        <v>70</v>
      </c>
      <c r="BB1771" s="318">
        <f t="shared" si="1334"/>
        <v>50</v>
      </c>
      <c r="BC1771" s="318">
        <v>0</v>
      </c>
      <c r="BD1771" s="467"/>
      <c r="BE1771" s="138">
        <v>250</v>
      </c>
      <c r="BF1771" s="321">
        <f t="shared" si="1335"/>
        <v>0.375</v>
      </c>
      <c r="BG1771" s="321">
        <f t="shared" si="1336"/>
        <v>249.625</v>
      </c>
      <c r="BH1771" s="321">
        <f t="shared" si="1337"/>
        <v>249.3</v>
      </c>
      <c r="BI1771" s="322">
        <f t="shared" si="1338"/>
        <v>69.999999999998863</v>
      </c>
      <c r="BJ1771" s="322">
        <v>0</v>
      </c>
      <c r="BK1771" s="318">
        <f t="shared" si="1339"/>
        <v>69.999999999998863</v>
      </c>
      <c r="BL1771" s="449"/>
      <c r="BM1771" s="449" t="str">
        <f t="shared" si="1340"/>
        <v>Unloading no. 1736 Bill No 2026-27/37 ,Deduction For Oil Deduction= 137000 ,Bardana= 0 ,F.M= 0 Brokerage/Rate Difference 0 ,Shortage = 1680 ,Greenish= 0 ,Moisture= 0</v>
      </c>
      <c r="BN1771" s="449"/>
      <c r="BO1771" s="449" t="str">
        <f t="shared" si="1341"/>
        <v xml:space="preserve"> Party Condition 42  ,F.M% 0.24 ,Greenish 3.32 ,Moisture 5.8 ,Shortage in KG= 20  ,Oil% 39.26</v>
      </c>
      <c r="BP1771" s="464">
        <f t="shared" si="1342"/>
        <v>7867.3084636983549</v>
      </c>
      <c r="BQ1771" s="449"/>
      <c r="BR1771" s="449"/>
      <c r="BS1771" s="449"/>
      <c r="BT1771" s="449"/>
      <c r="BU1771" s="449"/>
      <c r="BV1771" s="449"/>
      <c r="BW1771" s="449"/>
      <c r="BX1771" s="147">
        <v>0</v>
      </c>
      <c r="BY1771" s="147">
        <v>0</v>
      </c>
    </row>
    <row r="1772" spans="1:85" ht="14.1" hidden="1" customHeight="1" x14ac:dyDescent="0.3">
      <c r="A1772" s="281" t="s">
        <v>3723</v>
      </c>
      <c r="B1772" s="146">
        <v>46255</v>
      </c>
      <c r="C1772" s="138">
        <v>1737</v>
      </c>
      <c r="D1772" s="281" t="s">
        <v>3728</v>
      </c>
      <c r="E1772" s="130">
        <v>46257</v>
      </c>
      <c r="F1772" s="281" t="s">
        <v>1691</v>
      </c>
      <c r="G1772" s="128" t="s">
        <v>1692</v>
      </c>
      <c r="H1772" s="128" t="s">
        <v>1693</v>
      </c>
      <c r="I1772" s="136"/>
      <c r="J1772" s="138" t="s">
        <v>1146</v>
      </c>
      <c r="K1772" s="136"/>
      <c r="L1772" s="146">
        <v>46255</v>
      </c>
      <c r="M1772" s="136"/>
      <c r="N1772" s="281" t="s">
        <v>1394</v>
      </c>
      <c r="O1772" s="146">
        <v>46256</v>
      </c>
      <c r="P1772" s="138">
        <v>0</v>
      </c>
      <c r="Q1772" s="138">
        <v>450</v>
      </c>
      <c r="R1772" s="138">
        <v>50</v>
      </c>
      <c r="S1772" s="138">
        <v>500</v>
      </c>
      <c r="T1772" s="138">
        <v>500</v>
      </c>
      <c r="U1772" s="136"/>
      <c r="V1772" s="136"/>
      <c r="W1772" s="147">
        <v>304.3</v>
      </c>
      <c r="X1772" s="147">
        <v>303.39999999999998</v>
      </c>
      <c r="Y1772" s="147">
        <v>2464830</v>
      </c>
      <c r="Z1772" s="165"/>
      <c r="AA1772" s="148">
        <v>61620.75</v>
      </c>
      <c r="AB1772" s="148">
        <v>61620.75</v>
      </c>
      <c r="AC1772" s="148">
        <v>2588071.5</v>
      </c>
      <c r="AD1772" s="496">
        <f t="shared" si="1296"/>
        <v>2585483.4284999999</v>
      </c>
      <c r="AE1772" s="147">
        <v>40.01</v>
      </c>
      <c r="AF1772" s="147">
        <v>40.5</v>
      </c>
      <c r="AG1772" s="147">
        <v>39.97</v>
      </c>
      <c r="AH1772" s="395">
        <v>2.0999999999999999E-3</v>
      </c>
      <c r="AI1772" s="287">
        <v>0.03</v>
      </c>
      <c r="AJ1772" s="287">
        <v>5.8999999999999997E-2</v>
      </c>
      <c r="AK1772" s="318">
        <f t="shared" si="1326"/>
        <v>32255.800000000068</v>
      </c>
      <c r="AL1772" s="467">
        <v>0</v>
      </c>
      <c r="AM1772" s="321">
        <v>0</v>
      </c>
      <c r="AN1772" s="321">
        <v>0</v>
      </c>
      <c r="AO1772" s="318">
        <f t="shared" si="1327"/>
        <v>2349</v>
      </c>
      <c r="AP1772" s="467">
        <v>0</v>
      </c>
      <c r="AQ1772" s="318">
        <v>0</v>
      </c>
      <c r="AR1772" s="318">
        <f t="shared" si="1328"/>
        <v>34604.800000000068</v>
      </c>
      <c r="AS1772" s="318">
        <f t="shared" si="1329"/>
        <v>36335</v>
      </c>
      <c r="AT1772" s="321">
        <v>29</v>
      </c>
      <c r="AU1772" s="464"/>
      <c r="AV1772" s="449"/>
      <c r="AW1772" s="318">
        <f t="shared" si="1330"/>
        <v>30430</v>
      </c>
      <c r="AX1772" s="467"/>
      <c r="AY1772" s="318">
        <f t="shared" si="1331"/>
        <v>30430</v>
      </c>
      <c r="AZ1772" s="318">
        <f t="shared" si="1332"/>
        <v>30339.999999999996</v>
      </c>
      <c r="BA1772" s="318">
        <f t="shared" si="1333"/>
        <v>90.000000000003638</v>
      </c>
      <c r="BB1772" s="318">
        <f t="shared" si="1334"/>
        <v>60.86</v>
      </c>
      <c r="BC1772" s="318">
        <v>0</v>
      </c>
      <c r="BD1772" s="467"/>
      <c r="BE1772" s="138">
        <v>304.3</v>
      </c>
      <c r="BF1772" s="321">
        <f t="shared" si="1335"/>
        <v>0.45645000000000002</v>
      </c>
      <c r="BG1772" s="321">
        <f t="shared" si="1336"/>
        <v>303.84354999999999</v>
      </c>
      <c r="BH1772" s="321">
        <f t="shared" si="1337"/>
        <v>303.39999999999998</v>
      </c>
      <c r="BI1772" s="322">
        <f t="shared" si="1338"/>
        <v>90.000000000003411</v>
      </c>
      <c r="BJ1772" s="322">
        <v>0</v>
      </c>
      <c r="BK1772" s="318">
        <f t="shared" si="1339"/>
        <v>90.000000000003411</v>
      </c>
      <c r="BL1772" s="449"/>
      <c r="BM1772" s="449" t="str">
        <f t="shared" si="1340"/>
        <v>Unloading no. 1737 Bill No 2026-27/96 ,Deduction For Oil Deduction= 32255.8000000001 ,Bardana= 0 ,F.M= 0 Brokerage/Rate Difference 0 ,Shortage = 2349 ,Greenish= 0 ,Moisture= 0</v>
      </c>
      <c r="BN1772" s="449"/>
      <c r="BO1772" s="449" t="str">
        <f t="shared" si="1341"/>
        <v xml:space="preserve"> Party Condition 40.5  ,F.M% 0.21 ,Greenish 3 ,Moisture 5.9 ,Shortage in KG= 29  ,Oil% 39.97</v>
      </c>
      <c r="BP1772" s="464">
        <f t="shared" si="1342"/>
        <v>8009.9709953856291</v>
      </c>
      <c r="BQ1772" s="449"/>
      <c r="BR1772" s="449"/>
      <c r="BS1772" s="449"/>
      <c r="BT1772" s="449"/>
      <c r="BU1772" s="449"/>
      <c r="BV1772" s="449"/>
      <c r="BW1772" s="449"/>
      <c r="BX1772" s="147">
        <v>0</v>
      </c>
      <c r="BY1772" s="147">
        <v>0</v>
      </c>
    </row>
    <row r="1773" spans="1:85" ht="14.1" hidden="1" customHeight="1" x14ac:dyDescent="0.3">
      <c r="A1773" s="281" t="s">
        <v>3650</v>
      </c>
      <c r="B1773" s="146">
        <v>46255</v>
      </c>
      <c r="C1773" s="138">
        <v>1738</v>
      </c>
      <c r="D1773" s="281" t="s">
        <v>3729</v>
      </c>
      <c r="E1773" s="130">
        <v>46257</v>
      </c>
      <c r="F1773" s="281" t="s">
        <v>2190</v>
      </c>
      <c r="G1773" s="128" t="s">
        <v>2191</v>
      </c>
      <c r="H1773" s="128" t="s">
        <v>97</v>
      </c>
      <c r="I1773" s="136"/>
      <c r="J1773" s="138" t="s">
        <v>2499</v>
      </c>
      <c r="K1773" s="136"/>
      <c r="L1773" s="146">
        <v>46255</v>
      </c>
      <c r="M1773" s="136"/>
      <c r="N1773" s="281" t="s">
        <v>3020</v>
      </c>
      <c r="O1773" s="146">
        <v>46256</v>
      </c>
      <c r="P1773" s="138">
        <v>0</v>
      </c>
      <c r="Q1773" s="138">
        <v>345</v>
      </c>
      <c r="R1773" s="138">
        <v>70</v>
      </c>
      <c r="S1773" s="138">
        <v>415</v>
      </c>
      <c r="T1773" s="138">
        <v>415</v>
      </c>
      <c r="U1773" s="136"/>
      <c r="V1773" s="136"/>
      <c r="W1773" s="147">
        <v>252.2</v>
      </c>
      <c r="X1773" s="147">
        <v>252</v>
      </c>
      <c r="Y1773" s="147">
        <v>2118480</v>
      </c>
      <c r="Z1773" s="165"/>
      <c r="AA1773" s="148">
        <v>52962</v>
      </c>
      <c r="AB1773" s="148">
        <v>52962</v>
      </c>
      <c r="AC1773" s="148">
        <v>2224404</v>
      </c>
      <c r="AD1773" s="496">
        <f t="shared" si="1296"/>
        <v>2222179.5959999999</v>
      </c>
      <c r="AE1773" s="147">
        <v>40.299999999999997</v>
      </c>
      <c r="AF1773" s="147">
        <v>42</v>
      </c>
      <c r="AG1773" s="147">
        <v>40.299999999999997</v>
      </c>
      <c r="AH1773" s="395">
        <v>3.0000000000000001E-3</v>
      </c>
      <c r="AI1773" s="287">
        <v>3.1E-2</v>
      </c>
      <c r="AJ1773" s="287">
        <v>5.8000000000000003E-2</v>
      </c>
      <c r="AK1773" s="318">
        <f t="shared" si="1326"/>
        <v>85748.000000000131</v>
      </c>
      <c r="AL1773" s="467">
        <v>0</v>
      </c>
      <c r="AM1773" s="321">
        <v>0</v>
      </c>
      <c r="AN1773" s="321">
        <v>0</v>
      </c>
      <c r="AO1773" s="318">
        <f t="shared" si="1327"/>
        <v>0</v>
      </c>
      <c r="AP1773" s="467">
        <v>0</v>
      </c>
      <c r="AQ1773" s="318">
        <v>0</v>
      </c>
      <c r="AR1773" s="318">
        <f t="shared" si="1328"/>
        <v>85748.000000000131</v>
      </c>
      <c r="AS1773" s="318">
        <f t="shared" si="1329"/>
        <v>90035</v>
      </c>
      <c r="AT1773" s="321">
        <v>0</v>
      </c>
      <c r="AU1773" s="464"/>
      <c r="AV1773" s="449"/>
      <c r="AW1773" s="318">
        <f t="shared" si="1330"/>
        <v>25220</v>
      </c>
      <c r="AX1773" s="467"/>
      <c r="AY1773" s="318">
        <f t="shared" si="1331"/>
        <v>25220</v>
      </c>
      <c r="AZ1773" s="318">
        <f t="shared" si="1332"/>
        <v>25200</v>
      </c>
      <c r="BA1773" s="318">
        <f t="shared" si="1333"/>
        <v>20</v>
      </c>
      <c r="BB1773" s="318">
        <f t="shared" si="1334"/>
        <v>50.44</v>
      </c>
      <c r="BC1773" s="318">
        <v>0</v>
      </c>
      <c r="BD1773" s="467"/>
      <c r="BE1773" s="138">
        <v>252.2</v>
      </c>
      <c r="BF1773" s="321">
        <f t="shared" si="1335"/>
        <v>0.37829999999999997</v>
      </c>
      <c r="BG1773" s="321">
        <f t="shared" si="1336"/>
        <v>251.82169999999999</v>
      </c>
      <c r="BH1773" s="321">
        <f t="shared" si="1337"/>
        <v>252</v>
      </c>
      <c r="BI1773" s="322">
        <f t="shared" si="1338"/>
        <v>19.999999999998863</v>
      </c>
      <c r="BJ1773" s="322">
        <v>0</v>
      </c>
      <c r="BK1773" s="318">
        <f t="shared" si="1339"/>
        <v>19.999999999998863</v>
      </c>
      <c r="BL1773" s="449"/>
      <c r="BM1773" s="449" t="str">
        <f t="shared" si="1340"/>
        <v>Unloading no. 1738 Bill No 2026-27/462 ,Deduction For Oil Deduction= 85748.0000000001 ,Bardana= 0 ,F.M= 0 Brokerage/Rate Difference 0 ,Shortage = 0 ,Greenish= 0 ,Moisture= 0</v>
      </c>
      <c r="BN1773" s="449"/>
      <c r="BO1773" s="449" t="str">
        <f t="shared" si="1341"/>
        <v xml:space="preserve"> Party Condition 42  ,F.M% 0.3 ,Greenish 3.1 ,Moisture 5.8 ,Shortage in KG= 0  ,Oil% 40.3</v>
      </c>
      <c r="BP1773" s="464">
        <f t="shared" si="1342"/>
        <v>8066.3968253968242</v>
      </c>
      <c r="BQ1773" s="449"/>
      <c r="BR1773" s="449"/>
      <c r="BS1773" s="449"/>
      <c r="BT1773" s="449"/>
      <c r="BU1773" s="449"/>
      <c r="BV1773" s="449"/>
      <c r="BW1773" s="449"/>
      <c r="BX1773" s="147">
        <v>0</v>
      </c>
      <c r="BY1773" s="147">
        <v>0</v>
      </c>
    </row>
    <row r="1774" spans="1:85" ht="14.1" hidden="1" customHeight="1" x14ac:dyDescent="0.3">
      <c r="A1774" s="281" t="s">
        <v>3619</v>
      </c>
      <c r="B1774" s="146">
        <v>46254</v>
      </c>
      <c r="C1774" s="187">
        <v>1739</v>
      </c>
      <c r="D1774" s="282" t="s">
        <v>3730</v>
      </c>
      <c r="E1774" s="166">
        <v>46257</v>
      </c>
      <c r="F1774" s="282" t="s">
        <v>1807</v>
      </c>
      <c r="G1774" s="163" t="s">
        <v>1808</v>
      </c>
      <c r="H1774" s="163" t="s">
        <v>100</v>
      </c>
      <c r="I1774" s="157"/>
      <c r="J1774" s="187" t="s">
        <v>1146</v>
      </c>
      <c r="K1774" s="157"/>
      <c r="L1774" s="171">
        <v>46254</v>
      </c>
      <c r="M1774" s="157"/>
      <c r="N1774" s="282" t="s">
        <v>1167</v>
      </c>
      <c r="O1774" s="171">
        <v>46256</v>
      </c>
      <c r="P1774" s="187">
        <v>0</v>
      </c>
      <c r="Q1774" s="187">
        <v>600</v>
      </c>
      <c r="R1774" s="187">
        <v>131</v>
      </c>
      <c r="S1774" s="187">
        <v>731</v>
      </c>
      <c r="T1774" s="187">
        <v>731</v>
      </c>
      <c r="U1774" s="157"/>
      <c r="V1774" s="157"/>
      <c r="W1774" s="238">
        <v>402.95</v>
      </c>
      <c r="X1774" s="238">
        <v>402.7</v>
      </c>
      <c r="Y1774" s="238">
        <v>3388809.5</v>
      </c>
      <c r="Z1774" s="165"/>
      <c r="AA1774" s="148">
        <v>84720.24</v>
      </c>
      <c r="AB1774" s="148">
        <v>84720.24</v>
      </c>
      <c r="AC1774" s="148">
        <v>3558249.98</v>
      </c>
      <c r="AD1774" s="496">
        <f t="shared" si="1296"/>
        <v>3554691.7300200001</v>
      </c>
      <c r="AE1774" s="147">
        <v>40</v>
      </c>
      <c r="AF1774" s="147">
        <v>42</v>
      </c>
      <c r="AG1774" s="147">
        <v>39.880000000000003</v>
      </c>
      <c r="AH1774" s="395">
        <v>2.8E-3</v>
      </c>
      <c r="AI1774" s="287">
        <v>0.03</v>
      </c>
      <c r="AJ1774" s="287">
        <v>5.5E-2</v>
      </c>
      <c r="AK1774" s="318">
        <f t="shared" si="1326"/>
        <v>171054.1938095236</v>
      </c>
      <c r="AL1774" s="467">
        <v>0</v>
      </c>
      <c r="AM1774" s="321">
        <v>0</v>
      </c>
      <c r="AN1774" s="321">
        <f>100*10</f>
        <v>1000</v>
      </c>
      <c r="AO1774" s="318">
        <f t="shared" si="1327"/>
        <v>0</v>
      </c>
      <c r="AP1774" s="467">
        <v>0</v>
      </c>
      <c r="AQ1774" s="318">
        <v>0</v>
      </c>
      <c r="AR1774" s="318">
        <f t="shared" si="1328"/>
        <v>172054.1938095236</v>
      </c>
      <c r="AS1774" s="318">
        <f t="shared" si="1329"/>
        <v>180657</v>
      </c>
      <c r="AT1774" s="321">
        <v>0</v>
      </c>
      <c r="AU1774" s="494" t="s">
        <v>3738</v>
      </c>
      <c r="AV1774" s="449"/>
      <c r="AW1774" s="318">
        <f t="shared" si="1330"/>
        <v>40295</v>
      </c>
      <c r="AX1774" s="467"/>
      <c r="AY1774" s="318">
        <f t="shared" si="1331"/>
        <v>40295</v>
      </c>
      <c r="AZ1774" s="318">
        <f t="shared" si="1332"/>
        <v>40270</v>
      </c>
      <c r="BA1774" s="318">
        <f t="shared" si="1333"/>
        <v>25</v>
      </c>
      <c r="BB1774" s="318">
        <f t="shared" si="1334"/>
        <v>80.59</v>
      </c>
      <c r="BC1774" s="318">
        <v>0</v>
      </c>
      <c r="BD1774" s="467"/>
      <c r="BE1774" s="138">
        <v>402.95</v>
      </c>
      <c r="BF1774" s="321">
        <f t="shared" si="1335"/>
        <v>0.60442499999999999</v>
      </c>
      <c r="BG1774" s="321">
        <f t="shared" si="1336"/>
        <v>402.345575</v>
      </c>
      <c r="BH1774" s="321">
        <f t="shared" si="1337"/>
        <v>402.7</v>
      </c>
      <c r="BI1774" s="322">
        <f t="shared" si="1338"/>
        <v>25</v>
      </c>
      <c r="BJ1774" s="322">
        <v>0</v>
      </c>
      <c r="BK1774" s="318">
        <f t="shared" si="1339"/>
        <v>25</v>
      </c>
      <c r="BL1774" s="449"/>
      <c r="BM1774" s="449" t="str">
        <f t="shared" si="1340"/>
        <v>Unloading no. 1739 Bill No 2026-27/38 ,Deduction For Oil Deduction= 171054.193809524 ,Bardana= 0 ,F.M= 0 Brokerage/Rate Difference 1000 ,Shortage = 0 ,Greenish= 0 ,Moisture= 0</v>
      </c>
      <c r="BN1774" s="449"/>
      <c r="BO1774" s="449" t="str">
        <f t="shared" si="1341"/>
        <v xml:space="preserve"> Party Condition 42  ,F.M% 0.28 ,Greenish 3 ,Moisture 5.5 ,Shortage in KG= 0  ,Oil% 39.88</v>
      </c>
      <c r="BP1774" s="464">
        <f t="shared" si="1342"/>
        <v>7987.9694715432743</v>
      </c>
      <c r="BQ1774" s="449"/>
      <c r="BR1774" s="449"/>
      <c r="BS1774" s="449"/>
      <c r="BT1774" s="449"/>
      <c r="BU1774" s="449"/>
      <c r="BV1774" s="449"/>
      <c r="BW1774" s="449"/>
      <c r="BX1774" s="147">
        <v>0</v>
      </c>
      <c r="BY1774" s="147">
        <v>0</v>
      </c>
    </row>
    <row r="1775" spans="1:85" ht="14.1" hidden="1" customHeight="1" x14ac:dyDescent="0.3">
      <c r="A1775" s="281" t="s">
        <v>3722</v>
      </c>
      <c r="B1775" s="146">
        <v>46255</v>
      </c>
      <c r="C1775" s="187">
        <v>1739</v>
      </c>
      <c r="D1775" s="282" t="s">
        <v>3730</v>
      </c>
      <c r="E1775" s="166">
        <v>46257</v>
      </c>
      <c r="F1775" s="282" t="s">
        <v>1807</v>
      </c>
      <c r="G1775" s="163" t="s">
        <v>1808</v>
      </c>
      <c r="H1775" s="163" t="s">
        <v>100</v>
      </c>
      <c r="I1775" s="157"/>
      <c r="J1775" s="187" t="s">
        <v>1146</v>
      </c>
      <c r="K1775" s="157"/>
      <c r="L1775" s="171">
        <v>46255</v>
      </c>
      <c r="M1775" s="157"/>
      <c r="N1775" s="282" t="s">
        <v>1167</v>
      </c>
      <c r="O1775" s="171">
        <v>46256</v>
      </c>
      <c r="P1775" s="187">
        <v>0</v>
      </c>
      <c r="Q1775" s="187">
        <v>0</v>
      </c>
      <c r="R1775" s="187">
        <v>0</v>
      </c>
      <c r="S1775" s="187">
        <v>0</v>
      </c>
      <c r="T1775" s="187">
        <v>0</v>
      </c>
      <c r="U1775" s="157"/>
      <c r="V1775" s="157"/>
      <c r="W1775" s="238">
        <v>0</v>
      </c>
      <c r="X1775" s="238">
        <v>0</v>
      </c>
      <c r="Y1775" s="238">
        <v>0</v>
      </c>
      <c r="Z1775" s="165"/>
      <c r="AA1775" s="148">
        <v>0</v>
      </c>
      <c r="AB1775" s="148">
        <v>0</v>
      </c>
      <c r="AC1775" s="148">
        <v>0</v>
      </c>
      <c r="AD1775" s="496">
        <f t="shared" si="1296"/>
        <v>0</v>
      </c>
      <c r="AE1775" s="147">
        <v>0</v>
      </c>
      <c r="AF1775" s="147">
        <v>42</v>
      </c>
      <c r="AG1775" s="147">
        <v>0</v>
      </c>
      <c r="AH1775" s="395">
        <v>2.8E-3</v>
      </c>
      <c r="AI1775" s="287">
        <v>0.03</v>
      </c>
      <c r="AJ1775" s="287">
        <v>5.5E-2</v>
      </c>
      <c r="AK1775" s="318">
        <f t="shared" si="1326"/>
        <v>0</v>
      </c>
      <c r="AL1775" s="467">
        <v>0</v>
      </c>
      <c r="AM1775" s="321">
        <v>0</v>
      </c>
      <c r="AN1775" s="321">
        <v>0</v>
      </c>
      <c r="AO1775" s="318" t="e">
        <f t="shared" si="1327"/>
        <v>#DIV/0!</v>
      </c>
      <c r="AP1775" s="467">
        <v>0</v>
      </c>
      <c r="AQ1775" s="318">
        <v>0</v>
      </c>
      <c r="AR1775" s="318" t="e">
        <f t="shared" si="1328"/>
        <v>#DIV/0!</v>
      </c>
      <c r="AS1775" s="318" t="e">
        <f t="shared" si="1329"/>
        <v>#DIV/0!</v>
      </c>
      <c r="AT1775" s="321">
        <v>0</v>
      </c>
      <c r="AU1775" s="464"/>
      <c r="AV1775" s="449"/>
      <c r="AW1775" s="318">
        <f t="shared" si="1330"/>
        <v>0</v>
      </c>
      <c r="AX1775" s="467"/>
      <c r="AY1775" s="318">
        <f t="shared" si="1331"/>
        <v>0</v>
      </c>
      <c r="AZ1775" s="318">
        <f t="shared" si="1332"/>
        <v>0</v>
      </c>
      <c r="BA1775" s="318">
        <f t="shared" si="1333"/>
        <v>0</v>
      </c>
      <c r="BB1775" s="318">
        <f t="shared" si="1334"/>
        <v>0</v>
      </c>
      <c r="BC1775" s="318">
        <v>0</v>
      </c>
      <c r="BD1775" s="467"/>
      <c r="BE1775" s="138">
        <v>0</v>
      </c>
      <c r="BF1775" s="321">
        <f t="shared" si="1335"/>
        <v>0</v>
      </c>
      <c r="BG1775" s="321">
        <f t="shared" si="1336"/>
        <v>0</v>
      </c>
      <c r="BH1775" s="321">
        <f t="shared" si="1337"/>
        <v>0</v>
      </c>
      <c r="BI1775" s="322">
        <f t="shared" si="1338"/>
        <v>0</v>
      </c>
      <c r="BJ1775" s="322">
        <v>0</v>
      </c>
      <c r="BK1775" s="318">
        <f t="shared" si="1339"/>
        <v>0</v>
      </c>
      <c r="BL1775" s="449"/>
      <c r="BM1775" s="449" t="e">
        <f t="shared" si="1340"/>
        <v>#DIV/0!</v>
      </c>
      <c r="BN1775" s="449"/>
      <c r="BO1775" s="449" t="str">
        <f t="shared" si="1341"/>
        <v xml:space="preserve"> Party Condition 42  ,F.M% 0.28 ,Greenish 3 ,Moisture 5.5 ,Shortage in KG= 0  ,Oil% 0</v>
      </c>
      <c r="BP1775" s="464" t="e">
        <f t="shared" si="1342"/>
        <v>#DIV/0!</v>
      </c>
      <c r="BQ1775" s="449"/>
      <c r="BR1775" s="449"/>
      <c r="BS1775" s="449"/>
      <c r="BT1775" s="449"/>
      <c r="BU1775" s="449"/>
      <c r="BV1775" s="449"/>
      <c r="BW1775" s="449"/>
      <c r="BX1775" s="147">
        <v>0</v>
      </c>
      <c r="BY1775" s="147">
        <v>0</v>
      </c>
    </row>
    <row r="1776" spans="1:85" ht="14.1" hidden="1" customHeight="1" x14ac:dyDescent="0.3">
      <c r="A1776" s="281" t="s">
        <v>3724</v>
      </c>
      <c r="B1776" s="146">
        <v>46255</v>
      </c>
      <c r="C1776" s="138">
        <v>1740</v>
      </c>
      <c r="D1776" s="281" t="s">
        <v>3731</v>
      </c>
      <c r="E1776" s="130">
        <v>46257</v>
      </c>
      <c r="F1776" s="281" t="s">
        <v>3733</v>
      </c>
      <c r="G1776" s="159" t="s">
        <v>3734</v>
      </c>
      <c r="H1776" s="128" t="s">
        <v>3735</v>
      </c>
      <c r="I1776" s="136"/>
      <c r="J1776" s="138" t="s">
        <v>2499</v>
      </c>
      <c r="K1776" s="136"/>
      <c r="L1776" s="146">
        <v>46255</v>
      </c>
      <c r="M1776" s="136"/>
      <c r="N1776" s="281">
        <v>169</v>
      </c>
      <c r="O1776" s="146">
        <v>46256</v>
      </c>
      <c r="P1776" s="138">
        <v>0</v>
      </c>
      <c r="Q1776" s="138">
        <v>300</v>
      </c>
      <c r="R1776" s="138">
        <v>75</v>
      </c>
      <c r="S1776" s="138">
        <v>375</v>
      </c>
      <c r="T1776" s="138">
        <v>375</v>
      </c>
      <c r="U1776" s="136"/>
      <c r="V1776" s="136"/>
      <c r="W1776" s="147">
        <v>249.75</v>
      </c>
      <c r="X1776" s="147">
        <v>249.2</v>
      </c>
      <c r="Y1776" s="147">
        <v>2097900</v>
      </c>
      <c r="Z1776" s="165"/>
      <c r="AA1776" s="148">
        <v>52447.5</v>
      </c>
      <c r="AB1776" s="148">
        <v>52447.5</v>
      </c>
      <c r="AC1776" s="148">
        <v>2202795</v>
      </c>
      <c r="AD1776" s="496">
        <f t="shared" si="1296"/>
        <v>2200592.2050000001</v>
      </c>
      <c r="AE1776" s="147">
        <v>40.35</v>
      </c>
      <c r="AF1776" s="147">
        <v>42</v>
      </c>
      <c r="AG1776" s="147">
        <v>40.25</v>
      </c>
      <c r="AH1776" s="395">
        <v>7.1999999999999998E-3</v>
      </c>
      <c r="AI1776" s="287">
        <v>3.2000000000000001E-2</v>
      </c>
      <c r="AJ1776" s="287">
        <v>5.8000000000000003E-2</v>
      </c>
      <c r="AK1776" s="325">
        <f t="shared" si="1326"/>
        <v>87412.5</v>
      </c>
      <c r="AL1776" s="497">
        <f>300*10+75*15</f>
        <v>4125</v>
      </c>
      <c r="AM1776" s="326">
        <f>Y1776*AH1776</f>
        <v>15104.88</v>
      </c>
      <c r="AN1776" s="326">
        <f>X1776*14</f>
        <v>3488.7999999999997</v>
      </c>
      <c r="AO1776" s="325">
        <f t="shared" si="1327"/>
        <v>4620</v>
      </c>
      <c r="AP1776" s="467">
        <v>0</v>
      </c>
      <c r="AQ1776" s="454">
        <f>Y1776*0.8/100</f>
        <v>16783.2</v>
      </c>
      <c r="AR1776" s="318">
        <f t="shared" si="1328"/>
        <v>131534.38</v>
      </c>
      <c r="AS1776" s="318">
        <f t="shared" si="1329"/>
        <v>138111</v>
      </c>
      <c r="AT1776" s="321">
        <v>55</v>
      </c>
      <c r="AU1776" s="464"/>
      <c r="AV1776" s="449"/>
      <c r="AW1776" s="318">
        <f t="shared" si="1330"/>
        <v>24975</v>
      </c>
      <c r="AX1776" s="467"/>
      <c r="AY1776" s="318">
        <f t="shared" si="1331"/>
        <v>24975</v>
      </c>
      <c r="AZ1776" s="318">
        <f t="shared" si="1332"/>
        <v>24920</v>
      </c>
      <c r="BA1776" s="318">
        <f t="shared" si="1333"/>
        <v>55</v>
      </c>
      <c r="BB1776" s="318">
        <f t="shared" si="1334"/>
        <v>49.95</v>
      </c>
      <c r="BC1776" s="318">
        <v>0</v>
      </c>
      <c r="BD1776" s="467"/>
      <c r="BE1776" s="138">
        <v>249.75</v>
      </c>
      <c r="BF1776" s="321">
        <f t="shared" si="1335"/>
        <v>0.37462499999999999</v>
      </c>
      <c r="BG1776" s="321">
        <f t="shared" si="1336"/>
        <v>249.37537499999999</v>
      </c>
      <c r="BH1776" s="321">
        <f t="shared" si="1337"/>
        <v>249.2</v>
      </c>
      <c r="BI1776" s="322">
        <f t="shared" si="1338"/>
        <v>55.000000000001137</v>
      </c>
      <c r="BJ1776" s="322">
        <v>0</v>
      </c>
      <c r="BK1776" s="318">
        <f t="shared" si="1339"/>
        <v>55.000000000001137</v>
      </c>
      <c r="BL1776" s="449"/>
      <c r="BM1776" s="449" t="str">
        <f t="shared" si="1340"/>
        <v>Unloading no. 1740 Bill No 169 ,Deduction For Oil Deduction= 87412.5 ,Bardana= 4125 ,F.M= 15104.88 Brokerage/Rate Difference 3488.8 ,Shortage = 4620 ,Greenish= 0 ,Moisture= 16783.2</v>
      </c>
      <c r="BN1776" s="449"/>
      <c r="BO1776" s="449" t="str">
        <f t="shared" si="1341"/>
        <v xml:space="preserve"> Party Condition 42  ,F.M% 0.72 ,Greenish 3.2 ,Moisture 5.8 ,Shortage in KG= 55  ,Oil% 40.25</v>
      </c>
      <c r="BP1776" s="464">
        <f t="shared" si="1342"/>
        <v>7890.7127608346718</v>
      </c>
      <c r="BQ1776" s="449"/>
      <c r="BR1776" s="449"/>
      <c r="BS1776" s="449"/>
      <c r="BT1776" s="449"/>
      <c r="BU1776" s="449"/>
      <c r="BV1776" s="449"/>
      <c r="BW1776" s="449"/>
      <c r="BX1776" s="147">
        <v>0</v>
      </c>
      <c r="BY1776" s="147">
        <v>0</v>
      </c>
      <c r="CA1776" s="56">
        <v>122124.75</v>
      </c>
      <c r="CC1776" s="84">
        <f t="shared" ref="CC1776:CC1777" si="1343">AS1776-CA1776</f>
        <v>15986.25</v>
      </c>
      <c r="CD1776" s="56">
        <f t="shared" ref="CD1776:CD1777" si="1344">CC1776/105*100</f>
        <v>15225</v>
      </c>
      <c r="CG1776" s="90"/>
    </row>
    <row r="1777" spans="1:85" ht="14.1" hidden="1" customHeight="1" x14ac:dyDescent="0.3">
      <c r="A1777" s="281" t="s">
        <v>3724</v>
      </c>
      <c r="B1777" s="146">
        <v>46255</v>
      </c>
      <c r="C1777" s="138">
        <v>1741</v>
      </c>
      <c r="D1777" s="281" t="s">
        <v>3732</v>
      </c>
      <c r="E1777" s="130">
        <v>46257</v>
      </c>
      <c r="F1777" s="281" t="s">
        <v>3733</v>
      </c>
      <c r="G1777" s="159" t="s">
        <v>3734</v>
      </c>
      <c r="H1777" s="128" t="s">
        <v>3735</v>
      </c>
      <c r="I1777" s="136"/>
      <c r="J1777" s="138" t="s">
        <v>2499</v>
      </c>
      <c r="K1777" s="136"/>
      <c r="L1777" s="146">
        <v>46255</v>
      </c>
      <c r="M1777" s="136"/>
      <c r="N1777" s="281">
        <v>168</v>
      </c>
      <c r="O1777" s="146">
        <v>46256</v>
      </c>
      <c r="P1777" s="138">
        <v>0</v>
      </c>
      <c r="Q1777" s="138">
        <v>320</v>
      </c>
      <c r="R1777" s="138">
        <v>120</v>
      </c>
      <c r="S1777" s="138">
        <v>440</v>
      </c>
      <c r="T1777" s="138">
        <v>440</v>
      </c>
      <c r="U1777" s="136"/>
      <c r="V1777" s="136"/>
      <c r="W1777" s="147">
        <v>298.64999999999998</v>
      </c>
      <c r="X1777" s="147">
        <v>298.7</v>
      </c>
      <c r="Y1777" s="147">
        <v>2508660</v>
      </c>
      <c r="Z1777" s="165"/>
      <c r="AA1777" s="148">
        <v>62716.5</v>
      </c>
      <c r="AB1777" s="148">
        <v>62716.5</v>
      </c>
      <c r="AC1777" s="148">
        <v>2634093</v>
      </c>
      <c r="AD1777" s="496">
        <f t="shared" si="1296"/>
        <v>2631458.9070000001</v>
      </c>
      <c r="AE1777" s="178">
        <v>39.26</v>
      </c>
      <c r="AF1777" s="178">
        <v>42</v>
      </c>
      <c r="AG1777" s="178">
        <v>39.18</v>
      </c>
      <c r="AH1777" s="395">
        <v>6.4999999999999997E-3</v>
      </c>
      <c r="AI1777" s="287">
        <v>3.2800000000000003E-2</v>
      </c>
      <c r="AJ1777" s="287">
        <v>5.7000000000000002E-2</v>
      </c>
      <c r="AK1777" s="325">
        <f t="shared" si="1326"/>
        <v>168438.6</v>
      </c>
      <c r="AL1777" s="497">
        <f>320*10+120*15</f>
        <v>5000</v>
      </c>
      <c r="AM1777" s="321">
        <f>Y1777*AH1777</f>
        <v>16306.289999999999</v>
      </c>
      <c r="AN1777" s="326">
        <f>X1777*14</f>
        <v>4181.8</v>
      </c>
      <c r="AO1777" s="318">
        <f t="shared" si="1327"/>
        <v>0</v>
      </c>
      <c r="AP1777" s="467">
        <v>0</v>
      </c>
      <c r="AQ1777" s="454">
        <f>Y1777*0.7/100</f>
        <v>17560.62</v>
      </c>
      <c r="AR1777" s="318">
        <f t="shared" si="1328"/>
        <v>211487.31</v>
      </c>
      <c r="AS1777" s="318">
        <f t="shared" si="1329"/>
        <v>222062</v>
      </c>
      <c r="AT1777" s="321">
        <v>0</v>
      </c>
      <c r="AU1777" s="464" t="s">
        <v>2208</v>
      </c>
      <c r="AV1777" s="449"/>
      <c r="AW1777" s="318">
        <f t="shared" si="1330"/>
        <v>29864.999999999996</v>
      </c>
      <c r="AX1777" s="467"/>
      <c r="AY1777" s="318">
        <f t="shared" si="1331"/>
        <v>29864.999999999996</v>
      </c>
      <c r="AZ1777" s="318">
        <f t="shared" si="1332"/>
        <v>29870</v>
      </c>
      <c r="BA1777" s="318">
        <f t="shared" si="1333"/>
        <v>-5.000000000003638</v>
      </c>
      <c r="BB1777" s="318">
        <f t="shared" si="1334"/>
        <v>59.72999999999999</v>
      </c>
      <c r="BC1777" s="318">
        <v>0</v>
      </c>
      <c r="BD1777" s="467"/>
      <c r="BE1777" s="138">
        <v>298.64999999999998</v>
      </c>
      <c r="BF1777" s="321">
        <f t="shared" si="1335"/>
        <v>0.4479749999999999</v>
      </c>
      <c r="BG1777" s="321">
        <f t="shared" si="1336"/>
        <v>298.20202499999999</v>
      </c>
      <c r="BH1777" s="321">
        <f t="shared" si="1337"/>
        <v>298.7</v>
      </c>
      <c r="BI1777" s="322">
        <f t="shared" si="1338"/>
        <v>-5.0000000000011369</v>
      </c>
      <c r="BJ1777" s="322">
        <v>0</v>
      </c>
      <c r="BK1777" s="318">
        <f t="shared" si="1339"/>
        <v>-5.0000000000011369</v>
      </c>
      <c r="BL1777" s="449"/>
      <c r="BM1777" s="449" t="str">
        <f t="shared" si="1340"/>
        <v>Unloading no. 1741 Bill No 168 ,Deduction For Oil Deduction= 168438.6 ,Bardana= 5000 ,F.M= 16306.29 Brokerage/Rate Difference 4181.8 ,Shortage = 0 ,Greenish= 0 ,Moisture= 17560.62</v>
      </c>
      <c r="BN1777" s="449"/>
      <c r="BO1777" s="449" t="str">
        <f t="shared" si="1341"/>
        <v xml:space="preserve"> Party Condition 42  ,F.M% 0.65 ,Greenish 3.28 ,Moisture 5.7 ,Shortage in KG= 0  ,Oil% 39.18</v>
      </c>
      <c r="BP1777" s="464">
        <f t="shared" si="1342"/>
        <v>7690.5680950786746</v>
      </c>
      <c r="BQ1777" s="449"/>
      <c r="BR1777" s="449"/>
      <c r="BS1777" s="449"/>
      <c r="BT1777" s="449"/>
      <c r="BU1777" s="449"/>
      <c r="BV1777" s="449"/>
      <c r="BW1777" s="449"/>
      <c r="BX1777" s="147">
        <v>0</v>
      </c>
      <c r="BY1777" s="147">
        <v>0</v>
      </c>
      <c r="CA1777" s="56">
        <v>216269.42</v>
      </c>
      <c r="CC1777" s="84">
        <f t="shared" si="1343"/>
        <v>5792.5799999999872</v>
      </c>
      <c r="CD1777" s="56">
        <f t="shared" si="1344"/>
        <v>5516.7428571428454</v>
      </c>
      <c r="CG1777" s="90"/>
    </row>
    <row r="1778" spans="1:85" ht="14.1" hidden="1" customHeight="1" x14ac:dyDescent="0.3">
      <c r="A1778" s="281" t="s">
        <v>3739</v>
      </c>
      <c r="B1778" s="146">
        <v>46255</v>
      </c>
      <c r="C1778" s="281">
        <v>1742</v>
      </c>
      <c r="D1778" s="281" t="s">
        <v>3742</v>
      </c>
      <c r="E1778" s="130">
        <v>46258</v>
      </c>
      <c r="F1778" s="128" t="s">
        <v>3582</v>
      </c>
      <c r="G1778" s="159" t="s">
        <v>3583</v>
      </c>
      <c r="H1778" s="128" t="s">
        <v>1514</v>
      </c>
      <c r="I1778" s="136"/>
      <c r="J1778" s="138" t="s">
        <v>2499</v>
      </c>
      <c r="K1778" s="136"/>
      <c r="L1778" s="146">
        <v>46255</v>
      </c>
      <c r="M1778" s="136"/>
      <c r="N1778" s="281" t="s">
        <v>1155</v>
      </c>
      <c r="O1778" s="146">
        <v>46256</v>
      </c>
      <c r="P1778" s="138">
        <v>0</v>
      </c>
      <c r="Q1778" s="138">
        <v>475</v>
      </c>
      <c r="R1778" s="138">
        <v>25</v>
      </c>
      <c r="S1778" s="138">
        <v>500</v>
      </c>
      <c r="T1778" s="138">
        <v>500</v>
      </c>
      <c r="U1778" s="136"/>
      <c r="V1778" s="136"/>
      <c r="W1778" s="147">
        <v>305</v>
      </c>
      <c r="X1778" s="147">
        <v>304.10000000000002</v>
      </c>
      <c r="Y1778" s="148">
        <v>2562000</v>
      </c>
      <c r="Z1778" s="165"/>
      <c r="AA1778" s="148">
        <v>64050</v>
      </c>
      <c r="AB1778" s="148">
        <v>64050</v>
      </c>
      <c r="AC1778" s="148">
        <v>2690100</v>
      </c>
      <c r="AD1778" s="496">
        <f t="shared" si="1296"/>
        <v>2687409.9</v>
      </c>
      <c r="AE1778" s="147">
        <v>39</v>
      </c>
      <c r="AF1778" s="147">
        <v>42</v>
      </c>
      <c r="AG1778" s="147">
        <v>39.07</v>
      </c>
      <c r="AH1778" s="395">
        <v>6.1999999999999998E-3</v>
      </c>
      <c r="AI1778" s="287">
        <v>3.0599999999999999E-2</v>
      </c>
      <c r="AJ1778" s="287">
        <v>4.7E-2</v>
      </c>
      <c r="AK1778" s="454">
        <f>+IF(AF1778=42,IF(MIN(AE1778,AG1778)&lt;AF1778,Y1778*((AF1778-MIN(AE1778,AG1778))/AF1778)),IF(MIN(AE1778,AG1778)&lt;AF1778,Y1778*((AF1778-MIN(AE1778,AG1778))/AF1778),0))-4270</f>
        <v>178730</v>
      </c>
      <c r="AL1778" s="467">
        <f>475*10+25*15</f>
        <v>5125</v>
      </c>
      <c r="AM1778" s="321">
        <f>Y1778*AH1778</f>
        <v>15884.4</v>
      </c>
      <c r="AN1778" s="321">
        <f>X1778*14</f>
        <v>4257.4000000000005</v>
      </c>
      <c r="AO1778" s="318">
        <f t="shared" si="1327"/>
        <v>7560</v>
      </c>
      <c r="AP1778" s="467">
        <v>0</v>
      </c>
      <c r="AQ1778" s="318"/>
      <c r="AR1778" s="318">
        <f t="shared" ref="AR1778:AR1803" si="1345">SUM(AK1778:AQ1778)</f>
        <v>211556.8</v>
      </c>
      <c r="AS1778" s="318">
        <f t="shared" ref="AS1778:AS1803" si="1346">ROUND(AR1778*1.05,0)</f>
        <v>222135</v>
      </c>
      <c r="AT1778" s="321">
        <v>90</v>
      </c>
      <c r="AU1778" s="464"/>
      <c r="AV1778" s="449"/>
      <c r="AW1778" s="318">
        <f t="shared" ref="AW1778:AW1803" si="1347">W1778*100</f>
        <v>30500</v>
      </c>
      <c r="AX1778" s="467"/>
      <c r="AY1778" s="318">
        <f t="shared" ref="AY1778:AY1803" si="1348">+AW1778+AX1778</f>
        <v>30500</v>
      </c>
      <c r="AZ1778" s="318">
        <f t="shared" ref="AZ1778:AZ1803" si="1349">X1778*100</f>
        <v>30410.000000000004</v>
      </c>
      <c r="BA1778" s="318">
        <f t="shared" ref="BA1778:BA1803" si="1350">AY1778-AZ1778</f>
        <v>89.999999999996362</v>
      </c>
      <c r="BB1778" s="318">
        <f t="shared" ref="BB1778:BB1803" si="1351">AW1778*2/1000</f>
        <v>61</v>
      </c>
      <c r="BC1778" s="318">
        <v>0</v>
      </c>
      <c r="BD1778" s="467"/>
      <c r="BE1778" s="138">
        <v>305</v>
      </c>
      <c r="BF1778" s="321">
        <f t="shared" ref="BF1778:BF1803" si="1352">+BE1778*0.15/100</f>
        <v>0.45750000000000002</v>
      </c>
      <c r="BG1778" s="321">
        <f t="shared" ref="BG1778:BG1803" si="1353">BE1778-BF1778</f>
        <v>304.54250000000002</v>
      </c>
      <c r="BH1778" s="321">
        <f t="shared" ref="BH1778:BH1803" si="1354">X1778</f>
        <v>304.10000000000002</v>
      </c>
      <c r="BI1778" s="322">
        <f t="shared" ref="BI1778:BI1803" si="1355">(BE1778-BH1778)*100</f>
        <v>89.999999999997726</v>
      </c>
      <c r="BJ1778" s="322">
        <v>0</v>
      </c>
      <c r="BK1778" s="318">
        <f t="shared" ref="BK1778:BK1803" si="1356">BI1778</f>
        <v>89.999999999997726</v>
      </c>
      <c r="BL1778" s="449"/>
      <c r="BM1778" s="449" t="str">
        <f t="shared" ref="BM1778:BM1803" si="1357">+$C$1&amp;" "&amp;C1778 &amp;" "&amp;$N$1&amp;" "&amp;N1778&amp;" "&amp;$BM$1&amp;" "&amp;$AK$1&amp;" "&amp;AK1778&amp;" "&amp;$AL$1&amp;" "&amp;AL1778&amp;" "&amp;$AM$1&amp;" "&amp;AM1778&amp;" "&amp;$AN$1&amp;" "&amp;AN1778&amp;" "&amp;$AO$1&amp;" "&amp;AO1778&amp;" "&amp;$AP$1&amp;" "&amp;AP1778&amp;" "&amp;$AQ$1&amp;" "&amp;AQ1778</f>
        <v xml:space="preserve">Unloading no. 1742 Bill No 2026-27/26 ,Deduction For Oil Deduction= 178730 ,Bardana= 5125 ,F.M= 15884.4 Brokerage/Rate Difference 4257.4 ,Shortage = 7560 ,Greenish= 0 ,Moisture= </v>
      </c>
      <c r="BN1778" s="449"/>
      <c r="BO1778" s="449" t="str">
        <f t="shared" ref="BO1778:BO1803" si="1358">+" "&amp;$AF$1&amp;" "&amp;AF1778&amp;" "&amp;" "&amp;$AH$1&amp;" "&amp;AH1778*100&amp;" "&amp;$AI$1&amp;" "&amp;AI1778*100&amp;" "&amp;$AJ$1&amp;" "&amp;AJ1778*100&amp;" ,"&amp;$AT$1&amp;" "&amp;AT1778&amp;" "&amp;IF(AE1778&gt;AG1778," ,Oil%"&amp;" "&amp;AG1778," ,Oil%"&amp;" "&amp;AE1778)</f>
        <v xml:space="preserve"> Party Condition 42  ,F.M% 0.62 ,Greenish 3.06 ,Moisture 4.7 ,Shortage in KG= 90  ,Oil% 39</v>
      </c>
      <c r="BP1778" s="464">
        <f t="shared" ref="BP1778:BP1803" si="1359">(Y1778-AR1778)/X1778</f>
        <v>7729.1785596843147</v>
      </c>
      <c r="BQ1778" s="449"/>
      <c r="BR1778" s="449"/>
      <c r="BS1778" s="449"/>
      <c r="BT1778" s="449"/>
      <c r="BU1778" s="449"/>
      <c r="BV1778" s="449"/>
      <c r="BW1778" s="449"/>
      <c r="BX1778" s="147">
        <v>0</v>
      </c>
      <c r="BY1778" s="147">
        <v>0</v>
      </c>
      <c r="CA1778" s="56">
        <v>222134.64</v>
      </c>
      <c r="CC1778" s="90">
        <f>AS1778-CA1778</f>
        <v>0.35999999998603016</v>
      </c>
      <c r="CD1778" s="56">
        <f>CC1778/105%</f>
        <v>0.34285714284383823</v>
      </c>
      <c r="CF1778" s="56">
        <v>178730</v>
      </c>
      <c r="CG1778" s="90">
        <f>AK1778-CF1778</f>
        <v>0</v>
      </c>
    </row>
    <row r="1779" spans="1:85" ht="14.1" hidden="1" customHeight="1" x14ac:dyDescent="0.3">
      <c r="A1779" s="281" t="s">
        <v>3650</v>
      </c>
      <c r="B1779" s="146">
        <v>46255</v>
      </c>
      <c r="C1779" s="281">
        <v>1743</v>
      </c>
      <c r="D1779" s="281" t="s">
        <v>3743</v>
      </c>
      <c r="E1779" s="130">
        <v>46258</v>
      </c>
      <c r="F1779" s="128" t="s">
        <v>2190</v>
      </c>
      <c r="G1779" s="128" t="s">
        <v>2191</v>
      </c>
      <c r="H1779" s="128" t="s">
        <v>97</v>
      </c>
      <c r="I1779" s="136"/>
      <c r="J1779" s="138" t="s">
        <v>2499</v>
      </c>
      <c r="K1779" s="136"/>
      <c r="L1779" s="146">
        <v>46255</v>
      </c>
      <c r="M1779" s="136"/>
      <c r="N1779" s="281" t="s">
        <v>3021</v>
      </c>
      <c r="O1779" s="146">
        <v>46257</v>
      </c>
      <c r="P1779" s="138">
        <v>0</v>
      </c>
      <c r="Q1779" s="138">
        <v>360</v>
      </c>
      <c r="R1779" s="138">
        <v>40</v>
      </c>
      <c r="S1779" s="138">
        <v>400</v>
      </c>
      <c r="T1779" s="138">
        <v>400</v>
      </c>
      <c r="U1779" s="136"/>
      <c r="V1779" s="136"/>
      <c r="W1779" s="147">
        <v>243.9</v>
      </c>
      <c r="X1779" s="147">
        <v>243.5</v>
      </c>
      <c r="Y1779" s="148">
        <v>2048760</v>
      </c>
      <c r="Z1779" s="165"/>
      <c r="AA1779" s="148">
        <v>51219</v>
      </c>
      <c r="AB1779" s="148">
        <v>51219</v>
      </c>
      <c r="AC1779" s="148">
        <v>2151198</v>
      </c>
      <c r="AD1779" s="496">
        <f t="shared" si="1296"/>
        <v>2149046.8020000001</v>
      </c>
      <c r="AE1779" s="147">
        <v>39.96</v>
      </c>
      <c r="AF1779" s="147">
        <v>42</v>
      </c>
      <c r="AG1779" s="147">
        <v>39.96</v>
      </c>
      <c r="AH1779" s="395">
        <v>2.3E-3</v>
      </c>
      <c r="AI1779" s="287">
        <v>2.18E-2</v>
      </c>
      <c r="AJ1779" s="287">
        <v>5.7000000000000002E-2</v>
      </c>
      <c r="AK1779" s="318">
        <f t="shared" ref="AK1779:AK1803" si="1360">+IF(AF1779=42,IF(MIN(AE1779,AG1779)&lt;AF1779,Y1779*((AF1779-MIN(AE1779,AG1779))/AF1779)),IF(MIN(AE1779,AG1779)&lt;AF1779,Y1779*((AF1779-MIN(AE1779,AG1779))/AF1779),0))</f>
        <v>99511.199999999953</v>
      </c>
      <c r="AL1779" s="467">
        <v>0</v>
      </c>
      <c r="AM1779" s="321">
        <v>0</v>
      </c>
      <c r="AN1779" s="321">
        <v>0</v>
      </c>
      <c r="AO1779" s="318">
        <f t="shared" si="1327"/>
        <v>0</v>
      </c>
      <c r="AP1779" s="467">
        <v>0</v>
      </c>
      <c r="AQ1779" s="318"/>
      <c r="AR1779" s="318">
        <f t="shared" si="1345"/>
        <v>99511.199999999953</v>
      </c>
      <c r="AS1779" s="318">
        <f t="shared" si="1346"/>
        <v>104487</v>
      </c>
      <c r="AT1779" s="321">
        <v>0</v>
      </c>
      <c r="AU1779" s="464"/>
      <c r="AV1779" s="449"/>
      <c r="AW1779" s="318">
        <f t="shared" si="1347"/>
        <v>24390</v>
      </c>
      <c r="AX1779" s="467"/>
      <c r="AY1779" s="318">
        <f t="shared" si="1348"/>
        <v>24390</v>
      </c>
      <c r="AZ1779" s="318">
        <f t="shared" si="1349"/>
        <v>24350</v>
      </c>
      <c r="BA1779" s="318">
        <f t="shared" si="1350"/>
        <v>40</v>
      </c>
      <c r="BB1779" s="318">
        <f t="shared" si="1351"/>
        <v>48.78</v>
      </c>
      <c r="BC1779" s="318">
        <v>0</v>
      </c>
      <c r="BD1779" s="467"/>
      <c r="BE1779" s="138">
        <v>243.9</v>
      </c>
      <c r="BF1779" s="321">
        <f t="shared" si="1352"/>
        <v>0.36585000000000001</v>
      </c>
      <c r="BG1779" s="321">
        <f t="shared" si="1353"/>
        <v>243.53415000000001</v>
      </c>
      <c r="BH1779" s="321">
        <f t="shared" si="1354"/>
        <v>243.5</v>
      </c>
      <c r="BI1779" s="322">
        <f t="shared" si="1355"/>
        <v>40.000000000000568</v>
      </c>
      <c r="BJ1779" s="322">
        <v>0</v>
      </c>
      <c r="BK1779" s="318">
        <f t="shared" si="1356"/>
        <v>40.000000000000568</v>
      </c>
      <c r="BL1779" s="449"/>
      <c r="BM1779" s="449" t="str">
        <f t="shared" si="1357"/>
        <v xml:space="preserve">Unloading no. 1743 Bill No 2026-27/463 ,Deduction For Oil Deduction= 99511.2 ,Bardana= 0 ,F.M= 0 Brokerage/Rate Difference 0 ,Shortage = 0 ,Greenish= 0 ,Moisture= </v>
      </c>
      <c r="BN1779" s="449"/>
      <c r="BO1779" s="449" t="str">
        <f t="shared" si="1358"/>
        <v xml:space="preserve"> Party Condition 42  ,F.M% 0.23 ,Greenish 2.18 ,Moisture 5.7 ,Shortage in KG= 0  ,Oil% 39.96</v>
      </c>
      <c r="BP1779" s="464">
        <f t="shared" si="1359"/>
        <v>8005.128542094456</v>
      </c>
      <c r="BQ1779" s="449"/>
      <c r="BR1779" s="449"/>
      <c r="BS1779" s="449"/>
      <c r="BT1779" s="449"/>
      <c r="BU1779" s="449"/>
      <c r="BV1779" s="449"/>
      <c r="BW1779" s="449"/>
      <c r="BX1779" s="147">
        <v>0</v>
      </c>
      <c r="BY1779" s="147">
        <v>0</v>
      </c>
    </row>
    <row r="1780" spans="1:85" ht="14.1" hidden="1" customHeight="1" x14ac:dyDescent="0.3">
      <c r="A1780" s="281" t="s">
        <v>3721</v>
      </c>
      <c r="B1780" s="146">
        <v>46255</v>
      </c>
      <c r="C1780" s="281">
        <v>1744</v>
      </c>
      <c r="D1780" s="281" t="s">
        <v>3744</v>
      </c>
      <c r="E1780" s="130">
        <v>46258</v>
      </c>
      <c r="F1780" s="128" t="s">
        <v>1686</v>
      </c>
      <c r="G1780" s="128" t="s">
        <v>1687</v>
      </c>
      <c r="H1780" s="128" t="s">
        <v>1688</v>
      </c>
      <c r="I1780" s="136"/>
      <c r="J1780" s="138" t="s">
        <v>2499</v>
      </c>
      <c r="K1780" s="136"/>
      <c r="L1780" s="146">
        <v>46255</v>
      </c>
      <c r="M1780" s="136"/>
      <c r="N1780" s="281" t="s">
        <v>3768</v>
      </c>
      <c r="O1780" s="146">
        <v>46257</v>
      </c>
      <c r="P1780" s="138">
        <v>0</v>
      </c>
      <c r="Q1780" s="138">
        <v>200</v>
      </c>
      <c r="R1780" s="138">
        <v>82</v>
      </c>
      <c r="S1780" s="138">
        <v>282</v>
      </c>
      <c r="T1780" s="138">
        <v>282</v>
      </c>
      <c r="U1780" s="136"/>
      <c r="V1780" s="136"/>
      <c r="W1780" s="147">
        <v>169.3</v>
      </c>
      <c r="X1780" s="147">
        <v>169.5</v>
      </c>
      <c r="Y1780" s="148">
        <v>1422120</v>
      </c>
      <c r="Z1780" s="165"/>
      <c r="AA1780" s="148">
        <v>35553</v>
      </c>
      <c r="AB1780" s="148">
        <v>35553</v>
      </c>
      <c r="AC1780" s="148">
        <v>1493226</v>
      </c>
      <c r="AD1780" s="496">
        <f t="shared" si="1296"/>
        <v>1491732.774</v>
      </c>
      <c r="AE1780" s="147">
        <v>40</v>
      </c>
      <c r="AF1780" s="147">
        <v>42</v>
      </c>
      <c r="AG1780" s="147">
        <v>39.97</v>
      </c>
      <c r="AH1780" s="395">
        <v>1.9E-3</v>
      </c>
      <c r="AI1780" s="287">
        <v>2.1000000000000001E-2</v>
      </c>
      <c r="AJ1780" s="287">
        <v>5.6000000000000001E-2</v>
      </c>
      <c r="AK1780" s="318">
        <f t="shared" si="1360"/>
        <v>68735.800000000032</v>
      </c>
      <c r="AL1780" s="467">
        <v>0</v>
      </c>
      <c r="AM1780" s="321">
        <v>0</v>
      </c>
      <c r="AN1780" s="321">
        <v>0</v>
      </c>
      <c r="AO1780" s="318">
        <f t="shared" si="1327"/>
        <v>0</v>
      </c>
      <c r="AP1780" s="467">
        <v>0</v>
      </c>
      <c r="AQ1780" s="318"/>
      <c r="AR1780" s="318">
        <f t="shared" si="1345"/>
        <v>68735.800000000032</v>
      </c>
      <c r="AS1780" s="318">
        <f t="shared" si="1346"/>
        <v>72173</v>
      </c>
      <c r="AT1780" s="321">
        <v>0</v>
      </c>
      <c r="AU1780" s="464"/>
      <c r="AV1780" s="449"/>
      <c r="AW1780" s="318">
        <f t="shared" si="1347"/>
        <v>16930</v>
      </c>
      <c r="AX1780" s="467"/>
      <c r="AY1780" s="318">
        <f t="shared" si="1348"/>
        <v>16930</v>
      </c>
      <c r="AZ1780" s="318">
        <f t="shared" si="1349"/>
        <v>16950</v>
      </c>
      <c r="BA1780" s="318">
        <f t="shared" si="1350"/>
        <v>-20</v>
      </c>
      <c r="BB1780" s="318">
        <f t="shared" si="1351"/>
        <v>33.86</v>
      </c>
      <c r="BC1780" s="318">
        <v>0</v>
      </c>
      <c r="BD1780" s="467"/>
      <c r="BE1780" s="138">
        <v>169.3</v>
      </c>
      <c r="BF1780" s="321">
        <f t="shared" si="1352"/>
        <v>0.25395000000000001</v>
      </c>
      <c r="BG1780" s="321">
        <f t="shared" si="1353"/>
        <v>169.04605000000001</v>
      </c>
      <c r="BH1780" s="321">
        <f t="shared" si="1354"/>
        <v>169.5</v>
      </c>
      <c r="BI1780" s="322">
        <f t="shared" si="1355"/>
        <v>-19.999999999998863</v>
      </c>
      <c r="BJ1780" s="322">
        <v>0</v>
      </c>
      <c r="BK1780" s="318">
        <f t="shared" si="1356"/>
        <v>-19.999999999998863</v>
      </c>
      <c r="BL1780" s="449"/>
      <c r="BM1780" s="449" t="str">
        <f t="shared" si="1357"/>
        <v xml:space="preserve">Unloading no. 1744 Bill No KAI/2026-27/201 ,Deduction For Oil Deduction= 68735.8 ,Bardana= 0 ,F.M= 0 Brokerage/Rate Difference 0 ,Shortage = 0 ,Greenish= 0 ,Moisture= </v>
      </c>
      <c r="BN1780" s="449"/>
      <c r="BO1780" s="449" t="str">
        <f t="shared" si="1358"/>
        <v xml:space="preserve"> Party Condition 42  ,F.M% 0.19 ,Greenish 2.1 ,Moisture 5.6 ,Shortage in KG= 0  ,Oil% 39.97</v>
      </c>
      <c r="BP1780" s="464">
        <f t="shared" si="1359"/>
        <v>7984.5675516224183</v>
      </c>
      <c r="BQ1780" s="449"/>
      <c r="BR1780" s="449"/>
      <c r="BS1780" s="449"/>
      <c r="BT1780" s="449"/>
      <c r="BU1780" s="449"/>
      <c r="BV1780" s="449"/>
      <c r="BW1780" s="449"/>
      <c r="BX1780" s="147">
        <v>0</v>
      </c>
      <c r="BY1780" s="147">
        <v>0</v>
      </c>
    </row>
    <row r="1781" spans="1:85" ht="14.1" hidden="1" customHeight="1" x14ac:dyDescent="0.3">
      <c r="A1781" s="281" t="s">
        <v>3740</v>
      </c>
      <c r="B1781" s="146">
        <v>46255</v>
      </c>
      <c r="C1781" s="281">
        <v>1745</v>
      </c>
      <c r="D1781" s="281" t="s">
        <v>3745</v>
      </c>
      <c r="E1781" s="130">
        <v>46258</v>
      </c>
      <c r="F1781" s="128" t="s">
        <v>95</v>
      </c>
      <c r="G1781" s="128" t="s">
        <v>96</v>
      </c>
      <c r="H1781" s="128" t="s">
        <v>97</v>
      </c>
      <c r="I1781" s="136"/>
      <c r="J1781" s="138" t="s">
        <v>2499</v>
      </c>
      <c r="K1781" s="136"/>
      <c r="L1781" s="146">
        <v>46255</v>
      </c>
      <c r="M1781" s="136"/>
      <c r="N1781" s="281">
        <v>258</v>
      </c>
      <c r="O1781" s="146">
        <v>46257</v>
      </c>
      <c r="P1781" s="138">
        <v>0</v>
      </c>
      <c r="Q1781" s="138">
        <v>150</v>
      </c>
      <c r="R1781" s="138">
        <v>300</v>
      </c>
      <c r="S1781" s="138">
        <v>450</v>
      </c>
      <c r="T1781" s="138">
        <v>450</v>
      </c>
      <c r="U1781" s="136"/>
      <c r="V1781" s="136"/>
      <c r="W1781" s="147">
        <v>274.5</v>
      </c>
      <c r="X1781" s="147">
        <v>273.89999999999998</v>
      </c>
      <c r="Y1781" s="148">
        <v>2305800</v>
      </c>
      <c r="Z1781" s="165"/>
      <c r="AA1781" s="148">
        <v>57645</v>
      </c>
      <c r="AB1781" s="148">
        <v>57645</v>
      </c>
      <c r="AC1781" s="148">
        <v>2421090</v>
      </c>
      <c r="AD1781" s="496">
        <f t="shared" si="1296"/>
        <v>2418668.91</v>
      </c>
      <c r="AE1781" s="147">
        <v>40.299999999999997</v>
      </c>
      <c r="AF1781" s="147">
        <v>42</v>
      </c>
      <c r="AG1781" s="147">
        <v>40.299999999999997</v>
      </c>
      <c r="AH1781" s="395">
        <v>3.0000000000000001E-3</v>
      </c>
      <c r="AI1781" s="287">
        <v>3.1E-2</v>
      </c>
      <c r="AJ1781" s="287">
        <v>5.5E-2</v>
      </c>
      <c r="AK1781" s="318">
        <f t="shared" si="1360"/>
        <v>93330.000000000146</v>
      </c>
      <c r="AL1781" s="467">
        <v>0</v>
      </c>
      <c r="AM1781" s="321">
        <v>0</v>
      </c>
      <c r="AN1781" s="321">
        <v>0</v>
      </c>
      <c r="AO1781" s="318">
        <f t="shared" si="1327"/>
        <v>420</v>
      </c>
      <c r="AP1781" s="467">
        <v>0</v>
      </c>
      <c r="AQ1781" s="318"/>
      <c r="AR1781" s="318">
        <f t="shared" si="1345"/>
        <v>93750.000000000146</v>
      </c>
      <c r="AS1781" s="318">
        <f t="shared" si="1346"/>
        <v>98438</v>
      </c>
      <c r="AT1781" s="321">
        <v>5</v>
      </c>
      <c r="AU1781" s="464"/>
      <c r="AV1781" s="449"/>
      <c r="AW1781" s="318">
        <f t="shared" si="1347"/>
        <v>27450</v>
      </c>
      <c r="AX1781" s="467"/>
      <c r="AY1781" s="318">
        <f t="shared" si="1348"/>
        <v>27450</v>
      </c>
      <c r="AZ1781" s="318">
        <f t="shared" si="1349"/>
        <v>27389.999999999996</v>
      </c>
      <c r="BA1781" s="318">
        <f t="shared" si="1350"/>
        <v>60.000000000003638</v>
      </c>
      <c r="BB1781" s="318">
        <f t="shared" si="1351"/>
        <v>54.9</v>
      </c>
      <c r="BC1781" s="318">
        <v>0</v>
      </c>
      <c r="BD1781" s="467"/>
      <c r="BE1781" s="138">
        <v>274.5</v>
      </c>
      <c r="BF1781" s="321">
        <f t="shared" si="1352"/>
        <v>0.41174999999999995</v>
      </c>
      <c r="BG1781" s="321">
        <f t="shared" si="1353"/>
        <v>274.08825000000002</v>
      </c>
      <c r="BH1781" s="321">
        <f t="shared" si="1354"/>
        <v>273.89999999999998</v>
      </c>
      <c r="BI1781" s="322">
        <f t="shared" si="1355"/>
        <v>60.000000000002274</v>
      </c>
      <c r="BJ1781" s="322">
        <v>0</v>
      </c>
      <c r="BK1781" s="318">
        <f t="shared" si="1356"/>
        <v>60.000000000002274</v>
      </c>
      <c r="BL1781" s="449"/>
      <c r="BM1781" s="449" t="str">
        <f t="shared" si="1357"/>
        <v xml:space="preserve">Unloading no. 1745 Bill No 258 ,Deduction For Oil Deduction= 93330.0000000001 ,Bardana= 0 ,F.M= 0 Brokerage/Rate Difference 0 ,Shortage = 420 ,Greenish= 0 ,Moisture= </v>
      </c>
      <c r="BN1781" s="449"/>
      <c r="BO1781" s="449" t="str">
        <f t="shared" si="1358"/>
        <v xml:space="preserve"> Party Condition 42  ,F.M% 0.3 ,Greenish 3.1 ,Moisture 5.5 ,Shortage in KG= 5  ,Oil% 40.3</v>
      </c>
      <c r="BP1781" s="464">
        <f t="shared" si="1359"/>
        <v>8076.1226725082151</v>
      </c>
      <c r="BQ1781" s="449"/>
      <c r="BR1781" s="449"/>
      <c r="BS1781" s="449"/>
      <c r="BT1781" s="449"/>
      <c r="BU1781" s="449"/>
      <c r="BV1781" s="449"/>
      <c r="BW1781" s="449"/>
      <c r="BX1781" s="147">
        <v>0</v>
      </c>
      <c r="BY1781" s="147">
        <v>0</v>
      </c>
    </row>
    <row r="1782" spans="1:85" ht="14.1" hidden="1" customHeight="1" x14ac:dyDescent="0.3">
      <c r="A1782" s="281" t="s">
        <v>3741</v>
      </c>
      <c r="B1782" s="146">
        <v>46255</v>
      </c>
      <c r="C1782" s="281">
        <v>1746</v>
      </c>
      <c r="D1782" s="281" t="s">
        <v>3746</v>
      </c>
      <c r="E1782" s="130">
        <v>46258</v>
      </c>
      <c r="F1782" s="128" t="s">
        <v>95</v>
      </c>
      <c r="G1782" s="128" t="s">
        <v>96</v>
      </c>
      <c r="H1782" s="128" t="s">
        <v>97</v>
      </c>
      <c r="I1782" s="136"/>
      <c r="J1782" s="138" t="s">
        <v>2499</v>
      </c>
      <c r="K1782" s="136"/>
      <c r="L1782" s="146">
        <v>46255</v>
      </c>
      <c r="M1782" s="136"/>
      <c r="N1782" s="281">
        <v>261</v>
      </c>
      <c r="O1782" s="146">
        <v>46258</v>
      </c>
      <c r="P1782" s="138">
        <v>0</v>
      </c>
      <c r="Q1782" s="138">
        <v>0</v>
      </c>
      <c r="R1782" s="138">
        <v>150</v>
      </c>
      <c r="S1782" s="138">
        <v>150</v>
      </c>
      <c r="T1782" s="138">
        <v>150</v>
      </c>
      <c r="U1782" s="136"/>
      <c r="V1782" s="136"/>
      <c r="W1782" s="147">
        <v>89.8</v>
      </c>
      <c r="X1782" s="147">
        <v>89.6</v>
      </c>
      <c r="Y1782" s="148">
        <v>752075</v>
      </c>
      <c r="Z1782" s="165"/>
      <c r="AA1782" s="148">
        <v>18801.88</v>
      </c>
      <c r="AB1782" s="148">
        <v>18801.88</v>
      </c>
      <c r="AC1782" s="148">
        <v>789678.75</v>
      </c>
      <c r="AD1782" s="496">
        <f t="shared" si="1296"/>
        <v>788889.07125000004</v>
      </c>
      <c r="AE1782" s="147">
        <v>40.08</v>
      </c>
      <c r="AF1782" s="147">
        <v>42</v>
      </c>
      <c r="AG1782" s="147">
        <v>40.020000000000003</v>
      </c>
      <c r="AH1782" s="395">
        <v>2E-3</v>
      </c>
      <c r="AI1782" s="287">
        <v>2.9000000000000001E-2</v>
      </c>
      <c r="AJ1782" s="287">
        <v>5.7000000000000002E-2</v>
      </c>
      <c r="AK1782" s="318">
        <f t="shared" si="1360"/>
        <v>35454.964285714232</v>
      </c>
      <c r="AL1782" s="467">
        <v>0</v>
      </c>
      <c r="AM1782" s="321">
        <v>0</v>
      </c>
      <c r="AN1782" s="321">
        <v>0</v>
      </c>
      <c r="AO1782" s="318">
        <f t="shared" si="1327"/>
        <v>0</v>
      </c>
      <c r="AP1782" s="467">
        <v>0</v>
      </c>
      <c r="AQ1782" s="318"/>
      <c r="AR1782" s="318">
        <f t="shared" si="1345"/>
        <v>35454.964285714232</v>
      </c>
      <c r="AS1782" s="318">
        <f t="shared" si="1346"/>
        <v>37228</v>
      </c>
      <c r="AT1782" s="321">
        <v>0</v>
      </c>
      <c r="AU1782" s="464"/>
      <c r="AV1782" s="449"/>
      <c r="AW1782" s="318">
        <f t="shared" si="1347"/>
        <v>8980</v>
      </c>
      <c r="AX1782" s="467"/>
      <c r="AY1782" s="318">
        <f t="shared" si="1348"/>
        <v>8980</v>
      </c>
      <c r="AZ1782" s="318">
        <f t="shared" si="1349"/>
        <v>8960</v>
      </c>
      <c r="BA1782" s="318">
        <f t="shared" si="1350"/>
        <v>20</v>
      </c>
      <c r="BB1782" s="318">
        <f t="shared" si="1351"/>
        <v>17.96</v>
      </c>
      <c r="BC1782" s="318">
        <v>0</v>
      </c>
      <c r="BD1782" s="467"/>
      <c r="BE1782" s="138">
        <v>89.8</v>
      </c>
      <c r="BF1782" s="321">
        <f t="shared" si="1352"/>
        <v>0.13469999999999999</v>
      </c>
      <c r="BG1782" s="321">
        <f t="shared" si="1353"/>
        <v>89.665300000000002</v>
      </c>
      <c r="BH1782" s="321">
        <f t="shared" si="1354"/>
        <v>89.6</v>
      </c>
      <c r="BI1782" s="322">
        <f t="shared" si="1355"/>
        <v>20.000000000000284</v>
      </c>
      <c r="BJ1782" s="322">
        <v>0</v>
      </c>
      <c r="BK1782" s="318">
        <f t="shared" si="1356"/>
        <v>20.000000000000284</v>
      </c>
      <c r="BL1782" s="449"/>
      <c r="BM1782" s="449" t="str">
        <f t="shared" si="1357"/>
        <v xml:space="preserve">Unloading no. 1746 Bill No 261 ,Deduction For Oil Deduction= 35454.9642857142 ,Bardana= 0 ,F.M= 0 Brokerage/Rate Difference 0 ,Shortage = 0 ,Greenish= 0 ,Moisture= </v>
      </c>
      <c r="BN1782" s="449"/>
      <c r="BO1782" s="449" t="str">
        <f t="shared" si="1358"/>
        <v xml:space="preserve"> Party Condition 42  ,F.M% 0.2 ,Greenish 2.9 ,Moisture 5.7 ,Shortage in KG= 0  ,Oil% 40.02</v>
      </c>
      <c r="BP1782" s="464">
        <f t="shared" si="1359"/>
        <v>7997.9914700255113</v>
      </c>
      <c r="BQ1782" s="449"/>
      <c r="BR1782" s="449"/>
      <c r="BS1782" s="449"/>
      <c r="BT1782" s="449"/>
      <c r="BU1782" s="449"/>
      <c r="BV1782" s="449"/>
      <c r="BW1782" s="449"/>
      <c r="BX1782" s="147">
        <v>0</v>
      </c>
      <c r="BY1782" s="147">
        <v>0</v>
      </c>
    </row>
    <row r="1783" spans="1:85" ht="14.1" hidden="1" customHeight="1" x14ac:dyDescent="0.3">
      <c r="A1783" s="281" t="s">
        <v>3741</v>
      </c>
      <c r="B1783" s="146">
        <v>46255</v>
      </c>
      <c r="C1783" s="281">
        <v>1747</v>
      </c>
      <c r="D1783" s="281" t="s">
        <v>3747</v>
      </c>
      <c r="E1783" s="130">
        <v>46258</v>
      </c>
      <c r="F1783" s="128" t="s">
        <v>95</v>
      </c>
      <c r="G1783" s="128" t="s">
        <v>96</v>
      </c>
      <c r="H1783" s="128" t="s">
        <v>97</v>
      </c>
      <c r="I1783" s="136"/>
      <c r="J1783" s="138" t="s">
        <v>2499</v>
      </c>
      <c r="K1783" s="136"/>
      <c r="L1783" s="146">
        <v>46255</v>
      </c>
      <c r="M1783" s="136"/>
      <c r="N1783" s="281">
        <v>259</v>
      </c>
      <c r="O1783" s="146">
        <v>46258</v>
      </c>
      <c r="P1783" s="138">
        <v>0</v>
      </c>
      <c r="Q1783" s="138">
        <v>20</v>
      </c>
      <c r="R1783" s="138">
        <v>130</v>
      </c>
      <c r="S1783" s="138">
        <v>150</v>
      </c>
      <c r="T1783" s="138">
        <v>150</v>
      </c>
      <c r="U1783" s="136"/>
      <c r="V1783" s="136"/>
      <c r="W1783" s="147">
        <v>90.4</v>
      </c>
      <c r="X1783" s="147">
        <v>90.2</v>
      </c>
      <c r="Y1783" s="148">
        <v>757100</v>
      </c>
      <c r="Z1783" s="165"/>
      <c r="AA1783" s="148">
        <v>18927.5</v>
      </c>
      <c r="AB1783" s="148">
        <v>18927.5</v>
      </c>
      <c r="AC1783" s="148">
        <v>794955</v>
      </c>
      <c r="AD1783" s="496">
        <f t="shared" si="1296"/>
        <v>794160.04500000004</v>
      </c>
      <c r="AE1783" s="147">
        <v>39.659999999999997</v>
      </c>
      <c r="AF1783" s="147">
        <v>42</v>
      </c>
      <c r="AG1783" s="147">
        <v>39.6</v>
      </c>
      <c r="AH1783" s="395">
        <v>1.8E-3</v>
      </c>
      <c r="AI1783" s="287">
        <v>2.4E-2</v>
      </c>
      <c r="AJ1783" s="287">
        <v>5.6000000000000001E-2</v>
      </c>
      <c r="AK1783" s="318">
        <f t="shared" si="1360"/>
        <v>43262.857142857116</v>
      </c>
      <c r="AL1783" s="467">
        <v>0</v>
      </c>
      <c r="AM1783" s="321">
        <v>0</v>
      </c>
      <c r="AN1783" s="321">
        <v>0</v>
      </c>
      <c r="AO1783" s="318">
        <f t="shared" si="1327"/>
        <v>0</v>
      </c>
      <c r="AP1783" s="467">
        <v>0</v>
      </c>
      <c r="AQ1783" s="318"/>
      <c r="AR1783" s="318">
        <f t="shared" si="1345"/>
        <v>43262.857142857116</v>
      </c>
      <c r="AS1783" s="318">
        <f t="shared" si="1346"/>
        <v>45426</v>
      </c>
      <c r="AT1783" s="321">
        <v>0</v>
      </c>
      <c r="AU1783" s="464"/>
      <c r="AV1783" s="449"/>
      <c r="AW1783" s="318">
        <f t="shared" si="1347"/>
        <v>9040</v>
      </c>
      <c r="AX1783" s="467"/>
      <c r="AY1783" s="318">
        <f t="shared" si="1348"/>
        <v>9040</v>
      </c>
      <c r="AZ1783" s="318">
        <f t="shared" si="1349"/>
        <v>9020</v>
      </c>
      <c r="BA1783" s="318">
        <f t="shared" si="1350"/>
        <v>20</v>
      </c>
      <c r="BB1783" s="318">
        <f t="shared" si="1351"/>
        <v>18.079999999999998</v>
      </c>
      <c r="BC1783" s="318">
        <v>0</v>
      </c>
      <c r="BD1783" s="467"/>
      <c r="BE1783" s="138">
        <v>90.4</v>
      </c>
      <c r="BF1783" s="321">
        <f t="shared" si="1352"/>
        <v>0.1356</v>
      </c>
      <c r="BG1783" s="321">
        <f t="shared" si="1353"/>
        <v>90.264400000000009</v>
      </c>
      <c r="BH1783" s="321">
        <f t="shared" si="1354"/>
        <v>90.2</v>
      </c>
      <c r="BI1783" s="322">
        <f t="shared" si="1355"/>
        <v>20.000000000000284</v>
      </c>
      <c r="BJ1783" s="322">
        <v>0</v>
      </c>
      <c r="BK1783" s="318">
        <f t="shared" si="1356"/>
        <v>20.000000000000284</v>
      </c>
      <c r="BL1783" s="449"/>
      <c r="BM1783" s="449" t="str">
        <f t="shared" si="1357"/>
        <v xml:space="preserve">Unloading no. 1747 Bill No 259 ,Deduction For Oil Deduction= 43262.8571428571 ,Bardana= 0 ,F.M= 0 Brokerage/Rate Difference 0 ,Shortage = 0 ,Greenish= 0 ,Moisture= </v>
      </c>
      <c r="BN1783" s="449"/>
      <c r="BO1783" s="449" t="str">
        <f t="shared" si="1358"/>
        <v xml:space="preserve"> Party Condition 42  ,F.M% 0.18 ,Greenish 2.4 ,Moisture 5.6 ,Shortage in KG= 0  ,Oil% 39.6</v>
      </c>
      <c r="BP1783" s="464">
        <f t="shared" si="1359"/>
        <v>7913.9372822299647</v>
      </c>
      <c r="BQ1783" s="449"/>
      <c r="BR1783" s="449"/>
      <c r="BS1783" s="449"/>
      <c r="BT1783" s="449"/>
      <c r="BU1783" s="449"/>
      <c r="BV1783" s="449"/>
      <c r="BW1783" s="449"/>
      <c r="BX1783" s="147">
        <v>0</v>
      </c>
      <c r="BY1783" s="147">
        <v>0</v>
      </c>
    </row>
    <row r="1784" spans="1:85" ht="14.1" hidden="1" customHeight="1" x14ac:dyDescent="0.3">
      <c r="A1784" s="281" t="s">
        <v>3741</v>
      </c>
      <c r="B1784" s="146">
        <v>46255</v>
      </c>
      <c r="C1784" s="281">
        <v>1748</v>
      </c>
      <c r="D1784" s="281" t="s">
        <v>3748</v>
      </c>
      <c r="E1784" s="130">
        <v>46258</v>
      </c>
      <c r="F1784" s="128" t="s">
        <v>95</v>
      </c>
      <c r="G1784" s="128" t="s">
        <v>96</v>
      </c>
      <c r="H1784" s="128" t="s">
        <v>97</v>
      </c>
      <c r="I1784" s="136"/>
      <c r="J1784" s="138" t="s">
        <v>2499</v>
      </c>
      <c r="K1784" s="136"/>
      <c r="L1784" s="146">
        <v>46255</v>
      </c>
      <c r="M1784" s="136"/>
      <c r="N1784" s="281">
        <v>260</v>
      </c>
      <c r="O1784" s="146">
        <v>46258</v>
      </c>
      <c r="P1784" s="138">
        <v>0</v>
      </c>
      <c r="Q1784" s="138">
        <v>0</v>
      </c>
      <c r="R1784" s="138">
        <v>150</v>
      </c>
      <c r="S1784" s="138">
        <v>150</v>
      </c>
      <c r="T1784" s="138">
        <v>150</v>
      </c>
      <c r="U1784" s="136"/>
      <c r="V1784" s="136"/>
      <c r="W1784" s="147">
        <v>89.5</v>
      </c>
      <c r="X1784" s="147">
        <v>89.4</v>
      </c>
      <c r="Y1784" s="148">
        <v>749562.5</v>
      </c>
      <c r="Z1784" s="165"/>
      <c r="AA1784" s="148">
        <v>18739.060000000001</v>
      </c>
      <c r="AB1784" s="148">
        <v>18739.060000000001</v>
      </c>
      <c r="AC1784" s="148">
        <v>787040.63</v>
      </c>
      <c r="AD1784" s="496">
        <f t="shared" si="1296"/>
        <v>786253.58937000006</v>
      </c>
      <c r="AE1784" s="147">
        <v>39.450000000000003</v>
      </c>
      <c r="AF1784" s="147">
        <v>42</v>
      </c>
      <c r="AG1784" s="147">
        <v>39.39</v>
      </c>
      <c r="AH1784" s="395">
        <v>2.8999999999999998E-3</v>
      </c>
      <c r="AI1784" s="287">
        <v>2.3599999999999999E-2</v>
      </c>
      <c r="AJ1784" s="287">
        <v>5.2999999999999999E-2</v>
      </c>
      <c r="AK1784" s="318">
        <f t="shared" si="1360"/>
        <v>46579.955357142848</v>
      </c>
      <c r="AL1784" s="467">
        <v>0</v>
      </c>
      <c r="AM1784" s="321">
        <v>0</v>
      </c>
      <c r="AN1784" s="321">
        <v>0</v>
      </c>
      <c r="AO1784" s="318">
        <f t="shared" si="1327"/>
        <v>0</v>
      </c>
      <c r="AP1784" s="467">
        <v>0</v>
      </c>
      <c r="AQ1784" s="318"/>
      <c r="AR1784" s="318">
        <f t="shared" si="1345"/>
        <v>46579.955357142848</v>
      </c>
      <c r="AS1784" s="318">
        <f t="shared" si="1346"/>
        <v>48909</v>
      </c>
      <c r="AT1784" s="321">
        <v>0</v>
      </c>
      <c r="AU1784" s="464"/>
      <c r="AV1784" s="449"/>
      <c r="AW1784" s="318">
        <f t="shared" si="1347"/>
        <v>8950</v>
      </c>
      <c r="AX1784" s="467"/>
      <c r="AY1784" s="318">
        <f t="shared" si="1348"/>
        <v>8950</v>
      </c>
      <c r="AZ1784" s="318">
        <f t="shared" si="1349"/>
        <v>8940</v>
      </c>
      <c r="BA1784" s="318">
        <f t="shared" si="1350"/>
        <v>10</v>
      </c>
      <c r="BB1784" s="318">
        <f t="shared" si="1351"/>
        <v>17.899999999999999</v>
      </c>
      <c r="BC1784" s="318">
        <v>0</v>
      </c>
      <c r="BD1784" s="467"/>
      <c r="BE1784" s="138">
        <v>89.5</v>
      </c>
      <c r="BF1784" s="321">
        <f t="shared" si="1352"/>
        <v>0.13424999999999998</v>
      </c>
      <c r="BG1784" s="321">
        <f t="shared" si="1353"/>
        <v>89.365750000000006</v>
      </c>
      <c r="BH1784" s="321">
        <f t="shared" si="1354"/>
        <v>89.4</v>
      </c>
      <c r="BI1784" s="322">
        <f t="shared" si="1355"/>
        <v>9.9999999999994316</v>
      </c>
      <c r="BJ1784" s="322">
        <v>0</v>
      </c>
      <c r="BK1784" s="318">
        <f t="shared" si="1356"/>
        <v>9.9999999999994316</v>
      </c>
      <c r="BL1784" s="449"/>
      <c r="BM1784" s="449" t="str">
        <f t="shared" si="1357"/>
        <v xml:space="preserve">Unloading no. 1748 Bill No 260 ,Deduction For Oil Deduction= 46579.9553571428 ,Bardana= 0 ,F.M= 0 Brokerage/Rate Difference 0 ,Shortage = 0 ,Greenish= 0 ,Moisture= </v>
      </c>
      <c r="BN1784" s="449"/>
      <c r="BO1784" s="449" t="str">
        <f t="shared" si="1358"/>
        <v xml:space="preserve"> Party Condition 42  ,F.M% 0.29 ,Greenish 2.36 ,Moisture 5.3 ,Shortage in KG= 0  ,Oil% 39.39</v>
      </c>
      <c r="BP1784" s="464">
        <f t="shared" si="1359"/>
        <v>7863.3394255353141</v>
      </c>
      <c r="BQ1784" s="449"/>
      <c r="BR1784" s="449"/>
      <c r="BS1784" s="449"/>
      <c r="BT1784" s="449"/>
      <c r="BU1784" s="449"/>
      <c r="BV1784" s="449"/>
      <c r="BW1784" s="449"/>
      <c r="BX1784" s="147">
        <v>0</v>
      </c>
      <c r="BY1784" s="147">
        <v>0</v>
      </c>
    </row>
    <row r="1785" spans="1:85" ht="14.1" hidden="1" customHeight="1" x14ac:dyDescent="0.3">
      <c r="A1785" s="281" t="s">
        <v>3621</v>
      </c>
      <c r="B1785" s="146">
        <v>46252</v>
      </c>
      <c r="C1785" s="281">
        <v>1749</v>
      </c>
      <c r="D1785" s="281" t="s">
        <v>3749</v>
      </c>
      <c r="E1785" s="130">
        <v>46258</v>
      </c>
      <c r="F1785" s="128" t="s">
        <v>3636</v>
      </c>
      <c r="G1785" s="128" t="s">
        <v>3637</v>
      </c>
      <c r="H1785" s="128" t="s">
        <v>2081</v>
      </c>
      <c r="I1785" s="136"/>
      <c r="J1785" s="138" t="s">
        <v>1146</v>
      </c>
      <c r="K1785" s="136"/>
      <c r="L1785" s="146">
        <v>46252</v>
      </c>
      <c r="M1785" s="136"/>
      <c r="N1785" s="281" t="s">
        <v>3769</v>
      </c>
      <c r="O1785" s="146">
        <v>46258</v>
      </c>
      <c r="P1785" s="138">
        <v>0</v>
      </c>
      <c r="Q1785" s="138">
        <v>80</v>
      </c>
      <c r="R1785" s="138">
        <v>90</v>
      </c>
      <c r="S1785" s="138">
        <v>170</v>
      </c>
      <c r="T1785" s="138">
        <v>170</v>
      </c>
      <c r="U1785" s="136"/>
      <c r="V1785" s="136"/>
      <c r="W1785" s="147">
        <v>103.4</v>
      </c>
      <c r="X1785" s="147">
        <v>103.4</v>
      </c>
      <c r="Y1785" s="147">
        <v>832370</v>
      </c>
      <c r="Z1785" s="165"/>
      <c r="AA1785" s="148">
        <v>20809.25</v>
      </c>
      <c r="AB1785" s="148">
        <v>20809.25</v>
      </c>
      <c r="AC1785" s="148">
        <v>873988.5</v>
      </c>
      <c r="AD1785" s="496">
        <f t="shared" ref="AD1785:AD1848" si="1361">SUM(AC1785-AC1785*0.1%)</f>
        <v>873114.51150000002</v>
      </c>
      <c r="AE1785" s="147">
        <v>39.799999999999997</v>
      </c>
      <c r="AF1785" s="147">
        <v>39.85</v>
      </c>
      <c r="AG1785" s="147">
        <v>39.76</v>
      </c>
      <c r="AH1785" s="395">
        <v>2.5000000000000001E-3</v>
      </c>
      <c r="AI1785" s="287">
        <v>3.4000000000000002E-2</v>
      </c>
      <c r="AJ1785" s="287">
        <v>5.1999999999999998E-2</v>
      </c>
      <c r="AK1785" s="318">
        <f t="shared" si="1360"/>
        <v>1879.8820577165077</v>
      </c>
      <c r="AL1785" s="467"/>
      <c r="AM1785" s="321"/>
      <c r="AN1785" s="321"/>
      <c r="AO1785" s="318"/>
      <c r="AP1785" s="467"/>
      <c r="AQ1785" s="318"/>
      <c r="AR1785" s="318">
        <f t="shared" si="1345"/>
        <v>1879.8820577165077</v>
      </c>
      <c r="AS1785" s="318">
        <f t="shared" si="1346"/>
        <v>1974</v>
      </c>
      <c r="AT1785" s="321">
        <v>0</v>
      </c>
      <c r="AU1785" s="464"/>
      <c r="AV1785" s="449"/>
      <c r="AW1785" s="318">
        <f t="shared" si="1347"/>
        <v>10340</v>
      </c>
      <c r="AX1785" s="467"/>
      <c r="AY1785" s="318">
        <f t="shared" si="1348"/>
        <v>10340</v>
      </c>
      <c r="AZ1785" s="318">
        <f t="shared" si="1349"/>
        <v>10340</v>
      </c>
      <c r="BA1785" s="318">
        <f t="shared" si="1350"/>
        <v>0</v>
      </c>
      <c r="BB1785" s="318">
        <f t="shared" si="1351"/>
        <v>20.68</v>
      </c>
      <c r="BC1785" s="318">
        <v>0</v>
      </c>
      <c r="BD1785" s="467"/>
      <c r="BE1785" s="138">
        <v>103.4</v>
      </c>
      <c r="BF1785" s="321">
        <f t="shared" si="1352"/>
        <v>0.15509999999999999</v>
      </c>
      <c r="BG1785" s="321">
        <f t="shared" si="1353"/>
        <v>103.2449</v>
      </c>
      <c r="BH1785" s="321">
        <f t="shared" si="1354"/>
        <v>103.4</v>
      </c>
      <c r="BI1785" s="322">
        <f t="shared" si="1355"/>
        <v>0</v>
      </c>
      <c r="BJ1785" s="322">
        <v>0</v>
      </c>
      <c r="BK1785" s="318">
        <f t="shared" si="1356"/>
        <v>0</v>
      </c>
      <c r="BL1785" s="449"/>
      <c r="BM1785" s="449" t="str">
        <f t="shared" si="1357"/>
        <v xml:space="preserve">Unloading no. 1749 Bill No RJT803/2026-27 ,Deduction For Oil Deduction= 1879.88205771651 ,Bardana=  ,F.M=  Brokerage/Rate Difference  ,Shortage =  ,Greenish=  ,Moisture= </v>
      </c>
      <c r="BN1785" s="449"/>
      <c r="BO1785" s="449" t="str">
        <f t="shared" si="1358"/>
        <v xml:space="preserve"> Party Condition 39.85  ,F.M% 0.25 ,Greenish 3.4 ,Moisture 5.2 ,Shortage in KG= 0  ,Oil% 39.76</v>
      </c>
      <c r="BP1785" s="464">
        <f t="shared" si="1359"/>
        <v>8031.8193224592214</v>
      </c>
      <c r="BQ1785" s="449"/>
      <c r="BR1785" s="449"/>
      <c r="BS1785" s="449"/>
      <c r="BT1785" s="449"/>
      <c r="BU1785" s="449"/>
      <c r="BV1785" s="449"/>
      <c r="BW1785" s="449"/>
      <c r="BX1785" s="147">
        <v>0</v>
      </c>
      <c r="BY1785" s="147">
        <v>0</v>
      </c>
    </row>
    <row r="1786" spans="1:85" ht="14.1" hidden="1" customHeight="1" x14ac:dyDescent="0.3">
      <c r="A1786" s="281" t="s">
        <v>3621</v>
      </c>
      <c r="B1786" s="146">
        <v>46252</v>
      </c>
      <c r="C1786" s="281">
        <v>1750</v>
      </c>
      <c r="D1786" s="281" t="s">
        <v>3750</v>
      </c>
      <c r="E1786" s="130">
        <v>46258</v>
      </c>
      <c r="F1786" s="128" t="s">
        <v>3636</v>
      </c>
      <c r="G1786" s="128" t="s">
        <v>3637</v>
      </c>
      <c r="H1786" s="128" t="s">
        <v>2081</v>
      </c>
      <c r="I1786" s="136"/>
      <c r="J1786" s="138" t="s">
        <v>1146</v>
      </c>
      <c r="K1786" s="136"/>
      <c r="L1786" s="146">
        <v>46252</v>
      </c>
      <c r="M1786" s="136"/>
      <c r="N1786" s="281" t="s">
        <v>3770</v>
      </c>
      <c r="O1786" s="146">
        <v>46258</v>
      </c>
      <c r="P1786" s="138">
        <v>0</v>
      </c>
      <c r="Q1786" s="138">
        <v>150</v>
      </c>
      <c r="R1786" s="138">
        <v>20</v>
      </c>
      <c r="S1786" s="138">
        <v>170</v>
      </c>
      <c r="T1786" s="138">
        <v>170</v>
      </c>
      <c r="U1786" s="136"/>
      <c r="V1786" s="136"/>
      <c r="W1786" s="147">
        <v>102.9</v>
      </c>
      <c r="X1786" s="147">
        <v>102.8</v>
      </c>
      <c r="Y1786" s="147">
        <v>828345</v>
      </c>
      <c r="Z1786" s="165"/>
      <c r="AA1786" s="148">
        <v>20708.63</v>
      </c>
      <c r="AB1786" s="148">
        <v>20708.63</v>
      </c>
      <c r="AC1786" s="148">
        <v>869762.25</v>
      </c>
      <c r="AD1786" s="496">
        <f t="shared" si="1361"/>
        <v>868892.48774999997</v>
      </c>
      <c r="AE1786" s="147">
        <v>39.75</v>
      </c>
      <c r="AF1786" s="147">
        <v>39.85</v>
      </c>
      <c r="AG1786" s="147">
        <v>39.729999999999997</v>
      </c>
      <c r="AH1786" s="395">
        <v>2.2000000000000001E-3</v>
      </c>
      <c r="AI1786" s="287">
        <v>2.93E-2</v>
      </c>
      <c r="AJ1786" s="287">
        <v>5.1999999999999998E-2</v>
      </c>
      <c r="AK1786" s="318">
        <f t="shared" si="1360"/>
        <v>2494.3889585948245</v>
      </c>
      <c r="AL1786" s="467"/>
      <c r="AM1786" s="321"/>
      <c r="AN1786" s="321"/>
      <c r="AO1786" s="318"/>
      <c r="AP1786" s="467"/>
      <c r="AQ1786" s="318"/>
      <c r="AR1786" s="318">
        <f t="shared" si="1345"/>
        <v>2494.3889585948245</v>
      </c>
      <c r="AS1786" s="318">
        <f t="shared" si="1346"/>
        <v>2619</v>
      </c>
      <c r="AT1786" s="321">
        <v>0</v>
      </c>
      <c r="AU1786" s="464"/>
      <c r="AV1786" s="449"/>
      <c r="AW1786" s="318">
        <f t="shared" si="1347"/>
        <v>10290</v>
      </c>
      <c r="AX1786" s="467"/>
      <c r="AY1786" s="318">
        <f t="shared" si="1348"/>
        <v>10290</v>
      </c>
      <c r="AZ1786" s="318">
        <f t="shared" si="1349"/>
        <v>10280</v>
      </c>
      <c r="BA1786" s="318">
        <f t="shared" si="1350"/>
        <v>10</v>
      </c>
      <c r="BB1786" s="318">
        <f t="shared" si="1351"/>
        <v>20.58</v>
      </c>
      <c r="BC1786" s="318">
        <v>0</v>
      </c>
      <c r="BD1786" s="467"/>
      <c r="BE1786" s="138">
        <v>102.9</v>
      </c>
      <c r="BF1786" s="321">
        <f t="shared" si="1352"/>
        <v>0.15435000000000001</v>
      </c>
      <c r="BG1786" s="321">
        <f t="shared" si="1353"/>
        <v>102.74565000000001</v>
      </c>
      <c r="BH1786" s="321">
        <f t="shared" si="1354"/>
        <v>102.8</v>
      </c>
      <c r="BI1786" s="322">
        <f t="shared" si="1355"/>
        <v>10.000000000000853</v>
      </c>
      <c r="BJ1786" s="322">
        <v>0</v>
      </c>
      <c r="BK1786" s="318">
        <f t="shared" si="1356"/>
        <v>10.000000000000853</v>
      </c>
      <c r="BL1786" s="449"/>
      <c r="BM1786" s="449" t="str">
        <f t="shared" si="1357"/>
        <v xml:space="preserve">Unloading no. 1750 Bill No RJT805/2026-27 ,Deduction For Oil Deduction= 2494.38895859482 ,Bardana=  ,F.M=  Brokerage/Rate Difference  ,Shortage =  ,Greenish=  ,Moisture= </v>
      </c>
      <c r="BN1786" s="449"/>
      <c r="BO1786" s="449" t="str">
        <f t="shared" si="1358"/>
        <v xml:space="preserve"> Party Condition 39.85  ,F.M% 0.22 ,Greenish 2.93 ,Moisture 5.2 ,Shortage in KG= 0  ,Oil% 39.73</v>
      </c>
      <c r="BP1786" s="464">
        <f t="shared" si="1359"/>
        <v>8033.5662552665872</v>
      </c>
      <c r="BQ1786" s="449"/>
      <c r="BR1786" s="449"/>
      <c r="BS1786" s="449"/>
      <c r="BT1786" s="449"/>
      <c r="BU1786" s="449"/>
      <c r="BV1786" s="449"/>
      <c r="BW1786" s="449"/>
      <c r="BX1786" s="147">
        <v>0</v>
      </c>
      <c r="BY1786" s="147">
        <v>0</v>
      </c>
    </row>
    <row r="1787" spans="1:85" ht="14.1" hidden="1" customHeight="1" x14ac:dyDescent="0.3">
      <c r="A1787" s="281" t="s">
        <v>3621</v>
      </c>
      <c r="B1787" s="146">
        <v>46252</v>
      </c>
      <c r="C1787" s="281">
        <v>1751</v>
      </c>
      <c r="D1787" s="281" t="s">
        <v>3751</v>
      </c>
      <c r="E1787" s="130">
        <v>46258</v>
      </c>
      <c r="F1787" s="128" t="s">
        <v>3636</v>
      </c>
      <c r="G1787" s="128" t="s">
        <v>3637</v>
      </c>
      <c r="H1787" s="128" t="s">
        <v>2081</v>
      </c>
      <c r="I1787" s="136"/>
      <c r="J1787" s="138" t="s">
        <v>1146</v>
      </c>
      <c r="K1787" s="136"/>
      <c r="L1787" s="146">
        <v>46252</v>
      </c>
      <c r="M1787" s="136"/>
      <c r="N1787" s="281" t="s">
        <v>3771</v>
      </c>
      <c r="O1787" s="146">
        <v>46258</v>
      </c>
      <c r="P1787" s="138">
        <v>0</v>
      </c>
      <c r="Q1787" s="138">
        <v>110</v>
      </c>
      <c r="R1787" s="138">
        <v>60</v>
      </c>
      <c r="S1787" s="138">
        <v>170</v>
      </c>
      <c r="T1787" s="138">
        <v>170</v>
      </c>
      <c r="U1787" s="136"/>
      <c r="V1787" s="136"/>
      <c r="W1787" s="147">
        <v>103.1</v>
      </c>
      <c r="X1787" s="147">
        <v>103</v>
      </c>
      <c r="Y1787" s="147">
        <v>829955</v>
      </c>
      <c r="Z1787" s="165"/>
      <c r="AA1787" s="148">
        <v>20748.88</v>
      </c>
      <c r="AB1787" s="148">
        <v>20748.88</v>
      </c>
      <c r="AC1787" s="148">
        <v>871452.75</v>
      </c>
      <c r="AD1787" s="496">
        <f t="shared" si="1361"/>
        <v>870581.29724999995</v>
      </c>
      <c r="AE1787" s="147">
        <v>39.85</v>
      </c>
      <c r="AF1787" s="147">
        <v>39.85</v>
      </c>
      <c r="AG1787" s="147">
        <v>39.69</v>
      </c>
      <c r="AH1787" s="395">
        <v>1.8E-3</v>
      </c>
      <c r="AI1787" s="287">
        <v>3.1399999999999997E-2</v>
      </c>
      <c r="AJ1787" s="287">
        <v>5.7000000000000002E-2</v>
      </c>
      <c r="AK1787" s="318">
        <f t="shared" si="1360"/>
        <v>3332.316185696438</v>
      </c>
      <c r="AL1787" s="467"/>
      <c r="AM1787" s="321"/>
      <c r="AN1787" s="321"/>
      <c r="AO1787" s="318"/>
      <c r="AP1787" s="467"/>
      <c r="AQ1787" s="318"/>
      <c r="AR1787" s="318">
        <f t="shared" si="1345"/>
        <v>3332.316185696438</v>
      </c>
      <c r="AS1787" s="318">
        <f t="shared" si="1346"/>
        <v>3499</v>
      </c>
      <c r="AT1787" s="321">
        <v>0</v>
      </c>
      <c r="AU1787" s="464"/>
      <c r="AV1787" s="449"/>
      <c r="AW1787" s="318">
        <f t="shared" si="1347"/>
        <v>10310</v>
      </c>
      <c r="AX1787" s="467"/>
      <c r="AY1787" s="318">
        <f t="shared" si="1348"/>
        <v>10310</v>
      </c>
      <c r="AZ1787" s="318">
        <f t="shared" si="1349"/>
        <v>10300</v>
      </c>
      <c r="BA1787" s="318">
        <f t="shared" si="1350"/>
        <v>10</v>
      </c>
      <c r="BB1787" s="318">
        <f t="shared" si="1351"/>
        <v>20.62</v>
      </c>
      <c r="BC1787" s="318">
        <v>0</v>
      </c>
      <c r="BD1787" s="467"/>
      <c r="BE1787" s="138">
        <v>103.1</v>
      </c>
      <c r="BF1787" s="321">
        <f t="shared" si="1352"/>
        <v>0.15464999999999998</v>
      </c>
      <c r="BG1787" s="321">
        <f t="shared" si="1353"/>
        <v>102.94534999999999</v>
      </c>
      <c r="BH1787" s="321">
        <f t="shared" si="1354"/>
        <v>103</v>
      </c>
      <c r="BI1787" s="322">
        <f t="shared" si="1355"/>
        <v>9.9999999999994316</v>
      </c>
      <c r="BJ1787" s="322">
        <v>0</v>
      </c>
      <c r="BK1787" s="318">
        <f t="shared" si="1356"/>
        <v>9.9999999999994316</v>
      </c>
      <c r="BL1787" s="449"/>
      <c r="BM1787" s="449" t="str">
        <f t="shared" si="1357"/>
        <v xml:space="preserve">Unloading no. 1751 Bill No RJT804/2026-27 ,Deduction For Oil Deduction= 3332.31618569644 ,Bardana=  ,F.M=  Brokerage/Rate Difference  ,Shortage =  ,Greenish=  ,Moisture= </v>
      </c>
      <c r="BN1787" s="449"/>
      <c r="BO1787" s="449" t="str">
        <f t="shared" si="1358"/>
        <v xml:space="preserve"> Party Condition 39.85  ,F.M% 0.18 ,Greenish 3.14 ,Moisture 5.7 ,Shortage in KG= 0  ,Oil% 39.69</v>
      </c>
      <c r="BP1787" s="464">
        <f t="shared" si="1359"/>
        <v>8025.4629496534326</v>
      </c>
      <c r="BQ1787" s="449"/>
      <c r="BR1787" s="449"/>
      <c r="BS1787" s="449"/>
      <c r="BT1787" s="449"/>
      <c r="BU1787" s="449"/>
      <c r="BV1787" s="449"/>
      <c r="BW1787" s="449"/>
      <c r="BX1787" s="147">
        <v>0</v>
      </c>
      <c r="BY1787" s="147">
        <v>0</v>
      </c>
    </row>
    <row r="1788" spans="1:85" ht="14.1" hidden="1" customHeight="1" x14ac:dyDescent="0.3">
      <c r="A1788" s="281" t="s">
        <v>3741</v>
      </c>
      <c r="B1788" s="146">
        <v>46255</v>
      </c>
      <c r="C1788" s="281">
        <v>1752</v>
      </c>
      <c r="D1788" s="281" t="s">
        <v>3752</v>
      </c>
      <c r="E1788" s="130">
        <v>46258</v>
      </c>
      <c r="F1788" s="128" t="s">
        <v>95</v>
      </c>
      <c r="G1788" s="128" t="s">
        <v>96</v>
      </c>
      <c r="H1788" s="128" t="s">
        <v>97</v>
      </c>
      <c r="I1788" s="136"/>
      <c r="J1788" s="138" t="s">
        <v>2499</v>
      </c>
      <c r="K1788" s="136"/>
      <c r="L1788" s="146">
        <v>46255</v>
      </c>
      <c r="M1788" s="136"/>
      <c r="N1788" s="281">
        <v>262</v>
      </c>
      <c r="O1788" s="146">
        <v>46258</v>
      </c>
      <c r="P1788" s="138">
        <v>0</v>
      </c>
      <c r="Q1788" s="138">
        <v>60</v>
      </c>
      <c r="R1788" s="138">
        <v>90</v>
      </c>
      <c r="S1788" s="138">
        <v>150</v>
      </c>
      <c r="T1788" s="138">
        <v>150</v>
      </c>
      <c r="U1788" s="136"/>
      <c r="V1788" s="136"/>
      <c r="W1788" s="147">
        <v>90.1</v>
      </c>
      <c r="X1788" s="147">
        <v>89.9</v>
      </c>
      <c r="Y1788" s="148">
        <v>754587.5</v>
      </c>
      <c r="Z1788" s="165"/>
      <c r="AA1788" s="148">
        <v>18864.689999999999</v>
      </c>
      <c r="AB1788" s="148">
        <v>18864.689999999999</v>
      </c>
      <c r="AC1788" s="148">
        <v>792316.88</v>
      </c>
      <c r="AD1788" s="496">
        <f t="shared" si="1361"/>
        <v>791524.56311999995</v>
      </c>
      <c r="AE1788" s="147">
        <v>39.68</v>
      </c>
      <c r="AF1788" s="147">
        <v>42</v>
      </c>
      <c r="AG1788" s="147">
        <v>39.6</v>
      </c>
      <c r="AH1788" s="395">
        <v>2E-3</v>
      </c>
      <c r="AI1788" s="287">
        <v>2.8799999999999999E-2</v>
      </c>
      <c r="AJ1788" s="287">
        <v>5.1999999999999998E-2</v>
      </c>
      <c r="AK1788" s="318">
        <f t="shared" si="1360"/>
        <v>43119.285714285688</v>
      </c>
      <c r="AL1788" s="467">
        <v>0</v>
      </c>
      <c r="AM1788" s="321">
        <v>0</v>
      </c>
      <c r="AN1788" s="321">
        <v>0</v>
      </c>
      <c r="AO1788" s="318">
        <f t="shared" ref="AO1788" si="1362">AT1788*Y1788/AW1788</f>
        <v>0</v>
      </c>
      <c r="AP1788" s="467">
        <v>0</v>
      </c>
      <c r="AQ1788" s="318"/>
      <c r="AR1788" s="318">
        <f t="shared" si="1345"/>
        <v>43119.285714285688</v>
      </c>
      <c r="AS1788" s="318">
        <f t="shared" si="1346"/>
        <v>45275</v>
      </c>
      <c r="AT1788" s="321">
        <v>0</v>
      </c>
      <c r="AU1788" s="464"/>
      <c r="AV1788" s="449"/>
      <c r="AW1788" s="318">
        <f t="shared" si="1347"/>
        <v>9010</v>
      </c>
      <c r="AX1788" s="467"/>
      <c r="AY1788" s="318">
        <f t="shared" si="1348"/>
        <v>9010</v>
      </c>
      <c r="AZ1788" s="318">
        <f t="shared" si="1349"/>
        <v>8990</v>
      </c>
      <c r="BA1788" s="318">
        <f t="shared" si="1350"/>
        <v>20</v>
      </c>
      <c r="BB1788" s="318">
        <f t="shared" si="1351"/>
        <v>18.02</v>
      </c>
      <c r="BC1788" s="318">
        <v>0</v>
      </c>
      <c r="BD1788" s="467"/>
      <c r="BE1788" s="138">
        <v>90.1</v>
      </c>
      <c r="BF1788" s="321">
        <f t="shared" si="1352"/>
        <v>0.13514999999999999</v>
      </c>
      <c r="BG1788" s="321">
        <f t="shared" si="1353"/>
        <v>89.964849999999998</v>
      </c>
      <c r="BH1788" s="321">
        <f t="shared" si="1354"/>
        <v>89.9</v>
      </c>
      <c r="BI1788" s="322">
        <f t="shared" si="1355"/>
        <v>19.999999999998863</v>
      </c>
      <c r="BJ1788" s="322">
        <v>0</v>
      </c>
      <c r="BK1788" s="318">
        <f t="shared" si="1356"/>
        <v>19.999999999998863</v>
      </c>
      <c r="BL1788" s="449"/>
      <c r="BM1788" s="449" t="str">
        <f t="shared" si="1357"/>
        <v xml:space="preserve">Unloading no. 1752 Bill No 262 ,Deduction For Oil Deduction= 43119.2857142857 ,Bardana= 0 ,F.M= 0 Brokerage/Rate Difference 0 ,Shortage = 0 ,Greenish= 0 ,Moisture= </v>
      </c>
      <c r="BN1788" s="449"/>
      <c r="BO1788" s="449" t="str">
        <f t="shared" si="1358"/>
        <v xml:space="preserve"> Party Condition 42  ,F.M% 0.2 ,Greenish 2.88 ,Moisture 5.2 ,Shortage in KG= 0  ,Oil% 39.6</v>
      </c>
      <c r="BP1788" s="464">
        <f t="shared" si="1359"/>
        <v>7913.9957095185127</v>
      </c>
      <c r="BQ1788" s="449"/>
      <c r="BR1788" s="449"/>
      <c r="BS1788" s="449"/>
      <c r="BT1788" s="449"/>
      <c r="BU1788" s="449"/>
      <c r="BV1788" s="449"/>
      <c r="BW1788" s="449"/>
      <c r="BX1788" s="147">
        <v>0</v>
      </c>
      <c r="BY1788" s="147">
        <v>0</v>
      </c>
    </row>
    <row r="1789" spans="1:85" ht="14.1" hidden="1" customHeight="1" x14ac:dyDescent="0.3">
      <c r="A1789" s="281" t="s">
        <v>3621</v>
      </c>
      <c r="B1789" s="146">
        <v>46252</v>
      </c>
      <c r="C1789" s="281">
        <v>1753</v>
      </c>
      <c r="D1789" s="281" t="s">
        <v>3753</v>
      </c>
      <c r="E1789" s="130">
        <v>46258</v>
      </c>
      <c r="F1789" s="128" t="s">
        <v>3636</v>
      </c>
      <c r="G1789" s="128" t="s">
        <v>3637</v>
      </c>
      <c r="H1789" s="128" t="s">
        <v>2081</v>
      </c>
      <c r="I1789" s="136"/>
      <c r="J1789" s="138" t="s">
        <v>1146</v>
      </c>
      <c r="K1789" s="136"/>
      <c r="L1789" s="146">
        <v>46252</v>
      </c>
      <c r="M1789" s="136"/>
      <c r="N1789" s="281" t="s">
        <v>3772</v>
      </c>
      <c r="O1789" s="146">
        <v>46258</v>
      </c>
      <c r="P1789" s="138">
        <v>0</v>
      </c>
      <c r="Q1789" s="138">
        <v>100</v>
      </c>
      <c r="R1789" s="138">
        <v>70</v>
      </c>
      <c r="S1789" s="138">
        <v>170</v>
      </c>
      <c r="T1789" s="138">
        <v>170</v>
      </c>
      <c r="U1789" s="136"/>
      <c r="V1789" s="136"/>
      <c r="W1789" s="147">
        <v>103.4</v>
      </c>
      <c r="X1789" s="147">
        <v>103.3</v>
      </c>
      <c r="Y1789" s="147">
        <v>832370</v>
      </c>
      <c r="Z1789" s="165"/>
      <c r="AA1789" s="148">
        <v>20809.25</v>
      </c>
      <c r="AB1789" s="148">
        <v>20809.25</v>
      </c>
      <c r="AC1789" s="148">
        <v>873988.5</v>
      </c>
      <c r="AD1789" s="496">
        <f t="shared" si="1361"/>
        <v>873114.51150000002</v>
      </c>
      <c r="AE1789" s="147">
        <v>39.979999999999997</v>
      </c>
      <c r="AF1789" s="147">
        <v>39.85</v>
      </c>
      <c r="AG1789" s="147">
        <v>39.96</v>
      </c>
      <c r="AH1789" s="395">
        <v>2E-3</v>
      </c>
      <c r="AI1789" s="287">
        <v>0.03</v>
      </c>
      <c r="AJ1789" s="287">
        <v>5.5E-2</v>
      </c>
      <c r="AK1789" s="318">
        <f t="shared" si="1360"/>
        <v>0</v>
      </c>
      <c r="AL1789" s="467"/>
      <c r="AM1789" s="321"/>
      <c r="AN1789" s="321"/>
      <c r="AO1789" s="318"/>
      <c r="AP1789" s="467"/>
      <c r="AQ1789" s="318"/>
      <c r="AR1789" s="318">
        <f t="shared" si="1345"/>
        <v>0</v>
      </c>
      <c r="AS1789" s="318">
        <f t="shared" si="1346"/>
        <v>0</v>
      </c>
      <c r="AT1789" s="321">
        <v>0</v>
      </c>
      <c r="AU1789" s="464"/>
      <c r="AV1789" s="449"/>
      <c r="AW1789" s="318">
        <f t="shared" si="1347"/>
        <v>10340</v>
      </c>
      <c r="AX1789" s="467"/>
      <c r="AY1789" s="318">
        <f t="shared" si="1348"/>
        <v>10340</v>
      </c>
      <c r="AZ1789" s="318">
        <f t="shared" si="1349"/>
        <v>10330</v>
      </c>
      <c r="BA1789" s="318">
        <f t="shared" si="1350"/>
        <v>10</v>
      </c>
      <c r="BB1789" s="318">
        <f t="shared" si="1351"/>
        <v>20.68</v>
      </c>
      <c r="BC1789" s="318">
        <v>0</v>
      </c>
      <c r="BD1789" s="467"/>
      <c r="BE1789" s="138">
        <v>103.4</v>
      </c>
      <c r="BF1789" s="321">
        <f t="shared" si="1352"/>
        <v>0.15509999999999999</v>
      </c>
      <c r="BG1789" s="321">
        <f t="shared" si="1353"/>
        <v>103.2449</v>
      </c>
      <c r="BH1789" s="321">
        <f t="shared" si="1354"/>
        <v>103.3</v>
      </c>
      <c r="BI1789" s="322">
        <f t="shared" si="1355"/>
        <v>10.000000000000853</v>
      </c>
      <c r="BJ1789" s="322">
        <v>0</v>
      </c>
      <c r="BK1789" s="318">
        <f t="shared" si="1356"/>
        <v>10.000000000000853</v>
      </c>
      <c r="BL1789" s="449"/>
      <c r="BM1789" s="449" t="str">
        <f t="shared" si="1357"/>
        <v xml:space="preserve">Unloading no. 1753 Bill No RJT806/2026-27 ,Deduction For Oil Deduction= 0 ,Bardana=  ,F.M=  Brokerage/Rate Difference  ,Shortage =  ,Greenish=  ,Moisture= </v>
      </c>
      <c r="BN1789" s="449"/>
      <c r="BO1789" s="449" t="str">
        <f t="shared" si="1358"/>
        <v xml:space="preserve"> Party Condition 39.85  ,F.M% 0.2 ,Greenish 3 ,Moisture 5.5 ,Shortage in KG= 0  ,Oil% 39.96</v>
      </c>
      <c r="BP1789" s="464">
        <f t="shared" si="1359"/>
        <v>8057.7928363988385</v>
      </c>
      <c r="BQ1789" s="449"/>
      <c r="BR1789" s="449"/>
      <c r="BS1789" s="449"/>
      <c r="BT1789" s="449"/>
      <c r="BU1789" s="449"/>
      <c r="BV1789" s="449"/>
      <c r="BW1789" s="449"/>
      <c r="BX1789" s="147">
        <v>0</v>
      </c>
      <c r="BY1789" s="147">
        <v>0</v>
      </c>
    </row>
    <row r="1790" spans="1:85" ht="14.1" hidden="1" customHeight="1" x14ac:dyDescent="0.3">
      <c r="A1790" s="281" t="s">
        <v>3621</v>
      </c>
      <c r="B1790" s="146">
        <v>46252</v>
      </c>
      <c r="C1790" s="281">
        <v>1754</v>
      </c>
      <c r="D1790" s="281" t="s">
        <v>3754</v>
      </c>
      <c r="E1790" s="130">
        <v>46258</v>
      </c>
      <c r="F1790" s="128" t="s">
        <v>3636</v>
      </c>
      <c r="G1790" s="128" t="s">
        <v>3637</v>
      </c>
      <c r="H1790" s="128" t="s">
        <v>2081</v>
      </c>
      <c r="I1790" s="136"/>
      <c r="J1790" s="138" t="s">
        <v>1146</v>
      </c>
      <c r="K1790" s="136"/>
      <c r="L1790" s="146">
        <v>46252</v>
      </c>
      <c r="M1790" s="136"/>
      <c r="N1790" s="281" t="s">
        <v>3773</v>
      </c>
      <c r="O1790" s="146">
        <v>46258</v>
      </c>
      <c r="P1790" s="138">
        <v>0</v>
      </c>
      <c r="Q1790" s="138">
        <v>100</v>
      </c>
      <c r="R1790" s="138">
        <v>70</v>
      </c>
      <c r="S1790" s="138">
        <v>170</v>
      </c>
      <c r="T1790" s="138">
        <v>170</v>
      </c>
      <c r="U1790" s="136"/>
      <c r="V1790" s="136"/>
      <c r="W1790" s="147">
        <v>103.6</v>
      </c>
      <c r="X1790" s="147">
        <v>103.4</v>
      </c>
      <c r="Y1790" s="147">
        <v>833980</v>
      </c>
      <c r="Z1790" s="165"/>
      <c r="AA1790" s="148">
        <v>20849.5</v>
      </c>
      <c r="AB1790" s="148">
        <v>20849.5</v>
      </c>
      <c r="AC1790" s="148">
        <v>875679</v>
      </c>
      <c r="AD1790" s="496">
        <f t="shared" si="1361"/>
        <v>874803.321</v>
      </c>
      <c r="AE1790" s="147">
        <v>39.950000000000003</v>
      </c>
      <c r="AF1790" s="147">
        <v>39.85</v>
      </c>
      <c r="AG1790" s="147">
        <v>39.75</v>
      </c>
      <c r="AH1790" s="395">
        <v>2.2000000000000001E-3</v>
      </c>
      <c r="AI1790" s="287">
        <v>0.03</v>
      </c>
      <c r="AJ1790" s="287">
        <v>5.1999999999999998E-2</v>
      </c>
      <c r="AK1790" s="318">
        <f t="shared" si="1360"/>
        <v>2092.7979924717988</v>
      </c>
      <c r="AL1790" s="467"/>
      <c r="AM1790" s="321"/>
      <c r="AN1790" s="321"/>
      <c r="AO1790" s="318"/>
      <c r="AP1790" s="467"/>
      <c r="AQ1790" s="318"/>
      <c r="AR1790" s="318">
        <f t="shared" si="1345"/>
        <v>2092.7979924717988</v>
      </c>
      <c r="AS1790" s="318">
        <f t="shared" si="1346"/>
        <v>2197</v>
      </c>
      <c r="AT1790" s="321">
        <v>0</v>
      </c>
      <c r="AU1790" s="464"/>
      <c r="AV1790" s="449"/>
      <c r="AW1790" s="318">
        <f t="shared" si="1347"/>
        <v>10360</v>
      </c>
      <c r="AX1790" s="467"/>
      <c r="AY1790" s="318">
        <f t="shared" si="1348"/>
        <v>10360</v>
      </c>
      <c r="AZ1790" s="318">
        <f t="shared" si="1349"/>
        <v>10340</v>
      </c>
      <c r="BA1790" s="318">
        <f t="shared" si="1350"/>
        <v>20</v>
      </c>
      <c r="BB1790" s="318">
        <f t="shared" si="1351"/>
        <v>20.72</v>
      </c>
      <c r="BC1790" s="318">
        <v>0</v>
      </c>
      <c r="BD1790" s="467"/>
      <c r="BE1790" s="138">
        <v>103.6</v>
      </c>
      <c r="BF1790" s="321">
        <f t="shared" si="1352"/>
        <v>0.15539999999999998</v>
      </c>
      <c r="BG1790" s="321">
        <f t="shared" si="1353"/>
        <v>103.44459999999999</v>
      </c>
      <c r="BH1790" s="321">
        <f t="shared" si="1354"/>
        <v>103.4</v>
      </c>
      <c r="BI1790" s="322">
        <f t="shared" si="1355"/>
        <v>19.999999999998863</v>
      </c>
      <c r="BJ1790" s="322">
        <v>0</v>
      </c>
      <c r="BK1790" s="318">
        <f t="shared" si="1356"/>
        <v>19.999999999998863</v>
      </c>
      <c r="BL1790" s="449"/>
      <c r="BM1790" s="449" t="str">
        <f t="shared" si="1357"/>
        <v xml:space="preserve">Unloading no. 1754 Bill No RJT807/2026-27 ,Deduction For Oil Deduction= 2092.7979924718 ,Bardana=  ,F.M=  Brokerage/Rate Difference  ,Shortage =  ,Greenish=  ,Moisture= </v>
      </c>
      <c r="BN1790" s="449"/>
      <c r="BO1790" s="449" t="str">
        <f t="shared" si="1358"/>
        <v xml:space="preserve"> Party Condition 39.85  ,F.M% 0.22 ,Greenish 3 ,Moisture 5.2 ,Shortage in KG= 0  ,Oil% 39.75</v>
      </c>
      <c r="BP1790" s="464">
        <f t="shared" si="1359"/>
        <v>8045.3307737671967</v>
      </c>
      <c r="BQ1790" s="449"/>
      <c r="BR1790" s="449"/>
      <c r="BS1790" s="449"/>
      <c r="BT1790" s="449"/>
      <c r="BU1790" s="449"/>
      <c r="BV1790" s="449"/>
      <c r="BW1790" s="449"/>
      <c r="BX1790" s="147">
        <v>0</v>
      </c>
      <c r="BY1790" s="147">
        <v>0</v>
      </c>
    </row>
    <row r="1791" spans="1:85" ht="14.1" hidden="1" customHeight="1" x14ac:dyDescent="0.3">
      <c r="A1791" s="281" t="s">
        <v>3741</v>
      </c>
      <c r="B1791" s="146">
        <v>46255</v>
      </c>
      <c r="C1791" s="281">
        <v>1755</v>
      </c>
      <c r="D1791" s="281" t="s">
        <v>3755</v>
      </c>
      <c r="E1791" s="130">
        <v>46258</v>
      </c>
      <c r="F1791" s="128" t="s">
        <v>95</v>
      </c>
      <c r="G1791" s="128" t="s">
        <v>96</v>
      </c>
      <c r="H1791" s="128" t="s">
        <v>97</v>
      </c>
      <c r="I1791" s="136"/>
      <c r="J1791" s="138" t="s">
        <v>2499</v>
      </c>
      <c r="K1791" s="136"/>
      <c r="L1791" s="146">
        <v>46255</v>
      </c>
      <c r="M1791" s="136"/>
      <c r="N1791" s="281">
        <v>263</v>
      </c>
      <c r="O1791" s="146">
        <v>46258</v>
      </c>
      <c r="P1791" s="138">
        <v>0</v>
      </c>
      <c r="Q1791" s="138">
        <v>80</v>
      </c>
      <c r="R1791" s="138">
        <v>70</v>
      </c>
      <c r="S1791" s="138">
        <v>150</v>
      </c>
      <c r="T1791" s="138">
        <v>150</v>
      </c>
      <c r="U1791" s="136"/>
      <c r="V1791" s="136"/>
      <c r="W1791" s="147">
        <v>89.8</v>
      </c>
      <c r="X1791" s="147">
        <v>89.7</v>
      </c>
      <c r="Y1791" s="148">
        <v>752075</v>
      </c>
      <c r="Z1791" s="165"/>
      <c r="AA1791" s="148">
        <v>18801.88</v>
      </c>
      <c r="AB1791" s="148">
        <v>18801.88</v>
      </c>
      <c r="AC1791" s="148">
        <v>789678.75</v>
      </c>
      <c r="AD1791" s="496">
        <f t="shared" si="1361"/>
        <v>788889.07125000004</v>
      </c>
      <c r="AE1791" s="147">
        <v>40.19</v>
      </c>
      <c r="AF1791" s="147">
        <v>42</v>
      </c>
      <c r="AG1791" s="147">
        <v>40.03</v>
      </c>
      <c r="AH1791" s="395">
        <v>1.8E-3</v>
      </c>
      <c r="AI1791" s="287">
        <v>2.87E-2</v>
      </c>
      <c r="AJ1791" s="287">
        <v>5.5E-2</v>
      </c>
      <c r="AK1791" s="318">
        <f t="shared" si="1360"/>
        <v>35275.898809523787</v>
      </c>
      <c r="AL1791" s="467">
        <v>0</v>
      </c>
      <c r="AM1791" s="321">
        <v>0</v>
      </c>
      <c r="AN1791" s="321">
        <v>0</v>
      </c>
      <c r="AO1791" s="318">
        <f t="shared" ref="AO1791" si="1363">AT1791*Y1791/AW1791</f>
        <v>0</v>
      </c>
      <c r="AP1791" s="467">
        <v>0</v>
      </c>
      <c r="AQ1791" s="318"/>
      <c r="AR1791" s="318">
        <f t="shared" si="1345"/>
        <v>35275.898809523787</v>
      </c>
      <c r="AS1791" s="318">
        <f t="shared" si="1346"/>
        <v>37040</v>
      </c>
      <c r="AT1791" s="321">
        <v>0</v>
      </c>
      <c r="AU1791" s="464"/>
      <c r="AV1791" s="449"/>
      <c r="AW1791" s="318">
        <f t="shared" si="1347"/>
        <v>8980</v>
      </c>
      <c r="AX1791" s="467"/>
      <c r="AY1791" s="318">
        <f t="shared" si="1348"/>
        <v>8980</v>
      </c>
      <c r="AZ1791" s="318">
        <f t="shared" si="1349"/>
        <v>8970</v>
      </c>
      <c r="BA1791" s="318">
        <f t="shared" si="1350"/>
        <v>10</v>
      </c>
      <c r="BB1791" s="318">
        <f t="shared" si="1351"/>
        <v>17.96</v>
      </c>
      <c r="BC1791" s="318">
        <v>0</v>
      </c>
      <c r="BD1791" s="467"/>
      <c r="BE1791" s="138">
        <v>89.8</v>
      </c>
      <c r="BF1791" s="321">
        <f t="shared" si="1352"/>
        <v>0.13469999999999999</v>
      </c>
      <c r="BG1791" s="321">
        <f t="shared" si="1353"/>
        <v>89.665300000000002</v>
      </c>
      <c r="BH1791" s="321">
        <f t="shared" si="1354"/>
        <v>89.7</v>
      </c>
      <c r="BI1791" s="322">
        <f t="shared" si="1355"/>
        <v>9.9999999999994316</v>
      </c>
      <c r="BJ1791" s="322">
        <v>0</v>
      </c>
      <c r="BK1791" s="318">
        <f t="shared" si="1356"/>
        <v>9.9999999999994316</v>
      </c>
      <c r="BL1791" s="449"/>
      <c r="BM1791" s="449" t="str">
        <f t="shared" si="1357"/>
        <v xml:space="preserve">Unloading no. 1755 Bill No 263 ,Deduction For Oil Deduction= 35275.8988095237 ,Bardana= 0 ,F.M= 0 Brokerage/Rate Difference 0 ,Shortage = 0 ,Greenish= 0 ,Moisture= </v>
      </c>
      <c r="BN1791" s="449"/>
      <c r="BO1791" s="449" t="str">
        <f t="shared" si="1358"/>
        <v xml:space="preserve"> Party Condition 42  ,F.M% 0.18 ,Greenish 2.87 ,Moisture 5.5 ,Shortage in KG= 0  ,Oil% 40.03</v>
      </c>
      <c r="BP1791" s="464">
        <f t="shared" si="1359"/>
        <v>7991.0713622126668</v>
      </c>
      <c r="BQ1791" s="449"/>
      <c r="BR1791" s="449"/>
      <c r="BS1791" s="449"/>
      <c r="BT1791" s="449"/>
      <c r="BU1791" s="449"/>
      <c r="BV1791" s="449"/>
      <c r="BW1791" s="449"/>
      <c r="BX1791" s="147">
        <v>0</v>
      </c>
      <c r="BY1791" s="147">
        <v>0</v>
      </c>
    </row>
    <row r="1792" spans="1:85" ht="14.1" hidden="1" customHeight="1" x14ac:dyDescent="0.3">
      <c r="A1792" s="281" t="s">
        <v>3621</v>
      </c>
      <c r="B1792" s="146">
        <v>46252</v>
      </c>
      <c r="C1792" s="281">
        <v>1756</v>
      </c>
      <c r="D1792" s="281" t="s">
        <v>3756</v>
      </c>
      <c r="E1792" s="130">
        <v>46258</v>
      </c>
      <c r="F1792" s="128" t="s">
        <v>3636</v>
      </c>
      <c r="G1792" s="128" t="s">
        <v>3637</v>
      </c>
      <c r="H1792" s="128" t="s">
        <v>2081</v>
      </c>
      <c r="I1792" s="136"/>
      <c r="J1792" s="138" t="s">
        <v>1146</v>
      </c>
      <c r="K1792" s="136"/>
      <c r="L1792" s="146">
        <v>46252</v>
      </c>
      <c r="M1792" s="136"/>
      <c r="N1792" s="281" t="s">
        <v>3774</v>
      </c>
      <c r="O1792" s="146">
        <v>46258</v>
      </c>
      <c r="P1792" s="138">
        <v>0</v>
      </c>
      <c r="Q1792" s="138">
        <v>120</v>
      </c>
      <c r="R1792" s="138">
        <v>50</v>
      </c>
      <c r="S1792" s="138">
        <v>170</v>
      </c>
      <c r="T1792" s="138">
        <v>170</v>
      </c>
      <c r="U1792" s="136"/>
      <c r="V1792" s="136"/>
      <c r="W1792" s="147">
        <v>103.5</v>
      </c>
      <c r="X1792" s="147">
        <v>103.3</v>
      </c>
      <c r="Y1792" s="147">
        <v>833175</v>
      </c>
      <c r="Z1792" s="165"/>
      <c r="AA1792" s="148">
        <v>20829.38</v>
      </c>
      <c r="AB1792" s="148">
        <v>20829.38</v>
      </c>
      <c r="AC1792" s="148">
        <v>874833.75</v>
      </c>
      <c r="AD1792" s="496">
        <f t="shared" si="1361"/>
        <v>873958.91625000001</v>
      </c>
      <c r="AE1792" s="147">
        <v>40.04</v>
      </c>
      <c r="AF1792" s="147">
        <v>39.85</v>
      </c>
      <c r="AG1792" s="147">
        <v>39.94</v>
      </c>
      <c r="AH1792" s="395">
        <v>2.5000000000000001E-3</v>
      </c>
      <c r="AI1792" s="287">
        <v>0.03</v>
      </c>
      <c r="AJ1792" s="287">
        <v>5.6000000000000001E-2</v>
      </c>
      <c r="AK1792" s="318">
        <f t="shared" si="1360"/>
        <v>0</v>
      </c>
      <c r="AL1792" s="467"/>
      <c r="AM1792" s="321"/>
      <c r="AN1792" s="321"/>
      <c r="AO1792" s="318"/>
      <c r="AP1792" s="467"/>
      <c r="AQ1792" s="318"/>
      <c r="AR1792" s="318">
        <f t="shared" si="1345"/>
        <v>0</v>
      </c>
      <c r="AS1792" s="318">
        <f t="shared" si="1346"/>
        <v>0</v>
      </c>
      <c r="AT1792" s="321">
        <v>0</v>
      </c>
      <c r="AU1792" s="464"/>
      <c r="AV1792" s="449"/>
      <c r="AW1792" s="318">
        <f t="shared" si="1347"/>
        <v>10350</v>
      </c>
      <c r="AX1792" s="467"/>
      <c r="AY1792" s="318">
        <f t="shared" si="1348"/>
        <v>10350</v>
      </c>
      <c r="AZ1792" s="318">
        <f t="shared" si="1349"/>
        <v>10330</v>
      </c>
      <c r="BA1792" s="318">
        <f t="shared" si="1350"/>
        <v>20</v>
      </c>
      <c r="BB1792" s="318">
        <f t="shared" si="1351"/>
        <v>20.7</v>
      </c>
      <c r="BC1792" s="318">
        <v>0</v>
      </c>
      <c r="BD1792" s="467"/>
      <c r="BE1792" s="138">
        <v>103.5</v>
      </c>
      <c r="BF1792" s="321">
        <f t="shared" si="1352"/>
        <v>0.15525</v>
      </c>
      <c r="BG1792" s="321">
        <f t="shared" si="1353"/>
        <v>103.34475</v>
      </c>
      <c r="BH1792" s="321">
        <f t="shared" si="1354"/>
        <v>103.3</v>
      </c>
      <c r="BI1792" s="322">
        <f t="shared" si="1355"/>
        <v>20.000000000000284</v>
      </c>
      <c r="BJ1792" s="322">
        <v>0</v>
      </c>
      <c r="BK1792" s="318">
        <f t="shared" si="1356"/>
        <v>20.000000000000284</v>
      </c>
      <c r="BL1792" s="449"/>
      <c r="BM1792" s="449" t="str">
        <f t="shared" si="1357"/>
        <v xml:space="preserve">Unloading no. 1756 Bill No RJT808/2026-27 ,Deduction For Oil Deduction= 0 ,Bardana=  ,F.M=  Brokerage/Rate Difference  ,Shortage =  ,Greenish=  ,Moisture= </v>
      </c>
      <c r="BN1792" s="449"/>
      <c r="BO1792" s="449" t="str">
        <f t="shared" si="1358"/>
        <v xml:space="preserve"> Party Condition 39.85  ,F.M% 0.25 ,Greenish 3 ,Moisture 5.6 ,Shortage in KG= 0  ,Oil% 39.94</v>
      </c>
      <c r="BP1792" s="464">
        <f t="shared" si="1359"/>
        <v>8065.585672797677</v>
      </c>
      <c r="BQ1792" s="449"/>
      <c r="BR1792" s="449"/>
      <c r="BS1792" s="449"/>
      <c r="BT1792" s="449"/>
      <c r="BU1792" s="449"/>
      <c r="BV1792" s="449"/>
      <c r="BW1792" s="449"/>
      <c r="BX1792" s="147">
        <v>0</v>
      </c>
      <c r="BY1792" s="147">
        <v>0</v>
      </c>
    </row>
    <row r="1793" spans="1:83" ht="14.1" hidden="1" customHeight="1" x14ac:dyDescent="0.3">
      <c r="A1793" s="281" t="s">
        <v>3621</v>
      </c>
      <c r="B1793" s="146">
        <v>46252</v>
      </c>
      <c r="C1793" s="281">
        <v>1757</v>
      </c>
      <c r="D1793" s="281" t="s">
        <v>3757</v>
      </c>
      <c r="E1793" s="130">
        <v>46258</v>
      </c>
      <c r="F1793" s="128" t="s">
        <v>3636</v>
      </c>
      <c r="G1793" s="128" t="s">
        <v>3637</v>
      </c>
      <c r="H1793" s="128" t="s">
        <v>2081</v>
      </c>
      <c r="I1793" s="136"/>
      <c r="J1793" s="138" t="s">
        <v>1146</v>
      </c>
      <c r="K1793" s="136"/>
      <c r="L1793" s="146">
        <v>46252</v>
      </c>
      <c r="M1793" s="136"/>
      <c r="N1793" s="281" t="s">
        <v>3775</v>
      </c>
      <c r="O1793" s="146">
        <v>46258</v>
      </c>
      <c r="P1793" s="138">
        <v>0</v>
      </c>
      <c r="Q1793" s="138">
        <v>110</v>
      </c>
      <c r="R1793" s="138">
        <v>60</v>
      </c>
      <c r="S1793" s="138">
        <v>170</v>
      </c>
      <c r="T1793" s="138">
        <v>170</v>
      </c>
      <c r="U1793" s="136"/>
      <c r="V1793" s="136"/>
      <c r="W1793" s="147">
        <v>102.5</v>
      </c>
      <c r="X1793" s="147">
        <v>102.3</v>
      </c>
      <c r="Y1793" s="147">
        <v>825125</v>
      </c>
      <c r="Z1793" s="165"/>
      <c r="AA1793" s="148">
        <v>20628.13</v>
      </c>
      <c r="AB1793" s="148">
        <v>20628.13</v>
      </c>
      <c r="AC1793" s="148">
        <v>866381.25</v>
      </c>
      <c r="AD1793" s="496">
        <f t="shared" si="1361"/>
        <v>865514.86875000002</v>
      </c>
      <c r="AE1793" s="147">
        <v>40.35</v>
      </c>
      <c r="AF1793" s="147">
        <v>39.85</v>
      </c>
      <c r="AG1793" s="147">
        <v>40.22</v>
      </c>
      <c r="AH1793" s="395">
        <v>2E-3</v>
      </c>
      <c r="AI1793" s="287">
        <v>2.7699999999999999E-2</v>
      </c>
      <c r="AJ1793" s="287">
        <v>5.5E-2</v>
      </c>
      <c r="AK1793" s="318">
        <f t="shared" si="1360"/>
        <v>0</v>
      </c>
      <c r="AL1793" s="467"/>
      <c r="AM1793" s="321"/>
      <c r="AN1793" s="321"/>
      <c r="AO1793" s="318"/>
      <c r="AP1793" s="467"/>
      <c r="AQ1793" s="318"/>
      <c r="AR1793" s="318">
        <f t="shared" si="1345"/>
        <v>0</v>
      </c>
      <c r="AS1793" s="318">
        <f t="shared" si="1346"/>
        <v>0</v>
      </c>
      <c r="AT1793" s="321">
        <v>0</v>
      </c>
      <c r="AU1793" s="464"/>
      <c r="AV1793" s="449"/>
      <c r="AW1793" s="318">
        <f t="shared" si="1347"/>
        <v>10250</v>
      </c>
      <c r="AX1793" s="467"/>
      <c r="AY1793" s="318">
        <f t="shared" si="1348"/>
        <v>10250</v>
      </c>
      <c r="AZ1793" s="318">
        <f t="shared" si="1349"/>
        <v>10230</v>
      </c>
      <c r="BA1793" s="318">
        <f t="shared" si="1350"/>
        <v>20</v>
      </c>
      <c r="BB1793" s="318">
        <f t="shared" si="1351"/>
        <v>20.5</v>
      </c>
      <c r="BC1793" s="318">
        <v>0</v>
      </c>
      <c r="BD1793" s="467"/>
      <c r="BE1793" s="138">
        <v>102.5</v>
      </c>
      <c r="BF1793" s="321">
        <f t="shared" si="1352"/>
        <v>0.15375</v>
      </c>
      <c r="BG1793" s="321">
        <f t="shared" si="1353"/>
        <v>102.34625</v>
      </c>
      <c r="BH1793" s="321">
        <f t="shared" si="1354"/>
        <v>102.3</v>
      </c>
      <c r="BI1793" s="322">
        <f t="shared" si="1355"/>
        <v>20.000000000000284</v>
      </c>
      <c r="BJ1793" s="322">
        <v>0</v>
      </c>
      <c r="BK1793" s="318">
        <f t="shared" si="1356"/>
        <v>20.000000000000284</v>
      </c>
      <c r="BL1793" s="449"/>
      <c r="BM1793" s="449" t="str">
        <f t="shared" si="1357"/>
        <v xml:space="preserve">Unloading no. 1757 Bill No RJT809/2026-27 ,Deduction For Oil Deduction= 0 ,Bardana=  ,F.M=  Brokerage/Rate Difference  ,Shortage =  ,Greenish=  ,Moisture= </v>
      </c>
      <c r="BN1793" s="449"/>
      <c r="BO1793" s="449" t="str">
        <f t="shared" si="1358"/>
        <v xml:space="preserve"> Party Condition 39.85  ,F.M% 0.2 ,Greenish 2.77 ,Moisture 5.5 ,Shortage in KG= 0  ,Oil% 40.22</v>
      </c>
      <c r="BP1793" s="464">
        <f t="shared" si="1359"/>
        <v>8065.738025415445</v>
      </c>
      <c r="BQ1793" s="449"/>
      <c r="BR1793" s="449"/>
      <c r="BS1793" s="449"/>
      <c r="BT1793" s="449"/>
      <c r="BU1793" s="449"/>
      <c r="BV1793" s="449"/>
      <c r="BW1793" s="449"/>
      <c r="BX1793" s="147">
        <v>0</v>
      </c>
      <c r="BY1793" s="147">
        <v>0</v>
      </c>
    </row>
    <row r="1794" spans="1:83" ht="14.1" hidden="1" customHeight="1" x14ac:dyDescent="0.3">
      <c r="A1794" s="128" t="s">
        <v>3650</v>
      </c>
      <c r="B1794" s="146">
        <v>46255</v>
      </c>
      <c r="C1794" s="281">
        <v>1758</v>
      </c>
      <c r="D1794" s="281" t="s">
        <v>3758</v>
      </c>
      <c r="E1794" s="129">
        <v>46259</v>
      </c>
      <c r="F1794" s="128" t="s">
        <v>2190</v>
      </c>
      <c r="G1794" s="128" t="s">
        <v>2191</v>
      </c>
      <c r="H1794" s="128" t="s">
        <v>97</v>
      </c>
      <c r="I1794" s="136"/>
      <c r="J1794" s="138" t="s">
        <v>2499</v>
      </c>
      <c r="K1794" s="136"/>
      <c r="L1794" s="146">
        <v>46255</v>
      </c>
      <c r="M1794" s="136"/>
      <c r="N1794" s="281" t="s">
        <v>2961</v>
      </c>
      <c r="O1794" s="146">
        <v>46258</v>
      </c>
      <c r="P1794" s="138">
        <v>0</v>
      </c>
      <c r="Q1794" s="138">
        <v>140</v>
      </c>
      <c r="R1794" s="138">
        <v>37</v>
      </c>
      <c r="S1794" s="138">
        <v>177</v>
      </c>
      <c r="T1794" s="138">
        <v>177</v>
      </c>
      <c r="U1794" s="136"/>
      <c r="V1794" s="136"/>
      <c r="W1794" s="147">
        <v>104.8</v>
      </c>
      <c r="X1794" s="147">
        <v>104.9</v>
      </c>
      <c r="Y1794" s="169">
        <v>880320</v>
      </c>
      <c r="Z1794" s="165"/>
      <c r="AA1794" s="148">
        <v>22008</v>
      </c>
      <c r="AB1794" s="148">
        <v>22008</v>
      </c>
      <c r="AC1794" s="148">
        <v>924336</v>
      </c>
      <c r="AD1794" s="315">
        <f t="shared" si="1361"/>
        <v>923411.66399999999</v>
      </c>
      <c r="AE1794" s="147">
        <v>39.729999999999997</v>
      </c>
      <c r="AF1794" s="147">
        <v>42</v>
      </c>
      <c r="AG1794" s="147">
        <v>39.869999999999997</v>
      </c>
      <c r="AH1794" s="287">
        <v>2E-3</v>
      </c>
      <c r="AI1794" s="287">
        <v>0.03</v>
      </c>
      <c r="AJ1794" s="287">
        <v>5.3999999999999999E-2</v>
      </c>
      <c r="AK1794" s="318">
        <f t="shared" si="1360"/>
        <v>47579.200000000063</v>
      </c>
      <c r="AL1794" s="467">
        <v>0</v>
      </c>
      <c r="AM1794" s="321">
        <v>0</v>
      </c>
      <c r="AN1794" s="321">
        <v>0</v>
      </c>
      <c r="AO1794" s="318">
        <f t="shared" ref="AO1794:AO1796" si="1364">AT1794*Y1794/AW1794</f>
        <v>0</v>
      </c>
      <c r="AP1794" s="467">
        <v>0</v>
      </c>
      <c r="AQ1794" s="318"/>
      <c r="AR1794" s="318">
        <f t="shared" si="1345"/>
        <v>47579.200000000063</v>
      </c>
      <c r="AS1794" s="318">
        <f t="shared" si="1346"/>
        <v>49958</v>
      </c>
      <c r="AT1794" s="321">
        <v>0</v>
      </c>
      <c r="AU1794" s="464"/>
      <c r="AV1794" s="449"/>
      <c r="AW1794" s="318">
        <f t="shared" si="1347"/>
        <v>10480</v>
      </c>
      <c r="AX1794" s="467"/>
      <c r="AY1794" s="318">
        <f t="shared" si="1348"/>
        <v>10480</v>
      </c>
      <c r="AZ1794" s="318">
        <f t="shared" si="1349"/>
        <v>10490</v>
      </c>
      <c r="BA1794" s="318">
        <f t="shared" si="1350"/>
        <v>-10</v>
      </c>
      <c r="BB1794" s="318">
        <f t="shared" si="1351"/>
        <v>20.96</v>
      </c>
      <c r="BC1794" s="318">
        <v>0</v>
      </c>
      <c r="BD1794" s="467"/>
      <c r="BE1794" s="138">
        <v>104.8</v>
      </c>
      <c r="BF1794" s="321">
        <f t="shared" si="1352"/>
        <v>0.15719999999999998</v>
      </c>
      <c r="BG1794" s="321">
        <f t="shared" si="1353"/>
        <v>104.64279999999999</v>
      </c>
      <c r="BH1794" s="321">
        <f t="shared" si="1354"/>
        <v>104.9</v>
      </c>
      <c r="BI1794" s="322">
        <f t="shared" si="1355"/>
        <v>-10.000000000000853</v>
      </c>
      <c r="BJ1794" s="322">
        <v>0</v>
      </c>
      <c r="BK1794" s="318">
        <f t="shared" si="1356"/>
        <v>-10.000000000000853</v>
      </c>
      <c r="BL1794" s="449"/>
      <c r="BM1794" s="449" t="str">
        <f t="shared" si="1357"/>
        <v xml:space="preserve">Unloading no. 1758 Bill No 2026-27/464 ,Deduction For Oil Deduction= 47579.2000000001 ,Bardana= 0 ,F.M= 0 Brokerage/Rate Difference 0 ,Shortage = 0 ,Greenish= 0 ,Moisture= </v>
      </c>
      <c r="BN1794" s="449"/>
      <c r="BO1794" s="449" t="str">
        <f t="shared" si="1358"/>
        <v xml:space="preserve"> Party Condition 42  ,F.M% 0.2 ,Greenish 3 ,Moisture 5.4 ,Shortage in KG= 0  ,Oil% 39.73</v>
      </c>
      <c r="BP1794" s="464">
        <f t="shared" si="1359"/>
        <v>7938.4251668255474</v>
      </c>
      <c r="BQ1794" s="449"/>
      <c r="BR1794" s="449"/>
      <c r="BS1794" s="449"/>
      <c r="BT1794" s="449"/>
      <c r="BU1794" s="449"/>
      <c r="BV1794" s="449"/>
      <c r="BW1794" s="449"/>
      <c r="BX1794" s="147">
        <v>39.729999999999997</v>
      </c>
      <c r="BY1794" s="147">
        <v>39.869999999999997</v>
      </c>
    </row>
    <row r="1795" spans="1:83" ht="14.1" hidden="1" customHeight="1" x14ac:dyDescent="0.3">
      <c r="A1795" s="128" t="s">
        <v>3650</v>
      </c>
      <c r="B1795" s="146">
        <v>46255</v>
      </c>
      <c r="C1795" s="281">
        <v>1759</v>
      </c>
      <c r="D1795" s="281" t="s">
        <v>3759</v>
      </c>
      <c r="E1795" s="129">
        <v>46259</v>
      </c>
      <c r="F1795" s="128" t="s">
        <v>2190</v>
      </c>
      <c r="G1795" s="128" t="s">
        <v>2191</v>
      </c>
      <c r="H1795" s="128" t="s">
        <v>97</v>
      </c>
      <c r="I1795" s="136"/>
      <c r="J1795" s="138" t="s">
        <v>2499</v>
      </c>
      <c r="K1795" s="136"/>
      <c r="L1795" s="146">
        <v>46255</v>
      </c>
      <c r="M1795" s="136"/>
      <c r="N1795" s="281" t="s">
        <v>2960</v>
      </c>
      <c r="O1795" s="146">
        <v>46258</v>
      </c>
      <c r="P1795" s="138">
        <v>0</v>
      </c>
      <c r="Q1795" s="138">
        <v>160</v>
      </c>
      <c r="R1795" s="138">
        <v>18</v>
      </c>
      <c r="S1795" s="138">
        <v>178</v>
      </c>
      <c r="T1795" s="138">
        <v>178</v>
      </c>
      <c r="U1795" s="136"/>
      <c r="V1795" s="136"/>
      <c r="W1795" s="147">
        <v>106.4</v>
      </c>
      <c r="X1795" s="147">
        <v>106.3</v>
      </c>
      <c r="Y1795" s="169">
        <v>893760</v>
      </c>
      <c r="Z1795" s="165"/>
      <c r="AA1795" s="148">
        <v>22344</v>
      </c>
      <c r="AB1795" s="148">
        <v>22344</v>
      </c>
      <c r="AC1795" s="148">
        <v>938448</v>
      </c>
      <c r="AD1795" s="315">
        <f t="shared" si="1361"/>
        <v>937509.55200000003</v>
      </c>
      <c r="AE1795" s="147">
        <v>39.700000000000003</v>
      </c>
      <c r="AF1795" s="147">
        <v>42</v>
      </c>
      <c r="AG1795" s="147">
        <v>39.69</v>
      </c>
      <c r="AH1795" s="287">
        <v>1.9E-3</v>
      </c>
      <c r="AI1795" s="287">
        <v>0.03</v>
      </c>
      <c r="AJ1795" s="287">
        <v>5.3999999999999999E-2</v>
      </c>
      <c r="AK1795" s="318">
        <f t="shared" si="1360"/>
        <v>49156.800000000047</v>
      </c>
      <c r="AL1795" s="467">
        <v>0</v>
      </c>
      <c r="AM1795" s="321">
        <v>0</v>
      </c>
      <c r="AN1795" s="321">
        <v>0</v>
      </c>
      <c r="AO1795" s="318">
        <f t="shared" si="1364"/>
        <v>0</v>
      </c>
      <c r="AP1795" s="467">
        <v>0</v>
      </c>
      <c r="AQ1795" s="318"/>
      <c r="AR1795" s="318">
        <f t="shared" si="1345"/>
        <v>49156.800000000047</v>
      </c>
      <c r="AS1795" s="318">
        <f t="shared" si="1346"/>
        <v>51615</v>
      </c>
      <c r="AT1795" s="321">
        <v>0</v>
      </c>
      <c r="AU1795" s="464"/>
      <c r="AV1795" s="449"/>
      <c r="AW1795" s="318">
        <f t="shared" si="1347"/>
        <v>10640</v>
      </c>
      <c r="AX1795" s="467"/>
      <c r="AY1795" s="318">
        <f t="shared" si="1348"/>
        <v>10640</v>
      </c>
      <c r="AZ1795" s="318">
        <f t="shared" si="1349"/>
        <v>10630</v>
      </c>
      <c r="BA1795" s="318">
        <f t="shared" si="1350"/>
        <v>10</v>
      </c>
      <c r="BB1795" s="318">
        <f t="shared" si="1351"/>
        <v>21.28</v>
      </c>
      <c r="BC1795" s="318">
        <v>0</v>
      </c>
      <c r="BD1795" s="467"/>
      <c r="BE1795" s="138">
        <v>106.4</v>
      </c>
      <c r="BF1795" s="321">
        <f t="shared" si="1352"/>
        <v>0.15960000000000002</v>
      </c>
      <c r="BG1795" s="321">
        <f t="shared" si="1353"/>
        <v>106.24040000000001</v>
      </c>
      <c r="BH1795" s="321">
        <f t="shared" si="1354"/>
        <v>106.3</v>
      </c>
      <c r="BI1795" s="322">
        <f t="shared" si="1355"/>
        <v>10.000000000000853</v>
      </c>
      <c r="BJ1795" s="322">
        <v>0</v>
      </c>
      <c r="BK1795" s="318">
        <f t="shared" si="1356"/>
        <v>10.000000000000853</v>
      </c>
      <c r="BL1795" s="449"/>
      <c r="BM1795" s="449" t="str">
        <f t="shared" si="1357"/>
        <v xml:space="preserve">Unloading no. 1759 Bill No 2026-27/465 ,Deduction For Oil Deduction= 49156.8 ,Bardana= 0 ,F.M= 0 Brokerage/Rate Difference 0 ,Shortage = 0 ,Greenish= 0 ,Moisture= </v>
      </c>
      <c r="BN1795" s="449"/>
      <c r="BO1795" s="449" t="str">
        <f t="shared" si="1358"/>
        <v xml:space="preserve"> Party Condition 42  ,F.M% 0.19 ,Greenish 3 ,Moisture 5.4 ,Shortage in KG= 0  ,Oil% 39.69</v>
      </c>
      <c r="BP1795" s="464">
        <f t="shared" si="1359"/>
        <v>7945.4675446848541</v>
      </c>
      <c r="BQ1795" s="449"/>
      <c r="BR1795" s="449"/>
      <c r="BS1795" s="449"/>
      <c r="BT1795" s="449"/>
      <c r="BU1795" s="449"/>
      <c r="BV1795" s="449"/>
      <c r="BW1795" s="449"/>
      <c r="BX1795" s="147">
        <v>39.700000000000003</v>
      </c>
      <c r="BY1795" s="147">
        <v>39.69</v>
      </c>
    </row>
    <row r="1796" spans="1:83" ht="14.1" hidden="1" customHeight="1" x14ac:dyDescent="0.3">
      <c r="A1796" s="128" t="s">
        <v>3650</v>
      </c>
      <c r="B1796" s="146">
        <v>46255</v>
      </c>
      <c r="C1796" s="281">
        <v>1760</v>
      </c>
      <c r="D1796" s="281" t="s">
        <v>3760</v>
      </c>
      <c r="E1796" s="129">
        <v>46259</v>
      </c>
      <c r="F1796" s="128" t="s">
        <v>2190</v>
      </c>
      <c r="G1796" s="128" t="s">
        <v>2191</v>
      </c>
      <c r="H1796" s="128" t="s">
        <v>97</v>
      </c>
      <c r="I1796" s="136"/>
      <c r="J1796" s="138" t="s">
        <v>2499</v>
      </c>
      <c r="K1796" s="136"/>
      <c r="L1796" s="146">
        <v>46255</v>
      </c>
      <c r="M1796" s="136"/>
      <c r="N1796" s="281" t="s">
        <v>2965</v>
      </c>
      <c r="O1796" s="146">
        <v>46258</v>
      </c>
      <c r="P1796" s="138">
        <v>0</v>
      </c>
      <c r="Q1796" s="138">
        <v>109</v>
      </c>
      <c r="R1796" s="138">
        <v>70</v>
      </c>
      <c r="S1796" s="138">
        <v>179</v>
      </c>
      <c r="T1796" s="138">
        <v>179</v>
      </c>
      <c r="U1796" s="136"/>
      <c r="V1796" s="136"/>
      <c r="W1796" s="147">
        <v>106.8</v>
      </c>
      <c r="X1796" s="147">
        <v>106.7</v>
      </c>
      <c r="Y1796" s="169">
        <v>897120</v>
      </c>
      <c r="Z1796" s="165"/>
      <c r="AA1796" s="148">
        <v>22428</v>
      </c>
      <c r="AB1796" s="148">
        <v>22428</v>
      </c>
      <c r="AC1796" s="148">
        <v>941976</v>
      </c>
      <c r="AD1796" s="315">
        <f t="shared" si="1361"/>
        <v>941034.02399999998</v>
      </c>
      <c r="AE1796" s="147">
        <v>40.42</v>
      </c>
      <c r="AF1796" s="147">
        <v>42</v>
      </c>
      <c r="AG1796" s="147">
        <v>40.4</v>
      </c>
      <c r="AH1796" s="287">
        <v>2.2000000000000001E-3</v>
      </c>
      <c r="AI1796" s="287">
        <v>3.1E-2</v>
      </c>
      <c r="AJ1796" s="287">
        <v>5.3999999999999999E-2</v>
      </c>
      <c r="AK1796" s="318">
        <f t="shared" si="1360"/>
        <v>34176.000000000029</v>
      </c>
      <c r="AL1796" s="467">
        <v>0</v>
      </c>
      <c r="AM1796" s="321">
        <v>0</v>
      </c>
      <c r="AN1796" s="321">
        <v>0</v>
      </c>
      <c r="AO1796" s="318">
        <f t="shared" si="1364"/>
        <v>0</v>
      </c>
      <c r="AP1796" s="467">
        <v>0</v>
      </c>
      <c r="AQ1796" s="318"/>
      <c r="AR1796" s="318">
        <f t="shared" si="1345"/>
        <v>34176.000000000029</v>
      </c>
      <c r="AS1796" s="318">
        <f t="shared" si="1346"/>
        <v>35885</v>
      </c>
      <c r="AT1796" s="321">
        <v>0</v>
      </c>
      <c r="AU1796" s="464"/>
      <c r="AV1796" s="449"/>
      <c r="AW1796" s="318">
        <f t="shared" si="1347"/>
        <v>10680</v>
      </c>
      <c r="AX1796" s="467"/>
      <c r="AY1796" s="318">
        <f t="shared" si="1348"/>
        <v>10680</v>
      </c>
      <c r="AZ1796" s="318">
        <f t="shared" si="1349"/>
        <v>10670</v>
      </c>
      <c r="BA1796" s="318">
        <f t="shared" si="1350"/>
        <v>10</v>
      </c>
      <c r="BB1796" s="318">
        <f t="shared" si="1351"/>
        <v>21.36</v>
      </c>
      <c r="BC1796" s="318">
        <v>0</v>
      </c>
      <c r="BD1796" s="467"/>
      <c r="BE1796" s="138">
        <v>106.8</v>
      </c>
      <c r="BF1796" s="321">
        <f t="shared" si="1352"/>
        <v>0.16020000000000001</v>
      </c>
      <c r="BG1796" s="321">
        <f t="shared" si="1353"/>
        <v>106.63979999999999</v>
      </c>
      <c r="BH1796" s="321">
        <f t="shared" si="1354"/>
        <v>106.7</v>
      </c>
      <c r="BI1796" s="322">
        <f t="shared" si="1355"/>
        <v>9.9999999999994316</v>
      </c>
      <c r="BJ1796" s="322">
        <v>0</v>
      </c>
      <c r="BK1796" s="318">
        <f t="shared" si="1356"/>
        <v>9.9999999999994316</v>
      </c>
      <c r="BL1796" s="449"/>
      <c r="BM1796" s="449" t="str">
        <f t="shared" si="1357"/>
        <v xml:space="preserve">Unloading no. 1760 Bill No 2026-27/466 ,Deduction For Oil Deduction= 34176 ,Bardana= 0 ,F.M= 0 Brokerage/Rate Difference 0 ,Shortage = 0 ,Greenish= 0 ,Moisture= </v>
      </c>
      <c r="BN1796" s="449"/>
      <c r="BO1796" s="449" t="str">
        <f t="shared" si="1358"/>
        <v xml:space="preserve"> Party Condition 42  ,F.M% 0.22 ,Greenish 3.1 ,Moisture 5.4 ,Shortage in KG= 0  ,Oil% 40.4</v>
      </c>
      <c r="BP1796" s="464">
        <f t="shared" si="1359"/>
        <v>8087.5726335520148</v>
      </c>
      <c r="BQ1796" s="449"/>
      <c r="BR1796" s="449"/>
      <c r="BS1796" s="449"/>
      <c r="BT1796" s="449"/>
      <c r="BU1796" s="449"/>
      <c r="BV1796" s="449"/>
      <c r="BW1796" s="449"/>
      <c r="BX1796" s="147">
        <v>40.42</v>
      </c>
      <c r="BY1796" s="147">
        <v>40.4</v>
      </c>
    </row>
    <row r="1797" spans="1:83" ht="14.1" hidden="1" customHeight="1" x14ac:dyDescent="0.3">
      <c r="A1797" s="128" t="s">
        <v>3621</v>
      </c>
      <c r="B1797" s="146">
        <v>46252</v>
      </c>
      <c r="C1797" s="281">
        <v>1761</v>
      </c>
      <c r="D1797" s="281" t="s">
        <v>3761</v>
      </c>
      <c r="E1797" s="129">
        <v>46259</v>
      </c>
      <c r="F1797" s="128" t="s">
        <v>3636</v>
      </c>
      <c r="G1797" s="128" t="s">
        <v>3637</v>
      </c>
      <c r="H1797" s="128" t="s">
        <v>2081</v>
      </c>
      <c r="I1797" s="136"/>
      <c r="J1797" s="138" t="s">
        <v>1146</v>
      </c>
      <c r="K1797" s="136"/>
      <c r="L1797" s="146">
        <v>46252</v>
      </c>
      <c r="M1797" s="136"/>
      <c r="N1797" s="281" t="s">
        <v>3776</v>
      </c>
      <c r="O1797" s="146">
        <v>46258</v>
      </c>
      <c r="P1797" s="138">
        <v>0</v>
      </c>
      <c r="Q1797" s="138">
        <v>150</v>
      </c>
      <c r="R1797" s="138">
        <v>20</v>
      </c>
      <c r="S1797" s="138">
        <v>170</v>
      </c>
      <c r="T1797" s="138">
        <v>170</v>
      </c>
      <c r="U1797" s="136"/>
      <c r="V1797" s="136"/>
      <c r="W1797" s="147">
        <v>101.3</v>
      </c>
      <c r="X1797" s="147">
        <v>101.2</v>
      </c>
      <c r="Y1797" s="169">
        <v>815465</v>
      </c>
      <c r="Z1797" s="165"/>
      <c r="AA1797" s="148">
        <v>20386.63</v>
      </c>
      <c r="AB1797" s="148">
        <v>20386.63</v>
      </c>
      <c r="AC1797" s="148">
        <v>856238.25</v>
      </c>
      <c r="AD1797" s="496">
        <f t="shared" si="1361"/>
        <v>855382.01174999995</v>
      </c>
      <c r="AE1797" s="147">
        <v>40.090000000000003</v>
      </c>
      <c r="AF1797" s="147">
        <v>39.85</v>
      </c>
      <c r="AG1797" s="147">
        <v>40.909999999999997</v>
      </c>
      <c r="AH1797" s="395">
        <v>1.8E-3</v>
      </c>
      <c r="AI1797" s="287">
        <v>2.9499999999999998E-2</v>
      </c>
      <c r="AJ1797" s="287">
        <v>5.1999999999999998E-2</v>
      </c>
      <c r="AK1797" s="318">
        <f t="shared" si="1360"/>
        <v>0</v>
      </c>
      <c r="AL1797" s="467"/>
      <c r="AM1797" s="321"/>
      <c r="AN1797" s="321"/>
      <c r="AO1797" s="318"/>
      <c r="AP1797" s="467"/>
      <c r="AQ1797" s="318"/>
      <c r="AR1797" s="318">
        <f t="shared" si="1345"/>
        <v>0</v>
      </c>
      <c r="AS1797" s="318">
        <f t="shared" si="1346"/>
        <v>0</v>
      </c>
      <c r="AT1797" s="321">
        <v>0</v>
      </c>
      <c r="AU1797" s="464"/>
      <c r="AV1797" s="449"/>
      <c r="AW1797" s="318">
        <f t="shared" si="1347"/>
        <v>10130</v>
      </c>
      <c r="AX1797" s="467"/>
      <c r="AY1797" s="318">
        <f t="shared" si="1348"/>
        <v>10130</v>
      </c>
      <c r="AZ1797" s="318">
        <f t="shared" si="1349"/>
        <v>10120</v>
      </c>
      <c r="BA1797" s="318">
        <f t="shared" si="1350"/>
        <v>10</v>
      </c>
      <c r="BB1797" s="318">
        <f t="shared" si="1351"/>
        <v>20.260000000000002</v>
      </c>
      <c r="BC1797" s="318">
        <v>0</v>
      </c>
      <c r="BD1797" s="467"/>
      <c r="BE1797" s="138">
        <v>101.3</v>
      </c>
      <c r="BF1797" s="321">
        <f t="shared" si="1352"/>
        <v>0.15194999999999997</v>
      </c>
      <c r="BG1797" s="321">
        <f t="shared" si="1353"/>
        <v>101.14805</v>
      </c>
      <c r="BH1797" s="321">
        <f t="shared" si="1354"/>
        <v>101.2</v>
      </c>
      <c r="BI1797" s="322">
        <f t="shared" si="1355"/>
        <v>9.9999999999994316</v>
      </c>
      <c r="BJ1797" s="322">
        <v>0</v>
      </c>
      <c r="BK1797" s="318">
        <f t="shared" si="1356"/>
        <v>9.9999999999994316</v>
      </c>
      <c r="BL1797" s="449"/>
      <c r="BM1797" s="449" t="str">
        <f t="shared" si="1357"/>
        <v xml:space="preserve">Unloading no. 1761 Bill No RJT810/2026-27 ,Deduction For Oil Deduction= 0 ,Bardana=  ,F.M=  Brokerage/Rate Difference  ,Shortage =  ,Greenish=  ,Moisture= </v>
      </c>
      <c r="BN1797" s="449"/>
      <c r="BO1797" s="449" t="str">
        <f t="shared" si="1358"/>
        <v xml:space="preserve"> Party Condition 39.85  ,F.M% 0.18 ,Greenish 2.95 ,Moisture 5.2 ,Shortage in KG= 0  ,Oil% 40.09</v>
      </c>
      <c r="BP1797" s="464">
        <f t="shared" si="1359"/>
        <v>8057.954545454545</v>
      </c>
      <c r="BQ1797" s="449"/>
      <c r="BR1797" s="449"/>
      <c r="BS1797" s="449"/>
      <c r="BT1797" s="449"/>
      <c r="BU1797" s="449"/>
      <c r="BV1797" s="449"/>
      <c r="BW1797" s="449"/>
      <c r="BX1797" s="147">
        <v>40.090000000000003</v>
      </c>
      <c r="BY1797" s="147">
        <v>40.909999999999997</v>
      </c>
    </row>
    <row r="1798" spans="1:83" ht="14.1" hidden="1" customHeight="1" x14ac:dyDescent="0.3">
      <c r="A1798" s="128" t="s">
        <v>3621</v>
      </c>
      <c r="B1798" s="146">
        <v>46252</v>
      </c>
      <c r="C1798" s="281">
        <v>1762</v>
      </c>
      <c r="D1798" s="281" t="s">
        <v>3762</v>
      </c>
      <c r="E1798" s="129">
        <v>46259</v>
      </c>
      <c r="F1798" s="128" t="s">
        <v>3636</v>
      </c>
      <c r="G1798" s="128" t="s">
        <v>3637</v>
      </c>
      <c r="H1798" s="128" t="s">
        <v>2081</v>
      </c>
      <c r="I1798" s="136"/>
      <c r="J1798" s="138" t="s">
        <v>1146</v>
      </c>
      <c r="K1798" s="136"/>
      <c r="L1798" s="146">
        <v>46252</v>
      </c>
      <c r="M1798" s="136"/>
      <c r="N1798" s="281" t="s">
        <v>3777</v>
      </c>
      <c r="O1798" s="146">
        <v>46258</v>
      </c>
      <c r="P1798" s="138">
        <v>0</v>
      </c>
      <c r="Q1798" s="138">
        <v>140</v>
      </c>
      <c r="R1798" s="138">
        <v>40</v>
      </c>
      <c r="S1798" s="138">
        <v>180</v>
      </c>
      <c r="T1798" s="138">
        <v>180</v>
      </c>
      <c r="U1798" s="136"/>
      <c r="V1798" s="136"/>
      <c r="W1798" s="147">
        <v>108.4</v>
      </c>
      <c r="X1798" s="147">
        <v>108.3</v>
      </c>
      <c r="Y1798" s="169">
        <v>872620</v>
      </c>
      <c r="Z1798" s="165"/>
      <c r="AA1798" s="148">
        <v>21815.5</v>
      </c>
      <c r="AB1798" s="148">
        <v>21815.5</v>
      </c>
      <c r="AC1798" s="148">
        <v>916251</v>
      </c>
      <c r="AD1798" s="496">
        <f t="shared" si="1361"/>
        <v>915334.74899999995</v>
      </c>
      <c r="AE1798" s="147">
        <v>40.42</v>
      </c>
      <c r="AF1798" s="147">
        <v>39.85</v>
      </c>
      <c r="AG1798" s="147">
        <v>40.32</v>
      </c>
      <c r="AH1798" s="395">
        <v>2E-3</v>
      </c>
      <c r="AI1798" s="287">
        <v>2.6499999999999999E-2</v>
      </c>
      <c r="AJ1798" s="287">
        <v>5.3999999999999999E-2</v>
      </c>
      <c r="AK1798" s="318">
        <f t="shared" si="1360"/>
        <v>0</v>
      </c>
      <c r="AL1798" s="467"/>
      <c r="AM1798" s="321"/>
      <c r="AN1798" s="321"/>
      <c r="AO1798" s="318"/>
      <c r="AP1798" s="467"/>
      <c r="AQ1798" s="318"/>
      <c r="AR1798" s="318">
        <f t="shared" si="1345"/>
        <v>0</v>
      </c>
      <c r="AS1798" s="318">
        <f t="shared" si="1346"/>
        <v>0</v>
      </c>
      <c r="AT1798" s="321">
        <v>0</v>
      </c>
      <c r="AU1798" s="464"/>
      <c r="AV1798" s="449"/>
      <c r="AW1798" s="318">
        <f t="shared" si="1347"/>
        <v>10840</v>
      </c>
      <c r="AX1798" s="467"/>
      <c r="AY1798" s="318">
        <f t="shared" si="1348"/>
        <v>10840</v>
      </c>
      <c r="AZ1798" s="318">
        <f t="shared" si="1349"/>
        <v>10830</v>
      </c>
      <c r="BA1798" s="318">
        <f t="shared" si="1350"/>
        <v>10</v>
      </c>
      <c r="BB1798" s="318">
        <f t="shared" si="1351"/>
        <v>21.68</v>
      </c>
      <c r="BC1798" s="318">
        <v>0</v>
      </c>
      <c r="BD1798" s="467"/>
      <c r="BE1798" s="138">
        <v>108.4</v>
      </c>
      <c r="BF1798" s="321">
        <f t="shared" si="1352"/>
        <v>0.16260000000000002</v>
      </c>
      <c r="BG1798" s="321">
        <f t="shared" si="1353"/>
        <v>108.23740000000001</v>
      </c>
      <c r="BH1798" s="321">
        <f t="shared" si="1354"/>
        <v>108.3</v>
      </c>
      <c r="BI1798" s="322">
        <f t="shared" si="1355"/>
        <v>10.000000000000853</v>
      </c>
      <c r="BJ1798" s="322">
        <v>0</v>
      </c>
      <c r="BK1798" s="318">
        <f t="shared" si="1356"/>
        <v>10.000000000000853</v>
      </c>
      <c r="BL1798" s="449"/>
      <c r="BM1798" s="449" t="str">
        <f t="shared" si="1357"/>
        <v xml:space="preserve">Unloading no. 1762 Bill No RJT811/2026-27 ,Deduction For Oil Deduction= 0 ,Bardana=  ,F.M=  Brokerage/Rate Difference  ,Shortage =  ,Greenish=  ,Moisture= </v>
      </c>
      <c r="BN1798" s="449"/>
      <c r="BO1798" s="449" t="str">
        <f t="shared" si="1358"/>
        <v xml:space="preserve"> Party Condition 39.85  ,F.M% 0.2 ,Greenish 2.65 ,Moisture 5.4 ,Shortage in KG= 0  ,Oil% 40.32</v>
      </c>
      <c r="BP1798" s="464">
        <f t="shared" si="1359"/>
        <v>8057.4330563250232</v>
      </c>
      <c r="BQ1798" s="449"/>
      <c r="BR1798" s="449"/>
      <c r="BS1798" s="449"/>
      <c r="BT1798" s="449"/>
      <c r="BU1798" s="449"/>
      <c r="BV1798" s="449"/>
      <c r="BW1798" s="449"/>
      <c r="BX1798" s="147">
        <v>40.42</v>
      </c>
      <c r="BY1798" s="147">
        <v>40.32</v>
      </c>
    </row>
    <row r="1799" spans="1:83" ht="14.1" hidden="1" customHeight="1" x14ac:dyDescent="0.3">
      <c r="A1799" s="128" t="s">
        <v>3621</v>
      </c>
      <c r="B1799" s="146">
        <v>46252</v>
      </c>
      <c r="C1799" s="281">
        <v>1763</v>
      </c>
      <c r="D1799" s="281" t="s">
        <v>3763</v>
      </c>
      <c r="E1799" s="129">
        <v>46259</v>
      </c>
      <c r="F1799" s="128" t="s">
        <v>3636</v>
      </c>
      <c r="G1799" s="128" t="s">
        <v>3637</v>
      </c>
      <c r="H1799" s="128" t="s">
        <v>2081</v>
      </c>
      <c r="I1799" s="136"/>
      <c r="J1799" s="138" t="s">
        <v>1146</v>
      </c>
      <c r="K1799" s="136"/>
      <c r="L1799" s="146">
        <v>46252</v>
      </c>
      <c r="M1799" s="136"/>
      <c r="N1799" s="281" t="s">
        <v>3778</v>
      </c>
      <c r="O1799" s="146">
        <v>46258</v>
      </c>
      <c r="P1799" s="138">
        <v>0</v>
      </c>
      <c r="Q1799" s="138">
        <v>150</v>
      </c>
      <c r="R1799" s="138">
        <v>30</v>
      </c>
      <c r="S1799" s="138">
        <v>180</v>
      </c>
      <c r="T1799" s="138">
        <v>180</v>
      </c>
      <c r="U1799" s="136"/>
      <c r="V1799" s="136"/>
      <c r="W1799" s="147">
        <v>107.5</v>
      </c>
      <c r="X1799" s="147">
        <v>107.5</v>
      </c>
      <c r="Y1799" s="169">
        <v>865375</v>
      </c>
      <c r="Z1799" s="165"/>
      <c r="AA1799" s="148">
        <v>21634.38</v>
      </c>
      <c r="AB1799" s="148">
        <v>21634.38</v>
      </c>
      <c r="AC1799" s="148">
        <v>908643.75</v>
      </c>
      <c r="AD1799" s="496">
        <f t="shared" si="1361"/>
        <v>907735.10624999995</v>
      </c>
      <c r="AE1799" s="147">
        <v>39.799999999999997</v>
      </c>
      <c r="AF1799" s="147">
        <v>39.85</v>
      </c>
      <c r="AG1799" s="147">
        <v>39.799999999999997</v>
      </c>
      <c r="AH1799" s="395">
        <v>2.3999999999999998E-3</v>
      </c>
      <c r="AI1799" s="287">
        <v>2.7799999999999998E-2</v>
      </c>
      <c r="AJ1799" s="287">
        <v>5.3999999999999999E-2</v>
      </c>
      <c r="AK1799" s="318">
        <f t="shared" si="1360"/>
        <v>1085.790464240996</v>
      </c>
      <c r="AL1799" s="467"/>
      <c r="AM1799" s="321"/>
      <c r="AN1799" s="321"/>
      <c r="AO1799" s="318"/>
      <c r="AP1799" s="467"/>
      <c r="AQ1799" s="318"/>
      <c r="AR1799" s="318">
        <f t="shared" si="1345"/>
        <v>1085.790464240996</v>
      </c>
      <c r="AS1799" s="318">
        <f t="shared" si="1346"/>
        <v>1140</v>
      </c>
      <c r="AT1799" s="321">
        <v>0</v>
      </c>
      <c r="AU1799" s="464"/>
      <c r="AV1799" s="449"/>
      <c r="AW1799" s="318">
        <f t="shared" si="1347"/>
        <v>10750</v>
      </c>
      <c r="AX1799" s="467"/>
      <c r="AY1799" s="318">
        <f t="shared" si="1348"/>
        <v>10750</v>
      </c>
      <c r="AZ1799" s="318">
        <f t="shared" si="1349"/>
        <v>10750</v>
      </c>
      <c r="BA1799" s="318">
        <f t="shared" si="1350"/>
        <v>0</v>
      </c>
      <c r="BB1799" s="318">
        <f t="shared" si="1351"/>
        <v>21.5</v>
      </c>
      <c r="BC1799" s="342">
        <v>0</v>
      </c>
      <c r="BD1799" s="473"/>
      <c r="BE1799" s="275">
        <v>107.5</v>
      </c>
      <c r="BF1799" s="345">
        <f t="shared" si="1352"/>
        <v>0.16125</v>
      </c>
      <c r="BG1799" s="345">
        <f t="shared" si="1353"/>
        <v>107.33875</v>
      </c>
      <c r="BH1799" s="321">
        <f t="shared" si="1354"/>
        <v>107.5</v>
      </c>
      <c r="BI1799" s="322">
        <f t="shared" si="1355"/>
        <v>0</v>
      </c>
      <c r="BJ1799" s="322">
        <v>0</v>
      </c>
      <c r="BK1799" s="318">
        <f t="shared" si="1356"/>
        <v>0</v>
      </c>
      <c r="BL1799" s="449"/>
      <c r="BM1799" s="449" t="str">
        <f t="shared" si="1357"/>
        <v xml:space="preserve">Unloading no. 1763 Bill No RJT812/2026-27 ,Deduction For Oil Deduction= 1085.790464241 ,Bardana=  ,F.M=  Brokerage/Rate Difference  ,Shortage =  ,Greenish=  ,Moisture= </v>
      </c>
      <c r="BN1799" s="449"/>
      <c r="BO1799" s="449" t="str">
        <f t="shared" si="1358"/>
        <v xml:space="preserve"> Party Condition 39.85  ,F.M% 0.24 ,Greenish 2.78 ,Moisture 5.4 ,Shortage in KG= 0  ,Oil% 39.8</v>
      </c>
      <c r="BP1799" s="464">
        <f t="shared" si="1359"/>
        <v>8039.8996235884561</v>
      </c>
      <c r="BQ1799" s="449"/>
      <c r="BR1799" s="449"/>
      <c r="BS1799" s="449"/>
      <c r="BT1799" s="449"/>
      <c r="BU1799" s="449"/>
      <c r="BV1799" s="449"/>
      <c r="BW1799" s="449"/>
      <c r="BX1799" s="147">
        <v>39.799999999999997</v>
      </c>
      <c r="BY1799" s="147">
        <v>39.799999999999997</v>
      </c>
    </row>
    <row r="1800" spans="1:83" ht="14.1" hidden="1" customHeight="1" x14ac:dyDescent="0.3">
      <c r="A1800" s="128" t="s">
        <v>3741</v>
      </c>
      <c r="B1800" s="146">
        <v>46255</v>
      </c>
      <c r="C1800" s="281">
        <v>1764</v>
      </c>
      <c r="D1800" s="281" t="s">
        <v>3764</v>
      </c>
      <c r="E1800" s="129">
        <v>46259</v>
      </c>
      <c r="F1800" s="128" t="s">
        <v>95</v>
      </c>
      <c r="G1800" s="128" t="s">
        <v>96</v>
      </c>
      <c r="H1800" s="128" t="s">
        <v>97</v>
      </c>
      <c r="I1800" s="136"/>
      <c r="J1800" s="138" t="s">
        <v>2499</v>
      </c>
      <c r="K1800" s="136"/>
      <c r="L1800" s="146">
        <v>46255</v>
      </c>
      <c r="M1800" s="136"/>
      <c r="N1800" s="281">
        <v>264</v>
      </c>
      <c r="O1800" s="146">
        <v>46258</v>
      </c>
      <c r="P1800" s="138">
        <v>0</v>
      </c>
      <c r="Q1800" s="138">
        <v>120</v>
      </c>
      <c r="R1800" s="138">
        <v>30</v>
      </c>
      <c r="S1800" s="138">
        <v>150</v>
      </c>
      <c r="T1800" s="138">
        <v>150</v>
      </c>
      <c r="U1800" s="136"/>
      <c r="V1800" s="136"/>
      <c r="W1800" s="147">
        <v>90.2</v>
      </c>
      <c r="X1800" s="147">
        <v>90</v>
      </c>
      <c r="Y1800" s="169">
        <v>755425</v>
      </c>
      <c r="Z1800" s="165"/>
      <c r="AA1800" s="148">
        <v>18885.63</v>
      </c>
      <c r="AB1800" s="148">
        <v>18885.63</v>
      </c>
      <c r="AC1800" s="148">
        <v>793196.25</v>
      </c>
      <c r="AD1800" s="315">
        <f t="shared" si="1361"/>
        <v>792403.05374999996</v>
      </c>
      <c r="AE1800" s="147">
        <v>39.57</v>
      </c>
      <c r="AF1800" s="147">
        <v>42</v>
      </c>
      <c r="AG1800" s="147">
        <v>39.700000000000003</v>
      </c>
      <c r="AH1800" s="287">
        <v>2.2000000000000001E-3</v>
      </c>
      <c r="AI1800" s="287">
        <v>2.8000000000000001E-2</v>
      </c>
      <c r="AJ1800" s="287">
        <v>5.5E-2</v>
      </c>
      <c r="AK1800" s="318">
        <f t="shared" si="1360"/>
        <v>43706.732142857138</v>
      </c>
      <c r="AL1800" s="467">
        <v>0</v>
      </c>
      <c r="AM1800" s="321">
        <v>0</v>
      </c>
      <c r="AN1800" s="321">
        <v>0</v>
      </c>
      <c r="AO1800" s="318">
        <f t="shared" ref="AO1800" si="1365">AT1800*Y1800/AW1800</f>
        <v>0</v>
      </c>
      <c r="AP1800" s="467">
        <v>0</v>
      </c>
      <c r="AQ1800" s="318"/>
      <c r="AR1800" s="318">
        <f t="shared" si="1345"/>
        <v>43706.732142857138</v>
      </c>
      <c r="AS1800" s="318">
        <f t="shared" si="1346"/>
        <v>45892</v>
      </c>
      <c r="AT1800" s="321">
        <v>0</v>
      </c>
      <c r="AU1800" s="464"/>
      <c r="AV1800" s="449"/>
      <c r="AW1800" s="318">
        <f t="shared" si="1347"/>
        <v>9020</v>
      </c>
      <c r="AX1800" s="467"/>
      <c r="AY1800" s="318">
        <f t="shared" si="1348"/>
        <v>9020</v>
      </c>
      <c r="AZ1800" s="318">
        <f t="shared" si="1349"/>
        <v>9000</v>
      </c>
      <c r="BA1800" s="318">
        <f t="shared" si="1350"/>
        <v>20</v>
      </c>
      <c r="BB1800" s="318">
        <f t="shared" si="1351"/>
        <v>18.04</v>
      </c>
      <c r="BC1800" s="318">
        <v>0</v>
      </c>
      <c r="BD1800" s="467"/>
      <c r="BE1800" s="138">
        <v>90.2</v>
      </c>
      <c r="BF1800" s="321">
        <f t="shared" si="1352"/>
        <v>0.1353</v>
      </c>
      <c r="BG1800" s="321">
        <f t="shared" si="1353"/>
        <v>90.064700000000002</v>
      </c>
      <c r="BH1800" s="321">
        <f t="shared" si="1354"/>
        <v>90</v>
      </c>
      <c r="BI1800" s="322">
        <f t="shared" si="1355"/>
        <v>20.000000000000284</v>
      </c>
      <c r="BJ1800" s="322">
        <v>0</v>
      </c>
      <c r="BK1800" s="318">
        <f t="shared" si="1356"/>
        <v>20.000000000000284</v>
      </c>
      <c r="BL1800" s="449"/>
      <c r="BM1800" s="449" t="str">
        <f t="shared" si="1357"/>
        <v xml:space="preserve">Unloading no. 1764 Bill No 264 ,Deduction For Oil Deduction= 43706.7321428571 ,Bardana= 0 ,F.M= 0 Brokerage/Rate Difference 0 ,Shortage = 0 ,Greenish= 0 ,Moisture= </v>
      </c>
      <c r="BN1800" s="449"/>
      <c r="BO1800" s="449" t="str">
        <f t="shared" si="1358"/>
        <v xml:space="preserve"> Party Condition 42  ,F.M% 0.22 ,Greenish 2.8 ,Moisture 5.5 ,Shortage in KG= 0  ,Oil% 39.57</v>
      </c>
      <c r="BP1800" s="464">
        <f t="shared" si="1359"/>
        <v>7907.9807539682533</v>
      </c>
      <c r="BQ1800" s="449"/>
      <c r="BR1800" s="449"/>
      <c r="BS1800" s="449"/>
      <c r="BT1800" s="449"/>
      <c r="BU1800" s="449"/>
      <c r="BV1800" s="449"/>
      <c r="BW1800" s="449"/>
      <c r="BX1800" s="147">
        <v>39.57</v>
      </c>
      <c r="BY1800" s="147">
        <v>39.700000000000003</v>
      </c>
    </row>
    <row r="1801" spans="1:83" ht="14.1" hidden="1" customHeight="1" x14ac:dyDescent="0.3">
      <c r="A1801" s="128" t="s">
        <v>3621</v>
      </c>
      <c r="B1801" s="146">
        <v>46255</v>
      </c>
      <c r="C1801" s="281">
        <v>1765</v>
      </c>
      <c r="D1801" s="281" t="s">
        <v>3765</v>
      </c>
      <c r="E1801" s="129">
        <v>46259</v>
      </c>
      <c r="F1801" s="128" t="s">
        <v>3636</v>
      </c>
      <c r="G1801" s="128" t="s">
        <v>3637</v>
      </c>
      <c r="H1801" s="128" t="s">
        <v>2081</v>
      </c>
      <c r="I1801" s="136"/>
      <c r="J1801" s="138" t="s">
        <v>1146</v>
      </c>
      <c r="K1801" s="136"/>
      <c r="L1801" s="146">
        <v>46255</v>
      </c>
      <c r="M1801" s="136"/>
      <c r="N1801" s="281" t="s">
        <v>3779</v>
      </c>
      <c r="O1801" s="146">
        <v>46258</v>
      </c>
      <c r="P1801" s="138">
        <v>0</v>
      </c>
      <c r="Q1801" s="138">
        <v>130</v>
      </c>
      <c r="R1801" s="138">
        <v>50</v>
      </c>
      <c r="S1801" s="138">
        <v>180</v>
      </c>
      <c r="T1801" s="138">
        <v>180</v>
      </c>
      <c r="U1801" s="136"/>
      <c r="V1801" s="136"/>
      <c r="W1801" s="147">
        <v>108.3</v>
      </c>
      <c r="X1801" s="147">
        <v>108.2</v>
      </c>
      <c r="Y1801" s="169">
        <v>871815</v>
      </c>
      <c r="Z1801" s="165"/>
      <c r="AA1801" s="148">
        <v>21795.38</v>
      </c>
      <c r="AB1801" s="148">
        <v>21795.38</v>
      </c>
      <c r="AC1801" s="148">
        <v>915405.75</v>
      </c>
      <c r="AD1801" s="496">
        <f t="shared" si="1361"/>
        <v>914490.34424999997</v>
      </c>
      <c r="AE1801" s="147">
        <v>40.92</v>
      </c>
      <c r="AF1801" s="147">
        <v>39.85</v>
      </c>
      <c r="AG1801" s="147">
        <v>40.92</v>
      </c>
      <c r="AH1801" s="395">
        <v>3.8E-3</v>
      </c>
      <c r="AI1801" s="287">
        <v>5.5399999999999998E-2</v>
      </c>
      <c r="AJ1801" s="287">
        <v>5.7000000000000002E-2</v>
      </c>
      <c r="AK1801" s="318">
        <f t="shared" si="1360"/>
        <v>0</v>
      </c>
      <c r="AL1801" s="467"/>
      <c r="AM1801" s="321"/>
      <c r="AN1801" s="321"/>
      <c r="AO1801" s="318"/>
      <c r="AP1801" s="467"/>
      <c r="AQ1801" s="318"/>
      <c r="AR1801" s="318">
        <f t="shared" si="1345"/>
        <v>0</v>
      </c>
      <c r="AS1801" s="318">
        <f t="shared" si="1346"/>
        <v>0</v>
      </c>
      <c r="AT1801" s="321">
        <v>0</v>
      </c>
      <c r="AU1801" s="464"/>
      <c r="AV1801" s="449"/>
      <c r="AW1801" s="318">
        <f t="shared" si="1347"/>
        <v>10830</v>
      </c>
      <c r="AX1801" s="467"/>
      <c r="AY1801" s="318">
        <f t="shared" si="1348"/>
        <v>10830</v>
      </c>
      <c r="AZ1801" s="318">
        <f t="shared" si="1349"/>
        <v>10820</v>
      </c>
      <c r="BA1801" s="318">
        <f t="shared" si="1350"/>
        <v>10</v>
      </c>
      <c r="BB1801" s="318">
        <f t="shared" si="1351"/>
        <v>21.66</v>
      </c>
      <c r="BC1801" s="318">
        <v>0</v>
      </c>
      <c r="BD1801" s="467"/>
      <c r="BE1801" s="138">
        <v>108.3</v>
      </c>
      <c r="BF1801" s="321">
        <f t="shared" si="1352"/>
        <v>0.16244999999999998</v>
      </c>
      <c r="BG1801" s="321">
        <f t="shared" si="1353"/>
        <v>108.13754999999999</v>
      </c>
      <c r="BH1801" s="321">
        <f t="shared" si="1354"/>
        <v>108.2</v>
      </c>
      <c r="BI1801" s="322">
        <f t="shared" si="1355"/>
        <v>9.9999999999994316</v>
      </c>
      <c r="BJ1801" s="322">
        <v>0</v>
      </c>
      <c r="BK1801" s="318">
        <f t="shared" si="1356"/>
        <v>9.9999999999994316</v>
      </c>
      <c r="BL1801" s="449"/>
      <c r="BM1801" s="449" t="str">
        <f t="shared" si="1357"/>
        <v xml:space="preserve">Unloading no. 1765 Bill No RJT817/2026-27 ,Deduction For Oil Deduction= 0 ,Bardana=  ,F.M=  Brokerage/Rate Difference  ,Shortage =  ,Greenish=  ,Moisture= </v>
      </c>
      <c r="BN1801" s="449"/>
      <c r="BO1801" s="449" t="str">
        <f t="shared" si="1358"/>
        <v xml:space="preserve"> Party Condition 39.85  ,F.M% 0.38 ,Greenish 5.54 ,Moisture 5.7 ,Shortage in KG= 0  ,Oil% 40.92</v>
      </c>
      <c r="BP1801" s="464">
        <f t="shared" si="1359"/>
        <v>8057.4399260628461</v>
      </c>
      <c r="BQ1801" s="449"/>
      <c r="BR1801" s="449"/>
      <c r="BS1801" s="449"/>
      <c r="BT1801" s="449"/>
      <c r="BU1801" s="449"/>
      <c r="BV1801" s="449"/>
      <c r="BW1801" s="449"/>
      <c r="BX1801" s="147">
        <v>40.92</v>
      </c>
      <c r="BY1801" s="147">
        <v>40.92</v>
      </c>
    </row>
    <row r="1802" spans="1:83" ht="14.1" hidden="1" customHeight="1" x14ac:dyDescent="0.3">
      <c r="A1802" s="128" t="s">
        <v>3621</v>
      </c>
      <c r="B1802" s="146">
        <v>46252</v>
      </c>
      <c r="C1802" s="281">
        <v>1766</v>
      </c>
      <c r="D1802" s="281" t="s">
        <v>3766</v>
      </c>
      <c r="E1802" s="129">
        <v>46259</v>
      </c>
      <c r="F1802" s="128" t="s">
        <v>3636</v>
      </c>
      <c r="G1802" s="128" t="s">
        <v>3637</v>
      </c>
      <c r="H1802" s="128" t="s">
        <v>2081</v>
      </c>
      <c r="I1802" s="136"/>
      <c r="J1802" s="138" t="s">
        <v>1146</v>
      </c>
      <c r="K1802" s="136"/>
      <c r="L1802" s="146">
        <v>46252</v>
      </c>
      <c r="M1802" s="136"/>
      <c r="N1802" s="281" t="s">
        <v>3780</v>
      </c>
      <c r="O1802" s="146">
        <v>46258</v>
      </c>
      <c r="P1802" s="138">
        <v>0</v>
      </c>
      <c r="Q1802" s="138">
        <v>100</v>
      </c>
      <c r="R1802" s="138">
        <v>80</v>
      </c>
      <c r="S1802" s="138">
        <v>180</v>
      </c>
      <c r="T1802" s="138">
        <v>180</v>
      </c>
      <c r="U1802" s="136"/>
      <c r="V1802" s="136"/>
      <c r="W1802" s="147">
        <v>108.3</v>
      </c>
      <c r="X1802" s="147">
        <v>108.3</v>
      </c>
      <c r="Y1802" s="169">
        <v>871815</v>
      </c>
      <c r="Z1802" s="165"/>
      <c r="AA1802" s="148">
        <v>21795.38</v>
      </c>
      <c r="AB1802" s="148">
        <v>21795.38</v>
      </c>
      <c r="AC1802" s="148">
        <v>915405.75</v>
      </c>
      <c r="AD1802" s="496">
        <f t="shared" si="1361"/>
        <v>914490.34424999997</v>
      </c>
      <c r="AE1802" s="147">
        <v>40.15</v>
      </c>
      <c r="AF1802" s="147">
        <v>39.85</v>
      </c>
      <c r="AG1802" s="147">
        <v>40.11</v>
      </c>
      <c r="AH1802" s="395">
        <v>3.0000000000000001E-3</v>
      </c>
      <c r="AI1802" s="287">
        <v>5.4899999999999997E-2</v>
      </c>
      <c r="AJ1802" s="287">
        <v>5.3999999999999999E-2</v>
      </c>
      <c r="AK1802" s="318">
        <f t="shared" si="1360"/>
        <v>0</v>
      </c>
      <c r="AL1802" s="467"/>
      <c r="AM1802" s="321"/>
      <c r="AN1802" s="321"/>
      <c r="AO1802" s="318"/>
      <c r="AP1802" s="467"/>
      <c r="AQ1802" s="318"/>
      <c r="AR1802" s="318">
        <f t="shared" si="1345"/>
        <v>0</v>
      </c>
      <c r="AS1802" s="318">
        <f t="shared" si="1346"/>
        <v>0</v>
      </c>
      <c r="AT1802" s="321">
        <v>0</v>
      </c>
      <c r="AU1802" s="464"/>
      <c r="AV1802" s="449"/>
      <c r="AW1802" s="318">
        <f t="shared" si="1347"/>
        <v>10830</v>
      </c>
      <c r="AX1802" s="467"/>
      <c r="AY1802" s="318">
        <f t="shared" si="1348"/>
        <v>10830</v>
      </c>
      <c r="AZ1802" s="318">
        <f t="shared" si="1349"/>
        <v>10830</v>
      </c>
      <c r="BA1802" s="318">
        <f t="shared" si="1350"/>
        <v>0</v>
      </c>
      <c r="BB1802" s="318">
        <f t="shared" si="1351"/>
        <v>21.66</v>
      </c>
      <c r="BC1802" s="318">
        <v>0</v>
      </c>
      <c r="BD1802" s="467"/>
      <c r="BE1802" s="138">
        <v>108.3</v>
      </c>
      <c r="BF1802" s="321">
        <f t="shared" si="1352"/>
        <v>0.16244999999999998</v>
      </c>
      <c r="BG1802" s="321">
        <f t="shared" si="1353"/>
        <v>108.13754999999999</v>
      </c>
      <c r="BH1802" s="321">
        <f t="shared" si="1354"/>
        <v>108.3</v>
      </c>
      <c r="BI1802" s="322">
        <f t="shared" si="1355"/>
        <v>0</v>
      </c>
      <c r="BJ1802" s="322">
        <v>0</v>
      </c>
      <c r="BK1802" s="318">
        <f t="shared" si="1356"/>
        <v>0</v>
      </c>
      <c r="BL1802" s="449"/>
      <c r="BM1802" s="449" t="str">
        <f t="shared" si="1357"/>
        <v xml:space="preserve">Unloading no. 1766 Bill No RJT816/2026-27 ,Deduction For Oil Deduction= 0 ,Bardana=  ,F.M=  Brokerage/Rate Difference  ,Shortage =  ,Greenish=  ,Moisture= </v>
      </c>
      <c r="BN1802" s="449"/>
      <c r="BO1802" s="449" t="str">
        <f t="shared" si="1358"/>
        <v xml:space="preserve"> Party Condition 39.85  ,F.M% 0.3 ,Greenish 5.49 ,Moisture 5.4 ,Shortage in KG= 0  ,Oil% 40.11</v>
      </c>
      <c r="BP1802" s="464">
        <f t="shared" si="1359"/>
        <v>8050</v>
      </c>
      <c r="BQ1802" s="449"/>
      <c r="BR1802" s="449"/>
      <c r="BS1802" s="449"/>
      <c r="BT1802" s="449"/>
      <c r="BU1802" s="449"/>
      <c r="BV1802" s="449"/>
      <c r="BW1802" s="449"/>
      <c r="BX1802" s="147">
        <v>40.15</v>
      </c>
      <c r="BY1802" s="147">
        <v>40.11</v>
      </c>
    </row>
    <row r="1803" spans="1:83" ht="14.1" hidden="1" customHeight="1" x14ac:dyDescent="0.3">
      <c r="A1803" s="128" t="s">
        <v>3621</v>
      </c>
      <c r="B1803" s="146">
        <v>46252</v>
      </c>
      <c r="C1803" s="281">
        <v>1767</v>
      </c>
      <c r="D1803" s="281" t="s">
        <v>3767</v>
      </c>
      <c r="E1803" s="129">
        <v>46259</v>
      </c>
      <c r="F1803" s="128" t="s">
        <v>3636</v>
      </c>
      <c r="G1803" s="128" t="s">
        <v>3637</v>
      </c>
      <c r="H1803" s="128" t="s">
        <v>2081</v>
      </c>
      <c r="I1803" s="136"/>
      <c r="J1803" s="138" t="s">
        <v>1146</v>
      </c>
      <c r="K1803" s="136"/>
      <c r="L1803" s="146">
        <v>46252</v>
      </c>
      <c r="M1803" s="136"/>
      <c r="N1803" s="281" t="s">
        <v>3781</v>
      </c>
      <c r="O1803" s="146">
        <v>46258</v>
      </c>
      <c r="P1803" s="138">
        <v>0</v>
      </c>
      <c r="Q1803" s="138">
        <v>140</v>
      </c>
      <c r="R1803" s="138">
        <v>40</v>
      </c>
      <c r="S1803" s="138">
        <v>180</v>
      </c>
      <c r="T1803" s="138">
        <v>180</v>
      </c>
      <c r="U1803" s="136"/>
      <c r="V1803" s="136"/>
      <c r="W1803" s="147">
        <v>108.4</v>
      </c>
      <c r="X1803" s="147">
        <v>108.2</v>
      </c>
      <c r="Y1803" s="169">
        <v>872620</v>
      </c>
      <c r="Z1803" s="165"/>
      <c r="AA1803" s="148">
        <v>21815.5</v>
      </c>
      <c r="AB1803" s="305">
        <v>21815.5</v>
      </c>
      <c r="AC1803" s="305">
        <v>916251</v>
      </c>
      <c r="AD1803" s="496">
        <f t="shared" si="1361"/>
        <v>915334.74899999995</v>
      </c>
      <c r="AE1803" s="178">
        <v>40.549999999999997</v>
      </c>
      <c r="AF1803" s="178">
        <v>39.85</v>
      </c>
      <c r="AG1803" s="178">
        <v>40.51</v>
      </c>
      <c r="AH1803" s="396">
        <v>3.8999999999999998E-3</v>
      </c>
      <c r="AI1803" s="308">
        <v>4.8000000000000001E-2</v>
      </c>
      <c r="AJ1803" s="308">
        <v>5.0999999999999997E-2</v>
      </c>
      <c r="AK1803" s="342">
        <f t="shared" si="1360"/>
        <v>0</v>
      </c>
      <c r="AL1803" s="473"/>
      <c r="AM1803" s="345"/>
      <c r="AN1803" s="345"/>
      <c r="AO1803" s="342"/>
      <c r="AP1803" s="473"/>
      <c r="AQ1803" s="342"/>
      <c r="AR1803" s="342">
        <f t="shared" si="1345"/>
        <v>0</v>
      </c>
      <c r="AS1803" s="342">
        <f t="shared" si="1346"/>
        <v>0</v>
      </c>
      <c r="AT1803" s="345">
        <v>0</v>
      </c>
      <c r="AU1803" s="474"/>
      <c r="AV1803" s="453"/>
      <c r="AW1803" s="342">
        <f t="shared" si="1347"/>
        <v>10840</v>
      </c>
      <c r="AX1803" s="473"/>
      <c r="AY1803" s="342">
        <f t="shared" si="1348"/>
        <v>10840</v>
      </c>
      <c r="AZ1803" s="342">
        <f t="shared" si="1349"/>
        <v>10820</v>
      </c>
      <c r="BA1803" s="342">
        <f t="shared" si="1350"/>
        <v>20</v>
      </c>
      <c r="BB1803" s="318">
        <f t="shared" si="1351"/>
        <v>21.68</v>
      </c>
      <c r="BC1803" s="342">
        <v>0</v>
      </c>
      <c r="BD1803" s="473"/>
      <c r="BE1803" s="275">
        <v>108.4</v>
      </c>
      <c r="BF1803" s="345">
        <f t="shared" si="1352"/>
        <v>0.16260000000000002</v>
      </c>
      <c r="BG1803" s="345">
        <f t="shared" si="1353"/>
        <v>108.23740000000001</v>
      </c>
      <c r="BH1803" s="321">
        <f t="shared" si="1354"/>
        <v>108.2</v>
      </c>
      <c r="BI1803" s="322">
        <f t="shared" si="1355"/>
        <v>20.000000000000284</v>
      </c>
      <c r="BJ1803" s="322">
        <v>0</v>
      </c>
      <c r="BK1803" s="318">
        <f t="shared" si="1356"/>
        <v>20.000000000000284</v>
      </c>
      <c r="BL1803" s="449"/>
      <c r="BM1803" s="449" t="str">
        <f t="shared" si="1357"/>
        <v xml:space="preserve">Unloading no. 1767 Bill No RJT815/2026-27 ,Deduction For Oil Deduction= 0 ,Bardana=  ,F.M=  Brokerage/Rate Difference  ,Shortage =  ,Greenish=  ,Moisture= </v>
      </c>
      <c r="BN1803" s="449"/>
      <c r="BO1803" s="449" t="str">
        <f t="shared" si="1358"/>
        <v xml:space="preserve"> Party Condition 39.85  ,F.M% 0.39 ,Greenish 4.8 ,Moisture 5.1 ,Shortage in KG= 0  ,Oil% 40.51</v>
      </c>
      <c r="BP1803" s="464">
        <f t="shared" si="1359"/>
        <v>8064.8798521256931</v>
      </c>
      <c r="BQ1803" s="449"/>
      <c r="BR1803" s="449"/>
      <c r="BS1803" s="449"/>
      <c r="BT1803" s="449"/>
      <c r="BU1803" s="449"/>
      <c r="BV1803" s="449"/>
      <c r="BW1803" s="449"/>
      <c r="BX1803" s="178">
        <v>40.549999999999997</v>
      </c>
      <c r="BY1803" s="178">
        <v>40.51</v>
      </c>
    </row>
    <row r="1804" spans="1:83" ht="14.1" hidden="1" customHeight="1" x14ac:dyDescent="0.3">
      <c r="A1804" s="128" t="s">
        <v>3782</v>
      </c>
      <c r="B1804" s="146">
        <v>46258</v>
      </c>
      <c r="C1804" s="281">
        <v>1768</v>
      </c>
      <c r="D1804" s="281" t="s">
        <v>3786</v>
      </c>
      <c r="E1804" s="129">
        <v>46259</v>
      </c>
      <c r="F1804" s="128" t="s">
        <v>3733</v>
      </c>
      <c r="G1804" s="159" t="s">
        <v>3734</v>
      </c>
      <c r="H1804" s="128" t="s">
        <v>3735</v>
      </c>
      <c r="I1804" s="136"/>
      <c r="J1804" s="138" t="s">
        <v>2499</v>
      </c>
      <c r="K1804" s="136"/>
      <c r="L1804" s="146">
        <v>46258</v>
      </c>
      <c r="M1804" s="136"/>
      <c r="N1804" s="281">
        <v>171</v>
      </c>
      <c r="O1804" s="146">
        <v>46257</v>
      </c>
      <c r="P1804" s="138">
        <v>0</v>
      </c>
      <c r="Q1804" s="138">
        <v>80</v>
      </c>
      <c r="R1804" s="138">
        <v>300</v>
      </c>
      <c r="S1804" s="138">
        <v>380</v>
      </c>
      <c r="T1804" s="138">
        <v>380</v>
      </c>
      <c r="U1804" s="136"/>
      <c r="V1804" s="136"/>
      <c r="W1804" s="138">
        <v>257.55</v>
      </c>
      <c r="X1804" s="138">
        <v>258.3</v>
      </c>
      <c r="Y1804" s="169">
        <v>2163420</v>
      </c>
      <c r="Z1804" s="165"/>
      <c r="AA1804" s="135">
        <v>54085.5</v>
      </c>
      <c r="AB1804" s="135">
        <v>54085.5</v>
      </c>
      <c r="AC1804" s="135">
        <v>2271591</v>
      </c>
      <c r="AD1804" s="315">
        <f t="shared" si="1361"/>
        <v>2269319.409</v>
      </c>
      <c r="AE1804" s="147">
        <v>38.200000000000003</v>
      </c>
      <c r="AF1804" s="147">
        <v>42</v>
      </c>
      <c r="AG1804" s="147">
        <v>38.56</v>
      </c>
      <c r="AH1804" s="418">
        <v>7.7999999999999996E-3</v>
      </c>
      <c r="AI1804" s="287">
        <v>0.03</v>
      </c>
      <c r="AJ1804" s="397">
        <v>5.4899999999999997E-2</v>
      </c>
      <c r="AK1804" s="454">
        <f>+IF(AF1804=42,IF(MIN(AE1804,AG1804)&lt;AF1804,Y1804*((AF1804-MIN(AE1804,AG1804))/AF1804)),IF(MIN(AE1804,AG1804)&lt;AF1804,Y1804*((AF1804-MIN(AE1804,AG1804))/AF1804),0))-18544</f>
        <v>177193.99999999985</v>
      </c>
      <c r="AL1804" s="467">
        <f>80*10+260*15</f>
        <v>4700</v>
      </c>
      <c r="AM1804" s="321">
        <f>Y1804*AH1804</f>
        <v>16874.675999999999</v>
      </c>
      <c r="AN1804" s="321">
        <f>X1804*14</f>
        <v>3616.2000000000003</v>
      </c>
      <c r="AO1804" s="318">
        <f t="shared" ref="AO1804:AO1809" si="1366">AT1804*Y1804/AW1804</f>
        <v>0</v>
      </c>
      <c r="AP1804" s="467">
        <v>0</v>
      </c>
      <c r="AQ1804" s="318">
        <f>Y1804*0.49/100</f>
        <v>10600.758</v>
      </c>
      <c r="AR1804" s="318">
        <f t="shared" ref="AR1804:AR1824" si="1367">SUM(AK1804:AQ1804)</f>
        <v>212985.63399999987</v>
      </c>
      <c r="AS1804" s="318">
        <f t="shared" ref="AS1804:AS1824" si="1368">ROUND(AR1804*1.05,0)</f>
        <v>223635</v>
      </c>
      <c r="AT1804" s="321">
        <v>0</v>
      </c>
      <c r="AU1804" s="464" t="s">
        <v>3819</v>
      </c>
      <c r="AV1804" s="449"/>
      <c r="AW1804" s="318">
        <f t="shared" ref="AW1804:AW1824" si="1369">W1804*100</f>
        <v>25755</v>
      </c>
      <c r="AX1804" s="467"/>
      <c r="AY1804" s="318">
        <f t="shared" ref="AY1804:AY1824" si="1370">+AW1804+AX1804</f>
        <v>25755</v>
      </c>
      <c r="AZ1804" s="318">
        <f t="shared" ref="AZ1804:AZ1824" si="1371">X1804*100</f>
        <v>25830</v>
      </c>
      <c r="BA1804" s="318">
        <f t="shared" ref="BA1804:BA1824" si="1372">AY1804-AZ1804</f>
        <v>-75</v>
      </c>
      <c r="BB1804" s="318">
        <f t="shared" ref="BB1804:BB1824" si="1373">AW1804*2/1000</f>
        <v>51.51</v>
      </c>
      <c r="BC1804" s="318">
        <v>0</v>
      </c>
      <c r="BD1804" s="467"/>
      <c r="BE1804" s="138">
        <v>257.55</v>
      </c>
      <c r="BF1804" s="321">
        <f t="shared" ref="BF1804:BF1824" si="1374">+BE1804*0.15/100</f>
        <v>0.38632500000000003</v>
      </c>
      <c r="BG1804" s="321">
        <f t="shared" ref="BG1804:BG1824" si="1375">BE1804-BF1804</f>
        <v>257.16367500000001</v>
      </c>
      <c r="BH1804" s="321">
        <f t="shared" ref="BH1804:BH1824" si="1376">X1804</f>
        <v>258.3</v>
      </c>
      <c r="BI1804" s="322">
        <f t="shared" ref="BI1804:BI1824" si="1377">(BE1804-BH1804)*100</f>
        <v>-75</v>
      </c>
      <c r="BJ1804" s="322">
        <v>0</v>
      </c>
      <c r="BK1804" s="318">
        <f t="shared" ref="BK1804:BK1824" si="1378">BI1804</f>
        <v>-75</v>
      </c>
      <c r="BL1804" s="449"/>
      <c r="BM1804" s="449" t="str">
        <f t="shared" ref="BM1804:BM1824" si="1379">+$C$1&amp;" "&amp;C1804 &amp;" "&amp;$N$1&amp;" "&amp;N1804&amp;" "&amp;$BM$1&amp;" "&amp;$AK$1&amp;" "&amp;AK1804&amp;" "&amp;$AL$1&amp;" "&amp;AL1804&amp;" "&amp;$AM$1&amp;" "&amp;AM1804&amp;" "&amp;$AN$1&amp;" "&amp;AN1804&amp;" "&amp;$AO$1&amp;" "&amp;AO1804&amp;" "&amp;$AP$1&amp;" "&amp;AP1804&amp;" "&amp;$AQ$1&amp;" "&amp;AQ1804</f>
        <v>Unloading no. 1768 Bill No 171 ,Deduction For Oil Deduction= 177194 ,Bardana= 4700 ,F.M= 16874.676 Brokerage/Rate Difference 3616.2 ,Shortage = 0 ,Greenish= 0 ,Moisture= 10600.758</v>
      </c>
      <c r="BN1804" s="449"/>
      <c r="BO1804" s="449" t="str">
        <f t="shared" ref="BO1804:BO1824" si="1380">+" "&amp;$AF$1&amp;" "&amp;AF1804&amp;" "&amp;" "&amp;$AH$1&amp;" "&amp;AH1804*100&amp;" "&amp;$AI$1&amp;" "&amp;AI1804*100&amp;" "&amp;$AJ$1&amp;" "&amp;AJ1804*100&amp;" ,"&amp;$AT$1&amp;" "&amp;AT1804&amp;" "&amp;IF(AE1804&gt;AG1804," ,Oil%"&amp;" "&amp;AG1804," ,Oil%"&amp;" "&amp;AE1804)</f>
        <v xml:space="preserve"> Party Condition 42  ,F.M% 0.78 ,Greenish 3 ,Moisture 5.49 ,Shortage in KG= 0  ,Oil% 38.2</v>
      </c>
      <c r="BP1804" s="464">
        <f t="shared" ref="BP1804:BP1824" si="1381">(Y1804-AR1804)/X1804</f>
        <v>7551.0428416569885</v>
      </c>
      <c r="BQ1804" s="449"/>
      <c r="BR1804" s="449"/>
      <c r="BS1804" s="449"/>
      <c r="BT1804" s="449"/>
      <c r="BU1804" s="449"/>
      <c r="BV1804" s="449"/>
      <c r="BW1804" s="449"/>
      <c r="BX1804" s="147">
        <v>38.200000000000003</v>
      </c>
      <c r="BY1804" s="147">
        <v>38.56</v>
      </c>
      <c r="CA1804" s="56">
        <v>223635.36</v>
      </c>
      <c r="CB1804" s="90">
        <f>AS1804-CA1804</f>
        <v>-0.35999999998603016</v>
      </c>
      <c r="CC1804" s="56">
        <f>CB1804/105%</f>
        <v>-0.34285714284383823</v>
      </c>
      <c r="CD1804" s="56">
        <v>177194</v>
      </c>
      <c r="CE1804" s="90">
        <f>AK1804-CD1804</f>
        <v>0</v>
      </c>
    </row>
    <row r="1805" spans="1:83" ht="14.1" hidden="1" customHeight="1" x14ac:dyDescent="0.3">
      <c r="A1805" s="128" t="s">
        <v>3783</v>
      </c>
      <c r="B1805" s="146">
        <v>46258</v>
      </c>
      <c r="C1805" s="421">
        <v>1769</v>
      </c>
      <c r="D1805" s="281" t="s">
        <v>3787</v>
      </c>
      <c r="E1805" s="129">
        <v>46259</v>
      </c>
      <c r="F1805" s="128" t="s">
        <v>1807</v>
      </c>
      <c r="G1805" s="128" t="s">
        <v>1808</v>
      </c>
      <c r="H1805" s="128" t="s">
        <v>100</v>
      </c>
      <c r="I1805" s="136"/>
      <c r="J1805" s="138" t="s">
        <v>2499</v>
      </c>
      <c r="K1805" s="136"/>
      <c r="L1805" s="146">
        <v>46258</v>
      </c>
      <c r="M1805" s="136"/>
      <c r="N1805" s="281" t="s">
        <v>1166</v>
      </c>
      <c r="O1805" s="146">
        <v>46258</v>
      </c>
      <c r="P1805" s="138">
        <v>0</v>
      </c>
      <c r="Q1805" s="138">
        <v>183</v>
      </c>
      <c r="R1805" s="138">
        <v>0</v>
      </c>
      <c r="S1805" s="138">
        <v>183</v>
      </c>
      <c r="T1805" s="138">
        <v>183</v>
      </c>
      <c r="U1805" s="136"/>
      <c r="V1805" s="136"/>
      <c r="W1805" s="147">
        <v>110</v>
      </c>
      <c r="X1805" s="147">
        <f>256.7-146.8</f>
        <v>109.89999999999998</v>
      </c>
      <c r="Y1805" s="169">
        <v>913000</v>
      </c>
      <c r="Z1805" s="165"/>
      <c r="AA1805" s="148">
        <v>22825</v>
      </c>
      <c r="AB1805" s="148">
        <v>22825</v>
      </c>
      <c r="AC1805" s="148">
        <v>958650</v>
      </c>
      <c r="AD1805" s="315">
        <f t="shared" si="1361"/>
        <v>957691.35</v>
      </c>
      <c r="AE1805" s="147">
        <v>39.39</v>
      </c>
      <c r="AF1805" s="147">
        <v>42</v>
      </c>
      <c r="AG1805" s="147">
        <v>39.380000000000003</v>
      </c>
      <c r="AH1805" s="287">
        <v>2.8E-3</v>
      </c>
      <c r="AI1805" s="287">
        <v>3.04E-2</v>
      </c>
      <c r="AJ1805" s="287">
        <v>5.7000000000000002E-2</v>
      </c>
      <c r="AK1805" s="318">
        <f t="shared" ref="AK1805:AK1824" si="1382">+IF(AF1805=42,IF(MIN(AE1805,AG1805)&lt;AF1805,Y1805*((AF1805-MIN(AE1805,AG1805))/AF1805)),IF(MIN(AE1805,AG1805)&lt;AF1805,Y1805*((AF1805-MIN(AE1805,AG1805))/AF1805),0))</f>
        <v>56953.809523809468</v>
      </c>
      <c r="AL1805" s="467">
        <v>0</v>
      </c>
      <c r="AM1805" s="321">
        <v>0</v>
      </c>
      <c r="AN1805" s="321">
        <v>0</v>
      </c>
      <c r="AO1805" s="318">
        <f t="shared" si="1366"/>
        <v>0</v>
      </c>
      <c r="AP1805" s="467">
        <v>0</v>
      </c>
      <c r="AQ1805" s="318"/>
      <c r="AR1805" s="325">
        <f t="shared" si="1367"/>
        <v>56953.809523809468</v>
      </c>
      <c r="AS1805" s="318">
        <f t="shared" si="1368"/>
        <v>59801</v>
      </c>
      <c r="AT1805" s="321">
        <v>0</v>
      </c>
      <c r="AU1805" s="464"/>
      <c r="AV1805" s="449"/>
      <c r="AW1805" s="318">
        <f t="shared" si="1369"/>
        <v>11000</v>
      </c>
      <c r="AX1805" s="467"/>
      <c r="AY1805" s="318">
        <f t="shared" si="1370"/>
        <v>11000</v>
      </c>
      <c r="AZ1805" s="318">
        <f t="shared" si="1371"/>
        <v>10989.999999999998</v>
      </c>
      <c r="BA1805" s="318">
        <f t="shared" si="1372"/>
        <v>10.000000000001819</v>
      </c>
      <c r="BB1805" s="318">
        <f t="shared" si="1373"/>
        <v>22</v>
      </c>
      <c r="BC1805" s="318">
        <v>0</v>
      </c>
      <c r="BD1805" s="467"/>
      <c r="BE1805" s="138">
        <v>110</v>
      </c>
      <c r="BF1805" s="321">
        <f t="shared" si="1374"/>
        <v>0.16500000000000001</v>
      </c>
      <c r="BG1805" s="321">
        <f t="shared" si="1375"/>
        <v>109.83499999999999</v>
      </c>
      <c r="BH1805" s="321">
        <f t="shared" si="1376"/>
        <v>109.89999999999998</v>
      </c>
      <c r="BI1805" s="322">
        <f t="shared" si="1377"/>
        <v>10.000000000002274</v>
      </c>
      <c r="BJ1805" s="322">
        <v>0</v>
      </c>
      <c r="BK1805" s="318">
        <f t="shared" si="1378"/>
        <v>10.000000000002274</v>
      </c>
      <c r="BL1805" s="449"/>
      <c r="BM1805" s="449" t="str">
        <f t="shared" si="1379"/>
        <v xml:space="preserve">Unloading no. 1769 Bill No 2026-27/39 ,Deduction For Oil Deduction= 56953.8095238094 ,Bardana= 0 ,F.M= 0 Brokerage/Rate Difference 0 ,Shortage = 0 ,Greenish= 0 ,Moisture= </v>
      </c>
      <c r="BN1805" s="449"/>
      <c r="BO1805" s="449" t="str">
        <f t="shared" si="1380"/>
        <v xml:space="preserve"> Party Condition 42  ,F.M% 0.28 ,Greenish 3.04 ,Moisture 5.7 ,Shortage in KG= 0  ,Oil% 39.38</v>
      </c>
      <c r="BP1805" s="464">
        <f t="shared" si="1381"/>
        <v>7789.3192945968221</v>
      </c>
      <c r="BQ1805" s="449"/>
      <c r="BR1805" s="449"/>
      <c r="BS1805" s="449"/>
      <c r="BT1805" s="449"/>
      <c r="BU1805" s="449"/>
      <c r="BV1805" s="449"/>
      <c r="BW1805" s="449"/>
      <c r="BX1805" s="147">
        <v>39.39</v>
      </c>
      <c r="BY1805" s="147">
        <v>39.380000000000003</v>
      </c>
    </row>
    <row r="1806" spans="1:83" ht="14.1" hidden="1" customHeight="1" x14ac:dyDescent="0.3">
      <c r="A1806" s="128" t="s">
        <v>3722</v>
      </c>
      <c r="B1806" s="146">
        <v>46255</v>
      </c>
      <c r="C1806" s="421">
        <v>1769</v>
      </c>
      <c r="D1806" s="281" t="s">
        <v>3787</v>
      </c>
      <c r="E1806" s="129">
        <v>46259</v>
      </c>
      <c r="F1806" s="128" t="s">
        <v>1807</v>
      </c>
      <c r="G1806" s="128" t="s">
        <v>1808</v>
      </c>
      <c r="H1806" s="128" t="s">
        <v>100</v>
      </c>
      <c r="I1806" s="136"/>
      <c r="J1806" s="138" t="s">
        <v>2499</v>
      </c>
      <c r="K1806" s="136"/>
      <c r="L1806" s="146">
        <v>46255</v>
      </c>
      <c r="M1806" s="136"/>
      <c r="N1806" s="281" t="s">
        <v>1166</v>
      </c>
      <c r="O1806" s="146">
        <v>46258</v>
      </c>
      <c r="P1806" s="138">
        <v>0</v>
      </c>
      <c r="Q1806" s="138">
        <v>117</v>
      </c>
      <c r="R1806" s="138">
        <v>123</v>
      </c>
      <c r="S1806" s="138">
        <v>240</v>
      </c>
      <c r="T1806" s="138">
        <v>240</v>
      </c>
      <c r="U1806" s="136"/>
      <c r="V1806" s="136"/>
      <c r="W1806" s="147">
        <v>146.80000000000001</v>
      </c>
      <c r="X1806" s="147">
        <f>256.7-109.9</f>
        <v>146.79999999999998</v>
      </c>
      <c r="Y1806" s="169">
        <v>1233120</v>
      </c>
      <c r="Z1806" s="165"/>
      <c r="AA1806" s="148">
        <v>30828</v>
      </c>
      <c r="AB1806" s="148">
        <v>30828</v>
      </c>
      <c r="AC1806" s="148">
        <v>1294776</v>
      </c>
      <c r="AD1806" s="315">
        <f t="shared" si="1361"/>
        <v>1293481.2239999999</v>
      </c>
      <c r="AE1806" s="147">
        <v>39.39</v>
      </c>
      <c r="AF1806" s="147">
        <v>42</v>
      </c>
      <c r="AG1806" s="147">
        <v>39.380000000000003</v>
      </c>
      <c r="AH1806" s="287">
        <v>2.8E-3</v>
      </c>
      <c r="AI1806" s="287">
        <v>3.04E-2</v>
      </c>
      <c r="AJ1806" s="287">
        <v>5.7000000000000002E-2</v>
      </c>
      <c r="AK1806" s="318">
        <f t="shared" si="1382"/>
        <v>76923.199999999924</v>
      </c>
      <c r="AL1806" s="467">
        <v>0</v>
      </c>
      <c r="AM1806" s="321">
        <v>0</v>
      </c>
      <c r="AN1806" s="321">
        <v>0</v>
      </c>
      <c r="AO1806" s="318">
        <f t="shared" si="1366"/>
        <v>0</v>
      </c>
      <c r="AP1806" s="467">
        <v>0</v>
      </c>
      <c r="AQ1806" s="318"/>
      <c r="AR1806" s="325">
        <f t="shared" si="1367"/>
        <v>76923.199999999924</v>
      </c>
      <c r="AS1806" s="318">
        <f t="shared" si="1368"/>
        <v>80769</v>
      </c>
      <c r="AT1806" s="321">
        <v>0</v>
      </c>
      <c r="AU1806" s="464"/>
      <c r="AV1806" s="449"/>
      <c r="AW1806" s="318">
        <f t="shared" si="1369"/>
        <v>14680.000000000002</v>
      </c>
      <c r="AX1806" s="467"/>
      <c r="AY1806" s="318">
        <f t="shared" si="1370"/>
        <v>14680.000000000002</v>
      </c>
      <c r="AZ1806" s="318">
        <f t="shared" si="1371"/>
        <v>14679.999999999998</v>
      </c>
      <c r="BA1806" s="318">
        <f t="shared" si="1372"/>
        <v>0</v>
      </c>
      <c r="BB1806" s="318">
        <f t="shared" si="1373"/>
        <v>29.360000000000003</v>
      </c>
      <c r="BC1806" s="318">
        <v>0</v>
      </c>
      <c r="BD1806" s="467"/>
      <c r="BE1806" s="138">
        <v>146.80000000000001</v>
      </c>
      <c r="BF1806" s="321">
        <f t="shared" si="1374"/>
        <v>0.22020000000000001</v>
      </c>
      <c r="BG1806" s="321">
        <f t="shared" si="1375"/>
        <v>146.57980000000001</v>
      </c>
      <c r="BH1806" s="321">
        <f t="shared" si="1376"/>
        <v>146.79999999999998</v>
      </c>
      <c r="BI1806" s="322">
        <f t="shared" si="1377"/>
        <v>2.8421709430404007E-12</v>
      </c>
      <c r="BJ1806" s="322">
        <v>0</v>
      </c>
      <c r="BK1806" s="318">
        <f t="shared" si="1378"/>
        <v>2.8421709430404007E-12</v>
      </c>
      <c r="BL1806" s="449"/>
      <c r="BM1806" s="449" t="str">
        <f t="shared" si="1379"/>
        <v xml:space="preserve">Unloading no. 1769 Bill No 2026-27/39 ,Deduction For Oil Deduction= 76923.1999999999 ,Bardana= 0 ,F.M= 0 Brokerage/Rate Difference 0 ,Shortage = 0 ,Greenish= 0 ,Moisture= </v>
      </c>
      <c r="BN1806" s="449"/>
      <c r="BO1806" s="449" t="str">
        <f t="shared" si="1380"/>
        <v xml:space="preserve"> Party Condition 42  ,F.M% 0.28 ,Greenish 3.04 ,Moisture 5.7 ,Shortage in KG= 0  ,Oil% 39.38</v>
      </c>
      <c r="BP1806" s="464">
        <f t="shared" si="1381"/>
        <v>7876.0000000000009</v>
      </c>
      <c r="BQ1806" s="449"/>
      <c r="BR1806" s="449"/>
      <c r="BS1806" s="449"/>
      <c r="BT1806" s="449"/>
      <c r="BU1806" s="449"/>
      <c r="BV1806" s="449"/>
      <c r="BW1806" s="449"/>
      <c r="BX1806" s="147">
        <v>39.39</v>
      </c>
      <c r="BY1806" s="147">
        <v>39.380000000000003</v>
      </c>
    </row>
    <row r="1807" spans="1:83" ht="14.1" hidden="1" customHeight="1" x14ac:dyDescent="0.3">
      <c r="A1807" s="128" t="s">
        <v>3740</v>
      </c>
      <c r="B1807" s="146">
        <v>46255</v>
      </c>
      <c r="C1807" s="281">
        <v>1770</v>
      </c>
      <c r="D1807" s="281" t="s">
        <v>3788</v>
      </c>
      <c r="E1807" s="129">
        <v>46259</v>
      </c>
      <c r="F1807" s="128" t="s">
        <v>95</v>
      </c>
      <c r="G1807" s="128" t="s">
        <v>96</v>
      </c>
      <c r="H1807" s="128" t="s">
        <v>97</v>
      </c>
      <c r="I1807" s="136"/>
      <c r="J1807" s="138" t="s">
        <v>2499</v>
      </c>
      <c r="K1807" s="136"/>
      <c r="L1807" s="146">
        <v>46255</v>
      </c>
      <c r="M1807" s="136"/>
      <c r="N1807" s="281">
        <v>265</v>
      </c>
      <c r="O1807" s="146">
        <v>46258</v>
      </c>
      <c r="P1807" s="138">
        <v>0</v>
      </c>
      <c r="Q1807" s="138">
        <v>200</v>
      </c>
      <c r="R1807" s="138">
        <v>149</v>
      </c>
      <c r="S1807" s="138">
        <v>349</v>
      </c>
      <c r="T1807" s="138">
        <v>349</v>
      </c>
      <c r="U1807" s="136"/>
      <c r="V1807" s="136"/>
      <c r="W1807" s="147">
        <v>212.5</v>
      </c>
      <c r="X1807" s="147">
        <v>212.4</v>
      </c>
      <c r="Y1807" s="169">
        <v>1785000</v>
      </c>
      <c r="Z1807" s="165"/>
      <c r="AA1807" s="148">
        <v>44625</v>
      </c>
      <c r="AB1807" s="148">
        <v>44625</v>
      </c>
      <c r="AC1807" s="148">
        <v>1874250</v>
      </c>
      <c r="AD1807" s="315">
        <f t="shared" si="1361"/>
        <v>1872375.75</v>
      </c>
      <c r="AE1807" s="147">
        <v>40.450000000000003</v>
      </c>
      <c r="AF1807" s="147">
        <v>42</v>
      </c>
      <c r="AG1807" s="147">
        <v>40.31</v>
      </c>
      <c r="AH1807" s="287">
        <v>4.0000000000000001E-3</v>
      </c>
      <c r="AI1807" s="287">
        <v>5.6800000000000003E-2</v>
      </c>
      <c r="AJ1807" s="287">
        <v>5.5E-2</v>
      </c>
      <c r="AK1807" s="318">
        <f t="shared" si="1382"/>
        <v>71824.999999999898</v>
      </c>
      <c r="AL1807" s="467">
        <v>0</v>
      </c>
      <c r="AM1807" s="321">
        <v>0</v>
      </c>
      <c r="AN1807" s="321">
        <v>0</v>
      </c>
      <c r="AO1807" s="318">
        <f t="shared" si="1366"/>
        <v>0</v>
      </c>
      <c r="AP1807" s="467">
        <v>0</v>
      </c>
      <c r="AQ1807" s="318"/>
      <c r="AR1807" s="318">
        <f t="shared" si="1367"/>
        <v>71824.999999999898</v>
      </c>
      <c r="AS1807" s="318">
        <f t="shared" si="1368"/>
        <v>75416</v>
      </c>
      <c r="AT1807" s="321">
        <v>0</v>
      </c>
      <c r="AU1807" s="464"/>
      <c r="AV1807" s="449"/>
      <c r="AW1807" s="318">
        <f t="shared" si="1369"/>
        <v>21250</v>
      </c>
      <c r="AX1807" s="467"/>
      <c r="AY1807" s="318">
        <f t="shared" si="1370"/>
        <v>21250</v>
      </c>
      <c r="AZ1807" s="318">
        <f t="shared" si="1371"/>
        <v>21240</v>
      </c>
      <c r="BA1807" s="318">
        <f t="shared" si="1372"/>
        <v>10</v>
      </c>
      <c r="BB1807" s="318">
        <f t="shared" si="1373"/>
        <v>42.5</v>
      </c>
      <c r="BC1807" s="318">
        <v>0</v>
      </c>
      <c r="BD1807" s="467"/>
      <c r="BE1807" s="138">
        <v>212.5</v>
      </c>
      <c r="BF1807" s="321">
        <f t="shared" si="1374"/>
        <v>0.31874999999999998</v>
      </c>
      <c r="BG1807" s="321">
        <f t="shared" si="1375"/>
        <v>212.18125000000001</v>
      </c>
      <c r="BH1807" s="321">
        <f t="shared" si="1376"/>
        <v>212.4</v>
      </c>
      <c r="BI1807" s="322">
        <f t="shared" si="1377"/>
        <v>9.9999999999994316</v>
      </c>
      <c r="BJ1807" s="322">
        <v>0</v>
      </c>
      <c r="BK1807" s="318">
        <f t="shared" si="1378"/>
        <v>9.9999999999994316</v>
      </c>
      <c r="BL1807" s="449"/>
      <c r="BM1807" s="449" t="str">
        <f t="shared" si="1379"/>
        <v xml:space="preserve">Unloading no. 1770 Bill No 265 ,Deduction For Oil Deduction= 71824.9999999999 ,Bardana= 0 ,F.M= 0 Brokerage/Rate Difference 0 ,Shortage = 0 ,Greenish= 0 ,Moisture= </v>
      </c>
      <c r="BN1807" s="449"/>
      <c r="BO1807" s="449" t="str">
        <f t="shared" si="1380"/>
        <v xml:space="preserve"> Party Condition 42  ,F.M% 0.4 ,Greenish 5.68 ,Moisture 5.5 ,Shortage in KG= 0  ,Oil% 40.31</v>
      </c>
      <c r="BP1807" s="464">
        <f t="shared" si="1381"/>
        <v>8065.7956685499057</v>
      </c>
      <c r="BQ1807" s="449"/>
      <c r="BR1807" s="449"/>
      <c r="BS1807" s="449"/>
      <c r="BT1807" s="449"/>
      <c r="BU1807" s="449"/>
      <c r="BV1807" s="449"/>
      <c r="BW1807" s="449"/>
      <c r="BX1807" s="147">
        <v>40.450000000000003</v>
      </c>
      <c r="BY1807" s="147">
        <v>40.31</v>
      </c>
    </row>
    <row r="1808" spans="1:83" ht="14.1" hidden="1" customHeight="1" x14ac:dyDescent="0.3">
      <c r="A1808" s="128" t="s">
        <v>3741</v>
      </c>
      <c r="B1808" s="146">
        <v>46255</v>
      </c>
      <c r="C1808" s="281">
        <v>1771</v>
      </c>
      <c r="D1808" s="281" t="s">
        <v>3789</v>
      </c>
      <c r="E1808" s="129">
        <v>46259</v>
      </c>
      <c r="F1808" s="128" t="s">
        <v>95</v>
      </c>
      <c r="G1808" s="128" t="s">
        <v>96</v>
      </c>
      <c r="H1808" s="128" t="s">
        <v>97</v>
      </c>
      <c r="I1808" s="136"/>
      <c r="J1808" s="138" t="s">
        <v>2499</v>
      </c>
      <c r="K1808" s="136"/>
      <c r="L1808" s="146">
        <v>46255</v>
      </c>
      <c r="M1808" s="136"/>
      <c r="N1808" s="281">
        <v>266</v>
      </c>
      <c r="O1808" s="146">
        <v>46259</v>
      </c>
      <c r="P1808" s="138">
        <v>0</v>
      </c>
      <c r="Q1808" s="138">
        <v>100</v>
      </c>
      <c r="R1808" s="138">
        <v>55</v>
      </c>
      <c r="S1808" s="138">
        <v>155</v>
      </c>
      <c r="T1808" s="138">
        <v>155</v>
      </c>
      <c r="U1808" s="136"/>
      <c r="V1808" s="136"/>
      <c r="W1808" s="147">
        <v>93.1</v>
      </c>
      <c r="X1808" s="147">
        <v>92.9</v>
      </c>
      <c r="Y1808" s="169">
        <v>779712.5</v>
      </c>
      <c r="Z1808" s="165"/>
      <c r="AA1808" s="148">
        <v>19492.810000000001</v>
      </c>
      <c r="AB1808" s="148">
        <v>19492.810000000001</v>
      </c>
      <c r="AC1808" s="148">
        <v>818698.13</v>
      </c>
      <c r="AD1808" s="315">
        <f t="shared" si="1361"/>
        <v>817879.43186999997</v>
      </c>
      <c r="AE1808" s="147">
        <v>39.85</v>
      </c>
      <c r="AF1808" s="147">
        <v>42</v>
      </c>
      <c r="AG1808" s="147">
        <v>39.78</v>
      </c>
      <c r="AH1808" s="287">
        <v>2.8E-3</v>
      </c>
      <c r="AI1808" s="287">
        <v>2.7E-2</v>
      </c>
      <c r="AJ1808" s="287">
        <v>5.1999999999999998E-2</v>
      </c>
      <c r="AK1808" s="318">
        <f t="shared" si="1382"/>
        <v>41213.374999999978</v>
      </c>
      <c r="AL1808" s="467">
        <v>0</v>
      </c>
      <c r="AM1808" s="321">
        <v>0</v>
      </c>
      <c r="AN1808" s="321">
        <v>0</v>
      </c>
      <c r="AO1808" s="318">
        <f t="shared" si="1366"/>
        <v>0</v>
      </c>
      <c r="AP1808" s="467">
        <v>0</v>
      </c>
      <c r="AQ1808" s="318"/>
      <c r="AR1808" s="318">
        <f t="shared" si="1367"/>
        <v>41213.374999999978</v>
      </c>
      <c r="AS1808" s="318">
        <f t="shared" si="1368"/>
        <v>43274</v>
      </c>
      <c r="AT1808" s="321">
        <v>0</v>
      </c>
      <c r="AU1808" s="464"/>
      <c r="AV1808" s="449"/>
      <c r="AW1808" s="318">
        <f t="shared" si="1369"/>
        <v>9310</v>
      </c>
      <c r="AX1808" s="467"/>
      <c r="AY1808" s="318">
        <f t="shared" si="1370"/>
        <v>9310</v>
      </c>
      <c r="AZ1808" s="318">
        <f t="shared" si="1371"/>
        <v>9290</v>
      </c>
      <c r="BA1808" s="318">
        <f t="shared" si="1372"/>
        <v>20</v>
      </c>
      <c r="BB1808" s="318">
        <f t="shared" si="1373"/>
        <v>18.62</v>
      </c>
      <c r="BC1808" s="318">
        <v>0</v>
      </c>
      <c r="BD1808" s="467"/>
      <c r="BE1808" s="138">
        <v>93.1</v>
      </c>
      <c r="BF1808" s="321">
        <f t="shared" si="1374"/>
        <v>0.13964999999999997</v>
      </c>
      <c r="BG1808" s="321">
        <f t="shared" si="1375"/>
        <v>92.960349999999991</v>
      </c>
      <c r="BH1808" s="321">
        <f t="shared" si="1376"/>
        <v>92.9</v>
      </c>
      <c r="BI1808" s="322">
        <f t="shared" si="1377"/>
        <v>19.999999999998863</v>
      </c>
      <c r="BJ1808" s="322">
        <v>0</v>
      </c>
      <c r="BK1808" s="318">
        <f t="shared" si="1378"/>
        <v>19.999999999998863</v>
      </c>
      <c r="BL1808" s="449"/>
      <c r="BM1808" s="449" t="str">
        <f t="shared" si="1379"/>
        <v xml:space="preserve">Unloading no. 1771 Bill No 266 ,Deduction For Oil Deduction= 41213.375 ,Bardana= 0 ,F.M= 0 Brokerage/Rate Difference 0 ,Shortage = 0 ,Greenish= 0 ,Moisture= </v>
      </c>
      <c r="BN1808" s="449"/>
      <c r="BO1808" s="449" t="str">
        <f t="shared" si="1380"/>
        <v xml:space="preserve"> Party Condition 42  ,F.M% 0.28 ,Greenish 2.7 ,Moisture 5.2 ,Shortage in KG= 0  ,Oil% 39.78</v>
      </c>
      <c r="BP1808" s="464">
        <f t="shared" si="1381"/>
        <v>7949.3985468245419</v>
      </c>
      <c r="BQ1808" s="449"/>
      <c r="BR1808" s="449"/>
      <c r="BS1808" s="449"/>
      <c r="BT1808" s="449"/>
      <c r="BU1808" s="449"/>
      <c r="BV1808" s="449"/>
      <c r="BW1808" s="449"/>
      <c r="BX1808" s="147">
        <v>39.85</v>
      </c>
      <c r="BY1808" s="147">
        <v>39.78</v>
      </c>
    </row>
    <row r="1809" spans="1:85" ht="14.1" hidden="1" customHeight="1" x14ac:dyDescent="0.3">
      <c r="A1809" s="128" t="s">
        <v>3741</v>
      </c>
      <c r="B1809" s="146">
        <v>46255</v>
      </c>
      <c r="C1809" s="281">
        <v>1772</v>
      </c>
      <c r="D1809" s="281" t="s">
        <v>3790</v>
      </c>
      <c r="E1809" s="129">
        <v>46259</v>
      </c>
      <c r="F1809" s="128" t="s">
        <v>95</v>
      </c>
      <c r="G1809" s="128" t="s">
        <v>96</v>
      </c>
      <c r="H1809" s="128" t="s">
        <v>97</v>
      </c>
      <c r="I1809" s="136"/>
      <c r="J1809" s="138" t="s">
        <v>2499</v>
      </c>
      <c r="K1809" s="136"/>
      <c r="L1809" s="146">
        <v>46255</v>
      </c>
      <c r="M1809" s="136"/>
      <c r="N1809" s="281">
        <v>267</v>
      </c>
      <c r="O1809" s="146">
        <v>46259</v>
      </c>
      <c r="P1809" s="138">
        <v>0</v>
      </c>
      <c r="Q1809" s="138">
        <v>55</v>
      </c>
      <c r="R1809" s="138">
        <v>100</v>
      </c>
      <c r="S1809" s="138">
        <v>155</v>
      </c>
      <c r="T1809" s="138">
        <v>155</v>
      </c>
      <c r="U1809" s="136"/>
      <c r="V1809" s="136"/>
      <c r="W1809" s="147">
        <v>92.3</v>
      </c>
      <c r="X1809" s="147">
        <v>92.2</v>
      </c>
      <c r="Y1809" s="169">
        <v>773012.5</v>
      </c>
      <c r="Z1809" s="165"/>
      <c r="AA1809" s="148">
        <v>19325.310000000001</v>
      </c>
      <c r="AB1809" s="148">
        <v>19325.310000000001</v>
      </c>
      <c r="AC1809" s="148">
        <v>811663.13</v>
      </c>
      <c r="AD1809" s="315">
        <f t="shared" si="1361"/>
        <v>810851.46687</v>
      </c>
      <c r="AE1809" s="147">
        <v>40.200000000000003</v>
      </c>
      <c r="AF1809" s="147">
        <v>42</v>
      </c>
      <c r="AG1809" s="147">
        <v>40.17</v>
      </c>
      <c r="AH1809" s="287">
        <v>1.6000000000000001E-3</v>
      </c>
      <c r="AI1809" s="287">
        <v>3.7199999999999997E-2</v>
      </c>
      <c r="AJ1809" s="287">
        <v>5.5E-2</v>
      </c>
      <c r="AK1809" s="318">
        <f t="shared" si="1382"/>
        <v>33681.258928571398</v>
      </c>
      <c r="AL1809" s="467">
        <v>0</v>
      </c>
      <c r="AM1809" s="321">
        <v>0</v>
      </c>
      <c r="AN1809" s="321">
        <v>0</v>
      </c>
      <c r="AO1809" s="318">
        <f t="shared" si="1366"/>
        <v>0</v>
      </c>
      <c r="AP1809" s="467">
        <v>0</v>
      </c>
      <c r="AQ1809" s="318"/>
      <c r="AR1809" s="318">
        <f t="shared" si="1367"/>
        <v>33681.258928571398</v>
      </c>
      <c r="AS1809" s="318">
        <f t="shared" si="1368"/>
        <v>35365</v>
      </c>
      <c r="AT1809" s="321">
        <v>0</v>
      </c>
      <c r="AU1809" s="464"/>
      <c r="AV1809" s="449"/>
      <c r="AW1809" s="318">
        <f t="shared" si="1369"/>
        <v>9230</v>
      </c>
      <c r="AX1809" s="467"/>
      <c r="AY1809" s="318">
        <f t="shared" si="1370"/>
        <v>9230</v>
      </c>
      <c r="AZ1809" s="318">
        <f t="shared" si="1371"/>
        <v>9220</v>
      </c>
      <c r="BA1809" s="318">
        <f t="shared" si="1372"/>
        <v>10</v>
      </c>
      <c r="BB1809" s="318">
        <f t="shared" si="1373"/>
        <v>18.46</v>
      </c>
      <c r="BC1809" s="318">
        <v>0</v>
      </c>
      <c r="BD1809" s="467"/>
      <c r="BE1809" s="138">
        <v>92.3</v>
      </c>
      <c r="BF1809" s="321">
        <f t="shared" si="1374"/>
        <v>0.13844999999999999</v>
      </c>
      <c r="BG1809" s="321">
        <f t="shared" si="1375"/>
        <v>92.161549999999991</v>
      </c>
      <c r="BH1809" s="321">
        <f t="shared" si="1376"/>
        <v>92.2</v>
      </c>
      <c r="BI1809" s="322">
        <f t="shared" si="1377"/>
        <v>9.9999999999994316</v>
      </c>
      <c r="BJ1809" s="322">
        <v>0</v>
      </c>
      <c r="BK1809" s="318">
        <f t="shared" si="1378"/>
        <v>9.9999999999994316</v>
      </c>
      <c r="BL1809" s="449"/>
      <c r="BM1809" s="449" t="str">
        <f t="shared" si="1379"/>
        <v xml:space="preserve">Unloading no. 1772 Bill No 267 ,Deduction For Oil Deduction= 33681.2589285714 ,Bardana= 0 ,F.M= 0 Brokerage/Rate Difference 0 ,Shortage = 0 ,Greenish= 0 ,Moisture= </v>
      </c>
      <c r="BN1809" s="449"/>
      <c r="BO1809" s="449" t="str">
        <f t="shared" si="1380"/>
        <v xml:space="preserve"> Party Condition 42  ,F.M% 0.16 ,Greenish 3.72 ,Moisture 5.5 ,Shortage in KG= 0  ,Oil% 40.17</v>
      </c>
      <c r="BP1809" s="464">
        <f t="shared" si="1381"/>
        <v>8018.7770181282931</v>
      </c>
      <c r="BQ1809" s="449"/>
      <c r="BR1809" s="449"/>
      <c r="BS1809" s="449"/>
      <c r="BT1809" s="449"/>
      <c r="BU1809" s="449"/>
      <c r="BV1809" s="449"/>
      <c r="BW1809" s="449"/>
      <c r="BX1809" s="147">
        <v>40.200000000000003</v>
      </c>
      <c r="BY1809" s="147">
        <v>40.17</v>
      </c>
    </row>
    <row r="1810" spans="1:85" ht="14.1" hidden="1" customHeight="1" x14ac:dyDescent="0.3">
      <c r="A1810" s="128" t="s">
        <v>3621</v>
      </c>
      <c r="B1810" s="146">
        <v>46252</v>
      </c>
      <c r="C1810" s="281">
        <v>1773</v>
      </c>
      <c r="D1810" s="281" t="s">
        <v>3791</v>
      </c>
      <c r="E1810" s="129">
        <v>46259</v>
      </c>
      <c r="F1810" s="128" t="s">
        <v>3636</v>
      </c>
      <c r="G1810" s="128" t="s">
        <v>3637</v>
      </c>
      <c r="H1810" s="128" t="s">
        <v>2081</v>
      </c>
      <c r="I1810" s="136"/>
      <c r="J1810" s="138" t="s">
        <v>1146</v>
      </c>
      <c r="K1810" s="136"/>
      <c r="L1810" s="146">
        <v>46252</v>
      </c>
      <c r="M1810" s="136"/>
      <c r="N1810" s="281" t="s">
        <v>3810</v>
      </c>
      <c r="O1810" s="146">
        <v>46259</v>
      </c>
      <c r="P1810" s="138">
        <v>0</v>
      </c>
      <c r="Q1810" s="138">
        <v>120</v>
      </c>
      <c r="R1810" s="138">
        <v>50</v>
      </c>
      <c r="S1810" s="138">
        <v>170</v>
      </c>
      <c r="T1810" s="138">
        <v>170</v>
      </c>
      <c r="U1810" s="136"/>
      <c r="V1810" s="136"/>
      <c r="W1810" s="147">
        <v>100.3</v>
      </c>
      <c r="X1810" s="147">
        <v>100.1</v>
      </c>
      <c r="Y1810" s="169">
        <v>807415</v>
      </c>
      <c r="Z1810" s="165"/>
      <c r="AA1810" s="148">
        <v>20185.38</v>
      </c>
      <c r="AB1810" s="148">
        <v>20185.38</v>
      </c>
      <c r="AC1810" s="148">
        <v>847785.75</v>
      </c>
      <c r="AD1810" s="496">
        <f t="shared" si="1361"/>
        <v>846937.96424999996</v>
      </c>
      <c r="AE1810" s="147">
        <v>40.770000000000003</v>
      </c>
      <c r="AF1810" s="147">
        <v>39.75</v>
      </c>
      <c r="AG1810" s="147">
        <v>40.82</v>
      </c>
      <c r="AH1810" s="287">
        <v>1.6000000000000001E-3</v>
      </c>
      <c r="AI1810" s="287">
        <v>3.5799999999999998E-2</v>
      </c>
      <c r="AJ1810" s="287">
        <v>5.2999999999999999E-2</v>
      </c>
      <c r="AK1810" s="318">
        <f t="shared" si="1382"/>
        <v>0</v>
      </c>
      <c r="AL1810" s="467"/>
      <c r="AM1810" s="321"/>
      <c r="AN1810" s="321"/>
      <c r="AO1810" s="318"/>
      <c r="AP1810" s="467"/>
      <c r="AQ1810" s="318"/>
      <c r="AR1810" s="318">
        <f t="shared" si="1367"/>
        <v>0</v>
      </c>
      <c r="AS1810" s="318">
        <f t="shared" si="1368"/>
        <v>0</v>
      </c>
      <c r="AT1810" s="321">
        <v>0</v>
      </c>
      <c r="AU1810" s="464"/>
      <c r="AV1810" s="449"/>
      <c r="AW1810" s="318">
        <f t="shared" si="1369"/>
        <v>10030</v>
      </c>
      <c r="AX1810" s="467"/>
      <c r="AY1810" s="318">
        <f t="shared" si="1370"/>
        <v>10030</v>
      </c>
      <c r="AZ1810" s="318">
        <f t="shared" si="1371"/>
        <v>10010</v>
      </c>
      <c r="BA1810" s="318">
        <f t="shared" si="1372"/>
        <v>20</v>
      </c>
      <c r="BB1810" s="318">
        <f t="shared" si="1373"/>
        <v>20.059999999999999</v>
      </c>
      <c r="BC1810" s="318">
        <v>0</v>
      </c>
      <c r="BD1810" s="467"/>
      <c r="BE1810" s="138">
        <v>100.3</v>
      </c>
      <c r="BF1810" s="321">
        <f t="shared" si="1374"/>
        <v>0.15044999999999997</v>
      </c>
      <c r="BG1810" s="321">
        <f t="shared" si="1375"/>
        <v>100.14954999999999</v>
      </c>
      <c r="BH1810" s="321">
        <f t="shared" si="1376"/>
        <v>100.1</v>
      </c>
      <c r="BI1810" s="322">
        <f t="shared" si="1377"/>
        <v>20.000000000000284</v>
      </c>
      <c r="BJ1810" s="322">
        <v>0</v>
      </c>
      <c r="BK1810" s="318">
        <f t="shared" si="1378"/>
        <v>20.000000000000284</v>
      </c>
      <c r="BL1810" s="449"/>
      <c r="BM1810" s="449" t="str">
        <f t="shared" si="1379"/>
        <v xml:space="preserve">Unloading no. 1773 Bill No RJT821/2026-27 ,Deduction For Oil Deduction= 0 ,Bardana=  ,F.M=  Brokerage/Rate Difference  ,Shortage =  ,Greenish=  ,Moisture= </v>
      </c>
      <c r="BN1810" s="449"/>
      <c r="BO1810" s="449" t="str">
        <f t="shared" si="1380"/>
        <v xml:space="preserve"> Party Condition 39.75  ,F.M% 0.16 ,Greenish 3.58 ,Moisture 5.3 ,Shortage in KG= 0  ,Oil% 40.77</v>
      </c>
      <c r="BP1810" s="464">
        <f t="shared" si="1381"/>
        <v>8066.0839160839168</v>
      </c>
      <c r="BQ1810" s="449"/>
      <c r="BR1810" s="449"/>
      <c r="BS1810" s="449"/>
      <c r="BT1810" s="449"/>
      <c r="BU1810" s="449"/>
      <c r="BV1810" s="449"/>
      <c r="BW1810" s="449"/>
      <c r="BX1810" s="147">
        <v>40.770000000000003</v>
      </c>
      <c r="BY1810" s="147">
        <v>40.82</v>
      </c>
    </row>
    <row r="1811" spans="1:85" ht="14.1" hidden="1" customHeight="1" x14ac:dyDescent="0.3">
      <c r="A1811" s="128" t="s">
        <v>3621</v>
      </c>
      <c r="B1811" s="146">
        <v>46252</v>
      </c>
      <c r="C1811" s="281">
        <v>1774</v>
      </c>
      <c r="D1811" s="281" t="s">
        <v>3792</v>
      </c>
      <c r="E1811" s="129">
        <v>46259</v>
      </c>
      <c r="F1811" s="128" t="s">
        <v>3636</v>
      </c>
      <c r="G1811" s="128" t="s">
        <v>3637</v>
      </c>
      <c r="H1811" s="128" t="s">
        <v>2081</v>
      </c>
      <c r="I1811" s="136"/>
      <c r="J1811" s="138" t="s">
        <v>1146</v>
      </c>
      <c r="K1811" s="136"/>
      <c r="L1811" s="146">
        <v>46252</v>
      </c>
      <c r="M1811" s="136"/>
      <c r="N1811" s="281" t="s">
        <v>3811</v>
      </c>
      <c r="O1811" s="146">
        <v>46259</v>
      </c>
      <c r="P1811" s="138">
        <v>0</v>
      </c>
      <c r="Q1811" s="138">
        <v>140</v>
      </c>
      <c r="R1811" s="138">
        <v>40</v>
      </c>
      <c r="S1811" s="138">
        <v>180</v>
      </c>
      <c r="T1811" s="138">
        <v>180</v>
      </c>
      <c r="U1811" s="136"/>
      <c r="V1811" s="136"/>
      <c r="W1811" s="147">
        <v>107.1</v>
      </c>
      <c r="X1811" s="147">
        <v>106.8</v>
      </c>
      <c r="Y1811" s="169">
        <v>862155</v>
      </c>
      <c r="Z1811" s="165"/>
      <c r="AA1811" s="148">
        <v>21553.88</v>
      </c>
      <c r="AB1811" s="148">
        <v>21553.88</v>
      </c>
      <c r="AC1811" s="148">
        <v>905262.75</v>
      </c>
      <c r="AD1811" s="496">
        <f t="shared" si="1361"/>
        <v>904357.48725000001</v>
      </c>
      <c r="AE1811" s="147">
        <v>41.05</v>
      </c>
      <c r="AF1811" s="147">
        <v>39.75</v>
      </c>
      <c r="AG1811" s="147">
        <v>40.9</v>
      </c>
      <c r="AH1811" s="287">
        <v>1.5E-3</v>
      </c>
      <c r="AI1811" s="287">
        <v>3.4700000000000002E-2</v>
      </c>
      <c r="AJ1811" s="287">
        <v>5.5E-2</v>
      </c>
      <c r="AK1811" s="318">
        <f t="shared" si="1382"/>
        <v>0</v>
      </c>
      <c r="AL1811" s="467"/>
      <c r="AM1811" s="321"/>
      <c r="AN1811" s="321"/>
      <c r="AO1811" s="318"/>
      <c r="AP1811" s="467"/>
      <c r="AQ1811" s="318"/>
      <c r="AR1811" s="318">
        <f t="shared" si="1367"/>
        <v>0</v>
      </c>
      <c r="AS1811" s="318">
        <f t="shared" si="1368"/>
        <v>0</v>
      </c>
      <c r="AT1811" s="321">
        <v>0</v>
      </c>
      <c r="AU1811" s="464"/>
      <c r="AV1811" s="449"/>
      <c r="AW1811" s="318">
        <f t="shared" si="1369"/>
        <v>10710</v>
      </c>
      <c r="AX1811" s="467"/>
      <c r="AY1811" s="318">
        <f t="shared" si="1370"/>
        <v>10710</v>
      </c>
      <c r="AZ1811" s="318">
        <f t="shared" si="1371"/>
        <v>10680</v>
      </c>
      <c r="BA1811" s="318">
        <f t="shared" si="1372"/>
        <v>30</v>
      </c>
      <c r="BB1811" s="318">
        <f t="shared" si="1373"/>
        <v>21.42</v>
      </c>
      <c r="BC1811" s="342">
        <v>0</v>
      </c>
      <c r="BD1811" s="473"/>
      <c r="BE1811" s="275">
        <v>107.1</v>
      </c>
      <c r="BF1811" s="345">
        <f t="shared" si="1374"/>
        <v>0.16064999999999999</v>
      </c>
      <c r="BG1811" s="345">
        <f t="shared" si="1375"/>
        <v>106.93934999999999</v>
      </c>
      <c r="BH1811" s="321">
        <f t="shared" si="1376"/>
        <v>106.8</v>
      </c>
      <c r="BI1811" s="322">
        <f t="shared" si="1377"/>
        <v>29.999999999999716</v>
      </c>
      <c r="BJ1811" s="322">
        <v>0</v>
      </c>
      <c r="BK1811" s="318">
        <f t="shared" si="1378"/>
        <v>29.999999999999716</v>
      </c>
      <c r="BL1811" s="449"/>
      <c r="BM1811" s="449" t="str">
        <f t="shared" si="1379"/>
        <v xml:space="preserve">Unloading no. 1774 Bill No RJT822/2026-27 ,Deduction For Oil Deduction= 0 ,Bardana=  ,F.M=  Brokerage/Rate Difference  ,Shortage =  ,Greenish=  ,Moisture= </v>
      </c>
      <c r="BN1811" s="449"/>
      <c r="BO1811" s="449" t="str">
        <f t="shared" si="1380"/>
        <v xml:space="preserve"> Party Condition 39.75  ,F.M% 0.15 ,Greenish 3.47 ,Moisture 5.5 ,Shortage in KG= 0  ,Oil% 40.9</v>
      </c>
      <c r="BP1811" s="464">
        <f t="shared" si="1381"/>
        <v>8072.6123595505624</v>
      </c>
      <c r="BQ1811" s="449"/>
      <c r="BR1811" s="449"/>
      <c r="BS1811" s="449"/>
      <c r="BT1811" s="449"/>
      <c r="BU1811" s="449"/>
      <c r="BV1811" s="449"/>
      <c r="BW1811" s="449"/>
      <c r="BX1811" s="147">
        <v>41.05</v>
      </c>
      <c r="BY1811" s="147">
        <v>40.9</v>
      </c>
    </row>
    <row r="1812" spans="1:85" ht="14.1" hidden="1" customHeight="1" x14ac:dyDescent="0.3">
      <c r="A1812" s="128" t="s">
        <v>3782</v>
      </c>
      <c r="B1812" s="146">
        <v>46258</v>
      </c>
      <c r="C1812" s="281">
        <v>1775</v>
      </c>
      <c r="D1812" s="281" t="s">
        <v>3793</v>
      </c>
      <c r="E1812" s="129">
        <v>46259</v>
      </c>
      <c r="F1812" s="128" t="s">
        <v>3733</v>
      </c>
      <c r="G1812" s="163" t="s">
        <v>3734</v>
      </c>
      <c r="H1812" s="128" t="s">
        <v>3735</v>
      </c>
      <c r="I1812" s="136"/>
      <c r="J1812" s="138" t="s">
        <v>2499</v>
      </c>
      <c r="K1812" s="136"/>
      <c r="L1812" s="146">
        <v>46258</v>
      </c>
      <c r="M1812" s="136"/>
      <c r="N1812" s="281">
        <v>172</v>
      </c>
      <c r="O1812" s="146">
        <v>46258</v>
      </c>
      <c r="P1812" s="138">
        <v>0</v>
      </c>
      <c r="Q1812" s="138">
        <v>250</v>
      </c>
      <c r="R1812" s="138">
        <v>26</v>
      </c>
      <c r="S1812" s="138">
        <v>276</v>
      </c>
      <c r="T1812" s="138">
        <v>276</v>
      </c>
      <c r="U1812" s="136"/>
      <c r="V1812" s="136"/>
      <c r="W1812" s="147">
        <v>185.6</v>
      </c>
      <c r="X1812" s="147">
        <v>185.3</v>
      </c>
      <c r="Y1812" s="169">
        <v>1559040</v>
      </c>
      <c r="Z1812" s="165"/>
      <c r="AA1812" s="148">
        <v>38976</v>
      </c>
      <c r="AB1812" s="148">
        <v>38976</v>
      </c>
      <c r="AC1812" s="148">
        <v>1636992</v>
      </c>
      <c r="AD1812" s="315">
        <f t="shared" si="1361"/>
        <v>1635355.0079999999</v>
      </c>
      <c r="AE1812" s="147">
        <v>41.4</v>
      </c>
      <c r="AF1812" s="147">
        <v>42</v>
      </c>
      <c r="AG1812" s="147">
        <v>41.3</v>
      </c>
      <c r="AH1812" s="418">
        <v>3.5999999999999999E-3</v>
      </c>
      <c r="AI1812" s="287">
        <v>3.2000000000000001E-2</v>
      </c>
      <c r="AJ1812" s="287">
        <v>5.57E-2</v>
      </c>
      <c r="AK1812" s="318">
        <f t="shared" si="1382"/>
        <v>25984.000000000109</v>
      </c>
      <c r="AL1812" s="467">
        <f>250*10+25*15</f>
        <v>2875</v>
      </c>
      <c r="AM1812" s="321">
        <f>Y1812*AH1812</f>
        <v>5612.5439999999999</v>
      </c>
      <c r="AN1812" s="321">
        <f>X1812*14+185.6*50</f>
        <v>11874.2</v>
      </c>
      <c r="AO1812" s="318">
        <f t="shared" ref="AO1812:AO1814" si="1383">AT1812*Y1812/AW1812</f>
        <v>2520</v>
      </c>
      <c r="AP1812" s="467">
        <v>0</v>
      </c>
      <c r="AQ1812" s="318">
        <f>Y1812*0.57/100</f>
        <v>8886.5279999999984</v>
      </c>
      <c r="AR1812" s="318">
        <f t="shared" si="1367"/>
        <v>57752.272000000106</v>
      </c>
      <c r="AS1812" s="318">
        <f t="shared" si="1368"/>
        <v>60640</v>
      </c>
      <c r="AT1812" s="321">
        <v>30</v>
      </c>
      <c r="AU1812" s="464" t="s">
        <v>3820</v>
      </c>
      <c r="AV1812" s="449"/>
      <c r="AW1812" s="318">
        <f t="shared" si="1369"/>
        <v>18560</v>
      </c>
      <c r="AX1812" s="467"/>
      <c r="AY1812" s="318">
        <f t="shared" si="1370"/>
        <v>18560</v>
      </c>
      <c r="AZ1812" s="318">
        <f t="shared" si="1371"/>
        <v>18530</v>
      </c>
      <c r="BA1812" s="318">
        <f t="shared" si="1372"/>
        <v>30</v>
      </c>
      <c r="BB1812" s="318">
        <f t="shared" si="1373"/>
        <v>37.119999999999997</v>
      </c>
      <c r="BC1812" s="318">
        <v>0</v>
      </c>
      <c r="BD1812" s="467"/>
      <c r="BE1812" s="138">
        <v>185.6</v>
      </c>
      <c r="BF1812" s="321">
        <f t="shared" si="1374"/>
        <v>0.27839999999999998</v>
      </c>
      <c r="BG1812" s="321">
        <f t="shared" si="1375"/>
        <v>185.32159999999999</v>
      </c>
      <c r="BH1812" s="321">
        <f t="shared" si="1376"/>
        <v>185.3</v>
      </c>
      <c r="BI1812" s="322">
        <f t="shared" si="1377"/>
        <v>29.999999999998295</v>
      </c>
      <c r="BJ1812" s="322">
        <v>0</v>
      </c>
      <c r="BK1812" s="318">
        <f t="shared" si="1378"/>
        <v>29.999999999998295</v>
      </c>
      <c r="BL1812" s="449"/>
      <c r="BM1812" s="449" t="str">
        <f t="shared" si="1379"/>
        <v>Unloading no. 1775 Bill No 172 ,Deduction For Oil Deduction= 25984.0000000001 ,Bardana= 2875 ,F.M= 5612.544 Brokerage/Rate Difference 11874.2 ,Shortage = 2520 ,Greenish= 0 ,Moisture= 8886.528</v>
      </c>
      <c r="BN1812" s="449"/>
      <c r="BO1812" s="449" t="str">
        <f t="shared" si="1380"/>
        <v xml:space="preserve"> Party Condition 42  ,F.M% 0.36 ,Greenish 3.2 ,Moisture 5.57 ,Shortage in KG= 30  ,Oil% 41.3</v>
      </c>
      <c r="BP1812" s="464">
        <f t="shared" si="1381"/>
        <v>8101.9305342687521</v>
      </c>
      <c r="BQ1812" s="449"/>
      <c r="BR1812" s="449"/>
      <c r="BS1812" s="449"/>
      <c r="BT1812" s="449"/>
      <c r="BU1812" s="449"/>
      <c r="BV1812" s="449"/>
      <c r="BW1812" s="449"/>
      <c r="BX1812" s="147">
        <v>41.4</v>
      </c>
      <c r="BY1812" s="147">
        <v>41.3</v>
      </c>
    </row>
    <row r="1813" spans="1:85" ht="14.1" hidden="1" customHeight="1" x14ac:dyDescent="0.3">
      <c r="A1813" s="128" t="s">
        <v>3741</v>
      </c>
      <c r="B1813" s="146">
        <v>46255</v>
      </c>
      <c r="C1813" s="281">
        <v>1776</v>
      </c>
      <c r="D1813" s="281" t="s">
        <v>3794</v>
      </c>
      <c r="E1813" s="129">
        <v>46259</v>
      </c>
      <c r="F1813" s="128" t="s">
        <v>95</v>
      </c>
      <c r="G1813" s="128" t="s">
        <v>96</v>
      </c>
      <c r="H1813" s="128" t="s">
        <v>97</v>
      </c>
      <c r="I1813" s="136"/>
      <c r="J1813" s="138" t="s">
        <v>2499</v>
      </c>
      <c r="K1813" s="136"/>
      <c r="L1813" s="146">
        <v>46255</v>
      </c>
      <c r="M1813" s="136"/>
      <c r="N1813" s="281">
        <v>268</v>
      </c>
      <c r="O1813" s="146">
        <v>46259</v>
      </c>
      <c r="P1813" s="138">
        <v>0</v>
      </c>
      <c r="Q1813" s="138">
        <v>105</v>
      </c>
      <c r="R1813" s="138">
        <v>50</v>
      </c>
      <c r="S1813" s="138">
        <v>155</v>
      </c>
      <c r="T1813" s="138">
        <v>155</v>
      </c>
      <c r="U1813" s="136"/>
      <c r="V1813" s="136"/>
      <c r="W1813" s="147">
        <v>92.3</v>
      </c>
      <c r="X1813" s="147">
        <v>92.1</v>
      </c>
      <c r="Y1813" s="169">
        <v>773012.5</v>
      </c>
      <c r="Z1813" s="165"/>
      <c r="AA1813" s="148">
        <v>19325.310000000001</v>
      </c>
      <c r="AB1813" s="148">
        <v>19325.310000000001</v>
      </c>
      <c r="AC1813" s="148">
        <v>811663.13</v>
      </c>
      <c r="AD1813" s="315">
        <f t="shared" si="1361"/>
        <v>810851.46687</v>
      </c>
      <c r="AE1813" s="147">
        <v>40.549999999999997</v>
      </c>
      <c r="AF1813" s="147">
        <v>42</v>
      </c>
      <c r="AG1813" s="147">
        <v>40.380000000000003</v>
      </c>
      <c r="AH1813" s="287">
        <v>2.8999999999999998E-3</v>
      </c>
      <c r="AI1813" s="287">
        <v>3.7999999999999999E-2</v>
      </c>
      <c r="AJ1813" s="287">
        <v>5.8999999999999997E-2</v>
      </c>
      <c r="AK1813" s="318">
        <f t="shared" si="1382"/>
        <v>29816.196428571384</v>
      </c>
      <c r="AL1813" s="467">
        <v>0</v>
      </c>
      <c r="AM1813" s="321">
        <v>0</v>
      </c>
      <c r="AN1813" s="321">
        <v>0</v>
      </c>
      <c r="AO1813" s="318">
        <f t="shared" si="1383"/>
        <v>0</v>
      </c>
      <c r="AP1813" s="467">
        <v>0</v>
      </c>
      <c r="AQ1813" s="318"/>
      <c r="AR1813" s="318">
        <f t="shared" si="1367"/>
        <v>29816.196428571384</v>
      </c>
      <c r="AS1813" s="318">
        <f t="shared" si="1368"/>
        <v>31307</v>
      </c>
      <c r="AT1813" s="321">
        <v>0</v>
      </c>
      <c r="AU1813" s="464"/>
      <c r="AV1813" s="449"/>
      <c r="AW1813" s="318">
        <f t="shared" si="1369"/>
        <v>9230</v>
      </c>
      <c r="AX1813" s="467"/>
      <c r="AY1813" s="318">
        <f t="shared" si="1370"/>
        <v>9230</v>
      </c>
      <c r="AZ1813" s="318">
        <f t="shared" si="1371"/>
        <v>9210</v>
      </c>
      <c r="BA1813" s="318">
        <f t="shared" si="1372"/>
        <v>20</v>
      </c>
      <c r="BB1813" s="318">
        <f t="shared" si="1373"/>
        <v>18.46</v>
      </c>
      <c r="BC1813" s="318">
        <v>0</v>
      </c>
      <c r="BD1813" s="467"/>
      <c r="BE1813" s="138">
        <v>92.3</v>
      </c>
      <c r="BF1813" s="321">
        <f t="shared" si="1374"/>
        <v>0.13844999999999999</v>
      </c>
      <c r="BG1813" s="321">
        <f t="shared" si="1375"/>
        <v>92.161549999999991</v>
      </c>
      <c r="BH1813" s="321">
        <f t="shared" si="1376"/>
        <v>92.1</v>
      </c>
      <c r="BI1813" s="322">
        <f t="shared" si="1377"/>
        <v>20.000000000000284</v>
      </c>
      <c r="BJ1813" s="322">
        <v>0</v>
      </c>
      <c r="BK1813" s="318">
        <f t="shared" si="1378"/>
        <v>20.000000000000284</v>
      </c>
      <c r="BL1813" s="449"/>
      <c r="BM1813" s="449" t="str">
        <f t="shared" si="1379"/>
        <v xml:space="preserve">Unloading no. 1776 Bill No 268 ,Deduction For Oil Deduction= 29816.1964285714 ,Bardana= 0 ,F.M= 0 Brokerage/Rate Difference 0 ,Shortage = 0 ,Greenish= 0 ,Moisture= </v>
      </c>
      <c r="BN1813" s="449"/>
      <c r="BO1813" s="449" t="str">
        <f t="shared" si="1380"/>
        <v xml:space="preserve"> Party Condition 42  ,F.M% 0.29 ,Greenish 3.8 ,Moisture 5.9 ,Shortage in KG= 0  ,Oil% 40.38</v>
      </c>
      <c r="BP1813" s="464">
        <f t="shared" si="1381"/>
        <v>8069.4495501783786</v>
      </c>
      <c r="BQ1813" s="449"/>
      <c r="BR1813" s="449"/>
      <c r="BS1813" s="449"/>
      <c r="BT1813" s="449"/>
      <c r="BU1813" s="449"/>
      <c r="BV1813" s="449"/>
      <c r="BW1813" s="449"/>
      <c r="BX1813" s="147">
        <v>40.549999999999997</v>
      </c>
      <c r="BY1813" s="147">
        <v>40.380000000000003</v>
      </c>
    </row>
    <row r="1814" spans="1:85" ht="14.1" hidden="1" customHeight="1" x14ac:dyDescent="0.3">
      <c r="A1814" s="128" t="s">
        <v>3741</v>
      </c>
      <c r="B1814" s="146">
        <v>46255</v>
      </c>
      <c r="C1814" s="281">
        <v>1777</v>
      </c>
      <c r="D1814" s="281" t="s">
        <v>3795</v>
      </c>
      <c r="E1814" s="129">
        <v>46259</v>
      </c>
      <c r="F1814" s="128" t="s">
        <v>95</v>
      </c>
      <c r="G1814" s="128" t="s">
        <v>96</v>
      </c>
      <c r="H1814" s="128" t="s">
        <v>97</v>
      </c>
      <c r="I1814" s="136"/>
      <c r="J1814" s="138" t="s">
        <v>2499</v>
      </c>
      <c r="K1814" s="136"/>
      <c r="L1814" s="146">
        <v>46255</v>
      </c>
      <c r="M1814" s="136"/>
      <c r="N1814" s="281">
        <v>269</v>
      </c>
      <c r="O1814" s="146">
        <v>46259</v>
      </c>
      <c r="P1814" s="138">
        <v>0</v>
      </c>
      <c r="Q1814" s="138">
        <v>100</v>
      </c>
      <c r="R1814" s="138">
        <v>55</v>
      </c>
      <c r="S1814" s="138">
        <v>155</v>
      </c>
      <c r="T1814" s="138">
        <v>155</v>
      </c>
      <c r="U1814" s="136"/>
      <c r="V1814" s="136"/>
      <c r="W1814" s="147">
        <v>93</v>
      </c>
      <c r="X1814" s="147">
        <v>93</v>
      </c>
      <c r="Y1814" s="169">
        <v>778875</v>
      </c>
      <c r="Z1814" s="165"/>
      <c r="AA1814" s="148">
        <v>19471.88</v>
      </c>
      <c r="AB1814" s="148">
        <v>19471.88</v>
      </c>
      <c r="AC1814" s="148">
        <v>817818.75</v>
      </c>
      <c r="AD1814" s="315">
        <f t="shared" si="1361"/>
        <v>817000.93125000002</v>
      </c>
      <c r="AE1814" s="147">
        <v>39.799999999999997</v>
      </c>
      <c r="AF1814" s="147">
        <v>42</v>
      </c>
      <c r="AG1814" s="147">
        <v>39.770000000000003</v>
      </c>
      <c r="AH1814" s="287">
        <v>4.0000000000000001E-3</v>
      </c>
      <c r="AI1814" s="287">
        <v>2.4799999999999999E-2</v>
      </c>
      <c r="AJ1814" s="287">
        <v>5.3999999999999999E-2</v>
      </c>
      <c r="AK1814" s="318">
        <f t="shared" si="1382"/>
        <v>41354.553571428514</v>
      </c>
      <c r="AL1814" s="467">
        <v>0</v>
      </c>
      <c r="AM1814" s="321">
        <v>0</v>
      </c>
      <c r="AN1814" s="321">
        <v>0</v>
      </c>
      <c r="AO1814" s="318">
        <f t="shared" si="1383"/>
        <v>0</v>
      </c>
      <c r="AP1814" s="467">
        <v>0</v>
      </c>
      <c r="AQ1814" s="318"/>
      <c r="AR1814" s="318">
        <f t="shared" si="1367"/>
        <v>41354.553571428514</v>
      </c>
      <c r="AS1814" s="318">
        <f t="shared" si="1368"/>
        <v>43422</v>
      </c>
      <c r="AT1814" s="321">
        <v>0</v>
      </c>
      <c r="AU1814" s="464"/>
      <c r="AV1814" s="449"/>
      <c r="AW1814" s="318">
        <f t="shared" si="1369"/>
        <v>9300</v>
      </c>
      <c r="AX1814" s="467"/>
      <c r="AY1814" s="318">
        <f t="shared" si="1370"/>
        <v>9300</v>
      </c>
      <c r="AZ1814" s="318">
        <f t="shared" si="1371"/>
        <v>9300</v>
      </c>
      <c r="BA1814" s="318">
        <f t="shared" si="1372"/>
        <v>0</v>
      </c>
      <c r="BB1814" s="318">
        <f t="shared" si="1373"/>
        <v>18.600000000000001</v>
      </c>
      <c r="BC1814" s="318">
        <v>0</v>
      </c>
      <c r="BD1814" s="467"/>
      <c r="BE1814" s="138">
        <v>93</v>
      </c>
      <c r="BF1814" s="321">
        <f t="shared" si="1374"/>
        <v>0.13949999999999999</v>
      </c>
      <c r="BG1814" s="321">
        <f t="shared" si="1375"/>
        <v>92.860500000000002</v>
      </c>
      <c r="BH1814" s="321">
        <f t="shared" si="1376"/>
        <v>93</v>
      </c>
      <c r="BI1814" s="322">
        <f t="shared" si="1377"/>
        <v>0</v>
      </c>
      <c r="BJ1814" s="322">
        <v>0</v>
      </c>
      <c r="BK1814" s="318">
        <f t="shared" si="1378"/>
        <v>0</v>
      </c>
      <c r="BL1814" s="449"/>
      <c r="BM1814" s="449" t="str">
        <f t="shared" si="1379"/>
        <v xml:space="preserve">Unloading no. 1777 Bill No 269 ,Deduction For Oil Deduction= 41354.5535714285 ,Bardana= 0 ,F.M= 0 Brokerage/Rate Difference 0 ,Shortage = 0 ,Greenish= 0 ,Moisture= </v>
      </c>
      <c r="BN1814" s="449"/>
      <c r="BO1814" s="449" t="str">
        <f t="shared" si="1380"/>
        <v xml:space="preserve"> Party Condition 42  ,F.M% 0.4 ,Greenish 2.48 ,Moisture 5.4 ,Shortage in KG= 0  ,Oil% 39.77</v>
      </c>
      <c r="BP1814" s="464">
        <f t="shared" si="1381"/>
        <v>7930.3273809523816</v>
      </c>
      <c r="BQ1814" s="449"/>
      <c r="BR1814" s="449"/>
      <c r="BS1814" s="449"/>
      <c r="BT1814" s="449"/>
      <c r="BU1814" s="449"/>
      <c r="BV1814" s="449"/>
      <c r="BW1814" s="449"/>
      <c r="BX1814" s="147">
        <v>39.799999999999997</v>
      </c>
      <c r="BY1814" s="147">
        <v>39.770000000000003</v>
      </c>
    </row>
    <row r="1815" spans="1:85" ht="14.1" hidden="1" customHeight="1" x14ac:dyDescent="0.3">
      <c r="A1815" s="128" t="s">
        <v>3621</v>
      </c>
      <c r="B1815" s="146">
        <v>46252</v>
      </c>
      <c r="C1815" s="281">
        <v>1778</v>
      </c>
      <c r="D1815" s="281" t="s">
        <v>3796</v>
      </c>
      <c r="E1815" s="129">
        <v>46259</v>
      </c>
      <c r="F1815" s="128" t="s">
        <v>3636</v>
      </c>
      <c r="G1815" s="128" t="s">
        <v>3637</v>
      </c>
      <c r="H1815" s="128" t="s">
        <v>2081</v>
      </c>
      <c r="I1815" s="136"/>
      <c r="J1815" s="138" t="s">
        <v>1146</v>
      </c>
      <c r="K1815" s="136"/>
      <c r="L1815" s="146">
        <v>46252</v>
      </c>
      <c r="M1815" s="136"/>
      <c r="N1815" s="281" t="s">
        <v>3812</v>
      </c>
      <c r="O1815" s="146">
        <v>46259</v>
      </c>
      <c r="P1815" s="138">
        <v>0</v>
      </c>
      <c r="Q1815" s="138">
        <v>120</v>
      </c>
      <c r="R1815" s="138">
        <v>60</v>
      </c>
      <c r="S1815" s="138">
        <v>180</v>
      </c>
      <c r="T1815" s="138">
        <v>180</v>
      </c>
      <c r="U1815" s="136"/>
      <c r="V1815" s="136"/>
      <c r="W1815" s="147">
        <v>108.2</v>
      </c>
      <c r="X1815" s="147">
        <v>108</v>
      </c>
      <c r="Y1815" s="169">
        <v>871010</v>
      </c>
      <c r="Z1815" s="165"/>
      <c r="AA1815" s="148">
        <v>21775.25</v>
      </c>
      <c r="AB1815" s="148">
        <v>21775.25</v>
      </c>
      <c r="AC1815" s="148">
        <v>914560.5</v>
      </c>
      <c r="AD1815" s="496">
        <f t="shared" si="1361"/>
        <v>913645.93949999998</v>
      </c>
      <c r="AE1815" s="147">
        <v>41.2</v>
      </c>
      <c r="AF1815" s="147">
        <v>39.75</v>
      </c>
      <c r="AG1815" s="147">
        <v>41.01</v>
      </c>
      <c r="AH1815" s="287">
        <v>2.2000000000000001E-3</v>
      </c>
      <c r="AI1815" s="287">
        <v>2.8799999999999999E-2</v>
      </c>
      <c r="AJ1815" s="287">
        <v>5.1999999999999998E-2</v>
      </c>
      <c r="AK1815" s="318">
        <f t="shared" si="1382"/>
        <v>0</v>
      </c>
      <c r="AL1815" s="467"/>
      <c r="AM1815" s="321"/>
      <c r="AN1815" s="321"/>
      <c r="AO1815" s="318"/>
      <c r="AP1815" s="467"/>
      <c r="AQ1815" s="318"/>
      <c r="AR1815" s="318">
        <f t="shared" si="1367"/>
        <v>0</v>
      </c>
      <c r="AS1815" s="318">
        <f t="shared" si="1368"/>
        <v>0</v>
      </c>
      <c r="AT1815" s="321">
        <v>0</v>
      </c>
      <c r="AU1815" s="464"/>
      <c r="AV1815" s="449"/>
      <c r="AW1815" s="318">
        <f t="shared" si="1369"/>
        <v>10820</v>
      </c>
      <c r="AX1815" s="467"/>
      <c r="AY1815" s="318">
        <f t="shared" si="1370"/>
        <v>10820</v>
      </c>
      <c r="AZ1815" s="318">
        <f t="shared" si="1371"/>
        <v>10800</v>
      </c>
      <c r="BA1815" s="318">
        <f t="shared" si="1372"/>
        <v>20</v>
      </c>
      <c r="BB1815" s="318">
        <f t="shared" si="1373"/>
        <v>21.64</v>
      </c>
      <c r="BC1815" s="318">
        <v>0</v>
      </c>
      <c r="BD1815" s="467"/>
      <c r="BE1815" s="138">
        <v>108.2</v>
      </c>
      <c r="BF1815" s="321">
        <f t="shared" si="1374"/>
        <v>0.1623</v>
      </c>
      <c r="BG1815" s="321">
        <f t="shared" si="1375"/>
        <v>108.0377</v>
      </c>
      <c r="BH1815" s="321">
        <f t="shared" si="1376"/>
        <v>108</v>
      </c>
      <c r="BI1815" s="322">
        <f t="shared" si="1377"/>
        <v>20.000000000000284</v>
      </c>
      <c r="BJ1815" s="322">
        <v>0</v>
      </c>
      <c r="BK1815" s="318">
        <f t="shared" si="1378"/>
        <v>20.000000000000284</v>
      </c>
      <c r="BL1815" s="449"/>
      <c r="BM1815" s="449" t="str">
        <f t="shared" si="1379"/>
        <v xml:space="preserve">Unloading no. 1778 Bill No RJT824/2026-27 ,Deduction For Oil Deduction= 0 ,Bardana=  ,F.M=  Brokerage/Rate Difference  ,Shortage =  ,Greenish=  ,Moisture= </v>
      </c>
      <c r="BN1815" s="449"/>
      <c r="BO1815" s="449" t="str">
        <f t="shared" si="1380"/>
        <v xml:space="preserve"> Party Condition 39.75  ,F.M% 0.22 ,Greenish 2.88 ,Moisture 5.2 ,Shortage in KG= 0  ,Oil% 41.01</v>
      </c>
      <c r="BP1815" s="464">
        <f t="shared" si="1381"/>
        <v>8064.9074074074078</v>
      </c>
      <c r="BQ1815" s="449"/>
      <c r="BR1815" s="449"/>
      <c r="BS1815" s="449"/>
      <c r="BT1815" s="449"/>
      <c r="BU1815" s="449"/>
      <c r="BV1815" s="449"/>
      <c r="BW1815" s="449"/>
      <c r="BX1815" s="147">
        <v>41.2</v>
      </c>
      <c r="BY1815" s="147">
        <v>41.01</v>
      </c>
    </row>
    <row r="1816" spans="1:85" ht="14.1" hidden="1" customHeight="1" x14ac:dyDescent="0.3">
      <c r="A1816" s="128" t="s">
        <v>3621</v>
      </c>
      <c r="B1816" s="146">
        <v>46252</v>
      </c>
      <c r="C1816" s="281">
        <v>1779</v>
      </c>
      <c r="D1816" s="281" t="s">
        <v>3797</v>
      </c>
      <c r="E1816" s="129">
        <v>46259</v>
      </c>
      <c r="F1816" s="128" t="s">
        <v>3636</v>
      </c>
      <c r="G1816" s="128" t="s">
        <v>3637</v>
      </c>
      <c r="H1816" s="128" t="s">
        <v>2081</v>
      </c>
      <c r="I1816" s="136"/>
      <c r="J1816" s="138" t="s">
        <v>1146</v>
      </c>
      <c r="K1816" s="136"/>
      <c r="L1816" s="146">
        <v>46252</v>
      </c>
      <c r="M1816" s="136"/>
      <c r="N1816" s="281" t="s">
        <v>3813</v>
      </c>
      <c r="O1816" s="146">
        <v>46259</v>
      </c>
      <c r="P1816" s="138">
        <v>0</v>
      </c>
      <c r="Q1816" s="138">
        <v>120</v>
      </c>
      <c r="R1816" s="138">
        <v>60</v>
      </c>
      <c r="S1816" s="138">
        <v>180</v>
      </c>
      <c r="T1816" s="138">
        <v>180</v>
      </c>
      <c r="U1816" s="136"/>
      <c r="V1816" s="136"/>
      <c r="W1816" s="147">
        <v>107.7</v>
      </c>
      <c r="X1816" s="147">
        <v>107.5</v>
      </c>
      <c r="Y1816" s="169">
        <v>866985</v>
      </c>
      <c r="Z1816" s="165"/>
      <c r="AA1816" s="148">
        <v>21674.63</v>
      </c>
      <c r="AB1816" s="148">
        <v>21674.63</v>
      </c>
      <c r="AC1816" s="148">
        <v>910334.25</v>
      </c>
      <c r="AD1816" s="496">
        <f t="shared" si="1361"/>
        <v>909423.91575000004</v>
      </c>
      <c r="AE1816" s="147">
        <v>40.409999999999997</v>
      </c>
      <c r="AF1816" s="147">
        <v>39.75</v>
      </c>
      <c r="AG1816" s="147">
        <v>40.340000000000003</v>
      </c>
      <c r="AH1816" s="287">
        <v>2.2000000000000001E-3</v>
      </c>
      <c r="AI1816" s="287">
        <v>3.3799999999999997E-2</v>
      </c>
      <c r="AJ1816" s="287">
        <v>5.0999999999999997E-2</v>
      </c>
      <c r="AK1816" s="318">
        <f t="shared" si="1382"/>
        <v>0</v>
      </c>
      <c r="AL1816" s="467"/>
      <c r="AM1816" s="321"/>
      <c r="AN1816" s="321"/>
      <c r="AO1816" s="318"/>
      <c r="AP1816" s="467"/>
      <c r="AQ1816" s="318"/>
      <c r="AR1816" s="318">
        <f t="shared" si="1367"/>
        <v>0</v>
      </c>
      <c r="AS1816" s="318">
        <f t="shared" si="1368"/>
        <v>0</v>
      </c>
      <c r="AT1816" s="321">
        <v>0</v>
      </c>
      <c r="AU1816" s="464"/>
      <c r="AV1816" s="449"/>
      <c r="AW1816" s="318">
        <f t="shared" si="1369"/>
        <v>10770</v>
      </c>
      <c r="AX1816" s="467"/>
      <c r="AY1816" s="318">
        <f t="shared" si="1370"/>
        <v>10770</v>
      </c>
      <c r="AZ1816" s="318">
        <f t="shared" si="1371"/>
        <v>10750</v>
      </c>
      <c r="BA1816" s="318">
        <f t="shared" si="1372"/>
        <v>20</v>
      </c>
      <c r="BB1816" s="318">
        <f t="shared" si="1373"/>
        <v>21.54</v>
      </c>
      <c r="BC1816" s="318">
        <v>0</v>
      </c>
      <c r="BD1816" s="467"/>
      <c r="BE1816" s="138">
        <v>107.7</v>
      </c>
      <c r="BF1816" s="321">
        <f t="shared" si="1374"/>
        <v>0.16155</v>
      </c>
      <c r="BG1816" s="321">
        <f t="shared" si="1375"/>
        <v>107.53845</v>
      </c>
      <c r="BH1816" s="321">
        <f t="shared" si="1376"/>
        <v>107.5</v>
      </c>
      <c r="BI1816" s="322">
        <f t="shared" si="1377"/>
        <v>20.000000000000284</v>
      </c>
      <c r="BJ1816" s="322">
        <v>0</v>
      </c>
      <c r="BK1816" s="318">
        <f t="shared" si="1378"/>
        <v>20.000000000000284</v>
      </c>
      <c r="BL1816" s="449"/>
      <c r="BM1816" s="449" t="str">
        <f t="shared" si="1379"/>
        <v xml:space="preserve">Unloading no. 1779 Bill No RJT825/2026-27 ,Deduction For Oil Deduction= 0 ,Bardana=  ,F.M=  Brokerage/Rate Difference  ,Shortage =  ,Greenish=  ,Moisture= </v>
      </c>
      <c r="BN1816" s="449"/>
      <c r="BO1816" s="449" t="str">
        <f t="shared" si="1380"/>
        <v xml:space="preserve"> Party Condition 39.75  ,F.M% 0.22 ,Greenish 3.38 ,Moisture 5.1 ,Shortage in KG= 0  ,Oil% 40.34</v>
      </c>
      <c r="BP1816" s="464">
        <f t="shared" si="1381"/>
        <v>8064.9767441860467</v>
      </c>
      <c r="BQ1816" s="449"/>
      <c r="BR1816" s="449"/>
      <c r="BS1816" s="449"/>
      <c r="BT1816" s="449"/>
      <c r="BU1816" s="449"/>
      <c r="BV1816" s="449"/>
      <c r="BW1816" s="449"/>
      <c r="BX1816" s="147">
        <v>40.409999999999997</v>
      </c>
      <c r="BY1816" s="147">
        <v>40.340000000000003</v>
      </c>
    </row>
    <row r="1817" spans="1:85" ht="14.1" hidden="1" customHeight="1" x14ac:dyDescent="0.3">
      <c r="A1817" s="128" t="s">
        <v>3621</v>
      </c>
      <c r="B1817" s="146">
        <v>46252</v>
      </c>
      <c r="C1817" s="281">
        <v>1780</v>
      </c>
      <c r="D1817" s="281" t="s">
        <v>3798</v>
      </c>
      <c r="E1817" s="129">
        <v>46259</v>
      </c>
      <c r="F1817" s="128" t="s">
        <v>3636</v>
      </c>
      <c r="G1817" s="128" t="s">
        <v>3637</v>
      </c>
      <c r="H1817" s="128" t="s">
        <v>2081</v>
      </c>
      <c r="I1817" s="136"/>
      <c r="J1817" s="138" t="s">
        <v>1146</v>
      </c>
      <c r="K1817" s="136"/>
      <c r="L1817" s="146">
        <v>46252</v>
      </c>
      <c r="M1817" s="136"/>
      <c r="N1817" s="281" t="s">
        <v>3814</v>
      </c>
      <c r="O1817" s="146">
        <v>46259</v>
      </c>
      <c r="P1817" s="138">
        <v>0</v>
      </c>
      <c r="Q1817" s="138">
        <v>105</v>
      </c>
      <c r="R1817" s="138">
        <v>80</v>
      </c>
      <c r="S1817" s="138">
        <v>185</v>
      </c>
      <c r="T1817" s="138">
        <v>185</v>
      </c>
      <c r="U1817" s="136"/>
      <c r="V1817" s="136"/>
      <c r="W1817" s="147">
        <v>110.8</v>
      </c>
      <c r="X1817" s="147">
        <v>110.7</v>
      </c>
      <c r="Y1817" s="169">
        <v>891940</v>
      </c>
      <c r="Z1817" s="165"/>
      <c r="AA1817" s="148">
        <v>22298.5</v>
      </c>
      <c r="AB1817" s="148">
        <v>22298.5</v>
      </c>
      <c r="AC1817" s="148">
        <v>936537</v>
      </c>
      <c r="AD1817" s="496">
        <f t="shared" si="1361"/>
        <v>935600.46299999999</v>
      </c>
      <c r="AE1817" s="147">
        <v>39.799999999999997</v>
      </c>
      <c r="AF1817" s="147">
        <v>39.75</v>
      </c>
      <c r="AG1817" s="147">
        <v>39.75</v>
      </c>
      <c r="AH1817" s="287">
        <v>2.3999999999999998E-3</v>
      </c>
      <c r="AI1817" s="287">
        <v>0.04</v>
      </c>
      <c r="AJ1817" s="287">
        <v>5.3999999999999999E-2</v>
      </c>
      <c r="AK1817" s="318">
        <f t="shared" si="1382"/>
        <v>0</v>
      </c>
      <c r="AL1817" s="467"/>
      <c r="AM1817" s="321"/>
      <c r="AN1817" s="321"/>
      <c r="AO1817" s="318"/>
      <c r="AP1817" s="467"/>
      <c r="AQ1817" s="318"/>
      <c r="AR1817" s="318">
        <f t="shared" si="1367"/>
        <v>0</v>
      </c>
      <c r="AS1817" s="318">
        <f t="shared" si="1368"/>
        <v>0</v>
      </c>
      <c r="AT1817" s="321">
        <v>0</v>
      </c>
      <c r="AU1817" s="464"/>
      <c r="AV1817" s="449"/>
      <c r="AW1817" s="318">
        <f t="shared" si="1369"/>
        <v>11080</v>
      </c>
      <c r="AX1817" s="467"/>
      <c r="AY1817" s="318">
        <f t="shared" si="1370"/>
        <v>11080</v>
      </c>
      <c r="AZ1817" s="318">
        <f t="shared" si="1371"/>
        <v>11070</v>
      </c>
      <c r="BA1817" s="318">
        <f t="shared" si="1372"/>
        <v>10</v>
      </c>
      <c r="BB1817" s="318">
        <f t="shared" si="1373"/>
        <v>22.16</v>
      </c>
      <c r="BC1817" s="342">
        <v>0</v>
      </c>
      <c r="BD1817" s="473"/>
      <c r="BE1817" s="275">
        <v>110.8</v>
      </c>
      <c r="BF1817" s="345">
        <f t="shared" si="1374"/>
        <v>0.16619999999999999</v>
      </c>
      <c r="BG1817" s="345">
        <f t="shared" si="1375"/>
        <v>110.63379999999999</v>
      </c>
      <c r="BH1817" s="321">
        <f t="shared" si="1376"/>
        <v>110.7</v>
      </c>
      <c r="BI1817" s="322">
        <f t="shared" si="1377"/>
        <v>9.9999999999994316</v>
      </c>
      <c r="BJ1817" s="322">
        <v>0</v>
      </c>
      <c r="BK1817" s="318">
        <f t="shared" si="1378"/>
        <v>9.9999999999994316</v>
      </c>
      <c r="BL1817" s="449"/>
      <c r="BM1817" s="449" t="str">
        <f t="shared" si="1379"/>
        <v xml:space="preserve">Unloading no. 1780 Bill No RJT826/2026-27 ,Deduction For Oil Deduction= 0 ,Bardana=  ,F.M=  Brokerage/Rate Difference  ,Shortage =  ,Greenish=  ,Moisture= </v>
      </c>
      <c r="BN1817" s="449"/>
      <c r="BO1817" s="449" t="str">
        <f t="shared" si="1380"/>
        <v xml:space="preserve"> Party Condition 39.75  ,F.M% 0.24 ,Greenish 4 ,Moisture 5.4 ,Shortage in KG= 0  ,Oil% 39.75</v>
      </c>
      <c r="BP1817" s="464">
        <f t="shared" si="1381"/>
        <v>8057.2719060523932</v>
      </c>
      <c r="BQ1817" s="449"/>
      <c r="BR1817" s="449"/>
      <c r="BS1817" s="449"/>
      <c r="BT1817" s="449"/>
      <c r="BU1817" s="449"/>
      <c r="BV1817" s="449"/>
      <c r="BW1817" s="449"/>
      <c r="BX1817" s="147">
        <v>39.799999999999997</v>
      </c>
      <c r="BY1817" s="147">
        <v>39.75</v>
      </c>
    </row>
    <row r="1818" spans="1:85" ht="14.1" hidden="1" customHeight="1" x14ac:dyDescent="0.3">
      <c r="A1818" s="128" t="s">
        <v>3741</v>
      </c>
      <c r="B1818" s="146">
        <v>46255</v>
      </c>
      <c r="C1818" s="281">
        <v>1781</v>
      </c>
      <c r="D1818" s="281" t="s">
        <v>3799</v>
      </c>
      <c r="E1818" s="129">
        <v>46259</v>
      </c>
      <c r="F1818" s="128" t="s">
        <v>95</v>
      </c>
      <c r="G1818" s="128" t="s">
        <v>96</v>
      </c>
      <c r="H1818" s="128" t="s">
        <v>97</v>
      </c>
      <c r="I1818" s="136"/>
      <c r="J1818" s="138" t="s">
        <v>3809</v>
      </c>
      <c r="K1818" s="136"/>
      <c r="L1818" s="146">
        <v>46255</v>
      </c>
      <c r="M1818" s="136"/>
      <c r="N1818" s="281">
        <v>270</v>
      </c>
      <c r="O1818" s="146">
        <v>46259</v>
      </c>
      <c r="P1818" s="138">
        <v>0</v>
      </c>
      <c r="Q1818" s="138">
        <v>70</v>
      </c>
      <c r="R1818" s="138">
        <v>85</v>
      </c>
      <c r="S1818" s="138">
        <v>155</v>
      </c>
      <c r="T1818" s="138">
        <v>155</v>
      </c>
      <c r="U1818" s="136"/>
      <c r="V1818" s="136"/>
      <c r="W1818" s="147">
        <v>92.1</v>
      </c>
      <c r="X1818" s="147">
        <v>92.1</v>
      </c>
      <c r="Y1818" s="169">
        <v>771337.5</v>
      </c>
      <c r="Z1818" s="165"/>
      <c r="AA1818" s="148">
        <v>19283.439999999999</v>
      </c>
      <c r="AB1818" s="148">
        <v>19283.439999999999</v>
      </c>
      <c r="AC1818" s="148">
        <v>809904.38</v>
      </c>
      <c r="AD1818" s="315">
        <f t="shared" si="1361"/>
        <v>809094.47562000004</v>
      </c>
      <c r="AE1818" s="147">
        <v>40.58</v>
      </c>
      <c r="AF1818" s="147">
        <v>42</v>
      </c>
      <c r="AG1818" s="147">
        <v>40.56</v>
      </c>
      <c r="AH1818" s="287">
        <v>2E-3</v>
      </c>
      <c r="AI1818" s="287">
        <v>3.95E-2</v>
      </c>
      <c r="AJ1818" s="287">
        <v>0.05</v>
      </c>
      <c r="AK1818" s="318">
        <f t="shared" si="1382"/>
        <v>26445.857142857101</v>
      </c>
      <c r="AL1818" s="467">
        <v>0</v>
      </c>
      <c r="AM1818" s="321">
        <v>0</v>
      </c>
      <c r="AN1818" s="321">
        <v>0</v>
      </c>
      <c r="AO1818" s="318">
        <f t="shared" ref="AO1818" si="1384">AT1818*Y1818/AW1818</f>
        <v>0</v>
      </c>
      <c r="AP1818" s="467">
        <v>0</v>
      </c>
      <c r="AQ1818" s="318"/>
      <c r="AR1818" s="318">
        <f t="shared" si="1367"/>
        <v>26445.857142857101</v>
      </c>
      <c r="AS1818" s="318">
        <f t="shared" si="1368"/>
        <v>27768</v>
      </c>
      <c r="AT1818" s="321">
        <v>0</v>
      </c>
      <c r="AU1818" s="464"/>
      <c r="AV1818" s="449"/>
      <c r="AW1818" s="318">
        <f t="shared" si="1369"/>
        <v>9210</v>
      </c>
      <c r="AX1818" s="467"/>
      <c r="AY1818" s="318">
        <f t="shared" si="1370"/>
        <v>9210</v>
      </c>
      <c r="AZ1818" s="318">
        <f t="shared" si="1371"/>
        <v>9210</v>
      </c>
      <c r="BA1818" s="318">
        <f t="shared" si="1372"/>
        <v>0</v>
      </c>
      <c r="BB1818" s="318">
        <f t="shared" si="1373"/>
        <v>18.420000000000002</v>
      </c>
      <c r="BC1818" s="318">
        <v>0</v>
      </c>
      <c r="BD1818" s="467"/>
      <c r="BE1818" s="138">
        <v>92.1</v>
      </c>
      <c r="BF1818" s="321">
        <f t="shared" si="1374"/>
        <v>0.13815</v>
      </c>
      <c r="BG1818" s="321">
        <f t="shared" si="1375"/>
        <v>91.961849999999998</v>
      </c>
      <c r="BH1818" s="321">
        <f t="shared" si="1376"/>
        <v>92.1</v>
      </c>
      <c r="BI1818" s="322">
        <f t="shared" si="1377"/>
        <v>0</v>
      </c>
      <c r="BJ1818" s="322">
        <v>0</v>
      </c>
      <c r="BK1818" s="318">
        <f t="shared" si="1378"/>
        <v>0</v>
      </c>
      <c r="BL1818" s="449"/>
      <c r="BM1818" s="449" t="str">
        <f t="shared" si="1379"/>
        <v xml:space="preserve">Unloading no. 1781 Bill No 270 ,Deduction For Oil Deduction= 26445.8571428571 ,Bardana= 0 ,F.M= 0 Brokerage/Rate Difference 0 ,Shortage = 0 ,Greenish= 0 ,Moisture= </v>
      </c>
      <c r="BN1818" s="449"/>
      <c r="BO1818" s="449" t="str">
        <f t="shared" si="1380"/>
        <v xml:space="preserve"> Party Condition 42  ,F.M% 0.2 ,Greenish 3.95 ,Moisture 5 ,Shortage in KG= 0  ,Oil% 40.56</v>
      </c>
      <c r="BP1818" s="464">
        <f t="shared" si="1381"/>
        <v>8087.857142857144</v>
      </c>
      <c r="BQ1818" s="449"/>
      <c r="BR1818" s="449"/>
      <c r="BS1818" s="449"/>
      <c r="BT1818" s="449"/>
      <c r="BU1818" s="449"/>
      <c r="BV1818" s="449"/>
      <c r="BW1818" s="449"/>
      <c r="BX1818" s="147">
        <v>40.58</v>
      </c>
      <c r="BY1818" s="147">
        <v>40.56</v>
      </c>
    </row>
    <row r="1819" spans="1:85" ht="14.1" hidden="1" customHeight="1" x14ac:dyDescent="0.3">
      <c r="A1819" s="128" t="s">
        <v>3621</v>
      </c>
      <c r="B1819" s="146">
        <v>46252</v>
      </c>
      <c r="C1819" s="281">
        <v>1782</v>
      </c>
      <c r="D1819" s="281" t="s">
        <v>3800</v>
      </c>
      <c r="E1819" s="129">
        <v>46259</v>
      </c>
      <c r="F1819" s="128" t="s">
        <v>3636</v>
      </c>
      <c r="G1819" s="128" t="s">
        <v>3637</v>
      </c>
      <c r="H1819" s="128" t="s">
        <v>2081</v>
      </c>
      <c r="I1819" s="136"/>
      <c r="J1819" s="138" t="s">
        <v>1146</v>
      </c>
      <c r="K1819" s="136"/>
      <c r="L1819" s="146">
        <v>46252</v>
      </c>
      <c r="M1819" s="136"/>
      <c r="N1819" s="281" t="s">
        <v>3815</v>
      </c>
      <c r="O1819" s="146">
        <v>46259</v>
      </c>
      <c r="P1819" s="138">
        <v>0</v>
      </c>
      <c r="Q1819" s="138">
        <v>120</v>
      </c>
      <c r="R1819" s="138">
        <v>60</v>
      </c>
      <c r="S1819" s="138">
        <v>180</v>
      </c>
      <c r="T1819" s="138">
        <v>180</v>
      </c>
      <c r="U1819" s="136"/>
      <c r="V1819" s="136"/>
      <c r="W1819" s="147">
        <v>108.3</v>
      </c>
      <c r="X1819" s="147">
        <v>108.1</v>
      </c>
      <c r="Y1819" s="169">
        <v>871815</v>
      </c>
      <c r="Z1819" s="165"/>
      <c r="AA1819" s="148">
        <v>21795.38</v>
      </c>
      <c r="AB1819" s="148">
        <v>21795.38</v>
      </c>
      <c r="AC1819" s="148">
        <v>915405.75</v>
      </c>
      <c r="AD1819" s="496">
        <f t="shared" si="1361"/>
        <v>914490.34424999997</v>
      </c>
      <c r="AE1819" s="147">
        <v>40.14</v>
      </c>
      <c r="AF1819" s="147">
        <v>39.75</v>
      </c>
      <c r="AG1819" s="147">
        <v>40.18</v>
      </c>
      <c r="AH1819" s="287">
        <v>2.3999999999999998E-3</v>
      </c>
      <c r="AI1819" s="287">
        <v>3.4000000000000002E-2</v>
      </c>
      <c r="AJ1819" s="287">
        <v>0.05</v>
      </c>
      <c r="AK1819" s="318">
        <f t="shared" si="1382"/>
        <v>0</v>
      </c>
      <c r="AL1819" s="467"/>
      <c r="AM1819" s="321"/>
      <c r="AN1819" s="321"/>
      <c r="AO1819" s="318"/>
      <c r="AP1819" s="467"/>
      <c r="AQ1819" s="318"/>
      <c r="AR1819" s="318">
        <f t="shared" si="1367"/>
        <v>0</v>
      </c>
      <c r="AS1819" s="318">
        <f t="shared" si="1368"/>
        <v>0</v>
      </c>
      <c r="AT1819" s="321">
        <v>0</v>
      </c>
      <c r="AU1819" s="464"/>
      <c r="AV1819" s="449"/>
      <c r="AW1819" s="318">
        <f t="shared" si="1369"/>
        <v>10830</v>
      </c>
      <c r="AX1819" s="467"/>
      <c r="AY1819" s="318">
        <f t="shared" si="1370"/>
        <v>10830</v>
      </c>
      <c r="AZ1819" s="318">
        <f t="shared" si="1371"/>
        <v>10810</v>
      </c>
      <c r="BA1819" s="318">
        <f t="shared" si="1372"/>
        <v>20</v>
      </c>
      <c r="BB1819" s="318">
        <f t="shared" si="1373"/>
        <v>21.66</v>
      </c>
      <c r="BC1819" s="318">
        <v>0</v>
      </c>
      <c r="BD1819" s="467"/>
      <c r="BE1819" s="138">
        <v>108.3</v>
      </c>
      <c r="BF1819" s="321">
        <f t="shared" si="1374"/>
        <v>0.16244999999999998</v>
      </c>
      <c r="BG1819" s="321">
        <f t="shared" si="1375"/>
        <v>108.13754999999999</v>
      </c>
      <c r="BH1819" s="321">
        <f t="shared" si="1376"/>
        <v>108.1</v>
      </c>
      <c r="BI1819" s="322">
        <f t="shared" si="1377"/>
        <v>20.000000000000284</v>
      </c>
      <c r="BJ1819" s="322">
        <v>0</v>
      </c>
      <c r="BK1819" s="318">
        <f t="shared" si="1378"/>
        <v>20.000000000000284</v>
      </c>
      <c r="BL1819" s="449"/>
      <c r="BM1819" s="449" t="str">
        <f t="shared" si="1379"/>
        <v xml:space="preserve">Unloading no. 1782 Bill No RJT828/2026-27 ,Deduction For Oil Deduction= 0 ,Bardana=  ,F.M=  Brokerage/Rate Difference  ,Shortage =  ,Greenish=  ,Moisture= </v>
      </c>
      <c r="BN1819" s="449"/>
      <c r="BO1819" s="449" t="str">
        <f t="shared" si="1380"/>
        <v xml:space="preserve"> Party Condition 39.75  ,F.M% 0.24 ,Greenish 3.4 ,Moisture 5 ,Shortage in KG= 0  ,Oil% 40.14</v>
      </c>
      <c r="BP1819" s="464">
        <f t="shared" si="1381"/>
        <v>8064.8936170212774</v>
      </c>
      <c r="BQ1819" s="449"/>
      <c r="BR1819" s="449"/>
      <c r="BS1819" s="449"/>
      <c r="BT1819" s="449"/>
      <c r="BU1819" s="449"/>
      <c r="BV1819" s="449"/>
      <c r="BW1819" s="449"/>
      <c r="BX1819" s="147">
        <v>40.14</v>
      </c>
      <c r="BY1819" s="147">
        <v>40.18</v>
      </c>
    </row>
    <row r="1820" spans="1:85" ht="14.1" hidden="1" customHeight="1" x14ac:dyDescent="0.3">
      <c r="A1820" s="128" t="s">
        <v>3621</v>
      </c>
      <c r="B1820" s="146">
        <v>46252</v>
      </c>
      <c r="C1820" s="281">
        <v>1783</v>
      </c>
      <c r="D1820" s="281" t="s">
        <v>3801</v>
      </c>
      <c r="E1820" s="129">
        <v>46259</v>
      </c>
      <c r="F1820" s="128" t="s">
        <v>3636</v>
      </c>
      <c r="G1820" s="128" t="s">
        <v>3637</v>
      </c>
      <c r="H1820" s="128" t="s">
        <v>2081</v>
      </c>
      <c r="I1820" s="136"/>
      <c r="J1820" s="138" t="s">
        <v>1146</v>
      </c>
      <c r="K1820" s="136"/>
      <c r="L1820" s="146">
        <v>46252</v>
      </c>
      <c r="M1820" s="136"/>
      <c r="N1820" s="281" t="s">
        <v>3816</v>
      </c>
      <c r="O1820" s="146">
        <v>46259</v>
      </c>
      <c r="P1820" s="138">
        <v>0</v>
      </c>
      <c r="Q1820" s="138">
        <v>139</v>
      </c>
      <c r="R1820" s="138">
        <v>60</v>
      </c>
      <c r="S1820" s="138">
        <v>199</v>
      </c>
      <c r="T1820" s="138">
        <v>199</v>
      </c>
      <c r="U1820" s="136"/>
      <c r="V1820" s="136"/>
      <c r="W1820" s="147">
        <v>119.9</v>
      </c>
      <c r="X1820" s="147">
        <v>119.8</v>
      </c>
      <c r="Y1820" s="169">
        <v>965195</v>
      </c>
      <c r="Z1820" s="165"/>
      <c r="AA1820" s="148">
        <v>24129.88</v>
      </c>
      <c r="AB1820" s="148">
        <v>24129.88</v>
      </c>
      <c r="AC1820" s="148">
        <v>1013454.75</v>
      </c>
      <c r="AD1820" s="496">
        <f t="shared" si="1361"/>
        <v>1012441.29525</v>
      </c>
      <c r="AE1820" s="147">
        <v>40.1</v>
      </c>
      <c r="AF1820" s="147">
        <v>39.75</v>
      </c>
      <c r="AG1820" s="147">
        <v>40.04</v>
      </c>
      <c r="AH1820" s="287">
        <v>2.7000000000000001E-3</v>
      </c>
      <c r="AI1820" s="287">
        <v>0.04</v>
      </c>
      <c r="AJ1820" s="287">
        <v>5.6000000000000001E-2</v>
      </c>
      <c r="AK1820" s="318">
        <f t="shared" si="1382"/>
        <v>0</v>
      </c>
      <c r="AL1820" s="467"/>
      <c r="AM1820" s="321"/>
      <c r="AN1820" s="321"/>
      <c r="AO1820" s="318"/>
      <c r="AP1820" s="467"/>
      <c r="AQ1820" s="318"/>
      <c r="AR1820" s="318">
        <f t="shared" si="1367"/>
        <v>0</v>
      </c>
      <c r="AS1820" s="318">
        <f t="shared" si="1368"/>
        <v>0</v>
      </c>
      <c r="AT1820" s="321">
        <v>0</v>
      </c>
      <c r="AU1820" s="464"/>
      <c r="AV1820" s="449"/>
      <c r="AW1820" s="318">
        <f t="shared" si="1369"/>
        <v>11990</v>
      </c>
      <c r="AX1820" s="467"/>
      <c r="AY1820" s="318">
        <f t="shared" si="1370"/>
        <v>11990</v>
      </c>
      <c r="AZ1820" s="318">
        <f t="shared" si="1371"/>
        <v>11980</v>
      </c>
      <c r="BA1820" s="318">
        <f t="shared" si="1372"/>
        <v>10</v>
      </c>
      <c r="BB1820" s="318">
        <f t="shared" si="1373"/>
        <v>23.98</v>
      </c>
      <c r="BC1820" s="342">
        <v>0</v>
      </c>
      <c r="BD1820" s="473"/>
      <c r="BE1820" s="275">
        <v>119.9</v>
      </c>
      <c r="BF1820" s="345">
        <f t="shared" si="1374"/>
        <v>0.17984999999999998</v>
      </c>
      <c r="BG1820" s="345">
        <f t="shared" si="1375"/>
        <v>119.72015</v>
      </c>
      <c r="BH1820" s="321">
        <f t="shared" si="1376"/>
        <v>119.8</v>
      </c>
      <c r="BI1820" s="322">
        <f t="shared" si="1377"/>
        <v>10.000000000000853</v>
      </c>
      <c r="BJ1820" s="322">
        <v>0</v>
      </c>
      <c r="BK1820" s="318">
        <f t="shared" si="1378"/>
        <v>10.000000000000853</v>
      </c>
      <c r="BL1820" s="449"/>
      <c r="BM1820" s="449" t="str">
        <f t="shared" si="1379"/>
        <v xml:space="preserve">Unloading no. 1783 Bill No RJT829/2026-27 ,Deduction For Oil Deduction= 0 ,Bardana=  ,F.M=  Brokerage/Rate Difference  ,Shortage =  ,Greenish=  ,Moisture= </v>
      </c>
      <c r="BN1820" s="449"/>
      <c r="BO1820" s="449" t="str">
        <f t="shared" si="1380"/>
        <v xml:space="preserve"> Party Condition 39.75  ,F.M% 0.27 ,Greenish 4 ,Moisture 5.6 ,Shortage in KG= 0  ,Oil% 40.04</v>
      </c>
      <c r="BP1820" s="464">
        <f t="shared" si="1381"/>
        <v>8056.7195325542571</v>
      </c>
      <c r="BQ1820" s="449"/>
      <c r="BR1820" s="449"/>
      <c r="BS1820" s="449"/>
      <c r="BT1820" s="449"/>
      <c r="BU1820" s="449"/>
      <c r="BV1820" s="449"/>
      <c r="BW1820" s="449"/>
      <c r="BX1820" s="147">
        <v>40.1</v>
      </c>
      <c r="BY1820" s="147">
        <v>40.04</v>
      </c>
    </row>
    <row r="1821" spans="1:85" ht="14.1" hidden="1" customHeight="1" x14ac:dyDescent="0.3">
      <c r="A1821" s="128" t="s">
        <v>3784</v>
      </c>
      <c r="B1821" s="146">
        <v>46258</v>
      </c>
      <c r="C1821" s="281">
        <v>1784</v>
      </c>
      <c r="D1821" s="281" t="s">
        <v>3802</v>
      </c>
      <c r="E1821" s="129">
        <v>46260</v>
      </c>
      <c r="F1821" s="128" t="s">
        <v>1450</v>
      </c>
      <c r="G1821" s="163" t="s">
        <v>1451</v>
      </c>
      <c r="H1821" s="128" t="s">
        <v>199</v>
      </c>
      <c r="I1821" s="136"/>
      <c r="J1821" s="138" t="s">
        <v>2499</v>
      </c>
      <c r="K1821" s="136"/>
      <c r="L1821" s="146">
        <v>46258</v>
      </c>
      <c r="M1821" s="136"/>
      <c r="N1821" s="281" t="s">
        <v>3817</v>
      </c>
      <c r="O1821" s="146">
        <v>46259</v>
      </c>
      <c r="P1821" s="138">
        <v>0</v>
      </c>
      <c r="Q1821" s="138">
        <v>100</v>
      </c>
      <c r="R1821" s="138">
        <v>151</v>
      </c>
      <c r="S1821" s="138">
        <v>251</v>
      </c>
      <c r="T1821" s="138">
        <v>251</v>
      </c>
      <c r="U1821" s="136"/>
      <c r="V1821" s="136"/>
      <c r="W1821" s="147">
        <v>150</v>
      </c>
      <c r="X1821" s="147">
        <v>149.6</v>
      </c>
      <c r="Y1821" s="169">
        <v>1245000</v>
      </c>
      <c r="Z1821" s="165"/>
      <c r="AA1821" s="148">
        <v>31125</v>
      </c>
      <c r="AB1821" s="148">
        <v>31125</v>
      </c>
      <c r="AC1821" s="148">
        <v>1307250</v>
      </c>
      <c r="AD1821" s="315">
        <f t="shared" si="1361"/>
        <v>1305942.75</v>
      </c>
      <c r="AE1821" s="147">
        <v>39.340000000000003</v>
      </c>
      <c r="AF1821" s="147">
        <v>42</v>
      </c>
      <c r="AG1821" s="147">
        <v>39.340000000000003</v>
      </c>
      <c r="AH1821" s="287">
        <v>1.8E-3</v>
      </c>
      <c r="AI1821" s="287">
        <v>2.5999999999999999E-2</v>
      </c>
      <c r="AJ1821" s="287">
        <v>0.06</v>
      </c>
      <c r="AK1821" s="318">
        <f t="shared" si="1382"/>
        <v>78849.999999999898</v>
      </c>
      <c r="AL1821" s="467">
        <v>0</v>
      </c>
      <c r="AM1821" s="321">
        <v>0</v>
      </c>
      <c r="AN1821" s="321">
        <v>0</v>
      </c>
      <c r="AO1821" s="318">
        <f t="shared" ref="AO1821:AO1824" si="1385">AT1821*Y1821/AW1821</f>
        <v>830</v>
      </c>
      <c r="AP1821" s="467">
        <v>0</v>
      </c>
      <c r="AQ1821" s="318"/>
      <c r="AR1821" s="318">
        <f t="shared" si="1367"/>
        <v>79679.999999999898</v>
      </c>
      <c r="AS1821" s="318">
        <f t="shared" si="1368"/>
        <v>83664</v>
      </c>
      <c r="AT1821" s="321">
        <v>10</v>
      </c>
      <c r="AU1821" s="464"/>
      <c r="AV1821" s="449"/>
      <c r="AW1821" s="318">
        <f t="shared" si="1369"/>
        <v>15000</v>
      </c>
      <c r="AX1821" s="467"/>
      <c r="AY1821" s="318">
        <f t="shared" si="1370"/>
        <v>15000</v>
      </c>
      <c r="AZ1821" s="318">
        <f t="shared" si="1371"/>
        <v>14960</v>
      </c>
      <c r="BA1821" s="318">
        <f t="shared" si="1372"/>
        <v>40</v>
      </c>
      <c r="BB1821" s="318">
        <f t="shared" si="1373"/>
        <v>30</v>
      </c>
      <c r="BC1821" s="318">
        <v>0</v>
      </c>
      <c r="BD1821" s="467"/>
      <c r="BE1821" s="138">
        <v>150</v>
      </c>
      <c r="BF1821" s="321">
        <f t="shared" si="1374"/>
        <v>0.22500000000000001</v>
      </c>
      <c r="BG1821" s="321">
        <f t="shared" si="1375"/>
        <v>149.77500000000001</v>
      </c>
      <c r="BH1821" s="321">
        <f t="shared" si="1376"/>
        <v>149.6</v>
      </c>
      <c r="BI1821" s="322">
        <f t="shared" si="1377"/>
        <v>40.000000000000568</v>
      </c>
      <c r="BJ1821" s="322">
        <v>0</v>
      </c>
      <c r="BK1821" s="318">
        <f t="shared" si="1378"/>
        <v>40.000000000000568</v>
      </c>
      <c r="BL1821" s="449"/>
      <c r="BM1821" s="449" t="str">
        <f t="shared" si="1379"/>
        <v xml:space="preserve">Unloading no. 1784 Bill No ST-84 ,Deduction For Oil Deduction= 78849.9999999999 ,Bardana= 0 ,F.M= 0 Brokerage/Rate Difference 0 ,Shortage = 830 ,Greenish= 0 ,Moisture= </v>
      </c>
      <c r="BN1821" s="449"/>
      <c r="BO1821" s="449" t="str">
        <f t="shared" si="1380"/>
        <v xml:space="preserve"> Party Condition 42  ,F.M% 0.18 ,Greenish 2.6 ,Moisture 6 ,Shortage in KG= 10  ,Oil% 39.34</v>
      </c>
      <c r="BP1821" s="464">
        <f t="shared" si="1381"/>
        <v>7789.5721925133694</v>
      </c>
      <c r="BQ1821" s="449"/>
      <c r="BR1821" s="449"/>
      <c r="BS1821" s="449"/>
      <c r="BT1821" s="449"/>
      <c r="BU1821" s="449"/>
      <c r="BV1821" s="449"/>
      <c r="BW1821" s="449"/>
      <c r="BX1821" s="147">
        <v>39.340000000000003</v>
      </c>
      <c r="BY1821" s="147">
        <v>39.340000000000003</v>
      </c>
    </row>
    <row r="1822" spans="1:85" ht="14.1" hidden="1" customHeight="1" x14ac:dyDescent="0.3">
      <c r="A1822" s="128" t="s">
        <v>3784</v>
      </c>
      <c r="B1822" s="146">
        <v>46258</v>
      </c>
      <c r="C1822" s="281">
        <v>1785</v>
      </c>
      <c r="D1822" s="281" t="s">
        <v>3803</v>
      </c>
      <c r="E1822" s="129">
        <v>46260</v>
      </c>
      <c r="F1822" s="128" t="s">
        <v>1450</v>
      </c>
      <c r="G1822" s="163" t="s">
        <v>1451</v>
      </c>
      <c r="H1822" s="128" t="s">
        <v>199</v>
      </c>
      <c r="I1822" s="136"/>
      <c r="J1822" s="138" t="s">
        <v>2499</v>
      </c>
      <c r="K1822" s="136"/>
      <c r="L1822" s="146">
        <v>46258</v>
      </c>
      <c r="M1822" s="136"/>
      <c r="N1822" s="281" t="s">
        <v>3818</v>
      </c>
      <c r="O1822" s="146">
        <v>46259</v>
      </c>
      <c r="P1822" s="138">
        <v>0</v>
      </c>
      <c r="Q1822" s="138">
        <v>180</v>
      </c>
      <c r="R1822" s="138">
        <v>150</v>
      </c>
      <c r="S1822" s="138">
        <v>330</v>
      </c>
      <c r="T1822" s="138">
        <v>330</v>
      </c>
      <c r="U1822" s="136"/>
      <c r="V1822" s="136"/>
      <c r="W1822" s="147">
        <v>197</v>
      </c>
      <c r="X1822" s="147">
        <v>196.6</v>
      </c>
      <c r="Y1822" s="169">
        <v>1635100</v>
      </c>
      <c r="Z1822" s="165"/>
      <c r="AA1822" s="148">
        <v>40877.5</v>
      </c>
      <c r="AB1822" s="148">
        <v>40877.5</v>
      </c>
      <c r="AC1822" s="148">
        <v>1716855</v>
      </c>
      <c r="AD1822" s="315">
        <f t="shared" si="1361"/>
        <v>1715138.145</v>
      </c>
      <c r="AE1822" s="147">
        <v>39.549999999999997</v>
      </c>
      <c r="AF1822" s="147">
        <v>42</v>
      </c>
      <c r="AG1822" s="147">
        <v>39.54</v>
      </c>
      <c r="AH1822" s="287">
        <v>2E-3</v>
      </c>
      <c r="AI1822" s="287">
        <v>2.7E-2</v>
      </c>
      <c r="AJ1822" s="287">
        <v>5.3999999999999999E-2</v>
      </c>
      <c r="AK1822" s="318">
        <f t="shared" si="1382"/>
        <v>95770.142857142899</v>
      </c>
      <c r="AL1822" s="467">
        <v>0</v>
      </c>
      <c r="AM1822" s="321">
        <v>0</v>
      </c>
      <c r="AN1822" s="321">
        <v>0</v>
      </c>
      <c r="AO1822" s="318">
        <f t="shared" si="1385"/>
        <v>83</v>
      </c>
      <c r="AP1822" s="467">
        <v>0</v>
      </c>
      <c r="AQ1822" s="318"/>
      <c r="AR1822" s="318">
        <f t="shared" si="1367"/>
        <v>95853.142857142899</v>
      </c>
      <c r="AS1822" s="318">
        <f t="shared" si="1368"/>
        <v>100646</v>
      </c>
      <c r="AT1822" s="321">
        <v>1</v>
      </c>
      <c r="AU1822" s="464"/>
      <c r="AV1822" s="449"/>
      <c r="AW1822" s="318">
        <f t="shared" si="1369"/>
        <v>19700</v>
      </c>
      <c r="AX1822" s="467"/>
      <c r="AY1822" s="318">
        <f t="shared" si="1370"/>
        <v>19700</v>
      </c>
      <c r="AZ1822" s="318">
        <f t="shared" si="1371"/>
        <v>19660</v>
      </c>
      <c r="BA1822" s="318">
        <f t="shared" si="1372"/>
        <v>40</v>
      </c>
      <c r="BB1822" s="318">
        <f t="shared" si="1373"/>
        <v>39.4</v>
      </c>
      <c r="BC1822" s="318">
        <v>0</v>
      </c>
      <c r="BD1822" s="467"/>
      <c r="BE1822" s="138">
        <v>197</v>
      </c>
      <c r="BF1822" s="321">
        <f t="shared" si="1374"/>
        <v>0.29549999999999998</v>
      </c>
      <c r="BG1822" s="321">
        <f t="shared" si="1375"/>
        <v>196.7045</v>
      </c>
      <c r="BH1822" s="321">
        <f t="shared" si="1376"/>
        <v>196.6</v>
      </c>
      <c r="BI1822" s="322">
        <f t="shared" si="1377"/>
        <v>40.000000000000568</v>
      </c>
      <c r="BJ1822" s="322">
        <v>0</v>
      </c>
      <c r="BK1822" s="318">
        <f t="shared" si="1378"/>
        <v>40.000000000000568</v>
      </c>
      <c r="BL1822" s="449"/>
      <c r="BM1822" s="449" t="str">
        <f t="shared" si="1379"/>
        <v xml:space="preserve">Unloading no. 1785 Bill No ST-85 ,Deduction For Oil Deduction= 95770.1428571429 ,Bardana= 0 ,F.M= 0 Brokerage/Rate Difference 0 ,Shortage = 83 ,Greenish= 0 ,Moisture= </v>
      </c>
      <c r="BN1822" s="449"/>
      <c r="BO1822" s="449" t="str">
        <f t="shared" si="1380"/>
        <v xml:space="preserve"> Party Condition 42  ,F.M% 0.2 ,Greenish 2.7 ,Moisture 5.4 ,Shortage in KG= 1  ,Oil% 39.54</v>
      </c>
      <c r="BP1822" s="464">
        <f t="shared" si="1381"/>
        <v>7829.3329457927621</v>
      </c>
      <c r="BQ1822" s="449"/>
      <c r="BR1822" s="449"/>
      <c r="BS1822" s="449"/>
      <c r="BT1822" s="449"/>
      <c r="BU1822" s="449"/>
      <c r="BV1822" s="449"/>
      <c r="BW1822" s="449"/>
      <c r="BX1822" s="147">
        <v>39.549999999999997</v>
      </c>
      <c r="BY1822" s="147">
        <v>39.54</v>
      </c>
    </row>
    <row r="1823" spans="1:85" ht="14.1" hidden="1" customHeight="1" x14ac:dyDescent="0.3">
      <c r="A1823" s="128" t="s">
        <v>3785</v>
      </c>
      <c r="B1823" s="146">
        <v>46258</v>
      </c>
      <c r="C1823" s="281">
        <v>1786</v>
      </c>
      <c r="D1823" s="281" t="s">
        <v>3804</v>
      </c>
      <c r="E1823" s="129">
        <v>46260</v>
      </c>
      <c r="F1823" s="128" t="s">
        <v>3806</v>
      </c>
      <c r="G1823" s="159" t="s">
        <v>3807</v>
      </c>
      <c r="H1823" s="128" t="s">
        <v>3808</v>
      </c>
      <c r="I1823" s="136"/>
      <c r="J1823" s="138" t="s">
        <v>2499</v>
      </c>
      <c r="K1823" s="136"/>
      <c r="L1823" s="146">
        <v>46258</v>
      </c>
      <c r="M1823" s="136"/>
      <c r="N1823" s="281">
        <v>1036</v>
      </c>
      <c r="O1823" s="146">
        <v>46259</v>
      </c>
      <c r="P1823" s="138">
        <v>0</v>
      </c>
      <c r="Q1823" s="138">
        <v>300</v>
      </c>
      <c r="R1823" s="138">
        <v>112</v>
      </c>
      <c r="S1823" s="138">
        <v>412</v>
      </c>
      <c r="T1823" s="138">
        <v>412</v>
      </c>
      <c r="U1823" s="136"/>
      <c r="V1823" s="136"/>
      <c r="W1823" s="147">
        <v>249.8</v>
      </c>
      <c r="X1823" s="147">
        <v>249.5</v>
      </c>
      <c r="Y1823" s="169">
        <v>2085830</v>
      </c>
      <c r="Z1823" s="165"/>
      <c r="AA1823" s="148">
        <v>52145.75</v>
      </c>
      <c r="AB1823" s="148">
        <v>52145.75</v>
      </c>
      <c r="AC1823" s="148">
        <v>2190121.5</v>
      </c>
      <c r="AD1823" s="315">
        <f t="shared" si="1361"/>
        <v>2187931.3785000001</v>
      </c>
      <c r="AE1823" s="147">
        <v>40.47</v>
      </c>
      <c r="AF1823" s="147">
        <v>42</v>
      </c>
      <c r="AG1823" s="147">
        <v>40.4</v>
      </c>
      <c r="AH1823" s="418">
        <v>2E-3</v>
      </c>
      <c r="AI1823" s="287">
        <v>3.1E-2</v>
      </c>
      <c r="AJ1823" s="287">
        <v>5.7799999999999997E-2</v>
      </c>
      <c r="AK1823" s="318">
        <f t="shared" si="1382"/>
        <v>79460.190476190546</v>
      </c>
      <c r="AL1823" s="467">
        <f>300*10+112*15</f>
        <v>4680</v>
      </c>
      <c r="AM1823" s="321">
        <f>Y1823*AH1823</f>
        <v>4171.66</v>
      </c>
      <c r="AN1823" s="321">
        <f>X1823*14</f>
        <v>3493</v>
      </c>
      <c r="AO1823" s="318">
        <f t="shared" si="1385"/>
        <v>2505</v>
      </c>
      <c r="AP1823" s="467">
        <v>0</v>
      </c>
      <c r="AQ1823" s="318">
        <f>Y1823*0.78/100</f>
        <v>16269.474000000002</v>
      </c>
      <c r="AR1823" s="318">
        <f t="shared" si="1367"/>
        <v>110579.32447619055</v>
      </c>
      <c r="AS1823" s="318">
        <f t="shared" si="1368"/>
        <v>116108</v>
      </c>
      <c r="AT1823" s="321">
        <v>30</v>
      </c>
      <c r="AU1823" s="464"/>
      <c r="AV1823" s="449"/>
      <c r="AW1823" s="318">
        <f t="shared" si="1369"/>
        <v>24980</v>
      </c>
      <c r="AX1823" s="467"/>
      <c r="AY1823" s="318">
        <f t="shared" si="1370"/>
        <v>24980</v>
      </c>
      <c r="AZ1823" s="318">
        <f t="shared" si="1371"/>
        <v>24950</v>
      </c>
      <c r="BA1823" s="318">
        <f t="shared" si="1372"/>
        <v>30</v>
      </c>
      <c r="BB1823" s="318">
        <f t="shared" si="1373"/>
        <v>49.96</v>
      </c>
      <c r="BC1823" s="318">
        <v>0</v>
      </c>
      <c r="BD1823" s="467"/>
      <c r="BE1823" s="138">
        <v>249.8</v>
      </c>
      <c r="BF1823" s="321">
        <f t="shared" si="1374"/>
        <v>0.37469999999999998</v>
      </c>
      <c r="BG1823" s="321">
        <f t="shared" si="1375"/>
        <v>249.42530000000002</v>
      </c>
      <c r="BH1823" s="321">
        <f t="shared" si="1376"/>
        <v>249.5</v>
      </c>
      <c r="BI1823" s="322">
        <f t="shared" si="1377"/>
        <v>30.000000000001137</v>
      </c>
      <c r="BJ1823" s="322">
        <v>0</v>
      </c>
      <c r="BK1823" s="318">
        <f t="shared" si="1378"/>
        <v>30.000000000001137</v>
      </c>
      <c r="BL1823" s="449"/>
      <c r="BM1823" s="449" t="str">
        <f t="shared" si="1379"/>
        <v>Unloading no. 1786 Bill No 1036 ,Deduction For Oil Deduction= 79460.1904761905 ,Bardana= 4680 ,F.M= 4171.66 Brokerage/Rate Difference 3493 ,Shortage = 2505 ,Greenish= 0 ,Moisture= 16269.474</v>
      </c>
      <c r="BN1823" s="449"/>
      <c r="BO1823" s="449" t="str">
        <f t="shared" si="1380"/>
        <v xml:space="preserve"> Party Condition 42  ,F.M% 0.2 ,Greenish 3.1 ,Moisture 5.78 ,Shortage in KG= 30  ,Oil% 40.4</v>
      </c>
      <c r="BP1823" s="464">
        <f t="shared" si="1381"/>
        <v>7916.8363748449274</v>
      </c>
      <c r="BQ1823" s="449"/>
      <c r="BR1823" s="449"/>
      <c r="BS1823" s="449"/>
      <c r="BT1823" s="449"/>
      <c r="BU1823" s="449"/>
      <c r="BV1823" s="449"/>
      <c r="BW1823" s="449"/>
      <c r="BX1823" s="147">
        <v>40.47</v>
      </c>
      <c r="BY1823" s="147">
        <v>40.4</v>
      </c>
      <c r="CG1823" s="41"/>
    </row>
    <row r="1824" spans="1:85" ht="14.1" hidden="1" customHeight="1" x14ac:dyDescent="0.3">
      <c r="A1824" s="128" t="s">
        <v>3785</v>
      </c>
      <c r="B1824" s="146">
        <v>46258</v>
      </c>
      <c r="C1824" s="281">
        <v>1787</v>
      </c>
      <c r="D1824" s="281" t="s">
        <v>3805</v>
      </c>
      <c r="E1824" s="129">
        <v>46260</v>
      </c>
      <c r="F1824" s="128" t="s">
        <v>3806</v>
      </c>
      <c r="G1824" s="159" t="s">
        <v>3807</v>
      </c>
      <c r="H1824" s="128" t="s">
        <v>3808</v>
      </c>
      <c r="I1824" s="136"/>
      <c r="J1824" s="138" t="s">
        <v>2499</v>
      </c>
      <c r="K1824" s="136"/>
      <c r="L1824" s="146">
        <v>46258</v>
      </c>
      <c r="M1824" s="136"/>
      <c r="N1824" s="281">
        <v>1035</v>
      </c>
      <c r="O1824" s="146">
        <v>46259</v>
      </c>
      <c r="P1824" s="138">
        <v>0</v>
      </c>
      <c r="Q1824" s="138">
        <v>212</v>
      </c>
      <c r="R1824" s="138">
        <v>200</v>
      </c>
      <c r="S1824" s="138">
        <v>412</v>
      </c>
      <c r="T1824" s="138">
        <v>412</v>
      </c>
      <c r="U1824" s="136"/>
      <c r="V1824" s="136"/>
      <c r="W1824" s="147">
        <v>250.55</v>
      </c>
      <c r="X1824" s="147">
        <v>250.5</v>
      </c>
      <c r="Y1824" s="169">
        <v>2092092.5</v>
      </c>
      <c r="Z1824" s="165"/>
      <c r="AA1824" s="148">
        <v>52302.31</v>
      </c>
      <c r="AB1824" s="148">
        <v>52302.31</v>
      </c>
      <c r="AC1824" s="148">
        <v>2196697.13</v>
      </c>
      <c r="AD1824" s="315">
        <f t="shared" si="1361"/>
        <v>2194500.4328699997</v>
      </c>
      <c r="AE1824" s="238">
        <v>40.47</v>
      </c>
      <c r="AF1824" s="147">
        <v>42</v>
      </c>
      <c r="AG1824" s="147">
        <v>40.340000000000003</v>
      </c>
      <c r="AH1824" s="418">
        <v>3.0000000000000001E-3</v>
      </c>
      <c r="AI1824" s="287">
        <v>0.03</v>
      </c>
      <c r="AJ1824" s="287">
        <v>5.5E-2</v>
      </c>
      <c r="AK1824" s="318">
        <f t="shared" si="1382"/>
        <v>82687.465476190308</v>
      </c>
      <c r="AL1824" s="467">
        <f>212*10+200*15</f>
        <v>5120</v>
      </c>
      <c r="AM1824" s="321">
        <f>Y1824*AH1824</f>
        <v>6276.2775000000001</v>
      </c>
      <c r="AN1824" s="321">
        <f>X1824*14</f>
        <v>3507</v>
      </c>
      <c r="AO1824" s="318">
        <f t="shared" si="1385"/>
        <v>417.5</v>
      </c>
      <c r="AP1824" s="467">
        <v>0</v>
      </c>
      <c r="AQ1824" s="318">
        <f>Y1824*0.5/100</f>
        <v>10460.4625</v>
      </c>
      <c r="AR1824" s="318">
        <f t="shared" si="1367"/>
        <v>108468.7054761903</v>
      </c>
      <c r="AS1824" s="318">
        <f t="shared" si="1368"/>
        <v>113892</v>
      </c>
      <c r="AT1824" s="321">
        <v>5</v>
      </c>
      <c r="AU1824" s="464"/>
      <c r="AV1824" s="449"/>
      <c r="AW1824" s="318">
        <f t="shared" si="1369"/>
        <v>25055</v>
      </c>
      <c r="AX1824" s="467"/>
      <c r="AY1824" s="318">
        <f t="shared" si="1370"/>
        <v>25055</v>
      </c>
      <c r="AZ1824" s="318">
        <f t="shared" si="1371"/>
        <v>25050</v>
      </c>
      <c r="BA1824" s="318">
        <f t="shared" si="1372"/>
        <v>5</v>
      </c>
      <c r="BB1824" s="318">
        <f t="shared" si="1373"/>
        <v>50.11</v>
      </c>
      <c r="BC1824" s="318">
        <v>0</v>
      </c>
      <c r="BD1824" s="467"/>
      <c r="BE1824" s="138">
        <v>250.55</v>
      </c>
      <c r="BF1824" s="321">
        <f t="shared" si="1374"/>
        <v>0.37582500000000002</v>
      </c>
      <c r="BG1824" s="321">
        <f t="shared" si="1375"/>
        <v>250.17417500000002</v>
      </c>
      <c r="BH1824" s="321">
        <f t="shared" si="1376"/>
        <v>250.5</v>
      </c>
      <c r="BI1824" s="322">
        <f t="shared" si="1377"/>
        <v>5.0000000000011369</v>
      </c>
      <c r="BJ1824" s="322">
        <v>0</v>
      </c>
      <c r="BK1824" s="318">
        <f t="shared" si="1378"/>
        <v>5.0000000000011369</v>
      </c>
      <c r="BL1824" s="449"/>
      <c r="BM1824" s="449" t="str">
        <f t="shared" si="1379"/>
        <v>Unloading no. 1787 Bill No 1035 ,Deduction For Oil Deduction= 82687.4654761903 ,Bardana= 5120 ,F.M= 6276.2775 Brokerage/Rate Difference 3507 ,Shortage = 417.5 ,Greenish= 0 ,Moisture= 10460.4625</v>
      </c>
      <c r="BN1824" s="449"/>
      <c r="BO1824" s="449" t="str">
        <f t="shared" si="1380"/>
        <v xml:space="preserve"> Party Condition 42  ,F.M% 0.3 ,Greenish 3 ,Moisture 5.5 ,Shortage in KG= 5  ,Oil% 40.34</v>
      </c>
      <c r="BP1824" s="464">
        <f t="shared" si="1381"/>
        <v>7918.6578623704982</v>
      </c>
      <c r="BQ1824" s="449"/>
      <c r="BR1824" s="449"/>
      <c r="BS1824" s="449"/>
      <c r="BT1824" s="449"/>
      <c r="BU1824" s="449"/>
      <c r="BV1824" s="449"/>
      <c r="BW1824" s="449"/>
      <c r="BX1824" s="238">
        <v>40.47</v>
      </c>
      <c r="BY1824" s="147">
        <v>40.340000000000003</v>
      </c>
      <c r="CG1824" s="41"/>
    </row>
    <row r="1825" spans="1:83" ht="14.1" hidden="1" customHeight="1" x14ac:dyDescent="0.3">
      <c r="A1825" s="128" t="s">
        <v>3821</v>
      </c>
      <c r="B1825" s="146">
        <v>46258</v>
      </c>
      <c r="C1825" s="281">
        <v>1788</v>
      </c>
      <c r="D1825" s="281" t="s">
        <v>3824</v>
      </c>
      <c r="E1825" s="129">
        <v>46260</v>
      </c>
      <c r="F1825" s="128" t="s">
        <v>3833</v>
      </c>
      <c r="G1825" s="159" t="s">
        <v>1692</v>
      </c>
      <c r="H1825" s="128" t="s">
        <v>1384</v>
      </c>
      <c r="I1825" s="136"/>
      <c r="J1825" s="138" t="s">
        <v>2499</v>
      </c>
      <c r="K1825" s="136"/>
      <c r="L1825" s="146">
        <v>46258</v>
      </c>
      <c r="M1825" s="136"/>
      <c r="N1825" s="281">
        <v>430</v>
      </c>
      <c r="O1825" s="146">
        <v>46259</v>
      </c>
      <c r="P1825" s="138">
        <v>0</v>
      </c>
      <c r="Q1825" s="138">
        <v>51</v>
      </c>
      <c r="R1825" s="138">
        <v>450</v>
      </c>
      <c r="S1825" s="138">
        <v>501</v>
      </c>
      <c r="T1825" s="138">
        <v>501</v>
      </c>
      <c r="U1825" s="136"/>
      <c r="V1825" s="136"/>
      <c r="W1825" s="147">
        <v>311.85000000000002</v>
      </c>
      <c r="X1825" s="147">
        <v>311.60000000000002</v>
      </c>
      <c r="Y1825" s="169">
        <v>2603947.5</v>
      </c>
      <c r="Z1825" s="165"/>
      <c r="AA1825" s="148">
        <v>65098.69</v>
      </c>
      <c r="AB1825" s="148">
        <v>65098.69</v>
      </c>
      <c r="AC1825" s="148">
        <v>2734144.88</v>
      </c>
      <c r="AD1825" s="315">
        <f t="shared" si="1361"/>
        <v>2731410.7351199999</v>
      </c>
      <c r="AE1825" s="147">
        <v>40.72</v>
      </c>
      <c r="AF1825" s="147">
        <v>42</v>
      </c>
      <c r="AG1825" s="147">
        <v>40.65</v>
      </c>
      <c r="AH1825" s="418">
        <v>2E-3</v>
      </c>
      <c r="AI1825" s="287">
        <v>3.2500000000000001E-2</v>
      </c>
      <c r="AJ1825" s="287">
        <v>5.4800000000000001E-2</v>
      </c>
      <c r="AK1825" s="318">
        <f t="shared" ref="AK1825:AK1833" si="1386">+IF(AF1825=42,IF(MIN(AE1825,AG1825)&lt;AF1825,Y1825*((AF1825-MIN(AE1825,AG1825))/AF1825)),IF(MIN(AE1825,AG1825)&lt;AF1825,Y1825*((AF1825-MIN(AE1825,AG1825))/AF1825),0))</f>
        <v>83698.312500000087</v>
      </c>
      <c r="AL1825" s="467">
        <f>51*10+450*15</f>
        <v>7260</v>
      </c>
      <c r="AM1825" s="321">
        <f>Y1825*AH1825</f>
        <v>5207.8950000000004</v>
      </c>
      <c r="AN1825" s="321">
        <v>0</v>
      </c>
      <c r="AO1825" s="318">
        <f t="shared" ref="AO1825:AO1833" si="1387">AT1825*Y1825/AW1825</f>
        <v>2087.4999999999995</v>
      </c>
      <c r="AP1825" s="467">
        <v>0</v>
      </c>
      <c r="AQ1825" s="318">
        <f>Y1825*0.48/100</f>
        <v>12498.948</v>
      </c>
      <c r="AR1825" s="318">
        <f t="shared" ref="AR1825:AR1833" si="1388">SUM(AK1825:AQ1825)</f>
        <v>110752.6555000001</v>
      </c>
      <c r="AS1825" s="318">
        <f t="shared" ref="AS1825:AS1833" si="1389">ROUND(AR1825*1.05,0)</f>
        <v>116290</v>
      </c>
      <c r="AT1825" s="321">
        <v>25</v>
      </c>
      <c r="AU1825" s="464"/>
      <c r="AV1825" s="449"/>
      <c r="AW1825" s="318">
        <f t="shared" ref="AW1825:AW1833" si="1390">W1825*100</f>
        <v>31185.000000000004</v>
      </c>
      <c r="AX1825" s="467"/>
      <c r="AY1825" s="318">
        <f t="shared" ref="AY1825:AY1833" si="1391">+AW1825+AX1825</f>
        <v>31185.000000000004</v>
      </c>
      <c r="AZ1825" s="318">
        <f t="shared" ref="AZ1825:AZ1833" si="1392">X1825*100</f>
        <v>31160.000000000004</v>
      </c>
      <c r="BA1825" s="318">
        <f t="shared" ref="BA1825:BA1833" si="1393">AY1825-AZ1825</f>
        <v>25</v>
      </c>
      <c r="BB1825" s="318">
        <f t="shared" ref="BB1825:BB1833" si="1394">AW1825*2/1000</f>
        <v>62.370000000000005</v>
      </c>
      <c r="BC1825" s="318">
        <v>0</v>
      </c>
      <c r="BD1825" s="467"/>
      <c r="BE1825" s="138">
        <v>311.85000000000002</v>
      </c>
      <c r="BF1825" s="321">
        <f t="shared" ref="BF1825:BF1833" si="1395">+BE1825*0.15/100</f>
        <v>0.46777500000000005</v>
      </c>
      <c r="BG1825" s="321">
        <f t="shared" ref="BG1825:BG1833" si="1396">BE1825-BF1825</f>
        <v>311.38222500000001</v>
      </c>
      <c r="BH1825" s="321">
        <f t="shared" ref="BH1825:BH1833" si="1397">X1825</f>
        <v>311.60000000000002</v>
      </c>
      <c r="BI1825" s="322">
        <f t="shared" ref="BI1825:BI1833" si="1398">(BE1825-BH1825)*100</f>
        <v>25</v>
      </c>
      <c r="BJ1825" s="322">
        <v>0</v>
      </c>
      <c r="BK1825" s="318">
        <f t="shared" ref="BK1825:BK1833" si="1399">BI1825</f>
        <v>25</v>
      </c>
      <c r="BL1825" s="449"/>
      <c r="BM1825" s="449" t="str">
        <f t="shared" ref="BM1825:BM1833" si="1400">+$C$1&amp;" "&amp;C1825 &amp;" "&amp;$N$1&amp;" "&amp;N1825&amp;" "&amp;$BM$1&amp;" "&amp;$AK$1&amp;" "&amp;AK1825&amp;" "&amp;$AL$1&amp;" "&amp;AL1825&amp;" "&amp;$AM$1&amp;" "&amp;AM1825&amp;" "&amp;$AN$1&amp;" "&amp;AN1825&amp;" "&amp;$AO$1&amp;" "&amp;AO1825&amp;" "&amp;$AP$1&amp;" "&amp;AP1825&amp;" "&amp;$AQ$1&amp;" "&amp;AQ1825</f>
        <v>Unloading no. 1788 Bill No 430 ,Deduction For Oil Deduction= 83698.3125000001 ,Bardana= 7260 ,F.M= 5207.895 Brokerage/Rate Difference 0 ,Shortage = 2087.5 ,Greenish= 0 ,Moisture= 12498.948</v>
      </c>
      <c r="BN1825" s="449"/>
      <c r="BO1825" s="449" t="str">
        <f t="shared" ref="BO1825:BO1833" si="1401">+" "&amp;$AF$1&amp;" "&amp;AF1825&amp;" "&amp;" "&amp;$AH$1&amp;" "&amp;AH1825*100&amp;" "&amp;$AI$1&amp;" "&amp;AI1825*100&amp;" "&amp;$AJ$1&amp;" "&amp;AJ1825*100&amp;" ,"&amp;$AT$1&amp;" "&amp;AT1825&amp;" "&amp;IF(AE1825&gt;AG1825," ,Oil%"&amp;" "&amp;AG1825," ,Oil%"&amp;" "&amp;AE1825)</f>
        <v xml:space="preserve"> Party Condition 42  ,F.M% 0.2 ,Greenish 3.25 ,Moisture 5.48 ,Shortage in KG= 25  ,Oil% 40.65</v>
      </c>
      <c r="BP1825" s="464">
        <f t="shared" ref="BP1825:BP1833" si="1402">(Y1825-AR1825)/X1825</f>
        <v>8001.2671517971758</v>
      </c>
      <c r="BQ1825" s="449"/>
      <c r="BR1825" s="449"/>
      <c r="BS1825" s="449"/>
      <c r="BT1825" s="449"/>
      <c r="BU1825" s="449"/>
      <c r="BV1825" s="449"/>
      <c r="BW1825" s="449"/>
      <c r="BX1825" s="147">
        <v>40.72</v>
      </c>
      <c r="BY1825" s="147">
        <v>40.65</v>
      </c>
    </row>
    <row r="1826" spans="1:83" ht="14.1" hidden="1" customHeight="1" x14ac:dyDescent="0.3">
      <c r="A1826" s="128" t="s">
        <v>3822</v>
      </c>
      <c r="B1826" s="146">
        <v>46258</v>
      </c>
      <c r="C1826" s="281">
        <v>1789</v>
      </c>
      <c r="D1826" s="281" t="s">
        <v>3825</v>
      </c>
      <c r="E1826" s="129">
        <v>46260</v>
      </c>
      <c r="F1826" s="128" t="s">
        <v>2190</v>
      </c>
      <c r="G1826" s="128" t="s">
        <v>2191</v>
      </c>
      <c r="H1826" s="128" t="s">
        <v>97</v>
      </c>
      <c r="I1826" s="136"/>
      <c r="J1826" s="138" t="s">
        <v>2499</v>
      </c>
      <c r="K1826" s="136"/>
      <c r="L1826" s="146">
        <v>46258</v>
      </c>
      <c r="M1826" s="136"/>
      <c r="N1826" s="281" t="s">
        <v>2964</v>
      </c>
      <c r="O1826" s="146">
        <v>46259</v>
      </c>
      <c r="P1826" s="138">
        <v>0</v>
      </c>
      <c r="Q1826" s="138">
        <v>400</v>
      </c>
      <c r="R1826" s="138">
        <v>51</v>
      </c>
      <c r="S1826" s="138">
        <v>451</v>
      </c>
      <c r="T1826" s="138">
        <v>451</v>
      </c>
      <c r="U1826" s="136"/>
      <c r="V1826" s="136"/>
      <c r="W1826" s="147">
        <v>266.8</v>
      </c>
      <c r="X1826" s="147">
        <v>265.89999999999998</v>
      </c>
      <c r="Y1826" s="169">
        <v>2217374.7999999998</v>
      </c>
      <c r="Z1826" s="165"/>
      <c r="AA1826" s="148">
        <v>55434.37</v>
      </c>
      <c r="AB1826" s="148">
        <v>55434.37</v>
      </c>
      <c r="AC1826" s="148">
        <v>2328243.54</v>
      </c>
      <c r="AD1826" s="315">
        <f t="shared" si="1361"/>
        <v>2325915.2964599999</v>
      </c>
      <c r="AE1826" s="147">
        <v>39.369999999999997</v>
      </c>
      <c r="AF1826" s="147">
        <v>42</v>
      </c>
      <c r="AG1826" s="147">
        <v>39.36</v>
      </c>
      <c r="AH1826" s="287">
        <v>2E-3</v>
      </c>
      <c r="AI1826" s="287">
        <v>3.2000000000000001E-2</v>
      </c>
      <c r="AJ1826" s="287">
        <v>5.8000000000000003E-2</v>
      </c>
      <c r="AK1826" s="318">
        <f t="shared" si="1386"/>
        <v>139377.84457142861</v>
      </c>
      <c r="AL1826" s="467">
        <v>0</v>
      </c>
      <c r="AM1826" s="321">
        <v>0</v>
      </c>
      <c r="AN1826" s="321">
        <v>0</v>
      </c>
      <c r="AO1826" s="318">
        <f t="shared" si="1387"/>
        <v>3075.0699999999997</v>
      </c>
      <c r="AP1826" s="467">
        <v>0</v>
      </c>
      <c r="AQ1826" s="318"/>
      <c r="AR1826" s="318">
        <f t="shared" si="1388"/>
        <v>142452.91457142861</v>
      </c>
      <c r="AS1826" s="318">
        <f t="shared" si="1389"/>
        <v>149576</v>
      </c>
      <c r="AT1826" s="321">
        <v>37</v>
      </c>
      <c r="AU1826" s="464"/>
      <c r="AV1826" s="449"/>
      <c r="AW1826" s="318">
        <f t="shared" si="1390"/>
        <v>26680</v>
      </c>
      <c r="AX1826" s="467"/>
      <c r="AY1826" s="318">
        <f t="shared" si="1391"/>
        <v>26680</v>
      </c>
      <c r="AZ1826" s="318">
        <f t="shared" si="1392"/>
        <v>26589.999999999996</v>
      </c>
      <c r="BA1826" s="318">
        <f t="shared" si="1393"/>
        <v>90.000000000003638</v>
      </c>
      <c r="BB1826" s="318">
        <f t="shared" si="1394"/>
        <v>53.36</v>
      </c>
      <c r="BC1826" s="318">
        <v>0</v>
      </c>
      <c r="BD1826" s="467"/>
      <c r="BE1826" s="138">
        <v>266.8</v>
      </c>
      <c r="BF1826" s="321">
        <f t="shared" si="1395"/>
        <v>0.40020000000000006</v>
      </c>
      <c r="BG1826" s="321">
        <f t="shared" si="1396"/>
        <v>266.39980000000003</v>
      </c>
      <c r="BH1826" s="321">
        <f t="shared" si="1397"/>
        <v>265.89999999999998</v>
      </c>
      <c r="BI1826" s="322">
        <f t="shared" si="1398"/>
        <v>90.000000000003411</v>
      </c>
      <c r="BJ1826" s="322">
        <v>0</v>
      </c>
      <c r="BK1826" s="318">
        <f t="shared" si="1399"/>
        <v>90.000000000003411</v>
      </c>
      <c r="BL1826" s="449"/>
      <c r="BM1826" s="449" t="str">
        <f t="shared" si="1400"/>
        <v xml:space="preserve">Unloading no. 1789 Bill No 2026-27/467 ,Deduction For Oil Deduction= 139377.844571429 ,Bardana= 0 ,F.M= 0 Brokerage/Rate Difference 0 ,Shortage = 3075.07 ,Greenish= 0 ,Moisture= </v>
      </c>
      <c r="BN1826" s="449"/>
      <c r="BO1826" s="449" t="str">
        <f t="shared" si="1401"/>
        <v xml:space="preserve"> Party Condition 42  ,F.M% 0.2 ,Greenish 3.2 ,Moisture 5.8 ,Shortage in KG= 37  ,Oil% 39.36</v>
      </c>
      <c r="BP1826" s="464">
        <f t="shared" si="1402"/>
        <v>7803.3918218449471</v>
      </c>
      <c r="BQ1826" s="449"/>
      <c r="BR1826" s="449"/>
      <c r="BS1826" s="449"/>
      <c r="BT1826" s="449"/>
      <c r="BU1826" s="449"/>
      <c r="BV1826" s="449"/>
      <c r="BW1826" s="449"/>
      <c r="BX1826" s="147">
        <v>39.369999999999997</v>
      </c>
      <c r="BY1826" s="147">
        <v>39.36</v>
      </c>
    </row>
    <row r="1827" spans="1:83" ht="14.1" hidden="1" customHeight="1" x14ac:dyDescent="0.3">
      <c r="A1827" s="128" t="s">
        <v>3822</v>
      </c>
      <c r="B1827" s="146">
        <v>46258</v>
      </c>
      <c r="C1827" s="281">
        <v>1790</v>
      </c>
      <c r="D1827" s="281" t="s">
        <v>3826</v>
      </c>
      <c r="E1827" s="129">
        <v>46260</v>
      </c>
      <c r="F1827" s="128" t="s">
        <v>2190</v>
      </c>
      <c r="G1827" s="128" t="s">
        <v>2191</v>
      </c>
      <c r="H1827" s="128" t="s">
        <v>97</v>
      </c>
      <c r="I1827" s="136"/>
      <c r="J1827" s="138" t="s">
        <v>2499</v>
      </c>
      <c r="K1827" s="136"/>
      <c r="L1827" s="146">
        <v>46258</v>
      </c>
      <c r="M1827" s="136"/>
      <c r="N1827" s="281" t="s">
        <v>3834</v>
      </c>
      <c r="O1827" s="130">
        <v>46259</v>
      </c>
      <c r="P1827" s="138">
        <v>0</v>
      </c>
      <c r="Q1827" s="138">
        <v>400</v>
      </c>
      <c r="R1827" s="138">
        <v>200</v>
      </c>
      <c r="S1827" s="138">
        <v>600</v>
      </c>
      <c r="T1827" s="138">
        <v>600</v>
      </c>
      <c r="U1827" s="136"/>
      <c r="V1827" s="136"/>
      <c r="W1827" s="147">
        <v>357.9</v>
      </c>
      <c r="X1827" s="147">
        <v>356.7</v>
      </c>
      <c r="Y1827" s="169">
        <v>2974506.9</v>
      </c>
      <c r="Z1827" s="165"/>
      <c r="AA1827" s="148">
        <v>74362.67</v>
      </c>
      <c r="AB1827" s="148">
        <v>74362.67</v>
      </c>
      <c r="AC1827" s="148">
        <v>3123232.25</v>
      </c>
      <c r="AD1827" s="315">
        <f t="shared" si="1361"/>
        <v>3120109.0177500001</v>
      </c>
      <c r="AE1827" s="147">
        <v>39.159999999999997</v>
      </c>
      <c r="AF1827" s="147">
        <v>42</v>
      </c>
      <c r="AG1827" s="147">
        <v>39.17</v>
      </c>
      <c r="AH1827" s="287">
        <v>2E-3</v>
      </c>
      <c r="AI1827" s="287">
        <v>3.2500000000000001E-2</v>
      </c>
      <c r="AJ1827" s="287">
        <v>5.6000000000000001E-2</v>
      </c>
      <c r="AK1827" s="318">
        <f t="shared" si="1386"/>
        <v>201133.32371428597</v>
      </c>
      <c r="AL1827" s="467">
        <v>0</v>
      </c>
      <c r="AM1827" s="321">
        <v>0</v>
      </c>
      <c r="AN1827" s="321">
        <v>0</v>
      </c>
      <c r="AO1827" s="318">
        <f t="shared" si="1387"/>
        <v>3989.2799999999997</v>
      </c>
      <c r="AP1827" s="467">
        <v>0</v>
      </c>
      <c r="AQ1827" s="318"/>
      <c r="AR1827" s="318">
        <f t="shared" si="1388"/>
        <v>205122.60371428597</v>
      </c>
      <c r="AS1827" s="318">
        <f t="shared" si="1389"/>
        <v>215379</v>
      </c>
      <c r="AT1827" s="321">
        <v>48</v>
      </c>
      <c r="AU1827" s="464"/>
      <c r="AV1827" s="449"/>
      <c r="AW1827" s="318">
        <f t="shared" si="1390"/>
        <v>35790</v>
      </c>
      <c r="AX1827" s="467"/>
      <c r="AY1827" s="318">
        <f t="shared" si="1391"/>
        <v>35790</v>
      </c>
      <c r="AZ1827" s="318">
        <f t="shared" si="1392"/>
        <v>35670</v>
      </c>
      <c r="BA1827" s="318">
        <f t="shared" si="1393"/>
        <v>120</v>
      </c>
      <c r="BB1827" s="318">
        <f t="shared" si="1394"/>
        <v>71.58</v>
      </c>
      <c r="BC1827" s="318">
        <v>0</v>
      </c>
      <c r="BD1827" s="467"/>
      <c r="BE1827" s="138">
        <v>357.9</v>
      </c>
      <c r="BF1827" s="321">
        <f t="shared" si="1395"/>
        <v>0.53684999999999994</v>
      </c>
      <c r="BG1827" s="321">
        <f t="shared" si="1396"/>
        <v>357.36314999999996</v>
      </c>
      <c r="BH1827" s="321">
        <f t="shared" si="1397"/>
        <v>356.7</v>
      </c>
      <c r="BI1827" s="322">
        <f t="shared" si="1398"/>
        <v>119.99999999999886</v>
      </c>
      <c r="BJ1827" s="322">
        <v>0</v>
      </c>
      <c r="BK1827" s="318">
        <f t="shared" si="1399"/>
        <v>119.99999999999886</v>
      </c>
      <c r="BL1827" s="449"/>
      <c r="BM1827" s="449" t="str">
        <f t="shared" si="1400"/>
        <v xml:space="preserve">Unloading no. 1790 Bill No 2026-27/468 ,Deduction For Oil Deduction= 201133.323714286 ,Bardana= 0 ,F.M= 0 Brokerage/Rate Difference 0 ,Shortage = 3989.28 ,Greenish= 0 ,Moisture= </v>
      </c>
      <c r="BN1827" s="449"/>
      <c r="BO1827" s="449" t="str">
        <f t="shared" si="1401"/>
        <v xml:space="preserve"> Party Condition 42  ,F.M% 0.2 ,Greenish 3.25 ,Moisture 5.6 ,Shortage in KG= 48  ,Oil% 39.16</v>
      </c>
      <c r="BP1827" s="464">
        <f t="shared" si="1402"/>
        <v>7763.9032696543709</v>
      </c>
      <c r="BQ1827" s="449"/>
      <c r="BR1827" s="449"/>
      <c r="BS1827" s="449"/>
      <c r="BT1827" s="449"/>
      <c r="BU1827" s="449"/>
      <c r="BV1827" s="449"/>
      <c r="BW1827" s="449"/>
      <c r="BX1827" s="147">
        <v>39.159999999999997</v>
      </c>
      <c r="BY1827" s="147">
        <v>39.17</v>
      </c>
    </row>
    <row r="1828" spans="1:83" ht="14.1" hidden="1" customHeight="1" x14ac:dyDescent="0.3">
      <c r="A1828" s="128" t="s">
        <v>3823</v>
      </c>
      <c r="B1828" s="146">
        <v>46258</v>
      </c>
      <c r="C1828" s="281">
        <v>1791</v>
      </c>
      <c r="D1828" s="281" t="s">
        <v>3827</v>
      </c>
      <c r="E1828" s="129">
        <v>46260</v>
      </c>
      <c r="F1828" s="128" t="s">
        <v>95</v>
      </c>
      <c r="G1828" s="128" t="s">
        <v>96</v>
      </c>
      <c r="H1828" s="128" t="s">
        <v>97</v>
      </c>
      <c r="I1828" s="136"/>
      <c r="J1828" s="138" t="s">
        <v>2499</v>
      </c>
      <c r="K1828" s="136"/>
      <c r="L1828" s="146">
        <v>46258</v>
      </c>
      <c r="M1828" s="136"/>
      <c r="N1828" s="281">
        <v>273</v>
      </c>
      <c r="O1828" s="130">
        <v>46260</v>
      </c>
      <c r="P1828" s="138">
        <v>0</v>
      </c>
      <c r="Q1828" s="138">
        <v>100</v>
      </c>
      <c r="R1828" s="138">
        <v>40</v>
      </c>
      <c r="S1828" s="138">
        <v>140</v>
      </c>
      <c r="T1828" s="138">
        <v>140</v>
      </c>
      <c r="U1828" s="136"/>
      <c r="V1828" s="136"/>
      <c r="W1828" s="147">
        <v>84</v>
      </c>
      <c r="X1828" s="147">
        <v>84</v>
      </c>
      <c r="Y1828" s="169">
        <v>698124</v>
      </c>
      <c r="Z1828" s="165"/>
      <c r="AA1828" s="148">
        <v>17453.099999999999</v>
      </c>
      <c r="AB1828" s="148">
        <v>17453.099999999999</v>
      </c>
      <c r="AC1828" s="148">
        <v>733030.2</v>
      </c>
      <c r="AD1828" s="315">
        <f t="shared" si="1361"/>
        <v>732297.16979999992</v>
      </c>
      <c r="AE1828" s="147">
        <v>40.32</v>
      </c>
      <c r="AF1828" s="147">
        <v>42</v>
      </c>
      <c r="AG1828" s="147">
        <v>40.33</v>
      </c>
      <c r="AH1828" s="287">
        <v>2.5999999999999999E-3</v>
      </c>
      <c r="AI1828" s="287">
        <v>3.1E-2</v>
      </c>
      <c r="AJ1828" s="287">
        <v>5.6000000000000001E-2</v>
      </c>
      <c r="AK1828" s="318">
        <f t="shared" si="1386"/>
        <v>27924.959999999995</v>
      </c>
      <c r="AL1828" s="467">
        <v>0</v>
      </c>
      <c r="AM1828" s="321">
        <v>0</v>
      </c>
      <c r="AN1828" s="321">
        <v>0</v>
      </c>
      <c r="AO1828" s="318">
        <f t="shared" si="1387"/>
        <v>0</v>
      </c>
      <c r="AP1828" s="467">
        <v>0</v>
      </c>
      <c r="AQ1828" s="318"/>
      <c r="AR1828" s="318">
        <f t="shared" si="1388"/>
        <v>27924.959999999995</v>
      </c>
      <c r="AS1828" s="318">
        <f t="shared" si="1389"/>
        <v>29321</v>
      </c>
      <c r="AT1828" s="321">
        <v>0</v>
      </c>
      <c r="AU1828" s="464"/>
      <c r="AV1828" s="449"/>
      <c r="AW1828" s="318">
        <f t="shared" si="1390"/>
        <v>8400</v>
      </c>
      <c r="AX1828" s="467"/>
      <c r="AY1828" s="318">
        <f t="shared" si="1391"/>
        <v>8400</v>
      </c>
      <c r="AZ1828" s="318">
        <f t="shared" si="1392"/>
        <v>8400</v>
      </c>
      <c r="BA1828" s="318">
        <f t="shared" si="1393"/>
        <v>0</v>
      </c>
      <c r="BB1828" s="318">
        <f t="shared" si="1394"/>
        <v>16.8</v>
      </c>
      <c r="BC1828" s="318">
        <v>0</v>
      </c>
      <c r="BD1828" s="467"/>
      <c r="BE1828" s="138">
        <v>84</v>
      </c>
      <c r="BF1828" s="321">
        <f t="shared" si="1395"/>
        <v>0.126</v>
      </c>
      <c r="BG1828" s="321">
        <f t="shared" si="1396"/>
        <v>83.873999999999995</v>
      </c>
      <c r="BH1828" s="321">
        <f t="shared" si="1397"/>
        <v>84</v>
      </c>
      <c r="BI1828" s="322">
        <f t="shared" si="1398"/>
        <v>0</v>
      </c>
      <c r="BJ1828" s="322">
        <v>0</v>
      </c>
      <c r="BK1828" s="318">
        <f t="shared" si="1399"/>
        <v>0</v>
      </c>
      <c r="BL1828" s="449"/>
      <c r="BM1828" s="449" t="str">
        <f t="shared" si="1400"/>
        <v xml:space="preserve">Unloading no. 1791 Bill No 273 ,Deduction For Oil Deduction= 27924.96 ,Bardana= 0 ,F.M= 0 Brokerage/Rate Difference 0 ,Shortage = 0 ,Greenish= 0 ,Moisture= </v>
      </c>
      <c r="BN1828" s="449"/>
      <c r="BO1828" s="449" t="str">
        <f t="shared" si="1401"/>
        <v xml:space="preserve"> Party Condition 42  ,F.M% 0.26 ,Greenish 3.1 ,Moisture 5.6 ,Shortage in KG= 0  ,Oil% 40.32</v>
      </c>
      <c r="BP1828" s="464">
        <f t="shared" si="1402"/>
        <v>7978.56</v>
      </c>
      <c r="BQ1828" s="449"/>
      <c r="BR1828" s="449"/>
      <c r="BS1828" s="449"/>
      <c r="BT1828" s="449"/>
      <c r="BU1828" s="449"/>
      <c r="BV1828" s="449"/>
      <c r="BW1828" s="449"/>
      <c r="BX1828" s="147">
        <v>40.32</v>
      </c>
      <c r="BY1828" s="147">
        <v>40.33</v>
      </c>
    </row>
    <row r="1829" spans="1:83" ht="14.1" hidden="1" customHeight="1" x14ac:dyDescent="0.3">
      <c r="A1829" s="128" t="s">
        <v>3823</v>
      </c>
      <c r="B1829" s="146">
        <v>46258</v>
      </c>
      <c r="C1829" s="281">
        <v>1792</v>
      </c>
      <c r="D1829" s="281" t="s">
        <v>3828</v>
      </c>
      <c r="E1829" s="129">
        <v>46260</v>
      </c>
      <c r="F1829" s="128" t="s">
        <v>95</v>
      </c>
      <c r="G1829" s="128" t="s">
        <v>96</v>
      </c>
      <c r="H1829" s="128" t="s">
        <v>97</v>
      </c>
      <c r="I1829" s="136"/>
      <c r="J1829" s="138" t="s">
        <v>2499</v>
      </c>
      <c r="K1829" s="136"/>
      <c r="L1829" s="146">
        <v>46258</v>
      </c>
      <c r="M1829" s="136"/>
      <c r="N1829" s="281">
        <v>272</v>
      </c>
      <c r="O1829" s="130">
        <v>46260</v>
      </c>
      <c r="P1829" s="138">
        <v>0</v>
      </c>
      <c r="Q1829" s="138">
        <v>80</v>
      </c>
      <c r="R1829" s="138">
        <v>60</v>
      </c>
      <c r="S1829" s="138">
        <v>140</v>
      </c>
      <c r="T1829" s="138">
        <v>140</v>
      </c>
      <c r="U1829" s="136"/>
      <c r="V1829" s="136"/>
      <c r="W1829" s="147">
        <v>83.9</v>
      </c>
      <c r="X1829" s="147">
        <v>83.7</v>
      </c>
      <c r="Y1829" s="169">
        <v>697292.9</v>
      </c>
      <c r="Z1829" s="165"/>
      <c r="AA1829" s="148">
        <v>17432.32</v>
      </c>
      <c r="AB1829" s="148">
        <v>17432.32</v>
      </c>
      <c r="AC1829" s="148">
        <v>732157.55</v>
      </c>
      <c r="AD1829" s="315">
        <f t="shared" si="1361"/>
        <v>731425.39245000004</v>
      </c>
      <c r="AE1829" s="147">
        <v>40.08</v>
      </c>
      <c r="AF1829" s="147">
        <v>42</v>
      </c>
      <c r="AG1829" s="147">
        <v>39.93</v>
      </c>
      <c r="AH1829" s="287">
        <v>3.5000000000000001E-3</v>
      </c>
      <c r="AI1829" s="287">
        <v>0.03</v>
      </c>
      <c r="AJ1829" s="287">
        <v>0.05</v>
      </c>
      <c r="AK1829" s="318">
        <f t="shared" si="1386"/>
        <v>34366.578642857152</v>
      </c>
      <c r="AL1829" s="467">
        <v>0</v>
      </c>
      <c r="AM1829" s="321">
        <v>0</v>
      </c>
      <c r="AN1829" s="321">
        <v>0</v>
      </c>
      <c r="AO1829" s="318">
        <f t="shared" si="1387"/>
        <v>249.33</v>
      </c>
      <c r="AP1829" s="467">
        <v>0</v>
      </c>
      <c r="AQ1829" s="318"/>
      <c r="AR1829" s="318">
        <f t="shared" si="1388"/>
        <v>34615.908642857154</v>
      </c>
      <c r="AS1829" s="318">
        <f t="shared" si="1389"/>
        <v>36347</v>
      </c>
      <c r="AT1829" s="321">
        <v>3</v>
      </c>
      <c r="AU1829" s="464"/>
      <c r="AV1829" s="449"/>
      <c r="AW1829" s="318">
        <f t="shared" si="1390"/>
        <v>8390</v>
      </c>
      <c r="AX1829" s="467"/>
      <c r="AY1829" s="318">
        <f t="shared" si="1391"/>
        <v>8390</v>
      </c>
      <c r="AZ1829" s="318">
        <f t="shared" si="1392"/>
        <v>8370</v>
      </c>
      <c r="BA1829" s="318">
        <f t="shared" si="1393"/>
        <v>20</v>
      </c>
      <c r="BB1829" s="318">
        <f t="shared" si="1394"/>
        <v>16.78</v>
      </c>
      <c r="BC1829" s="318">
        <v>0</v>
      </c>
      <c r="BD1829" s="467"/>
      <c r="BE1829" s="138">
        <v>83.9</v>
      </c>
      <c r="BF1829" s="321">
        <f t="shared" si="1395"/>
        <v>0.12585000000000002</v>
      </c>
      <c r="BG1829" s="321">
        <f t="shared" si="1396"/>
        <v>83.774150000000006</v>
      </c>
      <c r="BH1829" s="321">
        <f t="shared" si="1397"/>
        <v>83.7</v>
      </c>
      <c r="BI1829" s="322">
        <f t="shared" si="1398"/>
        <v>20.000000000000284</v>
      </c>
      <c r="BJ1829" s="322">
        <v>0</v>
      </c>
      <c r="BK1829" s="318">
        <f t="shared" si="1399"/>
        <v>20.000000000000284</v>
      </c>
      <c r="BL1829" s="449"/>
      <c r="BM1829" s="449" t="str">
        <f t="shared" si="1400"/>
        <v xml:space="preserve">Unloading no. 1792 Bill No 272 ,Deduction For Oil Deduction= 34366.5786428572 ,Bardana= 0 ,F.M= 0 Brokerage/Rate Difference 0 ,Shortage = 249.33 ,Greenish= 0 ,Moisture= </v>
      </c>
      <c r="BN1829" s="449"/>
      <c r="BO1829" s="449" t="str">
        <f t="shared" si="1401"/>
        <v xml:space="preserve"> Party Condition 42  ,F.M% 0.35 ,Greenish 3 ,Moisture 5 ,Shortage in KG= 3  ,Oil% 39.93</v>
      </c>
      <c r="BP1829" s="464">
        <f t="shared" si="1402"/>
        <v>7917.2878298344431</v>
      </c>
      <c r="BQ1829" s="449"/>
      <c r="BR1829" s="449"/>
      <c r="BS1829" s="449"/>
      <c r="BT1829" s="449"/>
      <c r="BU1829" s="449"/>
      <c r="BV1829" s="449"/>
      <c r="BW1829" s="449"/>
      <c r="BX1829" s="147">
        <v>40.08</v>
      </c>
      <c r="BY1829" s="147">
        <v>39.93</v>
      </c>
    </row>
    <row r="1830" spans="1:83" ht="14.1" hidden="1" customHeight="1" x14ac:dyDescent="0.3">
      <c r="A1830" s="128" t="s">
        <v>3823</v>
      </c>
      <c r="B1830" s="146">
        <v>46258</v>
      </c>
      <c r="C1830" s="281">
        <v>1793</v>
      </c>
      <c r="D1830" s="281" t="s">
        <v>3829</v>
      </c>
      <c r="E1830" s="129">
        <v>46260</v>
      </c>
      <c r="F1830" s="128" t="s">
        <v>95</v>
      </c>
      <c r="G1830" s="128" t="s">
        <v>96</v>
      </c>
      <c r="H1830" s="128" t="s">
        <v>97</v>
      </c>
      <c r="I1830" s="136"/>
      <c r="J1830" s="138" t="s">
        <v>2499</v>
      </c>
      <c r="K1830" s="136"/>
      <c r="L1830" s="146">
        <v>46258</v>
      </c>
      <c r="M1830" s="136"/>
      <c r="N1830" s="281">
        <v>271</v>
      </c>
      <c r="O1830" s="130">
        <v>46260</v>
      </c>
      <c r="P1830" s="138">
        <v>0</v>
      </c>
      <c r="Q1830" s="138">
        <v>60</v>
      </c>
      <c r="R1830" s="138">
        <v>80</v>
      </c>
      <c r="S1830" s="138">
        <v>140</v>
      </c>
      <c r="T1830" s="138">
        <v>140</v>
      </c>
      <c r="U1830" s="136"/>
      <c r="V1830" s="136"/>
      <c r="W1830" s="147">
        <v>83.6</v>
      </c>
      <c r="X1830" s="147">
        <v>83.4</v>
      </c>
      <c r="Y1830" s="169">
        <v>694799.6</v>
      </c>
      <c r="Z1830" s="165"/>
      <c r="AA1830" s="148">
        <v>17369.990000000002</v>
      </c>
      <c r="AB1830" s="148">
        <v>17369.990000000002</v>
      </c>
      <c r="AC1830" s="148">
        <v>729539.58</v>
      </c>
      <c r="AD1830" s="315">
        <f t="shared" si="1361"/>
        <v>728810.04041999998</v>
      </c>
      <c r="AE1830" s="147">
        <v>40.159999999999997</v>
      </c>
      <c r="AF1830" s="147">
        <v>42</v>
      </c>
      <c r="AG1830" s="147">
        <v>40.159999999999997</v>
      </c>
      <c r="AH1830" s="287">
        <v>3.3E-3</v>
      </c>
      <c r="AI1830" s="287">
        <v>2.92E-2</v>
      </c>
      <c r="AJ1830" s="287">
        <v>5.5E-2</v>
      </c>
      <c r="AK1830" s="318">
        <f t="shared" si="1386"/>
        <v>30438.839619047674</v>
      </c>
      <c r="AL1830" s="467">
        <v>0</v>
      </c>
      <c r="AM1830" s="321">
        <v>0</v>
      </c>
      <c r="AN1830" s="321">
        <v>0</v>
      </c>
      <c r="AO1830" s="318">
        <f t="shared" si="1387"/>
        <v>249.32999999999998</v>
      </c>
      <c r="AP1830" s="467">
        <v>0</v>
      </c>
      <c r="AQ1830" s="318"/>
      <c r="AR1830" s="318">
        <f t="shared" si="1388"/>
        <v>30688.169619047676</v>
      </c>
      <c r="AS1830" s="318">
        <f t="shared" si="1389"/>
        <v>32223</v>
      </c>
      <c r="AT1830" s="321">
        <v>3</v>
      </c>
      <c r="AU1830" s="464"/>
      <c r="AV1830" s="449"/>
      <c r="AW1830" s="318">
        <f t="shared" si="1390"/>
        <v>8360</v>
      </c>
      <c r="AX1830" s="467"/>
      <c r="AY1830" s="318">
        <f t="shared" si="1391"/>
        <v>8360</v>
      </c>
      <c r="AZ1830" s="318">
        <f t="shared" si="1392"/>
        <v>8340</v>
      </c>
      <c r="BA1830" s="318">
        <f t="shared" si="1393"/>
        <v>20</v>
      </c>
      <c r="BB1830" s="318">
        <f t="shared" si="1394"/>
        <v>16.72</v>
      </c>
      <c r="BC1830" s="318">
        <v>0</v>
      </c>
      <c r="BD1830" s="467"/>
      <c r="BE1830" s="138">
        <v>83.6</v>
      </c>
      <c r="BF1830" s="321">
        <f t="shared" si="1395"/>
        <v>0.12539999999999998</v>
      </c>
      <c r="BG1830" s="321">
        <f t="shared" si="1396"/>
        <v>83.474599999999995</v>
      </c>
      <c r="BH1830" s="321">
        <f t="shared" si="1397"/>
        <v>83.4</v>
      </c>
      <c r="BI1830" s="322">
        <f t="shared" si="1398"/>
        <v>19.999999999998863</v>
      </c>
      <c r="BJ1830" s="322">
        <v>0</v>
      </c>
      <c r="BK1830" s="318">
        <f t="shared" si="1399"/>
        <v>19.999999999998863</v>
      </c>
      <c r="BL1830" s="449"/>
      <c r="BM1830" s="449" t="str">
        <f t="shared" si="1400"/>
        <v xml:space="preserve">Unloading no. 1793 Bill No 271 ,Deduction For Oil Deduction= 30438.8396190477 ,Bardana= 0 ,F.M= 0 Brokerage/Rate Difference 0 ,Shortage = 249.33 ,Greenish= 0 ,Moisture= </v>
      </c>
      <c r="BN1830" s="449"/>
      <c r="BO1830" s="449" t="str">
        <f t="shared" si="1401"/>
        <v xml:space="preserve"> Party Condition 42  ,F.M% 0.33 ,Greenish 2.92 ,Moisture 5.5 ,Shortage in KG= 3  ,Oil% 40.16</v>
      </c>
      <c r="BP1830" s="464">
        <f t="shared" si="1402"/>
        <v>7962.9667911385168</v>
      </c>
      <c r="BQ1830" s="449"/>
      <c r="BR1830" s="449"/>
      <c r="BS1830" s="449"/>
      <c r="BT1830" s="449"/>
      <c r="BU1830" s="449"/>
      <c r="BV1830" s="449"/>
      <c r="BW1830" s="449"/>
      <c r="BX1830" s="147">
        <v>40.159999999999997</v>
      </c>
      <c r="BY1830" s="147">
        <v>40.159999999999997</v>
      </c>
    </row>
    <row r="1831" spans="1:83" ht="14.1" hidden="1" customHeight="1" x14ac:dyDescent="0.3">
      <c r="A1831" s="128" t="s">
        <v>3823</v>
      </c>
      <c r="B1831" s="146">
        <v>46258</v>
      </c>
      <c r="C1831" s="281">
        <v>1794</v>
      </c>
      <c r="D1831" s="281" t="s">
        <v>3830</v>
      </c>
      <c r="E1831" s="129">
        <v>46260</v>
      </c>
      <c r="F1831" s="128" t="s">
        <v>95</v>
      </c>
      <c r="G1831" s="128" t="s">
        <v>96</v>
      </c>
      <c r="H1831" s="128" t="s">
        <v>97</v>
      </c>
      <c r="I1831" s="136"/>
      <c r="J1831" s="138" t="s">
        <v>2499</v>
      </c>
      <c r="K1831" s="136"/>
      <c r="L1831" s="146">
        <v>46258</v>
      </c>
      <c r="M1831" s="136"/>
      <c r="N1831" s="281">
        <v>274</v>
      </c>
      <c r="O1831" s="130">
        <v>46260</v>
      </c>
      <c r="P1831" s="138">
        <v>0</v>
      </c>
      <c r="Q1831" s="138">
        <v>90</v>
      </c>
      <c r="R1831" s="138">
        <v>50</v>
      </c>
      <c r="S1831" s="138">
        <v>140</v>
      </c>
      <c r="T1831" s="138">
        <v>140</v>
      </c>
      <c r="U1831" s="136"/>
      <c r="V1831" s="136"/>
      <c r="W1831" s="147">
        <v>84.6</v>
      </c>
      <c r="X1831" s="147">
        <v>84.3</v>
      </c>
      <c r="Y1831" s="169">
        <v>703110.6</v>
      </c>
      <c r="Z1831" s="165"/>
      <c r="AA1831" s="148">
        <v>17577.77</v>
      </c>
      <c r="AB1831" s="148">
        <v>17577.77</v>
      </c>
      <c r="AC1831" s="148">
        <v>738266.13</v>
      </c>
      <c r="AD1831" s="315">
        <f t="shared" si="1361"/>
        <v>737527.86387</v>
      </c>
      <c r="AE1831" s="147">
        <v>40.18</v>
      </c>
      <c r="AF1831" s="147">
        <v>42</v>
      </c>
      <c r="AG1831" s="147">
        <v>40.08</v>
      </c>
      <c r="AH1831" s="287">
        <v>3.8E-3</v>
      </c>
      <c r="AI1831" s="287">
        <v>3.2000000000000001E-2</v>
      </c>
      <c r="AJ1831" s="287">
        <v>5.5E-2</v>
      </c>
      <c r="AK1831" s="318">
        <f t="shared" si="1386"/>
        <v>32142.198857142885</v>
      </c>
      <c r="AL1831" s="467">
        <v>0</v>
      </c>
      <c r="AM1831" s="321">
        <v>0</v>
      </c>
      <c r="AN1831" s="321">
        <v>0</v>
      </c>
      <c r="AO1831" s="318">
        <f t="shared" si="1387"/>
        <v>1080.4299999999998</v>
      </c>
      <c r="AP1831" s="467">
        <v>0</v>
      </c>
      <c r="AQ1831" s="318"/>
      <c r="AR1831" s="318">
        <f t="shared" si="1388"/>
        <v>33222.628857142881</v>
      </c>
      <c r="AS1831" s="318">
        <f t="shared" si="1389"/>
        <v>34884</v>
      </c>
      <c r="AT1831" s="321">
        <v>13</v>
      </c>
      <c r="AU1831" s="464"/>
      <c r="AV1831" s="449"/>
      <c r="AW1831" s="318">
        <f t="shared" si="1390"/>
        <v>8460</v>
      </c>
      <c r="AX1831" s="467"/>
      <c r="AY1831" s="318">
        <f t="shared" si="1391"/>
        <v>8460</v>
      </c>
      <c r="AZ1831" s="318">
        <f t="shared" si="1392"/>
        <v>8430</v>
      </c>
      <c r="BA1831" s="318">
        <f t="shared" si="1393"/>
        <v>30</v>
      </c>
      <c r="BB1831" s="318">
        <f t="shared" si="1394"/>
        <v>16.920000000000002</v>
      </c>
      <c r="BC1831" s="318">
        <v>0</v>
      </c>
      <c r="BD1831" s="467"/>
      <c r="BE1831" s="138">
        <v>84.6</v>
      </c>
      <c r="BF1831" s="321">
        <f t="shared" si="1395"/>
        <v>0.12689999999999999</v>
      </c>
      <c r="BG1831" s="321">
        <f t="shared" si="1396"/>
        <v>84.473099999999988</v>
      </c>
      <c r="BH1831" s="321">
        <f t="shared" si="1397"/>
        <v>84.3</v>
      </c>
      <c r="BI1831" s="322">
        <f t="shared" si="1398"/>
        <v>29.999999999999716</v>
      </c>
      <c r="BJ1831" s="322">
        <v>0</v>
      </c>
      <c r="BK1831" s="318">
        <f t="shared" si="1399"/>
        <v>29.999999999999716</v>
      </c>
      <c r="BL1831" s="449"/>
      <c r="BM1831" s="449" t="str">
        <f t="shared" si="1400"/>
        <v xml:space="preserve">Unloading no. 1794 Bill No 274 ,Deduction For Oil Deduction= 32142.1988571429 ,Bardana= 0 ,F.M= 0 Brokerage/Rate Difference 0 ,Shortage = 1080.43 ,Greenish= 0 ,Moisture= </v>
      </c>
      <c r="BN1831" s="449"/>
      <c r="BO1831" s="449" t="str">
        <f t="shared" si="1401"/>
        <v xml:space="preserve"> Party Condition 42  ,F.M% 0.38 ,Greenish 3.2 ,Moisture 5.5 ,Shortage in KG= 13  ,Oil% 40.08</v>
      </c>
      <c r="BP1831" s="464">
        <f t="shared" si="1402"/>
        <v>7946.4765260125405</v>
      </c>
      <c r="BQ1831" s="449"/>
      <c r="BR1831" s="449"/>
      <c r="BS1831" s="449"/>
      <c r="BT1831" s="449"/>
      <c r="BU1831" s="449"/>
      <c r="BV1831" s="449"/>
      <c r="BW1831" s="449"/>
      <c r="BX1831" s="147">
        <v>40.18</v>
      </c>
      <c r="BY1831" s="147">
        <v>40.08</v>
      </c>
    </row>
    <row r="1832" spans="1:83" ht="14.1" hidden="1" customHeight="1" x14ac:dyDescent="0.3">
      <c r="A1832" s="128" t="s">
        <v>3823</v>
      </c>
      <c r="B1832" s="146">
        <v>46258</v>
      </c>
      <c r="C1832" s="281">
        <v>1795</v>
      </c>
      <c r="D1832" s="281" t="s">
        <v>3831</v>
      </c>
      <c r="E1832" s="129">
        <v>46260</v>
      </c>
      <c r="F1832" s="128" t="s">
        <v>95</v>
      </c>
      <c r="G1832" s="128" t="s">
        <v>96</v>
      </c>
      <c r="H1832" s="128" t="s">
        <v>97</v>
      </c>
      <c r="I1832" s="136"/>
      <c r="J1832" s="138" t="s">
        <v>2499</v>
      </c>
      <c r="K1832" s="136"/>
      <c r="L1832" s="146">
        <v>46258</v>
      </c>
      <c r="M1832" s="136"/>
      <c r="N1832" s="281">
        <v>275</v>
      </c>
      <c r="O1832" s="130">
        <v>46260</v>
      </c>
      <c r="P1832" s="138">
        <v>0</v>
      </c>
      <c r="Q1832" s="138">
        <v>80</v>
      </c>
      <c r="R1832" s="138">
        <v>60</v>
      </c>
      <c r="S1832" s="138">
        <v>140</v>
      </c>
      <c r="T1832" s="138">
        <v>140</v>
      </c>
      <c r="U1832" s="136"/>
      <c r="V1832" s="136"/>
      <c r="W1832" s="147">
        <v>84.4</v>
      </c>
      <c r="X1832" s="147">
        <v>84.3</v>
      </c>
      <c r="Y1832" s="169">
        <v>701448.4</v>
      </c>
      <c r="Z1832" s="165"/>
      <c r="AA1832" s="148">
        <v>17536.21</v>
      </c>
      <c r="AB1832" s="148">
        <v>17536.21</v>
      </c>
      <c r="AC1832" s="148">
        <v>736520.82</v>
      </c>
      <c r="AD1832" s="315">
        <f t="shared" si="1361"/>
        <v>735784.29917999997</v>
      </c>
      <c r="AE1832" s="147">
        <v>40.1</v>
      </c>
      <c r="AF1832" s="147">
        <v>42</v>
      </c>
      <c r="AG1832" s="147">
        <v>40.03</v>
      </c>
      <c r="AH1832" s="287">
        <v>3.7000000000000002E-3</v>
      </c>
      <c r="AI1832" s="287">
        <v>2.8799999999999999E-2</v>
      </c>
      <c r="AJ1832" s="287">
        <v>5.2999999999999999E-2</v>
      </c>
      <c r="AK1832" s="318">
        <f t="shared" si="1386"/>
        <v>32901.270190476171</v>
      </c>
      <c r="AL1832" s="467">
        <v>0</v>
      </c>
      <c r="AM1832" s="321">
        <v>0</v>
      </c>
      <c r="AN1832" s="321">
        <v>0</v>
      </c>
      <c r="AO1832" s="318">
        <f t="shared" si="1387"/>
        <v>0</v>
      </c>
      <c r="AP1832" s="467">
        <v>0</v>
      </c>
      <c r="AQ1832" s="318"/>
      <c r="AR1832" s="318">
        <f t="shared" si="1388"/>
        <v>32901.270190476171</v>
      </c>
      <c r="AS1832" s="318">
        <f t="shared" si="1389"/>
        <v>34546</v>
      </c>
      <c r="AT1832" s="321">
        <v>0</v>
      </c>
      <c r="AU1832" s="464"/>
      <c r="AV1832" s="449"/>
      <c r="AW1832" s="318">
        <f t="shared" si="1390"/>
        <v>8440</v>
      </c>
      <c r="AX1832" s="467"/>
      <c r="AY1832" s="318">
        <f t="shared" si="1391"/>
        <v>8440</v>
      </c>
      <c r="AZ1832" s="318">
        <f t="shared" si="1392"/>
        <v>8430</v>
      </c>
      <c r="BA1832" s="318">
        <f t="shared" si="1393"/>
        <v>10</v>
      </c>
      <c r="BB1832" s="318">
        <f t="shared" si="1394"/>
        <v>16.88</v>
      </c>
      <c r="BC1832" s="318">
        <v>0</v>
      </c>
      <c r="BD1832" s="467"/>
      <c r="BE1832" s="138">
        <v>84.4</v>
      </c>
      <c r="BF1832" s="321">
        <f t="shared" si="1395"/>
        <v>0.12659999999999999</v>
      </c>
      <c r="BG1832" s="321">
        <f t="shared" si="1396"/>
        <v>84.273400000000009</v>
      </c>
      <c r="BH1832" s="321">
        <f t="shared" si="1397"/>
        <v>84.3</v>
      </c>
      <c r="BI1832" s="322">
        <f t="shared" si="1398"/>
        <v>10.000000000000853</v>
      </c>
      <c r="BJ1832" s="322">
        <v>0</v>
      </c>
      <c r="BK1832" s="318">
        <f t="shared" si="1399"/>
        <v>10.000000000000853</v>
      </c>
      <c r="BL1832" s="449"/>
      <c r="BM1832" s="449" t="str">
        <f t="shared" si="1400"/>
        <v xml:space="preserve">Unloading no. 1795 Bill No 275 ,Deduction For Oil Deduction= 32901.2701904762 ,Bardana= 0 ,F.M= 0 Brokerage/Rate Difference 0 ,Shortage = 0 ,Greenish= 0 ,Moisture= </v>
      </c>
      <c r="BN1832" s="449"/>
      <c r="BO1832" s="449" t="str">
        <f t="shared" si="1401"/>
        <v xml:space="preserve"> Party Condition 42  ,F.M% 0.37 ,Greenish 2.88 ,Moisture 5.3 ,Shortage in KG= 0  ,Oil% 40.03</v>
      </c>
      <c r="BP1832" s="464">
        <f t="shared" si="1402"/>
        <v>7930.5709348697965</v>
      </c>
      <c r="BQ1832" s="449"/>
      <c r="BR1832" s="449"/>
      <c r="BS1832" s="449"/>
      <c r="BT1832" s="449"/>
      <c r="BU1832" s="449"/>
      <c r="BV1832" s="449"/>
      <c r="BW1832" s="449"/>
      <c r="BX1832" s="147">
        <v>40.1</v>
      </c>
      <c r="BY1832" s="147">
        <v>40.03</v>
      </c>
    </row>
    <row r="1833" spans="1:83" ht="14.1" hidden="1" customHeight="1" x14ac:dyDescent="0.3">
      <c r="A1833" s="128" t="s">
        <v>3823</v>
      </c>
      <c r="B1833" s="146">
        <v>46258</v>
      </c>
      <c r="C1833" s="281">
        <v>1796</v>
      </c>
      <c r="D1833" s="281" t="s">
        <v>3832</v>
      </c>
      <c r="E1833" s="129">
        <v>46260</v>
      </c>
      <c r="F1833" s="128" t="s">
        <v>95</v>
      </c>
      <c r="G1833" s="128" t="s">
        <v>96</v>
      </c>
      <c r="H1833" s="128" t="s">
        <v>97</v>
      </c>
      <c r="I1833" s="136"/>
      <c r="J1833" s="138" t="s">
        <v>2499</v>
      </c>
      <c r="K1833" s="136"/>
      <c r="L1833" s="146">
        <v>46258</v>
      </c>
      <c r="M1833" s="136"/>
      <c r="N1833" s="281">
        <v>276</v>
      </c>
      <c r="O1833" s="130">
        <v>46260</v>
      </c>
      <c r="P1833" s="138">
        <v>0</v>
      </c>
      <c r="Q1833" s="138">
        <v>20</v>
      </c>
      <c r="R1833" s="138">
        <v>120</v>
      </c>
      <c r="S1833" s="138">
        <v>140</v>
      </c>
      <c r="T1833" s="138">
        <v>140</v>
      </c>
      <c r="U1833" s="136"/>
      <c r="V1833" s="136"/>
      <c r="W1833" s="147">
        <v>83.9</v>
      </c>
      <c r="X1833" s="147">
        <v>83.7</v>
      </c>
      <c r="Y1833" s="169">
        <v>697292.9</v>
      </c>
      <c r="Z1833" s="165"/>
      <c r="AA1833" s="148">
        <v>17432.32</v>
      </c>
      <c r="AB1833" s="148">
        <v>17432.32</v>
      </c>
      <c r="AC1833" s="148">
        <v>732157.55</v>
      </c>
      <c r="AD1833" s="315">
        <f t="shared" si="1361"/>
        <v>731425.39245000004</v>
      </c>
      <c r="AE1833" s="147">
        <v>39.81</v>
      </c>
      <c r="AF1833" s="147">
        <v>42</v>
      </c>
      <c r="AG1833" s="147">
        <v>39.76</v>
      </c>
      <c r="AH1833" s="287">
        <v>3.5999999999999999E-3</v>
      </c>
      <c r="AI1833" s="287">
        <v>3.4799999999999998E-2</v>
      </c>
      <c r="AJ1833" s="287">
        <v>5.8000000000000003E-2</v>
      </c>
      <c r="AK1833" s="318">
        <f t="shared" si="1386"/>
        <v>37188.954666666701</v>
      </c>
      <c r="AL1833" s="467">
        <v>0</v>
      </c>
      <c r="AM1833" s="321">
        <v>0</v>
      </c>
      <c r="AN1833" s="321">
        <v>0</v>
      </c>
      <c r="AO1833" s="318">
        <f t="shared" si="1387"/>
        <v>249.33</v>
      </c>
      <c r="AP1833" s="467">
        <v>0</v>
      </c>
      <c r="AQ1833" s="318"/>
      <c r="AR1833" s="318">
        <f t="shared" si="1388"/>
        <v>37438.284666666703</v>
      </c>
      <c r="AS1833" s="318">
        <f t="shared" si="1389"/>
        <v>39310</v>
      </c>
      <c r="AT1833" s="321">
        <v>3</v>
      </c>
      <c r="AU1833" s="464"/>
      <c r="AV1833" s="449"/>
      <c r="AW1833" s="318">
        <f t="shared" si="1390"/>
        <v>8390</v>
      </c>
      <c r="AX1833" s="467"/>
      <c r="AY1833" s="318">
        <f t="shared" si="1391"/>
        <v>8390</v>
      </c>
      <c r="AZ1833" s="318">
        <f t="shared" si="1392"/>
        <v>8370</v>
      </c>
      <c r="BA1833" s="318">
        <f t="shared" si="1393"/>
        <v>20</v>
      </c>
      <c r="BB1833" s="318">
        <f t="shared" si="1394"/>
        <v>16.78</v>
      </c>
      <c r="BC1833" s="318">
        <v>0</v>
      </c>
      <c r="BD1833" s="467"/>
      <c r="BE1833" s="138">
        <v>83.9</v>
      </c>
      <c r="BF1833" s="321">
        <f t="shared" si="1395"/>
        <v>0.12585000000000002</v>
      </c>
      <c r="BG1833" s="321">
        <f t="shared" si="1396"/>
        <v>83.774150000000006</v>
      </c>
      <c r="BH1833" s="321">
        <f t="shared" si="1397"/>
        <v>83.7</v>
      </c>
      <c r="BI1833" s="322">
        <f t="shared" si="1398"/>
        <v>20.000000000000284</v>
      </c>
      <c r="BJ1833" s="322">
        <v>0</v>
      </c>
      <c r="BK1833" s="318">
        <f t="shared" si="1399"/>
        <v>20.000000000000284</v>
      </c>
      <c r="BL1833" s="449"/>
      <c r="BM1833" s="449" t="str">
        <f t="shared" si="1400"/>
        <v xml:space="preserve">Unloading no. 1796 Bill No 276 ,Deduction For Oil Deduction= 37188.9546666667 ,Bardana= 0 ,F.M= 0 Brokerage/Rate Difference 0 ,Shortage = 249.33 ,Greenish= 0 ,Moisture= </v>
      </c>
      <c r="BN1833" s="449"/>
      <c r="BO1833" s="449" t="str">
        <f t="shared" si="1401"/>
        <v xml:space="preserve"> Party Condition 42  ,F.M% 0.36 ,Greenish 3.48 ,Moisture 5.8 ,Shortage in KG= 3  ,Oil% 39.76</v>
      </c>
      <c r="BP1833" s="464">
        <f t="shared" si="1402"/>
        <v>7883.5676861808051</v>
      </c>
      <c r="BQ1833" s="449"/>
      <c r="BR1833" s="449"/>
      <c r="BS1833" s="449"/>
      <c r="BT1833" s="449"/>
      <c r="BU1833" s="449"/>
      <c r="BV1833" s="449"/>
      <c r="BW1833" s="449"/>
      <c r="BX1833" s="147">
        <v>39.81</v>
      </c>
      <c r="BY1833" s="147">
        <v>39.76</v>
      </c>
    </row>
    <row r="1834" spans="1:83" ht="14.1" hidden="1" customHeight="1" x14ac:dyDescent="0.3">
      <c r="A1834" s="128" t="s">
        <v>3836</v>
      </c>
      <c r="B1834" s="146">
        <v>46259</v>
      </c>
      <c r="C1834" s="281">
        <v>1797</v>
      </c>
      <c r="D1834" s="128" t="s">
        <v>3839</v>
      </c>
      <c r="E1834" s="129">
        <v>46261</v>
      </c>
      <c r="F1834" s="128" t="s">
        <v>3299</v>
      </c>
      <c r="G1834" s="128" t="s">
        <v>2630</v>
      </c>
      <c r="H1834" s="128" t="s">
        <v>1508</v>
      </c>
      <c r="I1834" s="136"/>
      <c r="J1834" s="138" t="s">
        <v>1146</v>
      </c>
      <c r="K1834" s="136"/>
      <c r="L1834" s="146">
        <v>46259</v>
      </c>
      <c r="M1834" s="136"/>
      <c r="N1834" s="281">
        <v>230</v>
      </c>
      <c r="O1834" s="146">
        <v>46260</v>
      </c>
      <c r="P1834" s="138">
        <v>0</v>
      </c>
      <c r="Q1834" s="138">
        <v>300</v>
      </c>
      <c r="R1834" s="138">
        <v>120</v>
      </c>
      <c r="S1834" s="138">
        <v>420</v>
      </c>
      <c r="T1834" s="138">
        <v>420</v>
      </c>
      <c r="U1834" s="136"/>
      <c r="V1834" s="136"/>
      <c r="W1834" s="147">
        <v>249.5</v>
      </c>
      <c r="X1834" s="147">
        <v>249.4</v>
      </c>
      <c r="Y1834" s="503">
        <f>2050890-19960</f>
        <v>2030930</v>
      </c>
      <c r="Z1834" s="236">
        <v>39.409999999999997</v>
      </c>
      <c r="AA1834" s="148">
        <v>51272.25</v>
      </c>
      <c r="AB1834" s="148">
        <v>51272.25</v>
      </c>
      <c r="AC1834" s="148">
        <v>2153434.5</v>
      </c>
      <c r="AD1834" s="321">
        <f t="shared" si="1361"/>
        <v>2151281.0655</v>
      </c>
      <c r="AE1834" s="236">
        <v>39.409999999999997</v>
      </c>
      <c r="AF1834" s="147">
        <v>42</v>
      </c>
      <c r="AG1834" s="236">
        <v>39.409999999999997</v>
      </c>
      <c r="AH1834" s="287">
        <v>2E-3</v>
      </c>
      <c r="AI1834" s="287">
        <v>3.2000000000000001E-2</v>
      </c>
      <c r="AJ1834" s="287">
        <v>5.8999999999999997E-2</v>
      </c>
      <c r="AK1834" s="318">
        <f t="shared" ref="AK1834:AK1849" si="1403">+IF(AF1834=42,IF(MIN(AE1834,AG1834)&lt;AF1834,Y1834*((AF1834-MIN(AE1834,AG1834))/AF1834)),IF(MIN(AE1834,AG1834)&lt;AF1834,Y1834*((AF1834-MIN(AE1834,AG1834))/AF1834),0))</f>
        <v>125240.68333333349</v>
      </c>
      <c r="AL1834" s="467">
        <v>0</v>
      </c>
      <c r="AM1834" s="321">
        <v>0</v>
      </c>
      <c r="AN1834" s="321">
        <v>0</v>
      </c>
      <c r="AO1834" s="318">
        <f t="shared" ref="AO1834:AO1849" si="1404">AT1834*Y1834/AW1834</f>
        <v>0</v>
      </c>
      <c r="AP1834" s="467">
        <v>0</v>
      </c>
      <c r="AQ1834" s="318"/>
      <c r="AR1834" s="318">
        <f t="shared" ref="AR1834:AR1849" si="1405">SUM(AK1834:AQ1834)</f>
        <v>125240.68333333349</v>
      </c>
      <c r="AS1834" s="318">
        <f t="shared" ref="AS1834:AS1849" si="1406">ROUND(AR1834*1.05,0)</f>
        <v>131503</v>
      </c>
      <c r="AT1834" s="321">
        <v>0</v>
      </c>
      <c r="AU1834" s="464"/>
      <c r="AV1834" s="449"/>
      <c r="AW1834" s="318">
        <f t="shared" ref="AW1834:AW1849" si="1407">W1834*100</f>
        <v>24950</v>
      </c>
      <c r="AX1834" s="467"/>
      <c r="AY1834" s="318">
        <f t="shared" ref="AY1834:AY1849" si="1408">+AW1834+AX1834</f>
        <v>24950</v>
      </c>
      <c r="AZ1834" s="318">
        <f t="shared" ref="AZ1834:AZ1849" si="1409">X1834*100</f>
        <v>24940</v>
      </c>
      <c r="BA1834" s="318">
        <f t="shared" ref="BA1834:BA1849" si="1410">AY1834-AZ1834</f>
        <v>10</v>
      </c>
      <c r="BB1834" s="318">
        <f t="shared" ref="BB1834:BB1849" si="1411">AW1834*2/1000</f>
        <v>49.9</v>
      </c>
      <c r="BC1834" s="318">
        <v>0</v>
      </c>
      <c r="BD1834" s="467"/>
      <c r="BE1834" s="138">
        <v>249.5</v>
      </c>
      <c r="BF1834" s="321">
        <f t="shared" ref="BF1834:BF1849" si="1412">+BE1834*0.15/100</f>
        <v>0.37424999999999997</v>
      </c>
      <c r="BG1834" s="321">
        <f t="shared" ref="BG1834:BG1849" si="1413">BE1834-BF1834</f>
        <v>249.12575000000001</v>
      </c>
      <c r="BH1834" s="321">
        <f t="shared" ref="BH1834:BH1849" si="1414">X1834</f>
        <v>249.4</v>
      </c>
      <c r="BI1834" s="322">
        <f t="shared" ref="BI1834:BI1849" si="1415">(BE1834-BH1834)*100</f>
        <v>9.9999999999994316</v>
      </c>
      <c r="BJ1834" s="322">
        <v>0</v>
      </c>
      <c r="BK1834" s="318">
        <f t="shared" ref="BK1834:BK1849" si="1416">BI1834</f>
        <v>9.9999999999994316</v>
      </c>
      <c r="BL1834" s="449"/>
      <c r="BM1834" s="449" t="str">
        <f t="shared" ref="BM1834:BM1849" si="1417">+$C$1&amp;" "&amp;C1834 &amp;" "&amp;$N$1&amp;" "&amp;N1834&amp;" "&amp;$BM$1&amp;" "&amp;$AK$1&amp;" "&amp;AK1834&amp;" "&amp;$AL$1&amp;" "&amp;AL1834&amp;" "&amp;$AM$1&amp;" "&amp;AM1834&amp;" "&amp;$AN$1&amp;" "&amp;AN1834&amp;" "&amp;$AO$1&amp;" "&amp;AO1834&amp;" "&amp;$AP$1&amp;" "&amp;AP1834&amp;" "&amp;$AQ$1&amp;" "&amp;AQ1834</f>
        <v xml:space="preserve">Unloading no. 1797 Bill No 230 ,Deduction For Oil Deduction= 125240.683333333 ,Bardana= 0 ,F.M= 0 Brokerage/Rate Difference 0 ,Shortage = 0 ,Greenish= 0 ,Moisture= </v>
      </c>
      <c r="BN1834" s="449"/>
      <c r="BO1834" s="449" t="str">
        <f t="shared" ref="BO1834:BO1849" si="1418">+" "&amp;$AF$1&amp;" "&amp;AF1834&amp;" "&amp;" "&amp;$AH$1&amp;" "&amp;AH1834*100&amp;" "&amp;$AI$1&amp;" "&amp;AI1834*100&amp;" "&amp;$AJ$1&amp;" "&amp;AJ1834*100&amp;" ,"&amp;$AT$1&amp;" "&amp;AT1834&amp;" "&amp;IF(AE1834&gt;AG1834," ,Oil%"&amp;" "&amp;AG1834," ,Oil%"&amp;" "&amp;AE1834)</f>
        <v xml:space="preserve"> Party Condition 42  ,F.M% 0.2 ,Greenish 3.2 ,Moisture 5.9 ,Shortage in KG= 0  ,Oil% 39.41</v>
      </c>
      <c r="BP1834" s="464">
        <f t="shared" ref="BP1834:BP1849" si="1419">(Y1834-AR1834)/X1834</f>
        <v>7641.0958968190316</v>
      </c>
      <c r="BQ1834" s="449"/>
      <c r="BR1834" s="449"/>
      <c r="BS1834" s="449"/>
      <c r="BT1834" s="449"/>
      <c r="BU1834" s="449"/>
      <c r="BV1834" s="449"/>
      <c r="BW1834" s="449"/>
      <c r="BX1834" s="500">
        <v>39.79</v>
      </c>
      <c r="BY1834" s="500">
        <v>39.79</v>
      </c>
    </row>
    <row r="1835" spans="1:83" ht="14.1" hidden="1" customHeight="1" x14ac:dyDescent="0.3">
      <c r="A1835" s="128" t="s">
        <v>3836</v>
      </c>
      <c r="B1835" s="146">
        <v>46259</v>
      </c>
      <c r="C1835" s="281">
        <v>1798</v>
      </c>
      <c r="D1835" s="128" t="s">
        <v>3840</v>
      </c>
      <c r="E1835" s="129">
        <v>46261</v>
      </c>
      <c r="F1835" s="128" t="s">
        <v>3299</v>
      </c>
      <c r="G1835" s="128" t="s">
        <v>2630</v>
      </c>
      <c r="H1835" s="128" t="s">
        <v>1508</v>
      </c>
      <c r="I1835" s="136"/>
      <c r="J1835" s="138" t="s">
        <v>1146</v>
      </c>
      <c r="K1835" s="136"/>
      <c r="L1835" s="146">
        <v>46259</v>
      </c>
      <c r="M1835" s="136"/>
      <c r="N1835" s="281">
        <v>232</v>
      </c>
      <c r="O1835" s="146">
        <v>46260</v>
      </c>
      <c r="P1835" s="138">
        <v>0</v>
      </c>
      <c r="Q1835" s="138">
        <v>270</v>
      </c>
      <c r="R1835" s="138">
        <v>67</v>
      </c>
      <c r="S1835" s="138">
        <v>337</v>
      </c>
      <c r="T1835" s="138">
        <v>337</v>
      </c>
      <c r="U1835" s="136"/>
      <c r="V1835" s="136"/>
      <c r="W1835" s="147">
        <v>199.8</v>
      </c>
      <c r="X1835" s="147">
        <v>200.1</v>
      </c>
      <c r="Y1835" s="503">
        <f>1642356-15984</f>
        <v>1626372</v>
      </c>
      <c r="Z1835" s="236">
        <v>38.85</v>
      </c>
      <c r="AA1835" s="148">
        <v>41058.9</v>
      </c>
      <c r="AB1835" s="148">
        <v>41058.9</v>
      </c>
      <c r="AC1835" s="148">
        <v>1724473.8</v>
      </c>
      <c r="AD1835" s="321">
        <f t="shared" si="1361"/>
        <v>1722749.3262</v>
      </c>
      <c r="AE1835" s="236">
        <v>38.85</v>
      </c>
      <c r="AF1835" s="147">
        <v>42</v>
      </c>
      <c r="AG1835" s="236">
        <v>38.85</v>
      </c>
      <c r="AH1835" s="287">
        <v>2.2000000000000001E-3</v>
      </c>
      <c r="AI1835" s="287">
        <v>3.4000000000000002E-2</v>
      </c>
      <c r="AJ1835" s="287">
        <v>5.8000000000000003E-2</v>
      </c>
      <c r="AK1835" s="318">
        <f t="shared" si="1403"/>
        <v>121977.89999999995</v>
      </c>
      <c r="AL1835" s="467">
        <v>0</v>
      </c>
      <c r="AM1835" s="321">
        <v>0</v>
      </c>
      <c r="AN1835" s="321">
        <v>0</v>
      </c>
      <c r="AO1835" s="318">
        <f t="shared" si="1404"/>
        <v>0</v>
      </c>
      <c r="AP1835" s="467">
        <v>0</v>
      </c>
      <c r="AQ1835" s="318"/>
      <c r="AR1835" s="318">
        <f t="shared" si="1405"/>
        <v>121977.89999999995</v>
      </c>
      <c r="AS1835" s="318">
        <f t="shared" si="1406"/>
        <v>128077</v>
      </c>
      <c r="AT1835" s="321">
        <v>0</v>
      </c>
      <c r="AU1835" s="464"/>
      <c r="AV1835" s="449"/>
      <c r="AW1835" s="318">
        <f t="shared" si="1407"/>
        <v>19980</v>
      </c>
      <c r="AX1835" s="467"/>
      <c r="AY1835" s="318">
        <f t="shared" si="1408"/>
        <v>19980</v>
      </c>
      <c r="AZ1835" s="318">
        <f t="shared" si="1409"/>
        <v>20010</v>
      </c>
      <c r="BA1835" s="318">
        <f t="shared" si="1410"/>
        <v>-30</v>
      </c>
      <c r="BB1835" s="318">
        <f t="shared" si="1411"/>
        <v>39.96</v>
      </c>
      <c r="BC1835" s="318">
        <v>0</v>
      </c>
      <c r="BD1835" s="467"/>
      <c r="BE1835" s="138">
        <v>199.8</v>
      </c>
      <c r="BF1835" s="321">
        <f t="shared" si="1412"/>
        <v>0.29969999999999997</v>
      </c>
      <c r="BG1835" s="321">
        <f t="shared" si="1413"/>
        <v>199.50030000000001</v>
      </c>
      <c r="BH1835" s="321">
        <f t="shared" si="1414"/>
        <v>200.1</v>
      </c>
      <c r="BI1835" s="322">
        <f t="shared" si="1415"/>
        <v>-29.999999999998295</v>
      </c>
      <c r="BJ1835" s="322">
        <v>0</v>
      </c>
      <c r="BK1835" s="318">
        <f t="shared" si="1416"/>
        <v>-29.999999999998295</v>
      </c>
      <c r="BL1835" s="449"/>
      <c r="BM1835" s="449" t="str">
        <f t="shared" si="1417"/>
        <v xml:space="preserve">Unloading no. 1798 Bill No 232 ,Deduction For Oil Deduction= 121977.9 ,Bardana= 0 ,F.M= 0 Brokerage/Rate Difference 0 ,Shortage = 0 ,Greenish= 0 ,Moisture= </v>
      </c>
      <c r="BN1835" s="449"/>
      <c r="BO1835" s="449" t="str">
        <f t="shared" si="1418"/>
        <v xml:space="preserve"> Party Condition 42  ,F.M% 0.22 ,Greenish 3.4 ,Moisture 5.8 ,Shortage in KG= 0  ,Oil% 38.85</v>
      </c>
      <c r="BP1835" s="464">
        <f t="shared" si="1419"/>
        <v>7518.2113943028489</v>
      </c>
      <c r="BQ1835" s="449"/>
      <c r="BR1835" s="449"/>
      <c r="BS1835" s="449"/>
      <c r="BT1835" s="449"/>
      <c r="BU1835" s="449"/>
      <c r="BV1835" s="449"/>
      <c r="BW1835" s="449"/>
      <c r="BX1835" s="500">
        <v>39.28</v>
      </c>
      <c r="BY1835" s="500">
        <v>39.270000000000003</v>
      </c>
    </row>
    <row r="1836" spans="1:83" ht="14.1" hidden="1" customHeight="1" x14ac:dyDescent="0.3">
      <c r="A1836" s="128" t="s">
        <v>3821</v>
      </c>
      <c r="B1836" s="146">
        <v>46258</v>
      </c>
      <c r="C1836" s="281">
        <v>1799</v>
      </c>
      <c r="D1836" s="128" t="s">
        <v>3841</v>
      </c>
      <c r="E1836" s="129">
        <v>46261</v>
      </c>
      <c r="F1836" s="128" t="s">
        <v>3833</v>
      </c>
      <c r="G1836" s="159" t="s">
        <v>1692</v>
      </c>
      <c r="H1836" s="128" t="s">
        <v>1384</v>
      </c>
      <c r="I1836" s="136"/>
      <c r="J1836" s="138" t="s">
        <v>2499</v>
      </c>
      <c r="K1836" s="136"/>
      <c r="L1836" s="146">
        <v>46258</v>
      </c>
      <c r="M1836" s="136"/>
      <c r="N1836" s="281">
        <v>431</v>
      </c>
      <c r="O1836" s="146">
        <v>46260</v>
      </c>
      <c r="P1836" s="138">
        <v>0</v>
      </c>
      <c r="Q1836" s="138">
        <v>0</v>
      </c>
      <c r="R1836" s="138">
        <v>500</v>
      </c>
      <c r="S1836" s="138">
        <v>500</v>
      </c>
      <c r="T1836" s="138">
        <v>500</v>
      </c>
      <c r="U1836" s="136"/>
      <c r="V1836" s="136"/>
      <c r="W1836" s="147">
        <v>307.75</v>
      </c>
      <c r="X1836" s="147">
        <v>307.60000000000002</v>
      </c>
      <c r="Y1836" s="169">
        <v>2569712.5</v>
      </c>
      <c r="Z1836" s="169"/>
      <c r="AA1836" s="148">
        <v>64242.81</v>
      </c>
      <c r="AB1836" s="148">
        <v>64242.81</v>
      </c>
      <c r="AC1836" s="148">
        <v>2698198.13</v>
      </c>
      <c r="AD1836" s="321">
        <f t="shared" si="1361"/>
        <v>2695499.93187</v>
      </c>
      <c r="AE1836" s="500">
        <v>39.86</v>
      </c>
      <c r="AF1836" s="147">
        <v>42</v>
      </c>
      <c r="AG1836" s="500">
        <v>39.950000000000003</v>
      </c>
      <c r="AH1836" s="287">
        <v>1.8E-3</v>
      </c>
      <c r="AI1836" s="287">
        <v>3.4000000000000002E-2</v>
      </c>
      <c r="AJ1836" s="287">
        <v>5.3100000000000001E-2</v>
      </c>
      <c r="AK1836" s="318">
        <f t="shared" si="1403"/>
        <v>130932.97023809527</v>
      </c>
      <c r="AL1836" s="467">
        <f>500*15</f>
        <v>7500</v>
      </c>
      <c r="AM1836" s="321">
        <f>Y1836*AH1836</f>
        <v>4625.4825000000001</v>
      </c>
      <c r="AN1836" s="321">
        <v>0</v>
      </c>
      <c r="AO1836" s="318">
        <f t="shared" si="1404"/>
        <v>1252.5</v>
      </c>
      <c r="AP1836" s="467">
        <v>0</v>
      </c>
      <c r="AQ1836" s="318">
        <f>Y1836*0.31/100</f>
        <v>7966.1087500000003</v>
      </c>
      <c r="AR1836" s="318">
        <f t="shared" si="1405"/>
        <v>152277.06148809529</v>
      </c>
      <c r="AS1836" s="318">
        <f t="shared" si="1406"/>
        <v>159891</v>
      </c>
      <c r="AT1836" s="321">
        <v>15</v>
      </c>
      <c r="AU1836" s="464"/>
      <c r="AV1836" s="449"/>
      <c r="AW1836" s="318">
        <f t="shared" si="1407"/>
        <v>30775</v>
      </c>
      <c r="AX1836" s="467"/>
      <c r="AY1836" s="318">
        <f t="shared" si="1408"/>
        <v>30775</v>
      </c>
      <c r="AZ1836" s="318">
        <f t="shared" si="1409"/>
        <v>30760.000000000004</v>
      </c>
      <c r="BA1836" s="318">
        <f t="shared" si="1410"/>
        <v>14.999999999996362</v>
      </c>
      <c r="BB1836" s="318">
        <f t="shared" si="1411"/>
        <v>61.55</v>
      </c>
      <c r="BC1836" s="318">
        <v>0</v>
      </c>
      <c r="BD1836" s="467"/>
      <c r="BE1836" s="138">
        <v>307.75</v>
      </c>
      <c r="BF1836" s="321">
        <f t="shared" si="1412"/>
        <v>0.46162500000000001</v>
      </c>
      <c r="BG1836" s="321">
        <f t="shared" si="1413"/>
        <v>307.28837499999997</v>
      </c>
      <c r="BH1836" s="321">
        <f t="shared" si="1414"/>
        <v>307.60000000000002</v>
      </c>
      <c r="BI1836" s="322">
        <f t="shared" si="1415"/>
        <v>14.999999999997726</v>
      </c>
      <c r="BJ1836" s="322">
        <v>0</v>
      </c>
      <c r="BK1836" s="318">
        <f t="shared" si="1416"/>
        <v>14.999999999997726</v>
      </c>
      <c r="BL1836" s="449"/>
      <c r="BM1836" s="449" t="str">
        <f t="shared" si="1417"/>
        <v>Unloading no. 1799 Bill No 431 ,Deduction For Oil Deduction= 130932.970238095 ,Bardana= 7500 ,F.M= 4625.4825 Brokerage/Rate Difference 0 ,Shortage = 1252.5 ,Greenish= 0 ,Moisture= 7966.10875</v>
      </c>
      <c r="BN1836" s="449"/>
      <c r="BO1836" s="449" t="str">
        <f t="shared" si="1418"/>
        <v xml:space="preserve"> Party Condition 42  ,F.M% 0.18 ,Greenish 3.4 ,Moisture 5.31 ,Shortage in KG= 15  ,Oil% 39.86</v>
      </c>
      <c r="BP1836" s="464">
        <f t="shared" si="1419"/>
        <v>7859.0228820282982</v>
      </c>
      <c r="BQ1836" s="449"/>
      <c r="BR1836" s="449"/>
      <c r="BS1836" s="449"/>
      <c r="BT1836" s="449"/>
      <c r="BU1836" s="449"/>
      <c r="BV1836" s="449"/>
      <c r="BW1836" s="449"/>
      <c r="BX1836" s="500">
        <v>39.86</v>
      </c>
      <c r="BY1836" s="500">
        <v>39.950000000000003</v>
      </c>
      <c r="CA1836" s="56">
        <v>154109.04999999999</v>
      </c>
      <c r="CB1836" s="90">
        <f>AS1836-CA1836</f>
        <v>5781.9500000000116</v>
      </c>
      <c r="CC1836" s="56">
        <f>CB1836/105%</f>
        <v>5506.6190476190586</v>
      </c>
      <c r="CD1836" s="56">
        <v>125426.44</v>
      </c>
      <c r="CE1836" s="90">
        <f>AK1836-CD1836</f>
        <v>5506.5302380952635</v>
      </c>
    </row>
    <row r="1837" spans="1:83" ht="14.1" hidden="1" customHeight="1" x14ac:dyDescent="0.3">
      <c r="A1837" s="128" t="s">
        <v>3836</v>
      </c>
      <c r="B1837" s="146">
        <v>46259</v>
      </c>
      <c r="C1837" s="281">
        <v>1800</v>
      </c>
      <c r="D1837" s="128" t="s">
        <v>3842</v>
      </c>
      <c r="E1837" s="129">
        <v>46261</v>
      </c>
      <c r="F1837" s="128" t="s">
        <v>3299</v>
      </c>
      <c r="G1837" s="128" t="s">
        <v>2630</v>
      </c>
      <c r="H1837" s="128" t="s">
        <v>1508</v>
      </c>
      <c r="I1837" s="136"/>
      <c r="J1837" s="138" t="s">
        <v>1146</v>
      </c>
      <c r="K1837" s="136"/>
      <c r="L1837" s="146">
        <v>46259</v>
      </c>
      <c r="M1837" s="136"/>
      <c r="N1837" s="281">
        <v>231</v>
      </c>
      <c r="O1837" s="146">
        <v>46260</v>
      </c>
      <c r="P1837" s="138">
        <v>0</v>
      </c>
      <c r="Q1837" s="138">
        <v>250</v>
      </c>
      <c r="R1837" s="138">
        <v>86</v>
      </c>
      <c r="S1837" s="138">
        <v>336</v>
      </c>
      <c r="T1837" s="138">
        <v>336</v>
      </c>
      <c r="U1837" s="136"/>
      <c r="V1837" s="136"/>
      <c r="W1837" s="147">
        <v>200.6</v>
      </c>
      <c r="X1837" s="147">
        <v>200.5</v>
      </c>
      <c r="Y1837" s="503">
        <f>1648932-16048</f>
        <v>1632884</v>
      </c>
      <c r="Z1837" s="236">
        <v>38.770000000000003</v>
      </c>
      <c r="AA1837" s="148">
        <v>41223.300000000003</v>
      </c>
      <c r="AB1837" s="148">
        <v>41223.300000000003</v>
      </c>
      <c r="AC1837" s="148">
        <v>1731378.6</v>
      </c>
      <c r="AD1837" s="321">
        <f t="shared" si="1361"/>
        <v>1729647.2214000002</v>
      </c>
      <c r="AE1837" s="236">
        <v>38.770000000000003</v>
      </c>
      <c r="AF1837" s="147">
        <v>42</v>
      </c>
      <c r="AG1837" s="236">
        <v>38.770000000000003</v>
      </c>
      <c r="AH1837" s="287">
        <v>2.3999999999999998E-3</v>
      </c>
      <c r="AI1837" s="287">
        <v>3.3000000000000002E-2</v>
      </c>
      <c r="AJ1837" s="287">
        <v>5.6000000000000001E-2</v>
      </c>
      <c r="AK1837" s="318">
        <f t="shared" si="1403"/>
        <v>125576.55523809513</v>
      </c>
      <c r="AL1837" s="467">
        <v>0</v>
      </c>
      <c r="AM1837" s="321">
        <v>0</v>
      </c>
      <c r="AN1837" s="321">
        <v>0</v>
      </c>
      <c r="AO1837" s="318">
        <f t="shared" si="1404"/>
        <v>0</v>
      </c>
      <c r="AP1837" s="467">
        <v>0</v>
      </c>
      <c r="AQ1837" s="318"/>
      <c r="AR1837" s="318">
        <f t="shared" si="1405"/>
        <v>125576.55523809513</v>
      </c>
      <c r="AS1837" s="318">
        <f t="shared" si="1406"/>
        <v>131855</v>
      </c>
      <c r="AT1837" s="321">
        <v>0</v>
      </c>
      <c r="AU1837" s="464"/>
      <c r="AV1837" s="449"/>
      <c r="AW1837" s="318">
        <f t="shared" si="1407"/>
        <v>20060</v>
      </c>
      <c r="AX1837" s="467"/>
      <c r="AY1837" s="318">
        <f t="shared" si="1408"/>
        <v>20060</v>
      </c>
      <c r="AZ1837" s="318">
        <f t="shared" si="1409"/>
        <v>20050</v>
      </c>
      <c r="BA1837" s="318">
        <f t="shared" si="1410"/>
        <v>10</v>
      </c>
      <c r="BB1837" s="318">
        <f t="shared" si="1411"/>
        <v>40.119999999999997</v>
      </c>
      <c r="BC1837" s="318">
        <v>0</v>
      </c>
      <c r="BD1837" s="467"/>
      <c r="BE1837" s="138">
        <v>200.6</v>
      </c>
      <c r="BF1837" s="321">
        <f t="shared" si="1412"/>
        <v>0.30089999999999995</v>
      </c>
      <c r="BG1837" s="321">
        <f t="shared" si="1413"/>
        <v>200.29909999999998</v>
      </c>
      <c r="BH1837" s="321">
        <f t="shared" si="1414"/>
        <v>200.5</v>
      </c>
      <c r="BI1837" s="322">
        <f t="shared" si="1415"/>
        <v>9.9999999999994316</v>
      </c>
      <c r="BJ1837" s="322">
        <v>0</v>
      </c>
      <c r="BK1837" s="318">
        <f t="shared" si="1416"/>
        <v>9.9999999999994316</v>
      </c>
      <c r="BL1837" s="449"/>
      <c r="BM1837" s="449" t="str">
        <f t="shared" si="1417"/>
        <v xml:space="preserve">Unloading no. 1800 Bill No 231 ,Deduction For Oil Deduction= 125576.555238095 ,Bardana= 0 ,F.M= 0 Brokerage/Rate Difference 0 ,Shortage = 0 ,Greenish= 0 ,Moisture= </v>
      </c>
      <c r="BN1837" s="449"/>
      <c r="BO1837" s="449" t="str">
        <f t="shared" si="1418"/>
        <v xml:space="preserve"> Party Condition 42  ,F.M% 0.24 ,Greenish 3.3 ,Moisture 5.6 ,Shortage in KG= 0  ,Oil% 38.77</v>
      </c>
      <c r="BP1837" s="464">
        <f t="shared" si="1419"/>
        <v>7517.7428666429169</v>
      </c>
      <c r="BQ1837" s="449"/>
      <c r="BR1837" s="449"/>
      <c r="BS1837" s="449"/>
      <c r="BT1837" s="449"/>
      <c r="BU1837" s="449"/>
      <c r="BV1837" s="449"/>
      <c r="BW1837" s="449"/>
      <c r="BX1837" s="500">
        <v>39.22</v>
      </c>
      <c r="BY1837" s="500">
        <v>39.479999999999997</v>
      </c>
    </row>
    <row r="1838" spans="1:83" ht="14.1" hidden="1" customHeight="1" x14ac:dyDescent="0.3">
      <c r="A1838" s="128" t="s">
        <v>3836</v>
      </c>
      <c r="B1838" s="146">
        <v>46259</v>
      </c>
      <c r="C1838" s="281">
        <v>1801</v>
      </c>
      <c r="D1838" s="128" t="s">
        <v>3843</v>
      </c>
      <c r="E1838" s="129">
        <v>46261</v>
      </c>
      <c r="F1838" s="128" t="s">
        <v>3299</v>
      </c>
      <c r="G1838" s="128" t="s">
        <v>2630</v>
      </c>
      <c r="H1838" s="128" t="s">
        <v>1508</v>
      </c>
      <c r="I1838" s="136"/>
      <c r="J1838" s="138" t="s">
        <v>1146</v>
      </c>
      <c r="K1838" s="136"/>
      <c r="L1838" s="146">
        <v>46259</v>
      </c>
      <c r="M1838" s="136"/>
      <c r="N1838" s="281">
        <v>233</v>
      </c>
      <c r="O1838" s="146">
        <v>46260</v>
      </c>
      <c r="P1838" s="138">
        <v>0</v>
      </c>
      <c r="Q1838" s="138">
        <v>430</v>
      </c>
      <c r="R1838" s="138">
        <v>75</v>
      </c>
      <c r="S1838" s="138">
        <v>505</v>
      </c>
      <c r="T1838" s="138">
        <v>505</v>
      </c>
      <c r="U1838" s="136"/>
      <c r="V1838" s="136"/>
      <c r="W1838" s="147">
        <v>299.60000000000002</v>
      </c>
      <c r="X1838" s="147">
        <v>298.60000000000002</v>
      </c>
      <c r="Y1838" s="503">
        <f>2462712-23968</f>
        <v>2438744</v>
      </c>
      <c r="Z1838" s="236">
        <v>39.47</v>
      </c>
      <c r="AA1838" s="148">
        <v>61567.8</v>
      </c>
      <c r="AB1838" s="148">
        <v>61567.8</v>
      </c>
      <c r="AC1838" s="148">
        <v>2585847.6</v>
      </c>
      <c r="AD1838" s="321">
        <f t="shared" si="1361"/>
        <v>2583261.7524000001</v>
      </c>
      <c r="AE1838" s="236">
        <v>39.47</v>
      </c>
      <c r="AF1838" s="147">
        <v>42</v>
      </c>
      <c r="AG1838" s="236">
        <v>39.47</v>
      </c>
      <c r="AH1838" s="287">
        <v>5.0000000000000001E-3</v>
      </c>
      <c r="AI1838" s="287">
        <v>5.33E-2</v>
      </c>
      <c r="AJ1838" s="287">
        <v>5.2999999999999999E-2</v>
      </c>
      <c r="AK1838" s="318">
        <f t="shared" si="1403"/>
        <v>146905.29333333339</v>
      </c>
      <c r="AL1838" s="467">
        <v>0</v>
      </c>
      <c r="AM1838" s="321">
        <v>0</v>
      </c>
      <c r="AN1838" s="321">
        <v>0</v>
      </c>
      <c r="AO1838" s="318">
        <f t="shared" si="1404"/>
        <v>3255.9999999999995</v>
      </c>
      <c r="AP1838" s="467">
        <v>0</v>
      </c>
      <c r="AQ1838" s="318"/>
      <c r="AR1838" s="318">
        <f t="shared" si="1405"/>
        <v>150161.29333333339</v>
      </c>
      <c r="AS1838" s="318">
        <f t="shared" si="1406"/>
        <v>157669</v>
      </c>
      <c r="AT1838" s="321">
        <v>40</v>
      </c>
      <c r="AU1838" s="464"/>
      <c r="AV1838" s="449"/>
      <c r="AW1838" s="318">
        <f t="shared" si="1407"/>
        <v>29960.000000000004</v>
      </c>
      <c r="AX1838" s="467"/>
      <c r="AY1838" s="318">
        <f t="shared" si="1408"/>
        <v>29960.000000000004</v>
      </c>
      <c r="AZ1838" s="318">
        <f t="shared" si="1409"/>
        <v>29860.000000000004</v>
      </c>
      <c r="BA1838" s="318">
        <f t="shared" si="1410"/>
        <v>100</v>
      </c>
      <c r="BB1838" s="318">
        <f t="shared" si="1411"/>
        <v>59.920000000000009</v>
      </c>
      <c r="BC1838" s="318">
        <v>0</v>
      </c>
      <c r="BD1838" s="467"/>
      <c r="BE1838" s="138">
        <v>299.60000000000002</v>
      </c>
      <c r="BF1838" s="321">
        <f t="shared" si="1412"/>
        <v>0.44940000000000002</v>
      </c>
      <c r="BG1838" s="321">
        <f t="shared" si="1413"/>
        <v>299.1506</v>
      </c>
      <c r="BH1838" s="321">
        <f t="shared" si="1414"/>
        <v>298.60000000000002</v>
      </c>
      <c r="BI1838" s="322">
        <f t="shared" si="1415"/>
        <v>100</v>
      </c>
      <c r="BJ1838" s="322">
        <v>0</v>
      </c>
      <c r="BK1838" s="318">
        <f t="shared" si="1416"/>
        <v>100</v>
      </c>
      <c r="BL1838" s="449"/>
      <c r="BM1838" s="449" t="str">
        <f t="shared" si="1417"/>
        <v xml:space="preserve">Unloading no. 1801 Bill No 233 ,Deduction For Oil Deduction= 146905.293333333 ,Bardana= 0 ,F.M= 0 Brokerage/Rate Difference 0 ,Shortage = 3256 ,Greenish= 0 ,Moisture= </v>
      </c>
      <c r="BN1838" s="449"/>
      <c r="BO1838" s="449" t="str">
        <f t="shared" si="1418"/>
        <v xml:space="preserve"> Party Condition 42  ,F.M% 0.5 ,Greenish 5.33 ,Moisture 5.3 ,Shortage in KG= 40  ,Oil% 39.47</v>
      </c>
      <c r="BP1838" s="464">
        <f t="shared" si="1419"/>
        <v>7664.3761107390037</v>
      </c>
      <c r="BQ1838" s="449"/>
      <c r="BR1838" s="449"/>
      <c r="BS1838" s="449"/>
      <c r="BT1838" s="449"/>
      <c r="BU1838" s="449"/>
      <c r="BV1838" s="449"/>
      <c r="BW1838" s="449"/>
      <c r="BX1838" s="500">
        <v>39.799999999999997</v>
      </c>
      <c r="BY1838" s="500">
        <v>39.9</v>
      </c>
    </row>
    <row r="1839" spans="1:83" ht="14.1" hidden="1" customHeight="1" x14ac:dyDescent="0.3">
      <c r="A1839" s="128" t="s">
        <v>3837</v>
      </c>
      <c r="B1839" s="146">
        <v>46259</v>
      </c>
      <c r="C1839" s="281">
        <v>1802</v>
      </c>
      <c r="D1839" s="128" t="s">
        <v>3844</v>
      </c>
      <c r="E1839" s="129">
        <v>46261</v>
      </c>
      <c r="F1839" s="128" t="s">
        <v>3833</v>
      </c>
      <c r="G1839" s="128" t="s">
        <v>1692</v>
      </c>
      <c r="H1839" s="128" t="s">
        <v>1384</v>
      </c>
      <c r="I1839" s="136"/>
      <c r="J1839" s="138" t="s">
        <v>2499</v>
      </c>
      <c r="K1839" s="136"/>
      <c r="L1839" s="146">
        <v>46259</v>
      </c>
      <c r="M1839" s="136"/>
      <c r="N1839" s="281">
        <v>432</v>
      </c>
      <c r="O1839" s="146">
        <v>46260</v>
      </c>
      <c r="P1839" s="138">
        <v>0</v>
      </c>
      <c r="Q1839" s="138">
        <v>504</v>
      </c>
      <c r="R1839" s="138">
        <v>100</v>
      </c>
      <c r="S1839" s="138">
        <v>604</v>
      </c>
      <c r="T1839" s="138">
        <v>604</v>
      </c>
      <c r="U1839" s="136"/>
      <c r="V1839" s="136"/>
      <c r="W1839" s="147">
        <v>362</v>
      </c>
      <c r="X1839" s="147">
        <v>360.5</v>
      </c>
      <c r="Y1839" s="169">
        <v>2990120</v>
      </c>
      <c r="Z1839" s="169"/>
      <c r="AA1839" s="148">
        <v>74753</v>
      </c>
      <c r="AB1839" s="148">
        <v>74753</v>
      </c>
      <c r="AC1839" s="148">
        <v>3139626</v>
      </c>
      <c r="AD1839" s="321">
        <f t="shared" si="1361"/>
        <v>3136486.3739999998</v>
      </c>
      <c r="AE1839" s="500">
        <v>39.229999999999997</v>
      </c>
      <c r="AF1839" s="147">
        <v>42</v>
      </c>
      <c r="AG1839" s="500">
        <v>39.26</v>
      </c>
      <c r="AH1839" s="287">
        <v>5.0000000000000001E-3</v>
      </c>
      <c r="AI1839" s="287">
        <v>3.5000000000000003E-2</v>
      </c>
      <c r="AJ1839" s="287">
        <v>5.8999999999999997E-2</v>
      </c>
      <c r="AK1839" s="318">
        <f t="shared" si="1403"/>
        <v>197205.53333333356</v>
      </c>
      <c r="AL1839" s="467">
        <v>0</v>
      </c>
      <c r="AM1839" s="321">
        <v>0</v>
      </c>
      <c r="AN1839" s="321">
        <v>0</v>
      </c>
      <c r="AO1839" s="318">
        <f t="shared" si="1404"/>
        <v>6442.8</v>
      </c>
      <c r="AP1839" s="467">
        <v>0</v>
      </c>
      <c r="AQ1839" s="318"/>
      <c r="AR1839" s="318">
        <f t="shared" si="1405"/>
        <v>203648.33333333355</v>
      </c>
      <c r="AS1839" s="318">
        <f t="shared" si="1406"/>
        <v>213831</v>
      </c>
      <c r="AT1839" s="321">
        <v>78</v>
      </c>
      <c r="AU1839" s="464"/>
      <c r="AV1839" s="449"/>
      <c r="AW1839" s="318">
        <f t="shared" si="1407"/>
        <v>36200</v>
      </c>
      <c r="AX1839" s="467"/>
      <c r="AY1839" s="318">
        <f t="shared" si="1408"/>
        <v>36200</v>
      </c>
      <c r="AZ1839" s="318">
        <f t="shared" si="1409"/>
        <v>36050</v>
      </c>
      <c r="BA1839" s="318">
        <f t="shared" si="1410"/>
        <v>150</v>
      </c>
      <c r="BB1839" s="318">
        <f t="shared" si="1411"/>
        <v>72.400000000000006</v>
      </c>
      <c r="BC1839" s="318">
        <v>0</v>
      </c>
      <c r="BD1839" s="467"/>
      <c r="BE1839" s="138">
        <v>362</v>
      </c>
      <c r="BF1839" s="321">
        <f t="shared" si="1412"/>
        <v>0.54299999999999993</v>
      </c>
      <c r="BG1839" s="321">
        <f t="shared" si="1413"/>
        <v>361.45699999999999</v>
      </c>
      <c r="BH1839" s="321">
        <f t="shared" si="1414"/>
        <v>360.5</v>
      </c>
      <c r="BI1839" s="322">
        <f t="shared" si="1415"/>
        <v>150</v>
      </c>
      <c r="BJ1839" s="322">
        <v>0</v>
      </c>
      <c r="BK1839" s="318">
        <f t="shared" si="1416"/>
        <v>150</v>
      </c>
      <c r="BL1839" s="449"/>
      <c r="BM1839" s="449" t="str">
        <f t="shared" si="1417"/>
        <v xml:space="preserve">Unloading no. 1802 Bill No 432 ,Deduction For Oil Deduction= 197205.533333334 ,Bardana= 0 ,F.M= 0 Brokerage/Rate Difference 0 ,Shortage = 6442.8 ,Greenish= 0 ,Moisture= </v>
      </c>
      <c r="BN1839" s="449"/>
      <c r="BO1839" s="449" t="str">
        <f t="shared" si="1418"/>
        <v xml:space="preserve"> Party Condition 42  ,F.M% 0.5 ,Greenish 3.5 ,Moisture 5.9 ,Shortage in KG= 78  ,Oil% 39.23</v>
      </c>
      <c r="BP1839" s="464">
        <f t="shared" si="1419"/>
        <v>7729.4637078132218</v>
      </c>
      <c r="BQ1839" s="449"/>
      <c r="BR1839" s="449"/>
      <c r="BS1839" s="449"/>
      <c r="BT1839" s="449"/>
      <c r="BU1839" s="449"/>
      <c r="BV1839" s="449"/>
      <c r="BW1839" s="449"/>
      <c r="BX1839" s="500">
        <v>39.229999999999997</v>
      </c>
      <c r="BY1839" s="500">
        <v>39.26</v>
      </c>
    </row>
    <row r="1840" spans="1:83" ht="14.1" hidden="1" customHeight="1" x14ac:dyDescent="0.3">
      <c r="A1840" s="128" t="s">
        <v>3836</v>
      </c>
      <c r="B1840" s="146">
        <v>46259</v>
      </c>
      <c r="C1840" s="281">
        <v>1803</v>
      </c>
      <c r="D1840" s="128" t="s">
        <v>3845</v>
      </c>
      <c r="E1840" s="129">
        <v>46261</v>
      </c>
      <c r="F1840" s="128" t="s">
        <v>3299</v>
      </c>
      <c r="G1840" s="128" t="s">
        <v>2630</v>
      </c>
      <c r="H1840" s="128" t="s">
        <v>1508</v>
      </c>
      <c r="I1840" s="136"/>
      <c r="J1840" s="138" t="s">
        <v>1146</v>
      </c>
      <c r="K1840" s="136"/>
      <c r="L1840" s="146">
        <v>46259</v>
      </c>
      <c r="M1840" s="136"/>
      <c r="N1840" s="281">
        <v>234</v>
      </c>
      <c r="O1840" s="146">
        <v>46260</v>
      </c>
      <c r="P1840" s="138">
        <v>0</v>
      </c>
      <c r="Q1840" s="138">
        <v>405</v>
      </c>
      <c r="R1840" s="138">
        <v>100</v>
      </c>
      <c r="S1840" s="138">
        <v>505</v>
      </c>
      <c r="T1840" s="138">
        <v>505</v>
      </c>
      <c r="U1840" s="136"/>
      <c r="V1840" s="136"/>
      <c r="W1840" s="147">
        <v>304.10000000000002</v>
      </c>
      <c r="X1840" s="147">
        <v>303.5</v>
      </c>
      <c r="Y1840" s="503">
        <f>2499702-24328</f>
        <v>2475374</v>
      </c>
      <c r="Z1840" s="236">
        <v>38.49</v>
      </c>
      <c r="AA1840" s="148">
        <v>62492.55</v>
      </c>
      <c r="AB1840" s="148">
        <v>62492.55</v>
      </c>
      <c r="AC1840" s="148">
        <v>2624687.1</v>
      </c>
      <c r="AD1840" s="321">
        <f t="shared" si="1361"/>
        <v>2622062.4128999999</v>
      </c>
      <c r="AE1840" s="236">
        <v>38.49</v>
      </c>
      <c r="AF1840" s="147">
        <v>42</v>
      </c>
      <c r="AG1840" s="236">
        <v>38.49</v>
      </c>
      <c r="AH1840" s="287">
        <v>4.0000000000000001E-3</v>
      </c>
      <c r="AI1840" s="287">
        <v>3.3500000000000002E-2</v>
      </c>
      <c r="AJ1840" s="287">
        <v>5.3999999999999999E-2</v>
      </c>
      <c r="AK1840" s="318">
        <f t="shared" si="1403"/>
        <v>206870.54142857131</v>
      </c>
      <c r="AL1840" s="467">
        <v>0</v>
      </c>
      <c r="AM1840" s="321">
        <v>0</v>
      </c>
      <c r="AN1840" s="321">
        <v>0</v>
      </c>
      <c r="AO1840" s="318">
        <f t="shared" si="1404"/>
        <v>0</v>
      </c>
      <c r="AP1840" s="467">
        <v>0</v>
      </c>
      <c r="AQ1840" s="318"/>
      <c r="AR1840" s="318">
        <f t="shared" si="1405"/>
        <v>206870.54142857131</v>
      </c>
      <c r="AS1840" s="318">
        <f t="shared" si="1406"/>
        <v>217214</v>
      </c>
      <c r="AT1840" s="321">
        <v>0</v>
      </c>
      <c r="AU1840" s="464"/>
      <c r="AV1840" s="449"/>
      <c r="AW1840" s="318">
        <f t="shared" si="1407"/>
        <v>30410.000000000004</v>
      </c>
      <c r="AX1840" s="467"/>
      <c r="AY1840" s="318">
        <f t="shared" si="1408"/>
        <v>30410.000000000004</v>
      </c>
      <c r="AZ1840" s="318">
        <f t="shared" si="1409"/>
        <v>30350</v>
      </c>
      <c r="BA1840" s="318">
        <f t="shared" si="1410"/>
        <v>60.000000000003638</v>
      </c>
      <c r="BB1840" s="318">
        <f t="shared" si="1411"/>
        <v>60.820000000000007</v>
      </c>
      <c r="BC1840" s="318">
        <v>0</v>
      </c>
      <c r="BD1840" s="467"/>
      <c r="BE1840" s="138">
        <v>304.10000000000002</v>
      </c>
      <c r="BF1840" s="321">
        <f t="shared" si="1412"/>
        <v>0.45615</v>
      </c>
      <c r="BG1840" s="321">
        <f t="shared" si="1413"/>
        <v>303.64385000000004</v>
      </c>
      <c r="BH1840" s="321">
        <f t="shared" si="1414"/>
        <v>303.5</v>
      </c>
      <c r="BI1840" s="322">
        <f t="shared" si="1415"/>
        <v>60.000000000002274</v>
      </c>
      <c r="BJ1840" s="322">
        <v>0</v>
      </c>
      <c r="BK1840" s="318">
        <f t="shared" si="1416"/>
        <v>60.000000000002274</v>
      </c>
      <c r="BL1840" s="449"/>
      <c r="BM1840" s="449" t="str">
        <f t="shared" si="1417"/>
        <v xml:space="preserve">Unloading no. 1803 Bill No 234 ,Deduction For Oil Deduction= 206870.541428571 ,Bardana= 0 ,F.M= 0 Brokerage/Rate Difference 0 ,Shortage = 0 ,Greenish= 0 ,Moisture= </v>
      </c>
      <c r="BN1840" s="449"/>
      <c r="BO1840" s="449" t="str">
        <f t="shared" si="1418"/>
        <v xml:space="preserve"> Party Condition 42  ,F.M% 0.4 ,Greenish 3.35 ,Moisture 5.4 ,Shortage in KG= 0  ,Oil% 38.49</v>
      </c>
      <c r="BP1840" s="464">
        <f t="shared" si="1419"/>
        <v>7474.4759755236537</v>
      </c>
      <c r="BQ1840" s="449"/>
      <c r="BR1840" s="449"/>
      <c r="BS1840" s="449"/>
      <c r="BT1840" s="449"/>
      <c r="BU1840" s="449"/>
      <c r="BV1840" s="449"/>
      <c r="BW1840" s="449"/>
      <c r="BX1840" s="500">
        <v>38.46</v>
      </c>
      <c r="BY1840" s="500">
        <v>38.76</v>
      </c>
    </row>
    <row r="1841" spans="1:77" ht="14.1" hidden="1" customHeight="1" x14ac:dyDescent="0.3">
      <c r="A1841" s="128" t="s">
        <v>3837</v>
      </c>
      <c r="B1841" s="146">
        <v>46259</v>
      </c>
      <c r="C1841" s="281">
        <v>1804</v>
      </c>
      <c r="D1841" s="128" t="s">
        <v>3846</v>
      </c>
      <c r="E1841" s="129">
        <v>46261</v>
      </c>
      <c r="F1841" s="128" t="s">
        <v>3833</v>
      </c>
      <c r="G1841" s="128" t="s">
        <v>1692</v>
      </c>
      <c r="H1841" s="128" t="s">
        <v>1384</v>
      </c>
      <c r="I1841" s="136"/>
      <c r="J1841" s="138" t="s">
        <v>2499</v>
      </c>
      <c r="K1841" s="136"/>
      <c r="L1841" s="146">
        <v>46259</v>
      </c>
      <c r="M1841" s="136"/>
      <c r="N1841" s="281">
        <v>434</v>
      </c>
      <c r="O1841" s="146">
        <v>46260</v>
      </c>
      <c r="P1841" s="138">
        <v>0</v>
      </c>
      <c r="Q1841" s="138">
        <v>50</v>
      </c>
      <c r="R1841" s="138">
        <v>375</v>
      </c>
      <c r="S1841" s="138">
        <v>425</v>
      </c>
      <c r="T1841" s="138">
        <v>425</v>
      </c>
      <c r="U1841" s="136"/>
      <c r="V1841" s="136"/>
      <c r="W1841" s="147">
        <v>258.75</v>
      </c>
      <c r="X1841" s="147">
        <v>258.39999999999998</v>
      </c>
      <c r="Y1841" s="169">
        <v>2137275</v>
      </c>
      <c r="Z1841" s="169"/>
      <c r="AA1841" s="148">
        <v>53431.88</v>
      </c>
      <c r="AB1841" s="148">
        <v>53431.88</v>
      </c>
      <c r="AC1841" s="148">
        <v>2244138.75</v>
      </c>
      <c r="AD1841" s="321">
        <f t="shared" si="1361"/>
        <v>2241894.6112500001</v>
      </c>
      <c r="AE1841" s="500">
        <v>40.49</v>
      </c>
      <c r="AF1841" s="147">
        <v>42</v>
      </c>
      <c r="AG1841" s="500">
        <v>40.47</v>
      </c>
      <c r="AH1841" s="287">
        <v>2.3999999999999998E-3</v>
      </c>
      <c r="AI1841" s="287">
        <v>0.04</v>
      </c>
      <c r="AJ1841" s="287">
        <v>5.8999999999999997E-2</v>
      </c>
      <c r="AK1841" s="318">
        <f t="shared" si="1403"/>
        <v>77857.875000000058</v>
      </c>
      <c r="AL1841" s="467">
        <v>0</v>
      </c>
      <c r="AM1841" s="321">
        <v>0</v>
      </c>
      <c r="AN1841" s="321">
        <v>0</v>
      </c>
      <c r="AO1841" s="318">
        <f t="shared" si="1404"/>
        <v>0</v>
      </c>
      <c r="AP1841" s="467">
        <v>0</v>
      </c>
      <c r="AQ1841" s="318"/>
      <c r="AR1841" s="318">
        <f t="shared" si="1405"/>
        <v>77857.875000000058</v>
      </c>
      <c r="AS1841" s="318">
        <f t="shared" si="1406"/>
        <v>81751</v>
      </c>
      <c r="AT1841" s="321">
        <v>0</v>
      </c>
      <c r="AU1841" s="464"/>
      <c r="AV1841" s="449"/>
      <c r="AW1841" s="318">
        <f t="shared" si="1407"/>
        <v>25875</v>
      </c>
      <c r="AX1841" s="467"/>
      <c r="AY1841" s="318">
        <f t="shared" si="1408"/>
        <v>25875</v>
      </c>
      <c r="AZ1841" s="318">
        <f t="shared" si="1409"/>
        <v>25839.999999999996</v>
      </c>
      <c r="BA1841" s="318">
        <f t="shared" si="1410"/>
        <v>35.000000000003638</v>
      </c>
      <c r="BB1841" s="318">
        <f t="shared" si="1411"/>
        <v>51.75</v>
      </c>
      <c r="BC1841" s="318">
        <v>0</v>
      </c>
      <c r="BD1841" s="467"/>
      <c r="BE1841" s="138">
        <v>258.75</v>
      </c>
      <c r="BF1841" s="321">
        <f t="shared" si="1412"/>
        <v>0.388125</v>
      </c>
      <c r="BG1841" s="321">
        <f t="shared" si="1413"/>
        <v>258.361875</v>
      </c>
      <c r="BH1841" s="321">
        <f t="shared" si="1414"/>
        <v>258.39999999999998</v>
      </c>
      <c r="BI1841" s="322">
        <f t="shared" si="1415"/>
        <v>35.000000000002274</v>
      </c>
      <c r="BJ1841" s="322">
        <v>0</v>
      </c>
      <c r="BK1841" s="318">
        <f t="shared" si="1416"/>
        <v>35.000000000002274</v>
      </c>
      <c r="BL1841" s="449"/>
      <c r="BM1841" s="449" t="str">
        <f t="shared" si="1417"/>
        <v xml:space="preserve">Unloading no. 1804 Bill No 434 ,Deduction For Oil Deduction= 77857.8750000001 ,Bardana= 0 ,F.M= 0 Brokerage/Rate Difference 0 ,Shortage = 0 ,Greenish= 0 ,Moisture= </v>
      </c>
      <c r="BN1841" s="449"/>
      <c r="BO1841" s="449" t="str">
        <f t="shared" si="1418"/>
        <v xml:space="preserve"> Party Condition 42  ,F.M% 0.24 ,Greenish 4 ,Moisture 5.9 ,Shortage in KG= 0  ,Oil% 40.47</v>
      </c>
      <c r="BP1841" s="464">
        <f t="shared" si="1419"/>
        <v>7969.8805147058829</v>
      </c>
      <c r="BQ1841" s="449"/>
      <c r="BR1841" s="449"/>
      <c r="BS1841" s="449"/>
      <c r="BT1841" s="449"/>
      <c r="BU1841" s="449"/>
      <c r="BV1841" s="449"/>
      <c r="BW1841" s="449"/>
      <c r="BX1841" s="500">
        <v>40.49</v>
      </c>
      <c r="BY1841" s="500">
        <v>40.47</v>
      </c>
    </row>
    <row r="1842" spans="1:77" ht="14.1" hidden="1" customHeight="1" x14ac:dyDescent="0.3">
      <c r="A1842" s="128" t="s">
        <v>3621</v>
      </c>
      <c r="B1842" s="146">
        <v>46252</v>
      </c>
      <c r="C1842" s="281">
        <v>1805</v>
      </c>
      <c r="D1842" s="128" t="s">
        <v>3847</v>
      </c>
      <c r="E1842" s="129">
        <v>46261</v>
      </c>
      <c r="F1842" s="128" t="s">
        <v>3636</v>
      </c>
      <c r="G1842" s="128" t="s">
        <v>3637</v>
      </c>
      <c r="H1842" s="128" t="s">
        <v>2081</v>
      </c>
      <c r="I1842" s="136"/>
      <c r="J1842" s="138" t="s">
        <v>1146</v>
      </c>
      <c r="K1842" s="136"/>
      <c r="L1842" s="146">
        <v>46252</v>
      </c>
      <c r="M1842" s="136"/>
      <c r="N1842" s="281" t="s">
        <v>3855</v>
      </c>
      <c r="O1842" s="146">
        <v>46261</v>
      </c>
      <c r="P1842" s="138">
        <v>0</v>
      </c>
      <c r="Q1842" s="138">
        <v>120</v>
      </c>
      <c r="R1842" s="138">
        <v>50</v>
      </c>
      <c r="S1842" s="138">
        <v>170</v>
      </c>
      <c r="T1842" s="138">
        <v>170</v>
      </c>
      <c r="U1842" s="136"/>
      <c r="V1842" s="136"/>
      <c r="W1842" s="147">
        <v>102.8</v>
      </c>
      <c r="X1842" s="147">
        <v>102.6</v>
      </c>
      <c r="Y1842" s="169">
        <v>827540</v>
      </c>
      <c r="Z1842" s="169"/>
      <c r="AA1842" s="148">
        <v>20688.5</v>
      </c>
      <c r="AB1842" s="148">
        <v>20688.5</v>
      </c>
      <c r="AC1842" s="148">
        <v>868917</v>
      </c>
      <c r="AD1842" s="321">
        <f t="shared" si="1361"/>
        <v>868048.08299999998</v>
      </c>
      <c r="AE1842" s="501">
        <v>39.520000000000003</v>
      </c>
      <c r="AF1842" s="147">
        <v>39.85</v>
      </c>
      <c r="AG1842" s="501">
        <v>39.5</v>
      </c>
      <c r="AH1842" s="287">
        <v>1.6000000000000001E-3</v>
      </c>
      <c r="AI1842" s="287">
        <v>2.7199999999999998E-2</v>
      </c>
      <c r="AJ1842" s="287">
        <v>5.1999999999999998E-2</v>
      </c>
      <c r="AK1842" s="318">
        <f t="shared" si="1403"/>
        <v>7268.2308657465792</v>
      </c>
      <c r="AL1842" s="467">
        <v>0</v>
      </c>
      <c r="AM1842" s="321">
        <v>0</v>
      </c>
      <c r="AN1842" s="321">
        <v>0</v>
      </c>
      <c r="AO1842" s="318">
        <f t="shared" si="1404"/>
        <v>0</v>
      </c>
      <c r="AP1842" s="467">
        <v>0</v>
      </c>
      <c r="AQ1842" s="318"/>
      <c r="AR1842" s="318">
        <f t="shared" si="1405"/>
        <v>7268.2308657465792</v>
      </c>
      <c r="AS1842" s="318">
        <f t="shared" si="1406"/>
        <v>7632</v>
      </c>
      <c r="AT1842" s="321">
        <v>0</v>
      </c>
      <c r="AU1842" s="464"/>
      <c r="AV1842" s="449"/>
      <c r="AW1842" s="318">
        <f t="shared" si="1407"/>
        <v>10280</v>
      </c>
      <c r="AX1842" s="467"/>
      <c r="AY1842" s="318">
        <f t="shared" si="1408"/>
        <v>10280</v>
      </c>
      <c r="AZ1842" s="318">
        <f t="shared" si="1409"/>
        <v>10260</v>
      </c>
      <c r="BA1842" s="318">
        <f t="shared" si="1410"/>
        <v>20</v>
      </c>
      <c r="BB1842" s="318">
        <f t="shared" si="1411"/>
        <v>20.56</v>
      </c>
      <c r="BC1842" s="318">
        <v>0</v>
      </c>
      <c r="BD1842" s="467"/>
      <c r="BE1842" s="138">
        <v>102.8</v>
      </c>
      <c r="BF1842" s="321">
        <f t="shared" si="1412"/>
        <v>0.15419999999999998</v>
      </c>
      <c r="BG1842" s="321">
        <f t="shared" si="1413"/>
        <v>102.64579999999999</v>
      </c>
      <c r="BH1842" s="321">
        <f t="shared" si="1414"/>
        <v>102.6</v>
      </c>
      <c r="BI1842" s="322">
        <f t="shared" si="1415"/>
        <v>20.000000000000284</v>
      </c>
      <c r="BJ1842" s="322">
        <v>0</v>
      </c>
      <c r="BK1842" s="318">
        <f t="shared" si="1416"/>
        <v>20.000000000000284</v>
      </c>
      <c r="BL1842" s="449"/>
      <c r="BM1842" s="449" t="str">
        <f t="shared" si="1417"/>
        <v xml:space="preserve">Unloading no. 1805 Bill No RJT849/2026-27 ,Deduction For Oil Deduction= 7268.23086574658 ,Bardana= 0 ,F.M= 0 Brokerage/Rate Difference 0 ,Shortage = 0 ,Greenish= 0 ,Moisture= </v>
      </c>
      <c r="BN1842" s="449"/>
      <c r="BO1842" s="449" t="str">
        <f t="shared" si="1418"/>
        <v xml:space="preserve"> Party Condition 39.85  ,F.M% 0.16 ,Greenish 2.72 ,Moisture 5.2 ,Shortage in KG= 0  ,Oil% 39.5</v>
      </c>
      <c r="BP1842" s="464">
        <f t="shared" si="1419"/>
        <v>7994.8515510161151</v>
      </c>
      <c r="BQ1842" s="449"/>
      <c r="BR1842" s="449"/>
      <c r="BS1842" s="449"/>
      <c r="BT1842" s="449"/>
      <c r="BU1842" s="449"/>
      <c r="BV1842" s="449"/>
      <c r="BW1842" s="449"/>
      <c r="BX1842" s="501">
        <v>39.520000000000003</v>
      </c>
      <c r="BY1842" s="501">
        <v>39.5</v>
      </c>
    </row>
    <row r="1843" spans="1:77" ht="14.1" hidden="1" customHeight="1" x14ac:dyDescent="0.3">
      <c r="A1843" s="128" t="s">
        <v>3621</v>
      </c>
      <c r="B1843" s="146">
        <v>46252</v>
      </c>
      <c r="C1843" s="281">
        <v>1806</v>
      </c>
      <c r="D1843" s="128" t="s">
        <v>3848</v>
      </c>
      <c r="E1843" s="129">
        <v>46261</v>
      </c>
      <c r="F1843" s="128" t="s">
        <v>3636</v>
      </c>
      <c r="G1843" s="128" t="s">
        <v>3637</v>
      </c>
      <c r="H1843" s="128" t="s">
        <v>2081</v>
      </c>
      <c r="I1843" s="136"/>
      <c r="J1843" s="138" t="s">
        <v>1146</v>
      </c>
      <c r="K1843" s="136"/>
      <c r="L1843" s="146">
        <v>46252</v>
      </c>
      <c r="M1843" s="136"/>
      <c r="N1843" s="281" t="s">
        <v>3856</v>
      </c>
      <c r="O1843" s="146">
        <v>46261</v>
      </c>
      <c r="P1843" s="138">
        <v>0</v>
      </c>
      <c r="Q1843" s="138">
        <v>150</v>
      </c>
      <c r="R1843" s="138">
        <v>30</v>
      </c>
      <c r="S1843" s="138">
        <v>180</v>
      </c>
      <c r="T1843" s="138">
        <v>180</v>
      </c>
      <c r="U1843" s="136"/>
      <c r="V1843" s="136"/>
      <c r="W1843" s="147">
        <v>109.1</v>
      </c>
      <c r="X1843" s="147">
        <v>109.1</v>
      </c>
      <c r="Y1843" s="169">
        <v>878255</v>
      </c>
      <c r="Z1843" s="169"/>
      <c r="AA1843" s="148">
        <v>21956.38</v>
      </c>
      <c r="AB1843" s="148">
        <v>21956.38</v>
      </c>
      <c r="AC1843" s="148">
        <v>922167.75</v>
      </c>
      <c r="AD1843" s="321">
        <f t="shared" si="1361"/>
        <v>921245.58224999998</v>
      </c>
      <c r="AE1843" s="501">
        <v>40.090000000000003</v>
      </c>
      <c r="AF1843" s="147">
        <v>39.85</v>
      </c>
      <c r="AG1843" s="501">
        <v>40.1</v>
      </c>
      <c r="AH1843" s="287">
        <v>1.8E-3</v>
      </c>
      <c r="AI1843" s="287">
        <v>2.2499999999999999E-2</v>
      </c>
      <c r="AJ1843" s="287">
        <v>0.05</v>
      </c>
      <c r="AK1843" s="318">
        <f t="shared" si="1403"/>
        <v>0</v>
      </c>
      <c r="AL1843" s="467">
        <v>0</v>
      </c>
      <c r="AM1843" s="321">
        <v>0</v>
      </c>
      <c r="AN1843" s="321">
        <v>0</v>
      </c>
      <c r="AO1843" s="318">
        <f t="shared" si="1404"/>
        <v>0</v>
      </c>
      <c r="AP1843" s="467">
        <v>0</v>
      </c>
      <c r="AQ1843" s="318"/>
      <c r="AR1843" s="318">
        <f t="shared" si="1405"/>
        <v>0</v>
      </c>
      <c r="AS1843" s="318">
        <f t="shared" si="1406"/>
        <v>0</v>
      </c>
      <c r="AT1843" s="321">
        <v>0</v>
      </c>
      <c r="AU1843" s="464"/>
      <c r="AV1843" s="449"/>
      <c r="AW1843" s="318">
        <f t="shared" si="1407"/>
        <v>10910</v>
      </c>
      <c r="AX1843" s="467"/>
      <c r="AY1843" s="318">
        <f t="shared" si="1408"/>
        <v>10910</v>
      </c>
      <c r="AZ1843" s="318">
        <f t="shared" si="1409"/>
        <v>10910</v>
      </c>
      <c r="BA1843" s="318">
        <f t="shared" si="1410"/>
        <v>0</v>
      </c>
      <c r="BB1843" s="318">
        <f t="shared" si="1411"/>
        <v>21.82</v>
      </c>
      <c r="BC1843" s="318">
        <v>0</v>
      </c>
      <c r="BD1843" s="467"/>
      <c r="BE1843" s="138">
        <v>109.1</v>
      </c>
      <c r="BF1843" s="321">
        <f t="shared" si="1412"/>
        <v>0.16364999999999999</v>
      </c>
      <c r="BG1843" s="321">
        <f t="shared" si="1413"/>
        <v>108.93634999999999</v>
      </c>
      <c r="BH1843" s="321">
        <f t="shared" si="1414"/>
        <v>109.1</v>
      </c>
      <c r="BI1843" s="322">
        <f t="shared" si="1415"/>
        <v>0</v>
      </c>
      <c r="BJ1843" s="322">
        <v>0</v>
      </c>
      <c r="BK1843" s="318">
        <f t="shared" si="1416"/>
        <v>0</v>
      </c>
      <c r="BL1843" s="449"/>
      <c r="BM1843" s="449" t="str">
        <f t="shared" si="1417"/>
        <v xml:space="preserve">Unloading no. 1806 Bill No RJT851/2026-27 ,Deduction For Oil Deduction= 0 ,Bardana= 0 ,F.M= 0 Brokerage/Rate Difference 0 ,Shortage = 0 ,Greenish= 0 ,Moisture= </v>
      </c>
      <c r="BN1843" s="449"/>
      <c r="BO1843" s="449" t="str">
        <f t="shared" si="1418"/>
        <v xml:space="preserve"> Party Condition 39.85  ,F.M% 0.18 ,Greenish 2.25 ,Moisture 5 ,Shortage in KG= 0  ,Oil% 40.09</v>
      </c>
      <c r="BP1843" s="464">
        <f t="shared" si="1419"/>
        <v>8050</v>
      </c>
      <c r="BQ1843" s="449"/>
      <c r="BR1843" s="449"/>
      <c r="BS1843" s="449"/>
      <c r="BT1843" s="449"/>
      <c r="BU1843" s="449"/>
      <c r="BV1843" s="449"/>
      <c r="BW1843" s="449"/>
      <c r="BX1843" s="501">
        <v>40.090000000000003</v>
      </c>
      <c r="BY1843" s="501">
        <v>40.1</v>
      </c>
    </row>
    <row r="1844" spans="1:77" ht="14.1" hidden="1" customHeight="1" x14ac:dyDescent="0.3">
      <c r="A1844" s="128" t="s">
        <v>3621</v>
      </c>
      <c r="B1844" s="146">
        <v>46252</v>
      </c>
      <c r="C1844" s="281">
        <v>1807</v>
      </c>
      <c r="D1844" s="128" t="s">
        <v>3849</v>
      </c>
      <c r="E1844" s="129">
        <v>46261</v>
      </c>
      <c r="F1844" s="128" t="s">
        <v>3636</v>
      </c>
      <c r="G1844" s="128" t="s">
        <v>3637</v>
      </c>
      <c r="H1844" s="128" t="s">
        <v>2081</v>
      </c>
      <c r="I1844" s="136"/>
      <c r="J1844" s="138" t="s">
        <v>1146</v>
      </c>
      <c r="K1844" s="136"/>
      <c r="L1844" s="146">
        <v>46252</v>
      </c>
      <c r="M1844" s="136"/>
      <c r="N1844" s="281" t="s">
        <v>3857</v>
      </c>
      <c r="O1844" s="146">
        <v>46261</v>
      </c>
      <c r="P1844" s="138">
        <v>0</v>
      </c>
      <c r="Q1844" s="138">
        <v>110</v>
      </c>
      <c r="R1844" s="138">
        <v>60</v>
      </c>
      <c r="S1844" s="138">
        <v>170</v>
      </c>
      <c r="T1844" s="138">
        <v>170</v>
      </c>
      <c r="U1844" s="136"/>
      <c r="V1844" s="136"/>
      <c r="W1844" s="147">
        <v>103.1</v>
      </c>
      <c r="X1844" s="147">
        <v>102.8</v>
      </c>
      <c r="Y1844" s="169">
        <v>829955</v>
      </c>
      <c r="Z1844" s="165"/>
      <c r="AA1844" s="148">
        <v>20748.88</v>
      </c>
      <c r="AB1844" s="148">
        <v>20748.88</v>
      </c>
      <c r="AC1844" s="148">
        <v>871452.75</v>
      </c>
      <c r="AD1844" s="321">
        <f t="shared" si="1361"/>
        <v>870581.29724999995</v>
      </c>
      <c r="AE1844" s="501">
        <v>39.700000000000003</v>
      </c>
      <c r="AF1844" s="147">
        <v>39.85</v>
      </c>
      <c r="AG1844" s="501">
        <v>39.69</v>
      </c>
      <c r="AH1844" s="287">
        <v>1.5E-3</v>
      </c>
      <c r="AI1844" s="287">
        <v>2.86E-2</v>
      </c>
      <c r="AJ1844" s="287">
        <v>5.2999999999999999E-2</v>
      </c>
      <c r="AK1844" s="318">
        <f t="shared" si="1403"/>
        <v>3332.316185696438</v>
      </c>
      <c r="AL1844" s="467">
        <v>0</v>
      </c>
      <c r="AM1844" s="321">
        <v>0</v>
      </c>
      <c r="AN1844" s="321">
        <v>0</v>
      </c>
      <c r="AO1844" s="318">
        <f t="shared" si="1404"/>
        <v>0</v>
      </c>
      <c r="AP1844" s="467">
        <v>0</v>
      </c>
      <c r="AQ1844" s="318"/>
      <c r="AR1844" s="318">
        <f t="shared" si="1405"/>
        <v>3332.316185696438</v>
      </c>
      <c r="AS1844" s="318">
        <f t="shared" si="1406"/>
        <v>3499</v>
      </c>
      <c r="AT1844" s="321">
        <v>0</v>
      </c>
      <c r="AU1844" s="464"/>
      <c r="AV1844" s="449"/>
      <c r="AW1844" s="318">
        <f t="shared" si="1407"/>
        <v>10310</v>
      </c>
      <c r="AX1844" s="467"/>
      <c r="AY1844" s="318">
        <f t="shared" si="1408"/>
        <v>10310</v>
      </c>
      <c r="AZ1844" s="318">
        <f t="shared" si="1409"/>
        <v>10280</v>
      </c>
      <c r="BA1844" s="318">
        <f t="shared" si="1410"/>
        <v>30</v>
      </c>
      <c r="BB1844" s="318">
        <f t="shared" si="1411"/>
        <v>20.62</v>
      </c>
      <c r="BC1844" s="318">
        <v>0</v>
      </c>
      <c r="BD1844" s="467"/>
      <c r="BE1844" s="138">
        <v>103.1</v>
      </c>
      <c r="BF1844" s="321">
        <f t="shared" si="1412"/>
        <v>0.15464999999999998</v>
      </c>
      <c r="BG1844" s="321">
        <f t="shared" si="1413"/>
        <v>102.94534999999999</v>
      </c>
      <c r="BH1844" s="321">
        <f t="shared" si="1414"/>
        <v>102.8</v>
      </c>
      <c r="BI1844" s="322">
        <f t="shared" si="1415"/>
        <v>29.999999999999716</v>
      </c>
      <c r="BJ1844" s="322">
        <v>0</v>
      </c>
      <c r="BK1844" s="318">
        <f t="shared" si="1416"/>
        <v>29.999999999999716</v>
      </c>
      <c r="BL1844" s="449"/>
      <c r="BM1844" s="449" t="str">
        <f t="shared" si="1417"/>
        <v xml:space="preserve">Unloading no. 1807 Bill No RJT848/2026-27 ,Deduction For Oil Deduction= 3332.31618569644 ,Bardana= 0 ,F.M= 0 Brokerage/Rate Difference 0 ,Shortage = 0 ,Greenish= 0 ,Moisture= </v>
      </c>
      <c r="BN1844" s="449"/>
      <c r="BO1844" s="449" t="str">
        <f t="shared" si="1418"/>
        <v xml:space="preserve"> Party Condition 39.85  ,F.M% 0.15 ,Greenish 2.86 ,Moisture 5.3 ,Shortage in KG= 0  ,Oil% 39.69</v>
      </c>
      <c r="BP1844" s="464">
        <f t="shared" si="1419"/>
        <v>8041.076690800619</v>
      </c>
      <c r="BQ1844" s="449"/>
      <c r="BR1844" s="449"/>
      <c r="BS1844" s="449"/>
      <c r="BT1844" s="449"/>
      <c r="BU1844" s="449"/>
      <c r="BV1844" s="449"/>
      <c r="BW1844" s="449"/>
      <c r="BX1844" s="501">
        <v>39.700000000000003</v>
      </c>
      <c r="BY1844" s="501">
        <v>39.69</v>
      </c>
    </row>
    <row r="1845" spans="1:77" ht="14.1" hidden="1" customHeight="1" x14ac:dyDescent="0.3">
      <c r="A1845" s="128" t="s">
        <v>3621</v>
      </c>
      <c r="B1845" s="146">
        <v>46252</v>
      </c>
      <c r="C1845" s="281">
        <v>1808</v>
      </c>
      <c r="D1845" s="128" t="s">
        <v>3850</v>
      </c>
      <c r="E1845" s="129">
        <v>46261</v>
      </c>
      <c r="F1845" s="128" t="s">
        <v>3636</v>
      </c>
      <c r="G1845" s="128" t="s">
        <v>3637</v>
      </c>
      <c r="H1845" s="128" t="s">
        <v>2081</v>
      </c>
      <c r="I1845" s="136"/>
      <c r="J1845" s="138" t="s">
        <v>1146</v>
      </c>
      <c r="K1845" s="136"/>
      <c r="L1845" s="146">
        <v>46252</v>
      </c>
      <c r="M1845" s="136"/>
      <c r="N1845" s="281" t="s">
        <v>3858</v>
      </c>
      <c r="O1845" s="146">
        <v>46261</v>
      </c>
      <c r="P1845" s="138">
        <v>0</v>
      </c>
      <c r="Q1845" s="138">
        <v>150</v>
      </c>
      <c r="R1845" s="138">
        <v>20</v>
      </c>
      <c r="S1845" s="138">
        <v>170</v>
      </c>
      <c r="T1845" s="138">
        <v>170</v>
      </c>
      <c r="U1845" s="136"/>
      <c r="V1845" s="136"/>
      <c r="W1845" s="147">
        <v>102.4</v>
      </c>
      <c r="X1845" s="147">
        <v>102.1</v>
      </c>
      <c r="Y1845" s="169">
        <v>824320</v>
      </c>
      <c r="Z1845" s="165"/>
      <c r="AA1845" s="148">
        <v>20608</v>
      </c>
      <c r="AB1845" s="148">
        <v>20608</v>
      </c>
      <c r="AC1845" s="148">
        <v>865536</v>
      </c>
      <c r="AD1845" s="321">
        <f t="shared" si="1361"/>
        <v>864670.46400000004</v>
      </c>
      <c r="AE1845" s="501">
        <v>39.799999999999997</v>
      </c>
      <c r="AF1845" s="147">
        <v>39.85</v>
      </c>
      <c r="AG1845" s="501">
        <v>39.770000000000003</v>
      </c>
      <c r="AH1845" s="287">
        <v>1.6999999999999999E-3</v>
      </c>
      <c r="AI1845" s="287">
        <v>2.75E-2</v>
      </c>
      <c r="AJ1845" s="287">
        <v>5.6000000000000001E-2</v>
      </c>
      <c r="AK1845" s="318">
        <f t="shared" si="1403"/>
        <v>1654.8456712672171</v>
      </c>
      <c r="AL1845" s="467">
        <v>0</v>
      </c>
      <c r="AM1845" s="321">
        <v>0</v>
      </c>
      <c r="AN1845" s="321">
        <v>0</v>
      </c>
      <c r="AO1845" s="318">
        <f t="shared" si="1404"/>
        <v>0</v>
      </c>
      <c r="AP1845" s="467">
        <v>0</v>
      </c>
      <c r="AQ1845" s="318"/>
      <c r="AR1845" s="318">
        <f t="shared" si="1405"/>
        <v>1654.8456712672171</v>
      </c>
      <c r="AS1845" s="318">
        <f t="shared" si="1406"/>
        <v>1738</v>
      </c>
      <c r="AT1845" s="321">
        <v>0</v>
      </c>
      <c r="AU1845" s="464"/>
      <c r="AV1845" s="449"/>
      <c r="AW1845" s="318">
        <f t="shared" si="1407"/>
        <v>10240</v>
      </c>
      <c r="AX1845" s="467"/>
      <c r="AY1845" s="318">
        <f t="shared" si="1408"/>
        <v>10240</v>
      </c>
      <c r="AZ1845" s="318">
        <f t="shared" si="1409"/>
        <v>10210</v>
      </c>
      <c r="BA1845" s="318">
        <f t="shared" si="1410"/>
        <v>30</v>
      </c>
      <c r="BB1845" s="318">
        <f t="shared" si="1411"/>
        <v>20.48</v>
      </c>
      <c r="BC1845" s="318">
        <v>0</v>
      </c>
      <c r="BD1845" s="467"/>
      <c r="BE1845" s="138">
        <v>102.4</v>
      </c>
      <c r="BF1845" s="321">
        <f t="shared" si="1412"/>
        <v>0.15359999999999999</v>
      </c>
      <c r="BG1845" s="321">
        <f t="shared" si="1413"/>
        <v>102.24640000000001</v>
      </c>
      <c r="BH1845" s="321">
        <f t="shared" si="1414"/>
        <v>102.1</v>
      </c>
      <c r="BI1845" s="322">
        <f t="shared" si="1415"/>
        <v>30.000000000001137</v>
      </c>
      <c r="BJ1845" s="322">
        <v>0</v>
      </c>
      <c r="BK1845" s="318">
        <f t="shared" si="1416"/>
        <v>30.000000000001137</v>
      </c>
      <c r="BL1845" s="449"/>
      <c r="BM1845" s="449" t="str">
        <f t="shared" si="1417"/>
        <v xml:space="preserve">Unloading no. 1808 Bill No RJT847/2026-27 ,Deduction For Oil Deduction= 1654.84567126722 ,Bardana= 0 ,F.M= 0 Brokerage/Rate Difference 0 ,Shortage = 0 ,Greenish= 0 ,Moisture= </v>
      </c>
      <c r="BN1845" s="449"/>
      <c r="BO1845" s="449" t="str">
        <f t="shared" si="1418"/>
        <v xml:space="preserve"> Party Condition 39.85  ,F.M% 0.17 ,Greenish 2.75 ,Moisture 5.6 ,Shortage in KG= 0  ,Oil% 39.77</v>
      </c>
      <c r="BP1845" s="464">
        <f t="shared" si="1419"/>
        <v>8057.4451942089399</v>
      </c>
      <c r="BQ1845" s="449"/>
      <c r="BR1845" s="449"/>
      <c r="BS1845" s="449"/>
      <c r="BT1845" s="449"/>
      <c r="BU1845" s="449"/>
      <c r="BV1845" s="449"/>
      <c r="BW1845" s="449"/>
      <c r="BX1845" s="501">
        <v>39.799999999999997</v>
      </c>
      <c r="BY1845" s="501">
        <v>39.770000000000003</v>
      </c>
    </row>
    <row r="1846" spans="1:77" ht="14.1" hidden="1" customHeight="1" x14ac:dyDescent="0.3">
      <c r="A1846" s="128" t="s">
        <v>3621</v>
      </c>
      <c r="B1846" s="146">
        <v>46252</v>
      </c>
      <c r="C1846" s="281">
        <v>1809</v>
      </c>
      <c r="D1846" s="128" t="s">
        <v>3851</v>
      </c>
      <c r="E1846" s="129">
        <v>46261</v>
      </c>
      <c r="F1846" s="128" t="s">
        <v>3636</v>
      </c>
      <c r="G1846" s="128" t="s">
        <v>3637</v>
      </c>
      <c r="H1846" s="128" t="s">
        <v>2081</v>
      </c>
      <c r="I1846" s="136"/>
      <c r="J1846" s="138" t="s">
        <v>1146</v>
      </c>
      <c r="K1846" s="136"/>
      <c r="L1846" s="146">
        <v>46252</v>
      </c>
      <c r="M1846" s="136"/>
      <c r="N1846" s="281" t="s">
        <v>3859</v>
      </c>
      <c r="O1846" s="146">
        <v>46261</v>
      </c>
      <c r="P1846" s="138">
        <v>0</v>
      </c>
      <c r="Q1846" s="138">
        <v>155</v>
      </c>
      <c r="R1846" s="138">
        <v>15</v>
      </c>
      <c r="S1846" s="138">
        <v>170</v>
      </c>
      <c r="T1846" s="138">
        <v>170</v>
      </c>
      <c r="U1846" s="136"/>
      <c r="V1846" s="136"/>
      <c r="W1846" s="147">
        <v>103.1</v>
      </c>
      <c r="X1846" s="147">
        <v>102.9</v>
      </c>
      <c r="Y1846" s="169">
        <v>829955</v>
      </c>
      <c r="Z1846" s="165"/>
      <c r="AA1846" s="148">
        <v>20748.88</v>
      </c>
      <c r="AB1846" s="148">
        <v>20748.88</v>
      </c>
      <c r="AC1846" s="148">
        <v>871452.75</v>
      </c>
      <c r="AD1846" s="321">
        <f t="shared" si="1361"/>
        <v>870581.29724999995</v>
      </c>
      <c r="AE1846" s="501">
        <v>39.51</v>
      </c>
      <c r="AF1846" s="147">
        <v>39.85</v>
      </c>
      <c r="AG1846" s="501">
        <v>39.56</v>
      </c>
      <c r="AH1846" s="287">
        <v>1.6000000000000001E-3</v>
      </c>
      <c r="AI1846" s="287">
        <v>3.49E-2</v>
      </c>
      <c r="AJ1846" s="287">
        <v>5.0999999999999997E-2</v>
      </c>
      <c r="AK1846" s="318">
        <f t="shared" si="1403"/>
        <v>7081.1718946048386</v>
      </c>
      <c r="AL1846" s="467">
        <v>0</v>
      </c>
      <c r="AM1846" s="321">
        <v>0</v>
      </c>
      <c r="AN1846" s="321">
        <v>0</v>
      </c>
      <c r="AO1846" s="318">
        <f t="shared" si="1404"/>
        <v>0</v>
      </c>
      <c r="AP1846" s="467">
        <v>0</v>
      </c>
      <c r="AQ1846" s="318"/>
      <c r="AR1846" s="318">
        <f t="shared" si="1405"/>
        <v>7081.1718946048386</v>
      </c>
      <c r="AS1846" s="318">
        <f t="shared" si="1406"/>
        <v>7435</v>
      </c>
      <c r="AT1846" s="321">
        <v>0</v>
      </c>
      <c r="AU1846" s="464"/>
      <c r="AV1846" s="449"/>
      <c r="AW1846" s="318">
        <f t="shared" si="1407"/>
        <v>10310</v>
      </c>
      <c r="AX1846" s="467"/>
      <c r="AY1846" s="318">
        <f t="shared" si="1408"/>
        <v>10310</v>
      </c>
      <c r="AZ1846" s="318">
        <f t="shared" si="1409"/>
        <v>10290</v>
      </c>
      <c r="BA1846" s="318">
        <f t="shared" si="1410"/>
        <v>20</v>
      </c>
      <c r="BB1846" s="318">
        <f t="shared" si="1411"/>
        <v>20.62</v>
      </c>
      <c r="BC1846" s="318">
        <v>0</v>
      </c>
      <c r="BD1846" s="467"/>
      <c r="BE1846" s="138">
        <v>103.1</v>
      </c>
      <c r="BF1846" s="321">
        <f t="shared" si="1412"/>
        <v>0.15464999999999998</v>
      </c>
      <c r="BG1846" s="321">
        <f t="shared" si="1413"/>
        <v>102.94534999999999</v>
      </c>
      <c r="BH1846" s="321">
        <f t="shared" si="1414"/>
        <v>102.9</v>
      </c>
      <c r="BI1846" s="322">
        <f t="shared" si="1415"/>
        <v>19.999999999998863</v>
      </c>
      <c r="BJ1846" s="322">
        <v>0</v>
      </c>
      <c r="BK1846" s="318">
        <f t="shared" si="1416"/>
        <v>19.999999999998863</v>
      </c>
      <c r="BL1846" s="449"/>
      <c r="BM1846" s="449" t="str">
        <f t="shared" si="1417"/>
        <v xml:space="preserve">Unloading no. 1809 Bill No RJT850/2026-27 ,Deduction For Oil Deduction= 7081.17189460484 ,Bardana= 0 ,F.M= 0 Brokerage/Rate Difference 0 ,Shortage = 0 ,Greenish= 0 ,Moisture= </v>
      </c>
      <c r="BN1846" s="449"/>
      <c r="BO1846" s="449" t="str">
        <f t="shared" si="1418"/>
        <v xml:space="preserve"> Party Condition 39.85  ,F.M% 0.16 ,Greenish 3.49 ,Moisture 5.1 ,Shortage in KG= 0  ,Oil% 39.51</v>
      </c>
      <c r="BP1846" s="464">
        <f t="shared" si="1419"/>
        <v>7996.8302051058809</v>
      </c>
      <c r="BQ1846" s="449"/>
      <c r="BR1846" s="449"/>
      <c r="BS1846" s="449"/>
      <c r="BT1846" s="449"/>
      <c r="BU1846" s="449"/>
      <c r="BV1846" s="449"/>
      <c r="BW1846" s="449"/>
      <c r="BX1846" s="501">
        <v>39.51</v>
      </c>
      <c r="BY1846" s="501">
        <v>39.56</v>
      </c>
    </row>
    <row r="1847" spans="1:77" ht="14.1" hidden="1" customHeight="1" x14ac:dyDescent="0.3">
      <c r="A1847" s="128" t="s">
        <v>3838</v>
      </c>
      <c r="B1847" s="146">
        <v>46258</v>
      </c>
      <c r="C1847" s="281">
        <v>1810</v>
      </c>
      <c r="D1847" s="128" t="s">
        <v>3852</v>
      </c>
      <c r="E1847" s="129">
        <v>46261</v>
      </c>
      <c r="F1847" s="128" t="s">
        <v>1807</v>
      </c>
      <c r="G1847" s="128" t="s">
        <v>1808</v>
      </c>
      <c r="H1847" s="128" t="s">
        <v>100</v>
      </c>
      <c r="I1847" s="136"/>
      <c r="J1847" s="138" t="s">
        <v>2499</v>
      </c>
      <c r="K1847" s="136"/>
      <c r="L1847" s="146">
        <v>46258</v>
      </c>
      <c r="M1847" s="136"/>
      <c r="N1847" s="281" t="s">
        <v>1168</v>
      </c>
      <c r="O1847" s="146">
        <v>46261</v>
      </c>
      <c r="P1847" s="138">
        <v>0</v>
      </c>
      <c r="Q1847" s="138">
        <v>305</v>
      </c>
      <c r="R1847" s="138">
        <v>100</v>
      </c>
      <c r="S1847" s="138">
        <v>405</v>
      </c>
      <c r="T1847" s="138">
        <v>405</v>
      </c>
      <c r="U1847" s="136"/>
      <c r="V1847" s="136"/>
      <c r="W1847" s="147">
        <v>239.8</v>
      </c>
      <c r="X1847" s="147">
        <v>239.7</v>
      </c>
      <c r="Y1847" s="169">
        <v>1992977.8</v>
      </c>
      <c r="Z1847" s="165"/>
      <c r="AA1847" s="148">
        <v>49824.45</v>
      </c>
      <c r="AB1847" s="148">
        <v>49824.45</v>
      </c>
      <c r="AC1847" s="148">
        <v>2092626.69</v>
      </c>
      <c r="AD1847" s="321">
        <f t="shared" si="1361"/>
        <v>2090534.0633099999</v>
      </c>
      <c r="AE1847" s="501">
        <v>39.79</v>
      </c>
      <c r="AF1847" s="147">
        <v>42</v>
      </c>
      <c r="AG1847" s="501">
        <v>39.630000000000003</v>
      </c>
      <c r="AH1847" s="287">
        <v>2.2000000000000001E-3</v>
      </c>
      <c r="AI1847" s="287">
        <v>3.2800000000000003E-2</v>
      </c>
      <c r="AJ1847" s="287">
        <v>5.8000000000000003E-2</v>
      </c>
      <c r="AK1847" s="318">
        <f t="shared" si="1403"/>
        <v>112460.89014285702</v>
      </c>
      <c r="AL1847" s="467">
        <v>0</v>
      </c>
      <c r="AM1847" s="321">
        <v>0</v>
      </c>
      <c r="AN1847" s="321">
        <v>0</v>
      </c>
      <c r="AO1847" s="318">
        <f t="shared" si="1404"/>
        <v>0</v>
      </c>
      <c r="AP1847" s="467">
        <v>0</v>
      </c>
      <c r="AQ1847" s="318"/>
      <c r="AR1847" s="318">
        <f t="shared" si="1405"/>
        <v>112460.89014285702</v>
      </c>
      <c r="AS1847" s="318">
        <f t="shared" si="1406"/>
        <v>118084</v>
      </c>
      <c r="AT1847" s="321">
        <v>0</v>
      </c>
      <c r="AU1847" s="464"/>
      <c r="AV1847" s="449"/>
      <c r="AW1847" s="318">
        <f t="shared" si="1407"/>
        <v>23980</v>
      </c>
      <c r="AX1847" s="467"/>
      <c r="AY1847" s="318">
        <f t="shared" si="1408"/>
        <v>23980</v>
      </c>
      <c r="AZ1847" s="318">
        <f t="shared" si="1409"/>
        <v>23970</v>
      </c>
      <c r="BA1847" s="318">
        <f t="shared" si="1410"/>
        <v>10</v>
      </c>
      <c r="BB1847" s="318">
        <f t="shared" si="1411"/>
        <v>47.96</v>
      </c>
      <c r="BC1847" s="318">
        <v>0</v>
      </c>
      <c r="BD1847" s="467"/>
      <c r="BE1847" s="138">
        <v>239.8</v>
      </c>
      <c r="BF1847" s="321">
        <f t="shared" si="1412"/>
        <v>0.35969999999999996</v>
      </c>
      <c r="BG1847" s="321">
        <f t="shared" si="1413"/>
        <v>239.44030000000001</v>
      </c>
      <c r="BH1847" s="321">
        <f t="shared" si="1414"/>
        <v>239.7</v>
      </c>
      <c r="BI1847" s="322">
        <f t="shared" si="1415"/>
        <v>10.000000000002274</v>
      </c>
      <c r="BJ1847" s="322">
        <v>0</v>
      </c>
      <c r="BK1847" s="318">
        <f t="shared" si="1416"/>
        <v>10.000000000002274</v>
      </c>
      <c r="BL1847" s="449"/>
      <c r="BM1847" s="449" t="str">
        <f t="shared" si="1417"/>
        <v xml:space="preserve">Unloading no. 1810 Bill No 2026-27/40 ,Deduction For Oil Deduction= 112460.890142857 ,Bardana= 0 ,F.M= 0 Brokerage/Rate Difference 0 ,Shortage = 0 ,Greenish= 0 ,Moisture= </v>
      </c>
      <c r="BN1847" s="449"/>
      <c r="BO1847" s="449" t="str">
        <f t="shared" si="1418"/>
        <v xml:space="preserve"> Party Condition 42  ,F.M% 0.22 ,Greenish 3.28 ,Moisture 5.8 ,Shortage in KG= 0  ,Oil% 39.63</v>
      </c>
      <c r="BP1847" s="464">
        <f t="shared" si="1419"/>
        <v>7845.2937415817396</v>
      </c>
      <c r="BQ1847" s="449"/>
      <c r="BR1847" s="449"/>
      <c r="BS1847" s="449"/>
      <c r="BT1847" s="449"/>
      <c r="BU1847" s="449"/>
      <c r="BV1847" s="449"/>
      <c r="BW1847" s="449"/>
      <c r="BX1847" s="501">
        <v>39.79</v>
      </c>
      <c r="BY1847" s="501">
        <v>39.630000000000003</v>
      </c>
    </row>
    <row r="1848" spans="1:77" ht="14.1" hidden="1" customHeight="1" x14ac:dyDescent="0.3">
      <c r="A1848" s="128" t="s">
        <v>3621</v>
      </c>
      <c r="B1848" s="146">
        <v>46252</v>
      </c>
      <c r="C1848" s="281">
        <v>1811</v>
      </c>
      <c r="D1848" s="128" t="s">
        <v>3853</v>
      </c>
      <c r="E1848" s="129">
        <v>46261</v>
      </c>
      <c r="F1848" s="128" t="s">
        <v>3636</v>
      </c>
      <c r="G1848" s="128" t="s">
        <v>3637</v>
      </c>
      <c r="H1848" s="128" t="s">
        <v>2081</v>
      </c>
      <c r="I1848" s="136"/>
      <c r="J1848" s="138" t="s">
        <v>1146</v>
      </c>
      <c r="K1848" s="136"/>
      <c r="L1848" s="146">
        <v>46252</v>
      </c>
      <c r="M1848" s="136"/>
      <c r="N1848" s="281" t="s">
        <v>3860</v>
      </c>
      <c r="O1848" s="146">
        <v>46261</v>
      </c>
      <c r="P1848" s="138">
        <v>0</v>
      </c>
      <c r="Q1848" s="138">
        <v>150</v>
      </c>
      <c r="R1848" s="138">
        <v>20</v>
      </c>
      <c r="S1848" s="138">
        <v>170</v>
      </c>
      <c r="T1848" s="138">
        <v>170</v>
      </c>
      <c r="U1848" s="136"/>
      <c r="V1848" s="136"/>
      <c r="W1848" s="147">
        <v>103.5</v>
      </c>
      <c r="X1848" s="147">
        <v>103.4</v>
      </c>
      <c r="Y1848" s="169">
        <v>833175</v>
      </c>
      <c r="Z1848" s="165"/>
      <c r="AA1848" s="148">
        <v>20829.38</v>
      </c>
      <c r="AB1848" s="148">
        <v>20829.38</v>
      </c>
      <c r="AC1848" s="148">
        <v>874833.75</v>
      </c>
      <c r="AD1848" s="321">
        <f t="shared" si="1361"/>
        <v>873958.91625000001</v>
      </c>
      <c r="AE1848" s="502">
        <v>39.950000000000003</v>
      </c>
      <c r="AF1848" s="147">
        <v>39.85</v>
      </c>
      <c r="AG1848" s="502">
        <v>39.82</v>
      </c>
      <c r="AH1848" s="287">
        <v>2E-3</v>
      </c>
      <c r="AI1848" s="287">
        <v>3.5400000000000001E-2</v>
      </c>
      <c r="AJ1848" s="287">
        <v>0.05</v>
      </c>
      <c r="AK1848" s="318">
        <f t="shared" si="1403"/>
        <v>627.23337515686183</v>
      </c>
      <c r="AL1848" s="467">
        <v>0</v>
      </c>
      <c r="AM1848" s="321">
        <v>0</v>
      </c>
      <c r="AN1848" s="321">
        <v>0</v>
      </c>
      <c r="AO1848" s="318">
        <f t="shared" si="1404"/>
        <v>0</v>
      </c>
      <c r="AP1848" s="467">
        <v>0</v>
      </c>
      <c r="AQ1848" s="318"/>
      <c r="AR1848" s="318">
        <f t="shared" si="1405"/>
        <v>627.23337515686183</v>
      </c>
      <c r="AS1848" s="318">
        <f t="shared" si="1406"/>
        <v>659</v>
      </c>
      <c r="AT1848" s="321">
        <v>0</v>
      </c>
      <c r="AU1848" s="464"/>
      <c r="AV1848" s="449"/>
      <c r="AW1848" s="318">
        <f t="shared" si="1407"/>
        <v>10350</v>
      </c>
      <c r="AX1848" s="467"/>
      <c r="AY1848" s="318">
        <f t="shared" si="1408"/>
        <v>10350</v>
      </c>
      <c r="AZ1848" s="318">
        <f t="shared" si="1409"/>
        <v>10340</v>
      </c>
      <c r="BA1848" s="318">
        <f t="shared" si="1410"/>
        <v>10</v>
      </c>
      <c r="BB1848" s="318">
        <f t="shared" si="1411"/>
        <v>20.7</v>
      </c>
      <c r="BC1848" s="318">
        <v>0</v>
      </c>
      <c r="BD1848" s="467"/>
      <c r="BE1848" s="138">
        <v>103.5</v>
      </c>
      <c r="BF1848" s="321">
        <f t="shared" si="1412"/>
        <v>0.15525</v>
      </c>
      <c r="BG1848" s="321">
        <f t="shared" si="1413"/>
        <v>103.34475</v>
      </c>
      <c r="BH1848" s="321">
        <f t="shared" si="1414"/>
        <v>103.4</v>
      </c>
      <c r="BI1848" s="322">
        <f t="shared" si="1415"/>
        <v>9.9999999999994316</v>
      </c>
      <c r="BJ1848" s="322">
        <v>0</v>
      </c>
      <c r="BK1848" s="318">
        <f t="shared" si="1416"/>
        <v>9.9999999999994316</v>
      </c>
      <c r="BL1848" s="449"/>
      <c r="BM1848" s="449" t="str">
        <f t="shared" si="1417"/>
        <v xml:space="preserve">Unloading no. 1811 Bill No RJT855/2026-27 ,Deduction For Oil Deduction= 627.233375156862 ,Bardana= 0 ,F.M= 0 Brokerage/Rate Difference 0 ,Shortage = 0 ,Greenish= 0 ,Moisture= </v>
      </c>
      <c r="BN1848" s="449"/>
      <c r="BO1848" s="449" t="str">
        <f t="shared" si="1418"/>
        <v xml:space="preserve"> Party Condition 39.85  ,F.M% 0.2 ,Greenish 3.54 ,Moisture 5 ,Shortage in KG= 0  ,Oil% 39.82</v>
      </c>
      <c r="BP1848" s="464">
        <f t="shared" si="1419"/>
        <v>8051.7192130062194</v>
      </c>
      <c r="BQ1848" s="449"/>
      <c r="BR1848" s="449"/>
      <c r="BS1848" s="449"/>
      <c r="BT1848" s="449"/>
      <c r="BU1848" s="449"/>
      <c r="BV1848" s="449"/>
      <c r="BW1848" s="449"/>
      <c r="BX1848" s="502">
        <v>39.950000000000003</v>
      </c>
      <c r="BY1848" s="502">
        <v>39.82</v>
      </c>
    </row>
    <row r="1849" spans="1:77" ht="14.1" hidden="1" customHeight="1" x14ac:dyDescent="0.3">
      <c r="A1849" s="174" t="s">
        <v>3621</v>
      </c>
      <c r="B1849" s="376">
        <v>46252</v>
      </c>
      <c r="C1849" s="284">
        <v>1812</v>
      </c>
      <c r="D1849" s="174" t="s">
        <v>3854</v>
      </c>
      <c r="E1849" s="231">
        <v>46261</v>
      </c>
      <c r="F1849" s="174" t="s">
        <v>3636</v>
      </c>
      <c r="G1849" s="174" t="s">
        <v>3637</v>
      </c>
      <c r="H1849" s="174" t="s">
        <v>2081</v>
      </c>
      <c r="I1849" s="176"/>
      <c r="J1849" s="275" t="s">
        <v>1146</v>
      </c>
      <c r="K1849" s="176"/>
      <c r="L1849" s="376">
        <v>46252</v>
      </c>
      <c r="M1849" s="176"/>
      <c r="N1849" s="284" t="s">
        <v>3861</v>
      </c>
      <c r="O1849" s="376">
        <v>46261</v>
      </c>
      <c r="P1849" s="275">
        <v>0</v>
      </c>
      <c r="Q1849" s="275">
        <v>150</v>
      </c>
      <c r="R1849" s="275">
        <v>20</v>
      </c>
      <c r="S1849" s="275">
        <v>170</v>
      </c>
      <c r="T1849" s="275">
        <v>170</v>
      </c>
      <c r="U1849" s="176"/>
      <c r="V1849" s="176"/>
      <c r="W1849" s="178">
        <v>102.8</v>
      </c>
      <c r="X1849" s="178">
        <v>102.6</v>
      </c>
      <c r="Y1849" s="179">
        <v>827540</v>
      </c>
      <c r="Z1849" s="182"/>
      <c r="AA1849" s="305">
        <v>20688.5</v>
      </c>
      <c r="AB1849" s="305">
        <v>20688.5</v>
      </c>
      <c r="AC1849" s="305">
        <v>868917</v>
      </c>
      <c r="AD1849" s="345">
        <f t="shared" ref="AD1849:AD1861" si="1420">SUM(AC1849-AC1849*0.1%)</f>
        <v>868048.08299999998</v>
      </c>
      <c r="AE1849" s="504">
        <v>39.880000000000003</v>
      </c>
      <c r="AF1849" s="178">
        <v>39.85</v>
      </c>
      <c r="AG1849" s="504">
        <v>39.869999999999997</v>
      </c>
      <c r="AH1849" s="308">
        <v>1.6000000000000001E-3</v>
      </c>
      <c r="AI1849" s="308">
        <v>3.1800000000000002E-2</v>
      </c>
      <c r="AJ1849" s="308">
        <v>5.3999999999999999E-2</v>
      </c>
      <c r="AK1849" s="342">
        <f t="shared" si="1403"/>
        <v>0</v>
      </c>
      <c r="AL1849" s="473">
        <v>0</v>
      </c>
      <c r="AM1849" s="345">
        <v>0</v>
      </c>
      <c r="AN1849" s="345">
        <v>0</v>
      </c>
      <c r="AO1849" s="342">
        <f t="shared" si="1404"/>
        <v>0</v>
      </c>
      <c r="AP1849" s="473">
        <v>0</v>
      </c>
      <c r="AQ1849" s="342"/>
      <c r="AR1849" s="342">
        <f t="shared" si="1405"/>
        <v>0</v>
      </c>
      <c r="AS1849" s="342">
        <f t="shared" si="1406"/>
        <v>0</v>
      </c>
      <c r="AT1849" s="345">
        <v>0</v>
      </c>
      <c r="AU1849" s="474"/>
      <c r="AV1849" s="453"/>
      <c r="AW1849" s="342">
        <f t="shared" si="1407"/>
        <v>10280</v>
      </c>
      <c r="AX1849" s="473"/>
      <c r="AY1849" s="342">
        <f t="shared" si="1408"/>
        <v>10280</v>
      </c>
      <c r="AZ1849" s="342">
        <f t="shared" si="1409"/>
        <v>10260</v>
      </c>
      <c r="BA1849" s="342">
        <f t="shared" si="1410"/>
        <v>20</v>
      </c>
      <c r="BB1849" s="342">
        <f t="shared" si="1411"/>
        <v>20.56</v>
      </c>
      <c r="BC1849" s="342">
        <v>0</v>
      </c>
      <c r="BD1849" s="473"/>
      <c r="BE1849" s="275">
        <v>102.8</v>
      </c>
      <c r="BF1849" s="345">
        <f t="shared" si="1412"/>
        <v>0.15419999999999998</v>
      </c>
      <c r="BG1849" s="345">
        <f t="shared" si="1413"/>
        <v>102.64579999999999</v>
      </c>
      <c r="BH1849" s="345">
        <f t="shared" si="1414"/>
        <v>102.6</v>
      </c>
      <c r="BI1849" s="346">
        <f t="shared" si="1415"/>
        <v>20.000000000000284</v>
      </c>
      <c r="BJ1849" s="346">
        <v>0</v>
      </c>
      <c r="BK1849" s="342">
        <f t="shared" si="1416"/>
        <v>20.000000000000284</v>
      </c>
      <c r="BL1849" s="453"/>
      <c r="BM1849" s="453" t="str">
        <f t="shared" si="1417"/>
        <v xml:space="preserve">Unloading no. 1812 Bill No RJT854/2026-27 ,Deduction For Oil Deduction= 0 ,Bardana= 0 ,F.M= 0 Brokerage/Rate Difference 0 ,Shortage = 0 ,Greenish= 0 ,Moisture= </v>
      </c>
      <c r="BN1849" s="453"/>
      <c r="BO1849" s="453" t="str">
        <f t="shared" si="1418"/>
        <v xml:space="preserve"> Party Condition 39.85  ,F.M% 0.16 ,Greenish 3.18 ,Moisture 5.4 ,Shortage in KG= 0  ,Oil% 39.87</v>
      </c>
      <c r="BP1849" s="474">
        <f t="shared" si="1419"/>
        <v>8065.6920077972718</v>
      </c>
      <c r="BQ1849" s="453"/>
      <c r="BR1849" s="453"/>
      <c r="BS1849" s="453"/>
      <c r="BT1849" s="453"/>
      <c r="BU1849" s="453"/>
      <c r="BV1849" s="453"/>
      <c r="BW1849" s="453"/>
      <c r="BX1849" s="504">
        <v>39.880000000000003</v>
      </c>
      <c r="BY1849" s="504">
        <v>39.869999999999997</v>
      </c>
    </row>
    <row r="1850" spans="1:77" ht="14.1" hidden="1" customHeight="1" x14ac:dyDescent="0.3">
      <c r="A1850" s="128" t="s">
        <v>3621</v>
      </c>
      <c r="B1850" s="146">
        <v>46252</v>
      </c>
      <c r="C1850" s="281">
        <v>1813</v>
      </c>
      <c r="D1850" s="128" t="s">
        <v>3863</v>
      </c>
      <c r="E1850" s="130">
        <v>46262</v>
      </c>
      <c r="F1850" s="128" t="s">
        <v>3636</v>
      </c>
      <c r="G1850" s="128" t="s">
        <v>3637</v>
      </c>
      <c r="H1850" s="128" t="s">
        <v>2081</v>
      </c>
      <c r="I1850" s="136"/>
      <c r="J1850" s="138" t="s">
        <v>1146</v>
      </c>
      <c r="K1850" s="136"/>
      <c r="L1850" s="146">
        <v>46252</v>
      </c>
      <c r="M1850" s="136"/>
      <c r="N1850" s="281" t="s">
        <v>3875</v>
      </c>
      <c r="O1850" s="130">
        <v>46261</v>
      </c>
      <c r="P1850" s="138">
        <v>0</v>
      </c>
      <c r="Q1850" s="138">
        <v>150</v>
      </c>
      <c r="R1850" s="138">
        <v>20</v>
      </c>
      <c r="S1850" s="138">
        <v>170</v>
      </c>
      <c r="T1850" s="138">
        <v>170</v>
      </c>
      <c r="U1850" s="136"/>
      <c r="V1850" s="136"/>
      <c r="W1850" s="147">
        <v>103.3</v>
      </c>
      <c r="X1850" s="147">
        <v>103.1</v>
      </c>
      <c r="Y1850" s="148">
        <v>831565</v>
      </c>
      <c r="Z1850" s="165"/>
      <c r="AA1850" s="148">
        <v>20789.13</v>
      </c>
      <c r="AB1850" s="148">
        <v>20789.13</v>
      </c>
      <c r="AC1850" s="148">
        <v>873143.25</v>
      </c>
      <c r="AD1850" s="315">
        <f t="shared" si="1420"/>
        <v>872270.10675000004</v>
      </c>
      <c r="AE1850" s="147">
        <v>39.33</v>
      </c>
      <c r="AF1850" s="147">
        <v>39.85</v>
      </c>
      <c r="AG1850" s="147">
        <v>39.4</v>
      </c>
      <c r="AH1850" s="287">
        <v>1.8E-3</v>
      </c>
      <c r="AI1850" s="287">
        <v>3.32E-2</v>
      </c>
      <c r="AJ1850" s="287">
        <v>6.2E-2</v>
      </c>
      <c r="AK1850" s="318">
        <f t="shared" ref="AK1850:AK1861" si="1421">+IF(AF1850=42,IF(MIN(AE1850,AG1850)&lt;AF1850,Y1850*((AF1850-MIN(AE1850,AG1850))/AF1850)),IF(MIN(AE1850,AG1850)&lt;AF1850,Y1850*((AF1850-MIN(AE1850,AG1850))/AF1850),0))</f>
        <v>10851.03638644925</v>
      </c>
      <c r="AL1850" s="467">
        <v>0</v>
      </c>
      <c r="AM1850" s="321">
        <v>0</v>
      </c>
      <c r="AN1850" s="321">
        <v>0</v>
      </c>
      <c r="AO1850" s="318">
        <f t="shared" ref="AO1850:AO1861" si="1422">AT1850*Y1850/AW1850</f>
        <v>0</v>
      </c>
      <c r="AP1850" s="467">
        <v>0</v>
      </c>
      <c r="AQ1850" s="318"/>
      <c r="AR1850" s="318">
        <f t="shared" ref="AR1850:AR1861" si="1423">SUM(AK1850:AQ1850)</f>
        <v>10851.03638644925</v>
      </c>
      <c r="AS1850" s="318">
        <f t="shared" ref="AS1850:AS1861" si="1424">ROUND(AR1850*1.05,0)</f>
        <v>11394</v>
      </c>
      <c r="AT1850" s="321">
        <v>0</v>
      </c>
      <c r="AU1850" s="464"/>
      <c r="AV1850" s="449"/>
      <c r="AW1850" s="318">
        <f t="shared" ref="AW1850:AW1861" si="1425">W1850*100</f>
        <v>10330</v>
      </c>
      <c r="AX1850" s="467"/>
      <c r="AY1850" s="318">
        <f t="shared" ref="AY1850:AY1861" si="1426">+AW1850+AX1850</f>
        <v>10330</v>
      </c>
      <c r="AZ1850" s="318">
        <f t="shared" ref="AZ1850:AZ1861" si="1427">X1850*100</f>
        <v>10310</v>
      </c>
      <c r="BA1850" s="318">
        <f t="shared" ref="BA1850:BA1861" si="1428">AY1850-AZ1850</f>
        <v>20</v>
      </c>
      <c r="BB1850" s="318">
        <f t="shared" ref="BB1850:BB1861" si="1429">AW1850*2/1000</f>
        <v>20.66</v>
      </c>
      <c r="BC1850" s="318">
        <v>0</v>
      </c>
      <c r="BD1850" s="467"/>
      <c r="BE1850" s="138">
        <v>103.3</v>
      </c>
      <c r="BF1850" s="321">
        <f t="shared" ref="BF1850" si="1430">+BE1850*0.15/100</f>
        <v>0.15495</v>
      </c>
      <c r="BG1850" s="321">
        <f t="shared" ref="BG1850" si="1431">BE1850-BF1850</f>
        <v>103.14505</v>
      </c>
      <c r="BH1850" s="321">
        <f t="shared" ref="BH1850" si="1432">X1850</f>
        <v>103.1</v>
      </c>
      <c r="BI1850" s="322">
        <f t="shared" ref="BI1850" si="1433">(BE1850-BH1850)*100</f>
        <v>20.000000000000284</v>
      </c>
      <c r="BJ1850" s="322">
        <v>0</v>
      </c>
      <c r="BK1850" s="318">
        <f t="shared" ref="BK1850" si="1434">BI1850</f>
        <v>20.000000000000284</v>
      </c>
      <c r="BL1850" s="449"/>
      <c r="BM1850" s="449" t="str">
        <f t="shared" ref="BM1850" si="1435">+$C$1&amp;" "&amp;C1850 &amp;" "&amp;$N$1&amp;" "&amp;N1850&amp;" "&amp;$BM$1&amp;" "&amp;$AK$1&amp;" "&amp;AK1850&amp;" "&amp;$AL$1&amp;" "&amp;AL1850&amp;" "&amp;$AM$1&amp;" "&amp;AM1850&amp;" "&amp;$AN$1&amp;" "&amp;AN1850&amp;" "&amp;$AO$1&amp;" "&amp;AO1850&amp;" "&amp;$AP$1&amp;" "&amp;AP1850&amp;" "&amp;$AQ$1&amp;" "&amp;AQ1850</f>
        <v xml:space="preserve">Unloading no. 1813 Bill No RJT856/2026-27 ,Deduction For Oil Deduction= 10851.0363864493 ,Bardana= 0 ,F.M= 0 Brokerage/Rate Difference 0 ,Shortage = 0 ,Greenish= 0 ,Moisture= </v>
      </c>
      <c r="BN1850" s="449"/>
      <c r="BO1850" s="449" t="str">
        <f t="shared" ref="BO1850" si="1436">+" "&amp;$AF$1&amp;" "&amp;AF1850&amp;" "&amp;" "&amp;$AH$1&amp;" "&amp;AH1850*100&amp;" "&amp;$AI$1&amp;" "&amp;AI1850*100&amp;" "&amp;$AJ$1&amp;" "&amp;AJ1850*100&amp;" ,"&amp;$AT$1&amp;" "&amp;AT1850&amp;" "&amp;IF(AE1850&gt;AG1850," ,Oil%"&amp;" "&amp;AG1850," ,Oil%"&amp;" "&amp;AE1850)</f>
        <v xml:space="preserve"> Party Condition 39.85  ,F.M% 0.18 ,Greenish 3.32 ,Moisture 6.2 ,Shortage in KG= 0  ,Oil% 39.33</v>
      </c>
      <c r="BP1850" s="464">
        <f t="shared" ref="BP1850" si="1437">(Y1850-AR1850)/X1850</f>
        <v>7960.3682212759531</v>
      </c>
      <c r="BQ1850" s="449"/>
      <c r="BR1850" s="449"/>
      <c r="BS1850" s="449"/>
      <c r="BT1850" s="449"/>
      <c r="BU1850" s="449"/>
      <c r="BV1850" s="449"/>
      <c r="BW1850" s="449"/>
      <c r="BX1850" s="147">
        <v>39.33</v>
      </c>
      <c r="BY1850" s="147">
        <v>39.4</v>
      </c>
    </row>
    <row r="1851" spans="1:77" ht="14.1" hidden="1" customHeight="1" x14ac:dyDescent="0.3">
      <c r="A1851" s="128" t="s">
        <v>3621</v>
      </c>
      <c r="B1851" s="146">
        <v>46252</v>
      </c>
      <c r="C1851" s="281">
        <v>1814</v>
      </c>
      <c r="D1851" s="128" t="s">
        <v>3864</v>
      </c>
      <c r="E1851" s="130">
        <v>46262</v>
      </c>
      <c r="F1851" s="128" t="s">
        <v>3636</v>
      </c>
      <c r="G1851" s="128" t="s">
        <v>3637</v>
      </c>
      <c r="H1851" s="128" t="s">
        <v>2081</v>
      </c>
      <c r="I1851" s="136"/>
      <c r="J1851" s="138" t="s">
        <v>1146</v>
      </c>
      <c r="K1851" s="136"/>
      <c r="L1851" s="146">
        <v>46252</v>
      </c>
      <c r="M1851" s="136"/>
      <c r="N1851" s="281" t="s">
        <v>3876</v>
      </c>
      <c r="O1851" s="130">
        <v>46261</v>
      </c>
      <c r="P1851" s="138">
        <v>0</v>
      </c>
      <c r="Q1851" s="138">
        <v>120</v>
      </c>
      <c r="R1851" s="138">
        <v>50</v>
      </c>
      <c r="S1851" s="138">
        <v>170</v>
      </c>
      <c r="T1851" s="138">
        <v>170</v>
      </c>
      <c r="U1851" s="136"/>
      <c r="V1851" s="136"/>
      <c r="W1851" s="147">
        <v>102.7</v>
      </c>
      <c r="X1851" s="147">
        <v>102.5</v>
      </c>
      <c r="Y1851" s="148">
        <v>826735</v>
      </c>
      <c r="Z1851" s="165"/>
      <c r="AA1851" s="148">
        <v>20668.38</v>
      </c>
      <c r="AB1851" s="148">
        <v>20668.38</v>
      </c>
      <c r="AC1851" s="148">
        <v>868071.75</v>
      </c>
      <c r="AD1851" s="315">
        <f t="shared" si="1420"/>
        <v>867203.67825</v>
      </c>
      <c r="AE1851" s="147">
        <v>39.44</v>
      </c>
      <c r="AF1851" s="147">
        <v>39.85</v>
      </c>
      <c r="AG1851" s="147">
        <v>39.46</v>
      </c>
      <c r="AH1851" s="287">
        <v>1.8E-3</v>
      </c>
      <c r="AI1851" s="287">
        <v>0.03</v>
      </c>
      <c r="AJ1851" s="287">
        <v>5.5E-2</v>
      </c>
      <c r="AK1851" s="318">
        <f t="shared" si="1421"/>
        <v>8505.9309912171393</v>
      </c>
      <c r="AL1851" s="467">
        <v>0</v>
      </c>
      <c r="AM1851" s="321">
        <v>0</v>
      </c>
      <c r="AN1851" s="321">
        <v>0</v>
      </c>
      <c r="AO1851" s="318">
        <f t="shared" si="1422"/>
        <v>0</v>
      </c>
      <c r="AP1851" s="467">
        <v>0</v>
      </c>
      <c r="AQ1851" s="318"/>
      <c r="AR1851" s="318">
        <f t="shared" si="1423"/>
        <v>8505.9309912171393</v>
      </c>
      <c r="AS1851" s="318">
        <f t="shared" si="1424"/>
        <v>8931</v>
      </c>
      <c r="AT1851" s="321">
        <v>0</v>
      </c>
      <c r="AU1851" s="464"/>
      <c r="AV1851" s="449"/>
      <c r="AW1851" s="318">
        <f t="shared" si="1425"/>
        <v>10270</v>
      </c>
      <c r="AX1851" s="467"/>
      <c r="AY1851" s="318">
        <f t="shared" si="1426"/>
        <v>10270</v>
      </c>
      <c r="AZ1851" s="318">
        <f t="shared" si="1427"/>
        <v>10250</v>
      </c>
      <c r="BA1851" s="318">
        <f t="shared" si="1428"/>
        <v>20</v>
      </c>
      <c r="BB1851" s="318">
        <f t="shared" si="1429"/>
        <v>20.54</v>
      </c>
      <c r="BC1851" s="318">
        <v>0</v>
      </c>
      <c r="BD1851" s="467"/>
      <c r="BE1851" s="138">
        <v>102.7</v>
      </c>
      <c r="BF1851" s="321">
        <f t="shared" ref="BF1851:BF1861" si="1438">+BE1851*0.15/100</f>
        <v>0.15404999999999999</v>
      </c>
      <c r="BG1851" s="321">
        <f t="shared" ref="BG1851:BG1861" si="1439">BE1851-BF1851</f>
        <v>102.54595</v>
      </c>
      <c r="BH1851" s="321">
        <f t="shared" ref="BH1851:BH1861" si="1440">X1851</f>
        <v>102.5</v>
      </c>
      <c r="BI1851" s="322">
        <f t="shared" ref="BI1851:BI1861" si="1441">(BE1851-BH1851)*100</f>
        <v>20.000000000000284</v>
      </c>
      <c r="BJ1851" s="322">
        <v>0</v>
      </c>
      <c r="BK1851" s="318">
        <f t="shared" ref="BK1851:BK1861" si="1442">BI1851</f>
        <v>20.000000000000284</v>
      </c>
      <c r="BL1851" s="449"/>
      <c r="BM1851" s="449" t="str">
        <f t="shared" ref="BM1851:BM1861" si="1443">+$C$1&amp;" "&amp;C1851 &amp;" "&amp;$N$1&amp;" "&amp;N1851&amp;" "&amp;$BM$1&amp;" "&amp;$AK$1&amp;" "&amp;AK1851&amp;" "&amp;$AL$1&amp;" "&amp;AL1851&amp;" "&amp;$AM$1&amp;" "&amp;AM1851&amp;" "&amp;$AN$1&amp;" "&amp;AN1851&amp;" "&amp;$AO$1&amp;" "&amp;AO1851&amp;" "&amp;$AP$1&amp;" "&amp;AP1851&amp;" "&amp;$AQ$1&amp;" "&amp;AQ1851</f>
        <v xml:space="preserve">Unloading no. 1814 Bill No RJT857/2026-27 ,Deduction For Oil Deduction= 8505.93099121714 ,Bardana= 0 ,F.M= 0 Brokerage/Rate Difference 0 ,Shortage = 0 ,Greenish= 0 ,Moisture= </v>
      </c>
      <c r="BN1851" s="449"/>
      <c r="BO1851" s="449" t="str">
        <f t="shared" ref="BO1851:BO1861" si="1444">+" "&amp;$AF$1&amp;" "&amp;AF1851&amp;" "&amp;" "&amp;$AH$1&amp;" "&amp;AH1851*100&amp;" "&amp;$AI$1&amp;" "&amp;AI1851*100&amp;" "&amp;$AJ$1&amp;" "&amp;AJ1851*100&amp;" ,"&amp;$AT$1&amp;" "&amp;AT1851&amp;" "&amp;IF(AE1851&gt;AG1851," ,Oil%"&amp;" "&amp;AG1851," ,Oil%"&amp;" "&amp;AE1851)</f>
        <v xml:space="preserve"> Party Condition 39.85  ,F.M% 0.18 ,Greenish 3 ,Moisture 5.5 ,Shortage in KG= 0  ,Oil% 39.44</v>
      </c>
      <c r="BP1851" s="464">
        <f t="shared" ref="BP1851:BP1861" si="1445">(Y1851-AR1851)/X1851</f>
        <v>7982.7226244759304</v>
      </c>
      <c r="BQ1851" s="449"/>
      <c r="BR1851" s="449"/>
      <c r="BS1851" s="449"/>
      <c r="BT1851" s="449"/>
      <c r="BU1851" s="449"/>
      <c r="BV1851" s="449"/>
      <c r="BW1851" s="449"/>
      <c r="BX1851" s="147">
        <v>39.44</v>
      </c>
      <c r="BY1851" s="147">
        <v>39.46</v>
      </c>
    </row>
    <row r="1852" spans="1:77" ht="14.1" hidden="1" customHeight="1" x14ac:dyDescent="0.3">
      <c r="A1852" s="128" t="s">
        <v>3621</v>
      </c>
      <c r="B1852" s="146">
        <v>46252</v>
      </c>
      <c r="C1852" s="281">
        <v>1815</v>
      </c>
      <c r="D1852" s="128" t="s">
        <v>3865</v>
      </c>
      <c r="E1852" s="130">
        <v>46262</v>
      </c>
      <c r="F1852" s="128" t="s">
        <v>3636</v>
      </c>
      <c r="G1852" s="128" t="s">
        <v>3637</v>
      </c>
      <c r="H1852" s="128" t="s">
        <v>2081</v>
      </c>
      <c r="I1852" s="136"/>
      <c r="J1852" s="138" t="s">
        <v>1146</v>
      </c>
      <c r="K1852" s="136"/>
      <c r="L1852" s="146">
        <v>46252</v>
      </c>
      <c r="M1852" s="136"/>
      <c r="N1852" s="281" t="s">
        <v>3877</v>
      </c>
      <c r="O1852" s="130">
        <v>46261</v>
      </c>
      <c r="P1852" s="138">
        <v>0</v>
      </c>
      <c r="Q1852" s="138">
        <v>160</v>
      </c>
      <c r="R1852" s="138">
        <v>10</v>
      </c>
      <c r="S1852" s="138">
        <v>170</v>
      </c>
      <c r="T1852" s="138">
        <v>170</v>
      </c>
      <c r="U1852" s="136"/>
      <c r="V1852" s="136"/>
      <c r="W1852" s="147">
        <v>102.1</v>
      </c>
      <c r="X1852" s="147">
        <v>102</v>
      </c>
      <c r="Y1852" s="148">
        <v>821905</v>
      </c>
      <c r="Z1852" s="165"/>
      <c r="AA1852" s="148">
        <v>20547.63</v>
      </c>
      <c r="AB1852" s="148">
        <v>20547.63</v>
      </c>
      <c r="AC1852" s="148">
        <v>863000.25</v>
      </c>
      <c r="AD1852" s="315">
        <f t="shared" si="1420"/>
        <v>862137.24974999996</v>
      </c>
      <c r="AE1852" s="147">
        <v>40.25</v>
      </c>
      <c r="AF1852" s="147">
        <v>39.85</v>
      </c>
      <c r="AG1852" s="147">
        <v>40.15</v>
      </c>
      <c r="AH1852" s="287">
        <v>2E-3</v>
      </c>
      <c r="AI1852" s="287">
        <v>3.0800000000000001E-2</v>
      </c>
      <c r="AJ1852" s="287">
        <v>5.5E-2</v>
      </c>
      <c r="AK1852" s="318">
        <f t="shared" si="1421"/>
        <v>0</v>
      </c>
      <c r="AL1852" s="467">
        <v>0</v>
      </c>
      <c r="AM1852" s="321">
        <v>0</v>
      </c>
      <c r="AN1852" s="321">
        <v>0</v>
      </c>
      <c r="AO1852" s="318">
        <f t="shared" si="1422"/>
        <v>0</v>
      </c>
      <c r="AP1852" s="467">
        <v>0</v>
      </c>
      <c r="AQ1852" s="318"/>
      <c r="AR1852" s="318">
        <f t="shared" si="1423"/>
        <v>0</v>
      </c>
      <c r="AS1852" s="318">
        <f t="shared" si="1424"/>
        <v>0</v>
      </c>
      <c r="AT1852" s="321">
        <v>0</v>
      </c>
      <c r="AU1852" s="464"/>
      <c r="AV1852" s="449"/>
      <c r="AW1852" s="318">
        <f t="shared" si="1425"/>
        <v>10210</v>
      </c>
      <c r="AX1852" s="467"/>
      <c r="AY1852" s="318">
        <f t="shared" si="1426"/>
        <v>10210</v>
      </c>
      <c r="AZ1852" s="318">
        <f t="shared" si="1427"/>
        <v>10200</v>
      </c>
      <c r="BA1852" s="318">
        <f t="shared" si="1428"/>
        <v>10</v>
      </c>
      <c r="BB1852" s="318">
        <f t="shared" si="1429"/>
        <v>20.420000000000002</v>
      </c>
      <c r="BC1852" s="318">
        <v>0</v>
      </c>
      <c r="BD1852" s="467"/>
      <c r="BE1852" s="138">
        <v>102.1</v>
      </c>
      <c r="BF1852" s="321">
        <f t="shared" si="1438"/>
        <v>0.15314999999999998</v>
      </c>
      <c r="BG1852" s="321">
        <f t="shared" si="1439"/>
        <v>101.94685</v>
      </c>
      <c r="BH1852" s="321">
        <f t="shared" si="1440"/>
        <v>102</v>
      </c>
      <c r="BI1852" s="322">
        <f t="shared" si="1441"/>
        <v>9.9999999999994316</v>
      </c>
      <c r="BJ1852" s="322">
        <v>0</v>
      </c>
      <c r="BK1852" s="318">
        <f t="shared" si="1442"/>
        <v>9.9999999999994316</v>
      </c>
      <c r="BL1852" s="449"/>
      <c r="BM1852" s="449" t="str">
        <f t="shared" si="1443"/>
        <v xml:space="preserve">Unloading no. 1815 Bill No RJT859/2026-27 ,Deduction For Oil Deduction= 0 ,Bardana= 0 ,F.M= 0 Brokerage/Rate Difference 0 ,Shortage = 0 ,Greenish= 0 ,Moisture= </v>
      </c>
      <c r="BN1852" s="449"/>
      <c r="BO1852" s="449" t="str">
        <f t="shared" si="1444"/>
        <v xml:space="preserve"> Party Condition 39.85  ,F.M% 0.2 ,Greenish 3.08 ,Moisture 5.5 ,Shortage in KG= 0  ,Oil% 40.15</v>
      </c>
      <c r="BP1852" s="464">
        <f t="shared" si="1445"/>
        <v>8057.8921568627447</v>
      </c>
      <c r="BQ1852" s="449"/>
      <c r="BR1852" s="449"/>
      <c r="BS1852" s="449"/>
      <c r="BT1852" s="449"/>
      <c r="BU1852" s="449"/>
      <c r="BV1852" s="449"/>
      <c r="BW1852" s="449"/>
      <c r="BX1852" s="147">
        <v>40.25</v>
      </c>
      <c r="BY1852" s="147">
        <v>40.15</v>
      </c>
    </row>
    <row r="1853" spans="1:77" ht="14.1" hidden="1" customHeight="1" x14ac:dyDescent="0.3">
      <c r="A1853" s="128" t="s">
        <v>3621</v>
      </c>
      <c r="B1853" s="146">
        <v>46252</v>
      </c>
      <c r="C1853" s="281">
        <v>1816</v>
      </c>
      <c r="D1853" s="128" t="s">
        <v>3866</v>
      </c>
      <c r="E1853" s="130">
        <v>46262</v>
      </c>
      <c r="F1853" s="128" t="s">
        <v>3636</v>
      </c>
      <c r="G1853" s="128" t="s">
        <v>3637</v>
      </c>
      <c r="H1853" s="128" t="s">
        <v>2081</v>
      </c>
      <c r="I1853" s="136"/>
      <c r="J1853" s="138" t="s">
        <v>1146</v>
      </c>
      <c r="K1853" s="136"/>
      <c r="L1853" s="146">
        <v>46252</v>
      </c>
      <c r="M1853" s="136"/>
      <c r="N1853" s="281" t="s">
        <v>3878</v>
      </c>
      <c r="O1853" s="130">
        <v>46261</v>
      </c>
      <c r="P1853" s="138">
        <v>0</v>
      </c>
      <c r="Q1853" s="138">
        <v>158</v>
      </c>
      <c r="R1853" s="138">
        <v>12</v>
      </c>
      <c r="S1853" s="138">
        <v>170</v>
      </c>
      <c r="T1853" s="138">
        <v>170</v>
      </c>
      <c r="U1853" s="136"/>
      <c r="V1853" s="136"/>
      <c r="W1853" s="147">
        <v>102.3</v>
      </c>
      <c r="X1853" s="147">
        <v>102.2</v>
      </c>
      <c r="Y1853" s="148">
        <v>823515</v>
      </c>
      <c r="Z1853" s="165"/>
      <c r="AA1853" s="148">
        <v>20587.88</v>
      </c>
      <c r="AB1853" s="148">
        <v>20587.88</v>
      </c>
      <c r="AC1853" s="148">
        <v>864690.75</v>
      </c>
      <c r="AD1853" s="315">
        <f t="shared" si="1420"/>
        <v>863826.05925000005</v>
      </c>
      <c r="AE1853" s="147">
        <v>39.6</v>
      </c>
      <c r="AF1853" s="147">
        <v>39.85</v>
      </c>
      <c r="AG1853" s="147">
        <v>39.6</v>
      </c>
      <c r="AH1853" s="287">
        <v>1.9E-3</v>
      </c>
      <c r="AI1853" s="287">
        <v>3.1E-2</v>
      </c>
      <c r="AJ1853" s="287">
        <v>5.3999999999999999E-2</v>
      </c>
      <c r="AK1853" s="318">
        <f t="shared" si="1421"/>
        <v>5166.3425345043916</v>
      </c>
      <c r="AL1853" s="467">
        <v>0</v>
      </c>
      <c r="AM1853" s="321">
        <v>0</v>
      </c>
      <c r="AN1853" s="321">
        <v>0</v>
      </c>
      <c r="AO1853" s="318">
        <f t="shared" si="1422"/>
        <v>0</v>
      </c>
      <c r="AP1853" s="467">
        <v>0</v>
      </c>
      <c r="AQ1853" s="318"/>
      <c r="AR1853" s="318">
        <f t="shared" si="1423"/>
        <v>5166.3425345043916</v>
      </c>
      <c r="AS1853" s="318">
        <f t="shared" si="1424"/>
        <v>5425</v>
      </c>
      <c r="AT1853" s="321">
        <v>0</v>
      </c>
      <c r="AU1853" s="464"/>
      <c r="AV1853" s="449"/>
      <c r="AW1853" s="318">
        <f t="shared" si="1425"/>
        <v>10230</v>
      </c>
      <c r="AX1853" s="467"/>
      <c r="AY1853" s="318">
        <f t="shared" si="1426"/>
        <v>10230</v>
      </c>
      <c r="AZ1853" s="318">
        <f t="shared" si="1427"/>
        <v>10220</v>
      </c>
      <c r="BA1853" s="318">
        <f t="shared" si="1428"/>
        <v>10</v>
      </c>
      <c r="BB1853" s="318">
        <f t="shared" si="1429"/>
        <v>20.46</v>
      </c>
      <c r="BC1853" s="318">
        <v>0</v>
      </c>
      <c r="BD1853" s="467"/>
      <c r="BE1853" s="138">
        <v>102.3</v>
      </c>
      <c r="BF1853" s="321">
        <f t="shared" si="1438"/>
        <v>0.15344999999999998</v>
      </c>
      <c r="BG1853" s="321">
        <f t="shared" si="1439"/>
        <v>102.14654999999999</v>
      </c>
      <c r="BH1853" s="321">
        <f t="shared" si="1440"/>
        <v>102.2</v>
      </c>
      <c r="BI1853" s="322">
        <f t="shared" si="1441"/>
        <v>9.9999999999994316</v>
      </c>
      <c r="BJ1853" s="322">
        <v>0</v>
      </c>
      <c r="BK1853" s="318">
        <f t="shared" si="1442"/>
        <v>9.9999999999994316</v>
      </c>
      <c r="BL1853" s="449"/>
      <c r="BM1853" s="449" t="str">
        <f t="shared" si="1443"/>
        <v xml:space="preserve">Unloading no. 1816 Bill No RJT858/2026-27 ,Deduction For Oil Deduction= 5166.34253450439 ,Bardana= 0 ,F.M= 0 Brokerage/Rate Difference 0 ,Shortage = 0 ,Greenish= 0 ,Moisture= </v>
      </c>
      <c r="BN1853" s="449"/>
      <c r="BO1853" s="449" t="str">
        <f t="shared" si="1444"/>
        <v xml:space="preserve"> Party Condition 39.85  ,F.M% 0.19 ,Greenish 3.1 ,Moisture 5.4 ,Shortage in KG= 0  ,Oil% 39.6</v>
      </c>
      <c r="BP1853" s="464">
        <f t="shared" si="1445"/>
        <v>8007.3254155136556</v>
      </c>
      <c r="BQ1853" s="449"/>
      <c r="BR1853" s="449"/>
      <c r="BS1853" s="449"/>
      <c r="BT1853" s="449"/>
      <c r="BU1853" s="449"/>
      <c r="BV1853" s="449"/>
      <c r="BW1853" s="449"/>
      <c r="BX1853" s="147">
        <v>39.6</v>
      </c>
      <c r="BY1853" s="147">
        <v>39.6</v>
      </c>
    </row>
    <row r="1854" spans="1:77" ht="14.1" hidden="1" customHeight="1" x14ac:dyDescent="0.3">
      <c r="A1854" s="128" t="s">
        <v>3621</v>
      </c>
      <c r="B1854" s="146">
        <v>46252</v>
      </c>
      <c r="C1854" s="281">
        <v>1817</v>
      </c>
      <c r="D1854" s="128" t="s">
        <v>3867</v>
      </c>
      <c r="E1854" s="130">
        <v>46262</v>
      </c>
      <c r="F1854" s="128" t="s">
        <v>3636</v>
      </c>
      <c r="G1854" s="128" t="s">
        <v>3637</v>
      </c>
      <c r="H1854" s="128" t="s">
        <v>2081</v>
      </c>
      <c r="I1854" s="136"/>
      <c r="J1854" s="138" t="s">
        <v>1146</v>
      </c>
      <c r="K1854" s="136"/>
      <c r="L1854" s="146">
        <v>46252</v>
      </c>
      <c r="M1854" s="136"/>
      <c r="N1854" s="281" t="s">
        <v>3879</v>
      </c>
      <c r="O1854" s="130">
        <v>46261</v>
      </c>
      <c r="P1854" s="138">
        <v>0</v>
      </c>
      <c r="Q1854" s="138">
        <v>150</v>
      </c>
      <c r="R1854" s="138">
        <v>20</v>
      </c>
      <c r="S1854" s="138">
        <v>170</v>
      </c>
      <c r="T1854" s="138">
        <v>170</v>
      </c>
      <c r="U1854" s="136"/>
      <c r="V1854" s="136"/>
      <c r="W1854" s="147">
        <v>102.4</v>
      </c>
      <c r="X1854" s="147">
        <v>102.3</v>
      </c>
      <c r="Y1854" s="148">
        <v>824320</v>
      </c>
      <c r="Z1854" s="165"/>
      <c r="AA1854" s="148">
        <v>20608</v>
      </c>
      <c r="AB1854" s="148">
        <v>20608</v>
      </c>
      <c r="AC1854" s="148">
        <v>865536</v>
      </c>
      <c r="AD1854" s="315">
        <f t="shared" si="1420"/>
        <v>864670.46400000004</v>
      </c>
      <c r="AE1854" s="147">
        <v>39.93</v>
      </c>
      <c r="AF1854" s="147">
        <v>39.85</v>
      </c>
      <c r="AG1854" s="147">
        <v>39.96</v>
      </c>
      <c r="AH1854" s="287">
        <v>1.6999999999999999E-3</v>
      </c>
      <c r="AI1854" s="287">
        <v>3.3000000000000002E-2</v>
      </c>
      <c r="AJ1854" s="287">
        <v>5.3999999999999999E-2</v>
      </c>
      <c r="AK1854" s="318">
        <f t="shared" si="1421"/>
        <v>0</v>
      </c>
      <c r="AL1854" s="467">
        <v>0</v>
      </c>
      <c r="AM1854" s="321">
        <v>0</v>
      </c>
      <c r="AN1854" s="321">
        <v>0</v>
      </c>
      <c r="AO1854" s="318">
        <f t="shared" si="1422"/>
        <v>0</v>
      </c>
      <c r="AP1854" s="467">
        <v>0</v>
      </c>
      <c r="AQ1854" s="318"/>
      <c r="AR1854" s="318">
        <f t="shared" si="1423"/>
        <v>0</v>
      </c>
      <c r="AS1854" s="318">
        <f t="shared" si="1424"/>
        <v>0</v>
      </c>
      <c r="AT1854" s="321">
        <v>0</v>
      </c>
      <c r="AU1854" s="464"/>
      <c r="AV1854" s="449"/>
      <c r="AW1854" s="318">
        <f t="shared" si="1425"/>
        <v>10240</v>
      </c>
      <c r="AX1854" s="467"/>
      <c r="AY1854" s="318">
        <f t="shared" si="1426"/>
        <v>10240</v>
      </c>
      <c r="AZ1854" s="318">
        <f t="shared" si="1427"/>
        <v>10230</v>
      </c>
      <c r="BA1854" s="318">
        <f t="shared" si="1428"/>
        <v>10</v>
      </c>
      <c r="BB1854" s="318">
        <f t="shared" si="1429"/>
        <v>20.48</v>
      </c>
      <c r="BC1854" s="318">
        <v>0</v>
      </c>
      <c r="BD1854" s="467"/>
      <c r="BE1854" s="138">
        <v>102.4</v>
      </c>
      <c r="BF1854" s="321">
        <f t="shared" si="1438"/>
        <v>0.15359999999999999</v>
      </c>
      <c r="BG1854" s="321">
        <f t="shared" si="1439"/>
        <v>102.24640000000001</v>
      </c>
      <c r="BH1854" s="321">
        <f t="shared" si="1440"/>
        <v>102.3</v>
      </c>
      <c r="BI1854" s="322">
        <f t="shared" si="1441"/>
        <v>10.000000000000853</v>
      </c>
      <c r="BJ1854" s="322">
        <v>0</v>
      </c>
      <c r="BK1854" s="318">
        <f t="shared" si="1442"/>
        <v>10.000000000000853</v>
      </c>
      <c r="BL1854" s="449"/>
      <c r="BM1854" s="449" t="str">
        <f t="shared" si="1443"/>
        <v xml:space="preserve">Unloading no. 1817 Bill No RJT860/2026-27 ,Deduction For Oil Deduction= 0 ,Bardana= 0 ,F.M= 0 Brokerage/Rate Difference 0 ,Shortage = 0 ,Greenish= 0 ,Moisture= </v>
      </c>
      <c r="BN1854" s="449"/>
      <c r="BO1854" s="449" t="str">
        <f t="shared" si="1444"/>
        <v xml:space="preserve"> Party Condition 39.85  ,F.M% 0.17 ,Greenish 3.3 ,Moisture 5.4 ,Shortage in KG= 0  ,Oil% 39.93</v>
      </c>
      <c r="BP1854" s="464">
        <f t="shared" si="1445"/>
        <v>8057.8690127077225</v>
      </c>
      <c r="BQ1854" s="449"/>
      <c r="BR1854" s="449"/>
      <c r="BS1854" s="449"/>
      <c r="BT1854" s="449"/>
      <c r="BU1854" s="449"/>
      <c r="BV1854" s="449"/>
      <c r="BW1854" s="449"/>
      <c r="BX1854" s="147">
        <v>39.93</v>
      </c>
      <c r="BY1854" s="147">
        <v>39.96</v>
      </c>
    </row>
    <row r="1855" spans="1:77" ht="14.1" hidden="1" customHeight="1" x14ac:dyDescent="0.3">
      <c r="A1855" s="128" t="s">
        <v>3621</v>
      </c>
      <c r="B1855" s="146">
        <v>46252</v>
      </c>
      <c r="C1855" s="281">
        <v>1818</v>
      </c>
      <c r="D1855" s="128" t="s">
        <v>3868</v>
      </c>
      <c r="E1855" s="130">
        <v>46262</v>
      </c>
      <c r="F1855" s="128" t="s">
        <v>3636</v>
      </c>
      <c r="G1855" s="128" t="s">
        <v>3637</v>
      </c>
      <c r="H1855" s="128" t="s">
        <v>2081</v>
      </c>
      <c r="I1855" s="136"/>
      <c r="J1855" s="138" t="s">
        <v>1146</v>
      </c>
      <c r="K1855" s="136"/>
      <c r="L1855" s="146">
        <v>46252</v>
      </c>
      <c r="M1855" s="136"/>
      <c r="N1855" s="281" t="s">
        <v>3880</v>
      </c>
      <c r="O1855" s="130">
        <v>46261</v>
      </c>
      <c r="P1855" s="138">
        <v>0</v>
      </c>
      <c r="Q1855" s="138">
        <v>150</v>
      </c>
      <c r="R1855" s="138">
        <v>20</v>
      </c>
      <c r="S1855" s="138">
        <v>170</v>
      </c>
      <c r="T1855" s="138">
        <v>170</v>
      </c>
      <c r="U1855" s="136"/>
      <c r="V1855" s="136"/>
      <c r="W1855" s="147">
        <v>102.6</v>
      </c>
      <c r="X1855" s="147">
        <v>102.5</v>
      </c>
      <c r="Y1855" s="148">
        <v>825930</v>
      </c>
      <c r="Z1855" s="165"/>
      <c r="AA1855" s="148">
        <v>20648.25</v>
      </c>
      <c r="AB1855" s="148">
        <v>20648.25</v>
      </c>
      <c r="AC1855" s="148">
        <v>867226.5</v>
      </c>
      <c r="AD1855" s="315">
        <f t="shared" si="1420"/>
        <v>866359.27350000001</v>
      </c>
      <c r="AE1855" s="147">
        <v>40.31</v>
      </c>
      <c r="AF1855" s="147">
        <v>39.85</v>
      </c>
      <c r="AG1855" s="147">
        <v>40.299999999999997</v>
      </c>
      <c r="AH1855" s="287">
        <v>2.3999999999999998E-3</v>
      </c>
      <c r="AI1855" s="287">
        <v>0.03</v>
      </c>
      <c r="AJ1855" s="287">
        <v>5.8000000000000003E-2</v>
      </c>
      <c r="AK1855" s="318">
        <f t="shared" si="1421"/>
        <v>0</v>
      </c>
      <c r="AL1855" s="467">
        <v>0</v>
      </c>
      <c r="AM1855" s="321">
        <v>0</v>
      </c>
      <c r="AN1855" s="321">
        <v>0</v>
      </c>
      <c r="AO1855" s="318">
        <f t="shared" si="1422"/>
        <v>0</v>
      </c>
      <c r="AP1855" s="467">
        <v>0</v>
      </c>
      <c r="AQ1855" s="318"/>
      <c r="AR1855" s="318">
        <f t="shared" si="1423"/>
        <v>0</v>
      </c>
      <c r="AS1855" s="318">
        <f t="shared" si="1424"/>
        <v>0</v>
      </c>
      <c r="AT1855" s="321">
        <v>0</v>
      </c>
      <c r="AU1855" s="464"/>
      <c r="AV1855" s="449"/>
      <c r="AW1855" s="318">
        <f t="shared" si="1425"/>
        <v>10260</v>
      </c>
      <c r="AX1855" s="467"/>
      <c r="AY1855" s="318">
        <f t="shared" si="1426"/>
        <v>10260</v>
      </c>
      <c r="AZ1855" s="318">
        <f t="shared" si="1427"/>
        <v>10250</v>
      </c>
      <c r="BA1855" s="318">
        <f t="shared" si="1428"/>
        <v>10</v>
      </c>
      <c r="BB1855" s="318">
        <f t="shared" si="1429"/>
        <v>20.52</v>
      </c>
      <c r="BC1855" s="318">
        <v>0</v>
      </c>
      <c r="BD1855" s="467"/>
      <c r="BE1855" s="138">
        <v>102.6</v>
      </c>
      <c r="BF1855" s="321">
        <f t="shared" si="1438"/>
        <v>0.15389999999999998</v>
      </c>
      <c r="BG1855" s="321">
        <f t="shared" si="1439"/>
        <v>102.4461</v>
      </c>
      <c r="BH1855" s="321">
        <f t="shared" si="1440"/>
        <v>102.5</v>
      </c>
      <c r="BI1855" s="322">
        <f t="shared" si="1441"/>
        <v>9.9999999999994316</v>
      </c>
      <c r="BJ1855" s="322">
        <v>0</v>
      </c>
      <c r="BK1855" s="318">
        <f t="shared" si="1442"/>
        <v>9.9999999999994316</v>
      </c>
      <c r="BL1855" s="449"/>
      <c r="BM1855" s="449" t="str">
        <f t="shared" si="1443"/>
        <v xml:space="preserve">Unloading no. 1818 Bill No RJT861/2026-27 ,Deduction For Oil Deduction= 0 ,Bardana= 0 ,F.M= 0 Brokerage/Rate Difference 0 ,Shortage = 0 ,Greenish= 0 ,Moisture= </v>
      </c>
      <c r="BN1855" s="449"/>
      <c r="BO1855" s="449" t="str">
        <f t="shared" si="1444"/>
        <v xml:space="preserve"> Party Condition 39.85  ,F.M% 0.24 ,Greenish 3 ,Moisture 5.8 ,Shortage in KG= 0  ,Oil% 40.3</v>
      </c>
      <c r="BP1855" s="464">
        <f t="shared" si="1445"/>
        <v>8057.8536585365855</v>
      </c>
      <c r="BQ1855" s="449"/>
      <c r="BR1855" s="449"/>
      <c r="BS1855" s="449"/>
      <c r="BT1855" s="449"/>
      <c r="BU1855" s="449"/>
      <c r="BV1855" s="449"/>
      <c r="BW1855" s="449"/>
      <c r="BX1855" s="147">
        <v>40.31</v>
      </c>
      <c r="BY1855" s="147">
        <v>40.299999999999997</v>
      </c>
    </row>
    <row r="1856" spans="1:77" ht="14.1" customHeight="1" x14ac:dyDescent="0.3">
      <c r="A1856" s="128" t="s">
        <v>3836</v>
      </c>
      <c r="B1856" s="146">
        <v>46259</v>
      </c>
      <c r="C1856" s="281">
        <v>1819</v>
      </c>
      <c r="D1856" s="128" t="s">
        <v>3869</v>
      </c>
      <c r="E1856" s="130">
        <v>46262</v>
      </c>
      <c r="F1856" s="128" t="s">
        <v>3299</v>
      </c>
      <c r="G1856" s="128" t="s">
        <v>2630</v>
      </c>
      <c r="H1856" s="128" t="s">
        <v>1508</v>
      </c>
      <c r="I1856" s="136"/>
      <c r="J1856" s="138" t="s">
        <v>1146</v>
      </c>
      <c r="K1856" s="136"/>
      <c r="L1856" s="146">
        <v>46259</v>
      </c>
      <c r="M1856" s="136"/>
      <c r="N1856" s="281">
        <v>235</v>
      </c>
      <c r="O1856" s="130">
        <v>46261</v>
      </c>
      <c r="P1856" s="138">
        <v>0</v>
      </c>
      <c r="Q1856" s="138">
        <v>500</v>
      </c>
      <c r="R1856" s="138">
        <v>95</v>
      </c>
      <c r="S1856" s="138">
        <v>595</v>
      </c>
      <c r="T1856" s="138">
        <v>595</v>
      </c>
      <c r="U1856" s="136"/>
      <c r="V1856" s="136"/>
      <c r="W1856" s="147">
        <v>350.4</v>
      </c>
      <c r="X1856" s="147">
        <v>350.1</v>
      </c>
      <c r="Y1856" s="296">
        <f>2880288-28032</f>
        <v>2852256</v>
      </c>
      <c r="Z1856" s="441">
        <v>39.19</v>
      </c>
      <c r="AA1856" s="148">
        <v>72007.199999999997</v>
      </c>
      <c r="AB1856" s="148">
        <v>72007.199999999997</v>
      </c>
      <c r="AC1856" s="148">
        <v>3024302.4</v>
      </c>
      <c r="AD1856" s="315">
        <f t="shared" si="1420"/>
        <v>3021278.0976</v>
      </c>
      <c r="AE1856" s="441">
        <v>39.19</v>
      </c>
      <c r="AF1856" s="147">
        <v>42</v>
      </c>
      <c r="AG1856" s="441">
        <v>39.19</v>
      </c>
      <c r="AH1856" s="287">
        <v>3.5000000000000001E-3</v>
      </c>
      <c r="AI1856" s="287">
        <v>3.15E-2</v>
      </c>
      <c r="AJ1856" s="287">
        <v>5.8999999999999997E-2</v>
      </c>
      <c r="AK1856" s="318">
        <f t="shared" si="1421"/>
        <v>190829.50857142871</v>
      </c>
      <c r="AL1856" s="467">
        <v>0</v>
      </c>
      <c r="AM1856" s="321">
        <v>0</v>
      </c>
      <c r="AN1856" s="321">
        <v>0</v>
      </c>
      <c r="AO1856" s="318">
        <f t="shared" si="1422"/>
        <v>0</v>
      </c>
      <c r="AP1856" s="467">
        <v>0</v>
      </c>
      <c r="AQ1856" s="318"/>
      <c r="AR1856" s="318">
        <f t="shared" si="1423"/>
        <v>190829.50857142871</v>
      </c>
      <c r="AS1856" s="318">
        <f t="shared" si="1424"/>
        <v>200371</v>
      </c>
      <c r="AT1856" s="321">
        <v>0</v>
      </c>
      <c r="AU1856" s="464"/>
      <c r="AV1856" s="449"/>
      <c r="AW1856" s="318">
        <f t="shared" si="1425"/>
        <v>35040</v>
      </c>
      <c r="AX1856" s="467"/>
      <c r="AY1856" s="318">
        <f t="shared" si="1426"/>
        <v>35040</v>
      </c>
      <c r="AZ1856" s="318">
        <f t="shared" si="1427"/>
        <v>35010</v>
      </c>
      <c r="BA1856" s="318">
        <f t="shared" si="1428"/>
        <v>30</v>
      </c>
      <c r="BB1856" s="318">
        <f t="shared" si="1429"/>
        <v>70.08</v>
      </c>
      <c r="BC1856" s="318">
        <v>0</v>
      </c>
      <c r="BD1856" s="467"/>
      <c r="BE1856" s="138">
        <v>350.4</v>
      </c>
      <c r="BF1856" s="321">
        <f t="shared" si="1438"/>
        <v>0.52559999999999996</v>
      </c>
      <c r="BG1856" s="321">
        <f t="shared" si="1439"/>
        <v>349.87439999999998</v>
      </c>
      <c r="BH1856" s="321">
        <f t="shared" si="1440"/>
        <v>350.1</v>
      </c>
      <c r="BI1856" s="322">
        <f t="shared" si="1441"/>
        <v>29.999999999995453</v>
      </c>
      <c r="BJ1856" s="322">
        <v>0</v>
      </c>
      <c r="BK1856" s="318">
        <f t="shared" si="1442"/>
        <v>29.999999999995453</v>
      </c>
      <c r="BL1856" s="449"/>
      <c r="BM1856" s="449" t="str">
        <f t="shared" si="1443"/>
        <v xml:space="preserve">Unloading no. 1819 Bill No 235 ,Deduction For Oil Deduction= 190829.508571429 ,Bardana= 0 ,F.M= 0 Brokerage/Rate Difference 0 ,Shortage = 0 ,Greenish= 0 ,Moisture= </v>
      </c>
      <c r="BN1856" s="449"/>
      <c r="BO1856" s="449" t="str">
        <f t="shared" si="1444"/>
        <v xml:space="preserve"> Party Condition 42  ,F.M% 0.35 ,Greenish 3.15 ,Moisture 5.9 ,Shortage in KG= 0  ,Oil% 39.19</v>
      </c>
      <c r="BP1856" s="464">
        <f t="shared" si="1445"/>
        <v>7601.9037173052584</v>
      </c>
      <c r="BQ1856" s="449"/>
      <c r="BR1856" s="449"/>
      <c r="BS1856" s="449"/>
      <c r="BT1856" s="449"/>
      <c r="BU1856" s="449"/>
      <c r="BV1856" s="449"/>
      <c r="BW1856" s="449"/>
      <c r="BX1856" s="147">
        <v>39.380000000000003</v>
      </c>
      <c r="BY1856" s="147">
        <v>39.130000000000003</v>
      </c>
    </row>
    <row r="1857" spans="1:77" ht="14.1" customHeight="1" x14ac:dyDescent="0.3">
      <c r="A1857" s="128" t="s">
        <v>3862</v>
      </c>
      <c r="B1857" s="146">
        <v>46259</v>
      </c>
      <c r="C1857" s="281">
        <v>1820</v>
      </c>
      <c r="D1857" s="128" t="s">
        <v>3870</v>
      </c>
      <c r="E1857" s="130">
        <v>46262</v>
      </c>
      <c r="F1857" s="128" t="s">
        <v>1807</v>
      </c>
      <c r="G1857" s="128" t="s">
        <v>1808</v>
      </c>
      <c r="H1857" s="128" t="s">
        <v>100</v>
      </c>
      <c r="I1857" s="136"/>
      <c r="J1857" s="138" t="s">
        <v>2499</v>
      </c>
      <c r="K1857" s="136"/>
      <c r="L1857" s="146">
        <v>46259</v>
      </c>
      <c r="M1857" s="136"/>
      <c r="N1857" s="281" t="s">
        <v>1172</v>
      </c>
      <c r="O1857" s="130">
        <v>46261</v>
      </c>
      <c r="P1857" s="138">
        <v>0</v>
      </c>
      <c r="Q1857" s="138">
        <v>365</v>
      </c>
      <c r="R1857" s="138">
        <v>85</v>
      </c>
      <c r="S1857" s="138">
        <v>450</v>
      </c>
      <c r="T1857" s="138">
        <v>450</v>
      </c>
      <c r="U1857" s="136"/>
      <c r="V1857" s="136"/>
      <c r="W1857" s="147">
        <v>272.3</v>
      </c>
      <c r="X1857" s="147">
        <v>271.89999999999998</v>
      </c>
      <c r="Y1857" s="148">
        <v>2249198</v>
      </c>
      <c r="Z1857" s="165"/>
      <c r="AA1857" s="148">
        <v>56229.95</v>
      </c>
      <c r="AB1857" s="148">
        <v>56229.95</v>
      </c>
      <c r="AC1857" s="148">
        <v>2361657.9</v>
      </c>
      <c r="AD1857" s="315">
        <f t="shared" si="1420"/>
        <v>2359296.2420999999</v>
      </c>
      <c r="AE1857" s="147">
        <v>40</v>
      </c>
      <c r="AF1857" s="147">
        <v>42</v>
      </c>
      <c r="AG1857" s="147">
        <v>39.82</v>
      </c>
      <c r="AH1857" s="287">
        <v>2.2000000000000001E-3</v>
      </c>
      <c r="AI1857" s="287">
        <v>3.2000000000000001E-2</v>
      </c>
      <c r="AJ1857" s="287">
        <v>5.8999999999999997E-2</v>
      </c>
      <c r="AK1857" s="318">
        <f t="shared" si="1421"/>
        <v>116744.08666666666</v>
      </c>
      <c r="AL1857" s="467">
        <v>0</v>
      </c>
      <c r="AM1857" s="321">
        <v>0</v>
      </c>
      <c r="AN1857" s="321">
        <v>0</v>
      </c>
      <c r="AO1857" s="318">
        <f t="shared" si="1422"/>
        <v>0</v>
      </c>
      <c r="AP1857" s="467">
        <v>0</v>
      </c>
      <c r="AQ1857" s="318"/>
      <c r="AR1857" s="318">
        <f t="shared" si="1423"/>
        <v>116744.08666666666</v>
      </c>
      <c r="AS1857" s="318">
        <f t="shared" si="1424"/>
        <v>122581</v>
      </c>
      <c r="AT1857" s="321">
        <v>0</v>
      </c>
      <c r="AU1857" s="464"/>
      <c r="AV1857" s="449"/>
      <c r="AW1857" s="318">
        <f t="shared" si="1425"/>
        <v>27230</v>
      </c>
      <c r="AX1857" s="467"/>
      <c r="AY1857" s="318">
        <f t="shared" si="1426"/>
        <v>27230</v>
      </c>
      <c r="AZ1857" s="318">
        <f t="shared" si="1427"/>
        <v>27189.999999999996</v>
      </c>
      <c r="BA1857" s="318">
        <f t="shared" si="1428"/>
        <v>40.000000000003638</v>
      </c>
      <c r="BB1857" s="318">
        <f t="shared" si="1429"/>
        <v>54.46</v>
      </c>
      <c r="BC1857" s="318">
        <v>0</v>
      </c>
      <c r="BD1857" s="467"/>
      <c r="BE1857" s="138">
        <v>272.3</v>
      </c>
      <c r="BF1857" s="321">
        <f t="shared" si="1438"/>
        <v>0.40844999999999998</v>
      </c>
      <c r="BG1857" s="321">
        <f t="shared" si="1439"/>
        <v>271.89155</v>
      </c>
      <c r="BH1857" s="321">
        <f t="shared" si="1440"/>
        <v>271.89999999999998</v>
      </c>
      <c r="BI1857" s="322">
        <f t="shared" si="1441"/>
        <v>40.000000000003411</v>
      </c>
      <c r="BJ1857" s="322">
        <v>0</v>
      </c>
      <c r="BK1857" s="318">
        <f t="shared" si="1442"/>
        <v>40.000000000003411</v>
      </c>
      <c r="BL1857" s="449"/>
      <c r="BM1857" s="449" t="str">
        <f t="shared" si="1443"/>
        <v xml:space="preserve">Unloading no. 1820 Bill No 2026-27/43 ,Deduction For Oil Deduction= 116744.086666667 ,Bardana= 0 ,F.M= 0 Brokerage/Rate Difference 0 ,Shortage = 0 ,Greenish= 0 ,Moisture= </v>
      </c>
      <c r="BN1857" s="449"/>
      <c r="BO1857" s="449" t="str">
        <f t="shared" si="1444"/>
        <v xml:space="preserve"> Party Condition 42  ,F.M% 0.22 ,Greenish 3.2 ,Moisture 5.9 ,Shortage in KG= 0  ,Oil% 39.82</v>
      </c>
      <c r="BP1857" s="464">
        <f t="shared" si="1445"/>
        <v>7842.7874708839045</v>
      </c>
      <c r="BQ1857" s="449"/>
      <c r="BR1857" s="449"/>
      <c r="BS1857" s="449"/>
      <c r="BT1857" s="449"/>
      <c r="BU1857" s="449"/>
      <c r="BV1857" s="449"/>
      <c r="BW1857" s="449"/>
      <c r="BX1857" s="147">
        <v>40</v>
      </c>
      <c r="BY1857" s="147">
        <v>39.82</v>
      </c>
    </row>
    <row r="1858" spans="1:77" ht="14.1" customHeight="1" x14ac:dyDescent="0.3">
      <c r="A1858" s="128" t="s">
        <v>3862</v>
      </c>
      <c r="B1858" s="146">
        <v>46259</v>
      </c>
      <c r="C1858" s="281">
        <v>1821</v>
      </c>
      <c r="D1858" s="128" t="s">
        <v>3871</v>
      </c>
      <c r="E1858" s="130">
        <v>46262</v>
      </c>
      <c r="F1858" s="128" t="s">
        <v>1807</v>
      </c>
      <c r="G1858" s="128" t="s">
        <v>1808</v>
      </c>
      <c r="H1858" s="128" t="s">
        <v>100</v>
      </c>
      <c r="I1858" s="136"/>
      <c r="J1858" s="138" t="s">
        <v>2499</v>
      </c>
      <c r="K1858" s="136"/>
      <c r="L1858" s="146">
        <v>46259</v>
      </c>
      <c r="M1858" s="136"/>
      <c r="N1858" s="281" t="s">
        <v>1170</v>
      </c>
      <c r="O1858" s="130">
        <v>46261</v>
      </c>
      <c r="P1858" s="138">
        <v>0</v>
      </c>
      <c r="Q1858" s="138">
        <v>410</v>
      </c>
      <c r="R1858" s="138">
        <v>45</v>
      </c>
      <c r="S1858" s="138">
        <v>455</v>
      </c>
      <c r="T1858" s="138">
        <v>455</v>
      </c>
      <c r="U1858" s="136"/>
      <c r="V1858" s="136"/>
      <c r="W1858" s="147">
        <v>277.45</v>
      </c>
      <c r="X1858" s="147">
        <v>277.10000000000002</v>
      </c>
      <c r="Y1858" s="148">
        <v>2291737</v>
      </c>
      <c r="Z1858" s="165"/>
      <c r="AA1858" s="148">
        <v>57293.43</v>
      </c>
      <c r="AB1858" s="148">
        <v>57293.43</v>
      </c>
      <c r="AC1858" s="148">
        <v>2406323.85</v>
      </c>
      <c r="AD1858" s="315">
        <f t="shared" si="1420"/>
        <v>2403917.5261500003</v>
      </c>
      <c r="AE1858" s="147">
        <v>40.22</v>
      </c>
      <c r="AF1858" s="147">
        <v>42</v>
      </c>
      <c r="AG1858" s="147">
        <v>40.08</v>
      </c>
      <c r="AH1858" s="287">
        <v>2.0999999999999999E-3</v>
      </c>
      <c r="AI1858" s="287">
        <v>0.03</v>
      </c>
      <c r="AJ1858" s="287">
        <v>5.5E-2</v>
      </c>
      <c r="AK1858" s="318">
        <f t="shared" si="1421"/>
        <v>104765.1200000001</v>
      </c>
      <c r="AL1858" s="467">
        <v>0</v>
      </c>
      <c r="AM1858" s="321">
        <v>0</v>
      </c>
      <c r="AN1858" s="321">
        <v>0</v>
      </c>
      <c r="AO1858" s="318">
        <f t="shared" si="1422"/>
        <v>0</v>
      </c>
      <c r="AP1858" s="467">
        <v>0</v>
      </c>
      <c r="AQ1858" s="318"/>
      <c r="AR1858" s="318">
        <f t="shared" si="1423"/>
        <v>104765.1200000001</v>
      </c>
      <c r="AS1858" s="318">
        <f t="shared" si="1424"/>
        <v>110003</v>
      </c>
      <c r="AT1858" s="321">
        <v>0</v>
      </c>
      <c r="AU1858" s="464"/>
      <c r="AV1858" s="449"/>
      <c r="AW1858" s="318">
        <f t="shared" si="1425"/>
        <v>27745</v>
      </c>
      <c r="AX1858" s="467"/>
      <c r="AY1858" s="318">
        <f t="shared" si="1426"/>
        <v>27745</v>
      </c>
      <c r="AZ1858" s="318">
        <f t="shared" si="1427"/>
        <v>27710.000000000004</v>
      </c>
      <c r="BA1858" s="318">
        <f t="shared" si="1428"/>
        <v>34.999999999996362</v>
      </c>
      <c r="BB1858" s="318">
        <f t="shared" si="1429"/>
        <v>55.49</v>
      </c>
      <c r="BC1858" s="318">
        <v>0</v>
      </c>
      <c r="BD1858" s="467"/>
      <c r="BE1858" s="138">
        <v>277.45</v>
      </c>
      <c r="BF1858" s="321">
        <f t="shared" si="1438"/>
        <v>0.41617500000000002</v>
      </c>
      <c r="BG1858" s="321">
        <f t="shared" si="1439"/>
        <v>277.03382499999998</v>
      </c>
      <c r="BH1858" s="321">
        <f t="shared" si="1440"/>
        <v>277.10000000000002</v>
      </c>
      <c r="BI1858" s="322">
        <f t="shared" si="1441"/>
        <v>34.999999999996589</v>
      </c>
      <c r="BJ1858" s="322">
        <v>0</v>
      </c>
      <c r="BK1858" s="318">
        <f t="shared" si="1442"/>
        <v>34.999999999996589</v>
      </c>
      <c r="BL1858" s="449"/>
      <c r="BM1858" s="449" t="str">
        <f t="shared" si="1443"/>
        <v xml:space="preserve">Unloading no. 1821 Bill No 2026-27/41 ,Deduction For Oil Deduction= 104765.12 ,Bardana= 0 ,F.M= 0 Brokerage/Rate Difference 0 ,Shortage = 0 ,Greenish= 0 ,Moisture= </v>
      </c>
      <c r="BN1858" s="449"/>
      <c r="BO1858" s="449" t="str">
        <f t="shared" si="1444"/>
        <v xml:space="preserve"> Party Condition 42  ,F.M% 0.21 ,Greenish 3 ,Moisture 5.5 ,Shortage in KG= 0  ,Oil% 40.08</v>
      </c>
      <c r="BP1858" s="464">
        <f t="shared" si="1445"/>
        <v>7892.3561169252971</v>
      </c>
      <c r="BQ1858" s="449"/>
      <c r="BR1858" s="449"/>
      <c r="BS1858" s="449"/>
      <c r="BT1858" s="449"/>
      <c r="BU1858" s="449"/>
      <c r="BV1858" s="449"/>
      <c r="BW1858" s="449"/>
      <c r="BX1858" s="147">
        <v>40.22</v>
      </c>
      <c r="BY1858" s="147">
        <v>40.08</v>
      </c>
    </row>
    <row r="1859" spans="1:77" ht="14.1" customHeight="1" x14ac:dyDescent="0.3">
      <c r="A1859" s="128" t="s">
        <v>3836</v>
      </c>
      <c r="B1859" s="146">
        <v>46259</v>
      </c>
      <c r="C1859" s="281">
        <v>1822</v>
      </c>
      <c r="D1859" s="128" t="s">
        <v>3872</v>
      </c>
      <c r="E1859" s="130">
        <v>46262</v>
      </c>
      <c r="F1859" s="128" t="s">
        <v>3299</v>
      </c>
      <c r="G1859" s="128" t="s">
        <v>2630</v>
      </c>
      <c r="H1859" s="128" t="s">
        <v>1508</v>
      </c>
      <c r="I1859" s="136"/>
      <c r="J1859" s="138" t="s">
        <v>1146</v>
      </c>
      <c r="K1859" s="136"/>
      <c r="L1859" s="146">
        <v>46259</v>
      </c>
      <c r="M1859" s="136"/>
      <c r="N1859" s="281">
        <v>238</v>
      </c>
      <c r="O1859" s="130">
        <v>46261</v>
      </c>
      <c r="P1859" s="138">
        <v>0</v>
      </c>
      <c r="Q1859" s="138">
        <v>490</v>
      </c>
      <c r="R1859" s="138">
        <v>100</v>
      </c>
      <c r="S1859" s="138">
        <v>590</v>
      </c>
      <c r="T1859" s="138">
        <v>590</v>
      </c>
      <c r="U1859" s="136"/>
      <c r="V1859" s="136"/>
      <c r="W1859" s="147">
        <v>348.5</v>
      </c>
      <c r="X1859" s="147">
        <v>348</v>
      </c>
      <c r="Y1859" s="296">
        <f>2864670-27880</f>
        <v>2836790</v>
      </c>
      <c r="Z1859" s="441">
        <v>39.39</v>
      </c>
      <c r="AA1859" s="148">
        <v>71616.75</v>
      </c>
      <c r="AB1859" s="148">
        <v>71616.75</v>
      </c>
      <c r="AC1859" s="148">
        <v>3007903.5</v>
      </c>
      <c r="AD1859" s="315">
        <f t="shared" si="1420"/>
        <v>3004895.5965</v>
      </c>
      <c r="AE1859" s="441">
        <v>39.39</v>
      </c>
      <c r="AF1859" s="147">
        <v>42</v>
      </c>
      <c r="AG1859" s="441">
        <v>39.39</v>
      </c>
      <c r="AH1859" s="287">
        <v>4.0000000000000001E-3</v>
      </c>
      <c r="AI1859" s="287">
        <v>3.2000000000000001E-2</v>
      </c>
      <c r="AJ1859" s="287">
        <v>5.8000000000000003E-2</v>
      </c>
      <c r="AK1859" s="318">
        <f t="shared" si="1421"/>
        <v>176286.23571428569</v>
      </c>
      <c r="AL1859" s="467">
        <v>0</v>
      </c>
      <c r="AM1859" s="321">
        <v>0</v>
      </c>
      <c r="AN1859" s="321">
        <v>0</v>
      </c>
      <c r="AO1859" s="318">
        <f t="shared" si="1422"/>
        <v>0</v>
      </c>
      <c r="AP1859" s="467">
        <v>0</v>
      </c>
      <c r="AQ1859" s="318"/>
      <c r="AR1859" s="318">
        <f t="shared" si="1423"/>
        <v>176286.23571428569</v>
      </c>
      <c r="AS1859" s="318">
        <f t="shared" si="1424"/>
        <v>185101</v>
      </c>
      <c r="AT1859" s="321">
        <v>0</v>
      </c>
      <c r="AU1859" s="464"/>
      <c r="AV1859" s="449"/>
      <c r="AW1859" s="318">
        <f t="shared" si="1425"/>
        <v>34850</v>
      </c>
      <c r="AX1859" s="467"/>
      <c r="AY1859" s="318">
        <f t="shared" si="1426"/>
        <v>34850</v>
      </c>
      <c r="AZ1859" s="318">
        <f t="shared" si="1427"/>
        <v>34800</v>
      </c>
      <c r="BA1859" s="318">
        <f t="shared" si="1428"/>
        <v>50</v>
      </c>
      <c r="BB1859" s="318">
        <f t="shared" si="1429"/>
        <v>69.7</v>
      </c>
      <c r="BC1859" s="318">
        <v>0</v>
      </c>
      <c r="BD1859" s="467"/>
      <c r="BE1859" s="138">
        <v>348.5</v>
      </c>
      <c r="BF1859" s="321">
        <f t="shared" si="1438"/>
        <v>0.52274999999999994</v>
      </c>
      <c r="BG1859" s="321">
        <f t="shared" si="1439"/>
        <v>347.97725000000003</v>
      </c>
      <c r="BH1859" s="321">
        <f t="shared" si="1440"/>
        <v>348</v>
      </c>
      <c r="BI1859" s="322">
        <f t="shared" si="1441"/>
        <v>50</v>
      </c>
      <c r="BJ1859" s="322">
        <v>0</v>
      </c>
      <c r="BK1859" s="318">
        <f t="shared" si="1442"/>
        <v>50</v>
      </c>
      <c r="BL1859" s="449"/>
      <c r="BM1859" s="449" t="str">
        <f t="shared" si="1443"/>
        <v xml:space="preserve">Unloading no. 1822 Bill No 238 ,Deduction For Oil Deduction= 176286.235714286 ,Bardana= 0 ,F.M= 0 Brokerage/Rate Difference 0 ,Shortage = 0 ,Greenish= 0 ,Moisture= </v>
      </c>
      <c r="BN1859" s="449"/>
      <c r="BO1859" s="449" t="str">
        <f t="shared" si="1444"/>
        <v xml:space="preserve"> Party Condition 42  ,F.M% 0.4 ,Greenish 3.2 ,Moisture 5.8 ,Shortage in KG= 0  ,Oil% 39.39</v>
      </c>
      <c r="BP1859" s="464">
        <f t="shared" si="1445"/>
        <v>7645.1257594417084</v>
      </c>
      <c r="BQ1859" s="449"/>
      <c r="BR1859" s="449"/>
      <c r="BS1859" s="449"/>
      <c r="BT1859" s="449"/>
      <c r="BU1859" s="449"/>
      <c r="BV1859" s="449"/>
      <c r="BW1859" s="449"/>
      <c r="BX1859" s="147">
        <v>39.82</v>
      </c>
      <c r="BY1859" s="147">
        <v>39.75</v>
      </c>
    </row>
    <row r="1860" spans="1:77" ht="14.1" customHeight="1" x14ac:dyDescent="0.3">
      <c r="A1860" s="128" t="s">
        <v>3837</v>
      </c>
      <c r="B1860" s="146">
        <v>46259</v>
      </c>
      <c r="C1860" s="281">
        <v>1823</v>
      </c>
      <c r="D1860" s="128" t="s">
        <v>3873</v>
      </c>
      <c r="E1860" s="130">
        <v>46262</v>
      </c>
      <c r="F1860" s="128" t="s">
        <v>3833</v>
      </c>
      <c r="G1860" s="128" t="s">
        <v>1692</v>
      </c>
      <c r="H1860" s="128" t="s">
        <v>1384</v>
      </c>
      <c r="I1860" s="136"/>
      <c r="J1860" s="138" t="s">
        <v>2499</v>
      </c>
      <c r="K1860" s="136"/>
      <c r="L1860" s="146">
        <v>46259</v>
      </c>
      <c r="M1860" s="136"/>
      <c r="N1860" s="281">
        <v>435</v>
      </c>
      <c r="O1860" s="130">
        <v>46261</v>
      </c>
      <c r="P1860" s="138">
        <v>0</v>
      </c>
      <c r="Q1860" s="138">
        <v>350</v>
      </c>
      <c r="R1860" s="138">
        <v>160</v>
      </c>
      <c r="S1860" s="138">
        <v>510</v>
      </c>
      <c r="T1860" s="138">
        <v>510</v>
      </c>
      <c r="U1860" s="136"/>
      <c r="V1860" s="136"/>
      <c r="W1860" s="147">
        <v>301.8</v>
      </c>
      <c r="X1860" s="147">
        <v>300.89999999999998</v>
      </c>
      <c r="Y1860" s="148">
        <v>2492868</v>
      </c>
      <c r="Z1860" s="165"/>
      <c r="AA1860" s="148">
        <v>62321.7</v>
      </c>
      <c r="AB1860" s="148">
        <v>62321.7</v>
      </c>
      <c r="AC1860" s="148">
        <v>2617511.4</v>
      </c>
      <c r="AD1860" s="315">
        <f t="shared" si="1420"/>
        <v>2614893.8885999997</v>
      </c>
      <c r="AE1860" s="147">
        <v>39.36</v>
      </c>
      <c r="AF1860" s="147">
        <v>42</v>
      </c>
      <c r="AG1860" s="147">
        <v>39.36</v>
      </c>
      <c r="AH1860" s="287">
        <v>4.4999999999999997E-3</v>
      </c>
      <c r="AI1860" s="287">
        <v>3.1E-2</v>
      </c>
      <c r="AJ1860" s="287">
        <v>5.3999999999999999E-2</v>
      </c>
      <c r="AK1860" s="318">
        <f t="shared" si="1421"/>
        <v>156694.56000000006</v>
      </c>
      <c r="AL1860" s="467">
        <v>0</v>
      </c>
      <c r="AM1860" s="321">
        <v>0</v>
      </c>
      <c r="AN1860" s="321">
        <v>0</v>
      </c>
      <c r="AO1860" s="318">
        <f t="shared" si="1422"/>
        <v>2478</v>
      </c>
      <c r="AP1860" s="467">
        <v>0</v>
      </c>
      <c r="AQ1860" s="318"/>
      <c r="AR1860" s="318">
        <f t="shared" si="1423"/>
        <v>159172.56000000006</v>
      </c>
      <c r="AS1860" s="318">
        <f t="shared" si="1424"/>
        <v>167131</v>
      </c>
      <c r="AT1860" s="321">
        <v>30</v>
      </c>
      <c r="AU1860" s="464"/>
      <c r="AV1860" s="449"/>
      <c r="AW1860" s="318">
        <f t="shared" si="1425"/>
        <v>30180</v>
      </c>
      <c r="AX1860" s="467"/>
      <c r="AY1860" s="318">
        <f t="shared" si="1426"/>
        <v>30180</v>
      </c>
      <c r="AZ1860" s="318">
        <f t="shared" si="1427"/>
        <v>30089.999999999996</v>
      </c>
      <c r="BA1860" s="318">
        <f t="shared" si="1428"/>
        <v>90.000000000003638</v>
      </c>
      <c r="BB1860" s="318">
        <f t="shared" si="1429"/>
        <v>60.36</v>
      </c>
      <c r="BC1860" s="318">
        <v>0</v>
      </c>
      <c r="BD1860" s="467"/>
      <c r="BE1860" s="138">
        <v>301.8</v>
      </c>
      <c r="BF1860" s="321">
        <f t="shared" si="1438"/>
        <v>0.45270000000000005</v>
      </c>
      <c r="BG1860" s="321">
        <f t="shared" si="1439"/>
        <v>301.34730000000002</v>
      </c>
      <c r="BH1860" s="321">
        <f t="shared" si="1440"/>
        <v>300.89999999999998</v>
      </c>
      <c r="BI1860" s="322">
        <f t="shared" si="1441"/>
        <v>90.000000000003411</v>
      </c>
      <c r="BJ1860" s="322">
        <v>0</v>
      </c>
      <c r="BK1860" s="318">
        <f t="shared" si="1442"/>
        <v>90.000000000003411</v>
      </c>
      <c r="BL1860" s="449"/>
      <c r="BM1860" s="449" t="str">
        <f t="shared" si="1443"/>
        <v xml:space="preserve">Unloading no. 1823 Bill No 435 ,Deduction For Oil Deduction= 156694.56 ,Bardana= 0 ,F.M= 0 Brokerage/Rate Difference 0 ,Shortage = 2478 ,Greenish= 0 ,Moisture= </v>
      </c>
      <c r="BN1860" s="449"/>
      <c r="BO1860" s="449" t="str">
        <f t="shared" si="1444"/>
        <v xml:space="preserve"> Party Condition 42  ,F.M% 0.45 ,Greenish 3.1 ,Moisture 5.4 ,Shortage in KG= 30  ,Oil% 39.36</v>
      </c>
      <c r="BP1860" s="464">
        <f t="shared" si="1445"/>
        <v>7755.7176470588238</v>
      </c>
      <c r="BQ1860" s="449"/>
      <c r="BR1860" s="449"/>
      <c r="BS1860" s="449"/>
      <c r="BT1860" s="449"/>
      <c r="BU1860" s="449"/>
      <c r="BV1860" s="449"/>
      <c r="BW1860" s="449"/>
      <c r="BX1860" s="147">
        <v>39.36</v>
      </c>
      <c r="BY1860" s="147">
        <v>39.36</v>
      </c>
    </row>
    <row r="1861" spans="1:77" ht="14.1" customHeight="1" x14ac:dyDescent="0.3">
      <c r="A1861" s="128" t="s">
        <v>3836</v>
      </c>
      <c r="B1861" s="146">
        <v>46259</v>
      </c>
      <c r="C1861" s="281">
        <v>1824</v>
      </c>
      <c r="D1861" s="128" t="s">
        <v>3874</v>
      </c>
      <c r="E1861" s="130">
        <v>46262</v>
      </c>
      <c r="F1861" s="128" t="s">
        <v>3299</v>
      </c>
      <c r="G1861" s="128" t="s">
        <v>2630</v>
      </c>
      <c r="H1861" s="128" t="s">
        <v>1508</v>
      </c>
      <c r="I1861" s="136"/>
      <c r="J1861" s="138" t="s">
        <v>1146</v>
      </c>
      <c r="K1861" s="136"/>
      <c r="L1861" s="146">
        <v>46259</v>
      </c>
      <c r="M1861" s="136"/>
      <c r="N1861" s="281">
        <v>237</v>
      </c>
      <c r="O1861" s="130">
        <v>46261</v>
      </c>
      <c r="P1861" s="138">
        <v>0</v>
      </c>
      <c r="Q1861" s="138">
        <v>550</v>
      </c>
      <c r="R1861" s="138">
        <v>40</v>
      </c>
      <c r="S1861" s="138">
        <v>590</v>
      </c>
      <c r="T1861" s="138">
        <v>590</v>
      </c>
      <c r="U1861" s="136"/>
      <c r="V1861" s="136"/>
      <c r="W1861" s="147">
        <v>353.2</v>
      </c>
      <c r="X1861" s="147">
        <v>352.5</v>
      </c>
      <c r="Y1861" s="296">
        <f>2903304-28256</f>
        <v>2875048</v>
      </c>
      <c r="Z1861" s="441">
        <v>38.78</v>
      </c>
      <c r="AA1861" s="148">
        <v>72582.600000000006</v>
      </c>
      <c r="AB1861" s="148">
        <v>72582.600000000006</v>
      </c>
      <c r="AC1861" s="148">
        <v>3048469.2</v>
      </c>
      <c r="AD1861" s="315">
        <f t="shared" si="1420"/>
        <v>3045420.7308</v>
      </c>
      <c r="AE1861" s="441">
        <v>38.78</v>
      </c>
      <c r="AF1861" s="147">
        <v>42</v>
      </c>
      <c r="AG1861" s="441">
        <v>38.78</v>
      </c>
      <c r="AH1861" s="287">
        <v>3.0000000000000001E-3</v>
      </c>
      <c r="AI1861" s="287">
        <v>3.2800000000000003E-2</v>
      </c>
      <c r="AJ1861" s="287">
        <v>5.3999999999999999E-2</v>
      </c>
      <c r="AK1861" s="318">
        <f t="shared" si="1421"/>
        <v>220420.34666666656</v>
      </c>
      <c r="AL1861" s="467">
        <v>0</v>
      </c>
      <c r="AM1861" s="321">
        <v>0</v>
      </c>
      <c r="AN1861" s="321">
        <v>0</v>
      </c>
      <c r="AO1861" s="318">
        <f t="shared" si="1422"/>
        <v>0</v>
      </c>
      <c r="AP1861" s="467">
        <v>0</v>
      </c>
      <c r="AQ1861" s="318"/>
      <c r="AR1861" s="318">
        <f t="shared" si="1423"/>
        <v>220420.34666666656</v>
      </c>
      <c r="AS1861" s="318">
        <f t="shared" si="1424"/>
        <v>231441</v>
      </c>
      <c r="AT1861" s="321">
        <v>0</v>
      </c>
      <c r="AU1861" s="464"/>
      <c r="AV1861" s="449"/>
      <c r="AW1861" s="318">
        <f t="shared" si="1425"/>
        <v>35320</v>
      </c>
      <c r="AX1861" s="467"/>
      <c r="AY1861" s="318">
        <f t="shared" si="1426"/>
        <v>35320</v>
      </c>
      <c r="AZ1861" s="318">
        <f t="shared" si="1427"/>
        <v>35250</v>
      </c>
      <c r="BA1861" s="318">
        <f t="shared" si="1428"/>
        <v>70</v>
      </c>
      <c r="BB1861" s="318">
        <f t="shared" si="1429"/>
        <v>70.64</v>
      </c>
      <c r="BC1861" s="318">
        <v>0</v>
      </c>
      <c r="BD1861" s="467"/>
      <c r="BE1861" s="138">
        <v>353.2</v>
      </c>
      <c r="BF1861" s="321">
        <f t="shared" si="1438"/>
        <v>0.52979999999999994</v>
      </c>
      <c r="BG1861" s="321">
        <f t="shared" si="1439"/>
        <v>352.67019999999997</v>
      </c>
      <c r="BH1861" s="321">
        <f t="shared" si="1440"/>
        <v>352.5</v>
      </c>
      <c r="BI1861" s="322">
        <f t="shared" si="1441"/>
        <v>69.999999999998863</v>
      </c>
      <c r="BJ1861" s="322">
        <v>0</v>
      </c>
      <c r="BK1861" s="318">
        <f t="shared" si="1442"/>
        <v>69.999999999998863</v>
      </c>
      <c r="BL1861" s="449"/>
      <c r="BM1861" s="449" t="str">
        <f t="shared" si="1443"/>
        <v xml:space="preserve">Unloading no. 1824 Bill No 237 ,Deduction For Oil Deduction= 220420.346666667 ,Bardana= 0 ,F.M= 0 Brokerage/Rate Difference 0 ,Shortage = 0 ,Greenish= 0 ,Moisture= </v>
      </c>
      <c r="BN1861" s="449"/>
      <c r="BO1861" s="449" t="str">
        <f t="shared" si="1444"/>
        <v xml:space="preserve"> Party Condition 42  ,F.M% 0.3 ,Greenish 3.28 ,Moisture 5.4 ,Shortage in KG= 0  ,Oil% 38.78</v>
      </c>
      <c r="BP1861" s="464">
        <f t="shared" si="1445"/>
        <v>7530.8585910165484</v>
      </c>
      <c r="BQ1861" s="449"/>
      <c r="BR1861" s="449"/>
      <c r="BS1861" s="449"/>
      <c r="BT1861" s="449"/>
      <c r="BU1861" s="449"/>
      <c r="BV1861" s="449"/>
      <c r="BW1861" s="449"/>
      <c r="BX1861" s="147">
        <v>39.409999999999997</v>
      </c>
      <c r="BY1861" s="147">
        <v>39.39</v>
      </c>
    </row>
  </sheetData>
  <autoFilter ref="A1:BO1861">
    <filterColumn colId="4">
      <filters>
        <dateGroupItem year="2026" month="8" day="28" dateTimeGrouping="day"/>
      </filters>
    </filterColumn>
    <filterColumn colId="6">
      <filters>
        <filter val="Jakhar Trading Company"/>
        <filter val="Mittal Trading Company"/>
        <filter val="Shyam Lal Mukesh Kumar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KHANDELIA</cp:lastModifiedBy>
  <dcterms:created xsi:type="dcterms:W3CDTF">2026-04-04T03:40:21Z</dcterms:created>
  <dcterms:modified xsi:type="dcterms:W3CDTF">2026-09-02T12:38:14Z</dcterms:modified>
</cp:coreProperties>
</file>